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omments1.xml" ContentType="application/vnd.openxmlformats-officedocument.spreadsheetml.comments+xml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omments3.xml" ContentType="application/vnd.openxmlformats-officedocument.spreadsheetml.comments+xml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omments4.xml" ContentType="application/vnd.openxmlformats-officedocument.spreadsheetml.comments+xml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rmwide.corp.gs.com\root\Projects\Research\au\Financials\BANKS\Models\Published\JDO\"/>
    </mc:Choice>
  </mc:AlternateContent>
  <xr:revisionPtr revIDLastSave="0" documentId="13_ncr:1_{067C0450-562D-4B92-BB6A-E4C10863AA51}" xr6:coauthVersionLast="47" xr6:coauthVersionMax="47" xr10:uidLastSave="{00000000-0000-0000-0000-000000000000}"/>
  <bookViews>
    <workbookView xWindow="0" yWindow="0" windowWidth="28800" windowHeight="23400" tabRatio="500" firstSheet="5" activeTab="11" xr2:uid="{00000000-000D-0000-FFFF-FFFF00000000}"/>
  </bookViews>
  <sheets>
    <sheet name="_QP_NAB.AX" sheetId="6" state="hidden" r:id="rId1"/>
    <sheet name="Sheet2" sheetId="17" state="hidden" r:id="rId2"/>
    <sheet name="Sheet1" sheetId="16" state="hidden" r:id="rId3"/>
    <sheet name="MigrationOutput_QP_NAB.AX" sheetId="15" state="hidden" r:id="rId4"/>
    <sheet name="QP_NAB.AX_migrated" sheetId="8" state="hidden" r:id="rId5"/>
    <sheet name="Summary" sheetId="2" r:id="rId6"/>
    <sheet name="Model" sheetId="1" r:id="rId7"/>
    <sheet name="FinSum" sheetId="7" state="hidden" r:id="rId8"/>
    <sheet name="RIM" sheetId="18" r:id="rId9"/>
    <sheet name="Financial Summary" sheetId="22" r:id="rId10"/>
    <sheet name="Old" sheetId="4" state="hidden" r:id="rId11"/>
    <sheet name="Detailed P&amp;L" sheetId="21" r:id="rId12"/>
    <sheet name="NAB WM profits (no longer used)" sheetId="10" state="hidden" r:id="rId13"/>
  </sheets>
  <externalReferences>
    <externalReference r:id="rId14"/>
    <externalReference r:id="rId15"/>
    <externalReference r:id="rId16"/>
  </externalReferences>
  <definedNames>
    <definedName name="_bdm.a8002ccb34e842f69ed3e09c2deb665f.edm" localSheetId="9" hidden="1">'Financial Summary'!$B$2:$O$57</definedName>
    <definedName name="_bdm.a91b05af6d4f438c9e319481e57e00cf.edm" hidden="1">'Financial Summary'!$1:$1048576</definedName>
    <definedName name="A_ALL_ANZ.AX">#REF!</definedName>
    <definedName name="A_ALL_JDO.AX">#REF!</definedName>
    <definedName name="A_ALL_KEYWORDS_TYPE_ScalarContributed_EQTY_200021536">#REF!,#REF!,#REF!,#REF!,#REF!,#REF!,#REF!,#REF!,#REF!,#REF!,#REF!</definedName>
    <definedName name="A_ALL_NAB.AX_">#REF!</definedName>
    <definedName name="A_ALL_SECTION_KEYWORDS_EQTY_200021536_13A">#REF!</definedName>
    <definedName name="asset_sales" localSheetId="4">#REF!</definedName>
    <definedName name="assets_acceptances" localSheetId="12">#REF!</definedName>
    <definedName name="assets_acceptances" localSheetId="4">#REF!</definedName>
    <definedName name="assets_acceptances">#REF!</definedName>
    <definedName name="assets_life" localSheetId="12">#REF!</definedName>
    <definedName name="assets_life">#REF!</definedName>
    <definedName name="assets_total" localSheetId="12">#REF!</definedName>
    <definedName name="assets_total" localSheetId="4">#REF!</definedName>
    <definedName name="assets_total">#REF!</definedName>
    <definedName name="Aust_housing" localSheetId="12">#REF!</definedName>
    <definedName name="Aust_housing" localSheetId="4">#REF!</definedName>
    <definedName name="Aust_housing">#REF!</definedName>
    <definedName name="Aust_nonhousing" localSheetId="12">#REF!</definedName>
    <definedName name="Aust_nonhousing" localSheetId="4">#REF!</definedName>
    <definedName name="Aust_nonhousing">#REF!</definedName>
    <definedName name="Aust_Risk_Free" localSheetId="12">#REF!</definedName>
    <definedName name="Aust_Risk_Free" localSheetId="4">#REF!</definedName>
    <definedName name="Aust_Risk_Free">#REF!</definedName>
    <definedName name="average_assets" localSheetId="12">#REF!</definedName>
    <definedName name="average_assets" localSheetId="4">#REF!</definedName>
    <definedName name="average_assets">#REF!</definedName>
    <definedName name="average_equity" localSheetId="12">#REF!</definedName>
    <definedName name="average_equity" localSheetId="4">#REF!</definedName>
    <definedName name="average_equity">#REF!</definedName>
    <definedName name="average_gross_loans" localSheetId="12">#REF!</definedName>
    <definedName name="average_gross_loans" localSheetId="4">#REF!</definedName>
    <definedName name="average_gross_loans">#REF!</definedName>
    <definedName name="average_interest_assets" localSheetId="12">#REF!</definedName>
    <definedName name="average_interest_assets" localSheetId="4">#REF!</definedName>
    <definedName name="average_interest_liabilities" localSheetId="12">#REF!</definedName>
    <definedName name="average_interest_liabilities" localSheetId="4">#REF!</definedName>
    <definedName name="average_interest_liabilities">#REF!</definedName>
    <definedName name="average_liabilities" localSheetId="12">#REF!</definedName>
    <definedName name="average_liabilities">#REF!</definedName>
    <definedName name="Beta" localSheetId="12">#REF!</definedName>
    <definedName name="Beta" localSheetId="4">#REF!</definedName>
    <definedName name="Beta">#REF!</definedName>
    <definedName name="BeyondFCF" localSheetId="12">#REF!</definedName>
    <definedName name="BeyondFCF" localSheetId="4">#REF!</definedName>
    <definedName name="BeyondFCF">#REF!</definedName>
    <definedName name="BV" localSheetId="12">#REF!</definedName>
    <definedName name="BV" localSheetId="4">#REF!</definedName>
    <definedName name="BV">#REF!</definedName>
    <definedName name="capital_tier_1" localSheetId="12">#REF!</definedName>
    <definedName name="capital_tier_1" localSheetId="4">#REF!</definedName>
    <definedName name="capital_tier_1">#REF!</definedName>
    <definedName name="capital_tier_2" localSheetId="12">#REF!</definedName>
    <definedName name="capital_tier_2" localSheetId="4">#REF!</definedName>
    <definedName name="capital_tier_2">#REF!</definedName>
    <definedName name="cash_earnings" localSheetId="12">#REF!</definedName>
    <definedName name="cash_earnings" localSheetId="4">#REF!</definedName>
    <definedName name="cash_eps" localSheetId="12">#REF!</definedName>
    <definedName name="cash_eps" localSheetId="4">#REF!</definedName>
    <definedName name="company_eps" localSheetId="12">#REF!</definedName>
    <definedName name="company_eps" localSheetId="4">#REF!</definedName>
    <definedName name="company_eps">#REF!</definedName>
    <definedName name="core_tier1" localSheetId="4">#REF!</definedName>
    <definedName name="core_tier1">#REF!</definedName>
    <definedName name="Core_tier1_ratio" localSheetId="12">#REF!</definedName>
    <definedName name="Core_tier1_ratio" localSheetId="4">#REF!</definedName>
    <definedName name="Core_tier1_ratio">#REF!</definedName>
    <definedName name="cost_income" localSheetId="4">#REF!</definedName>
    <definedName name="cost_income">#REF!</definedName>
    <definedName name="Cost_of_Equity" localSheetId="12">#REF!</definedName>
    <definedName name="Cost_of_Equity" localSheetId="4">#REF!</definedName>
    <definedName name="Cost_of_Equity">#REF!</definedName>
    <definedName name="CostDebt" localSheetId="12">#REF!</definedName>
    <definedName name="CostDebt" localSheetId="4">#REF!</definedName>
    <definedName name="CostDebt">#REF!</definedName>
    <definedName name="CostEquity" localSheetId="12">#REF!</definedName>
    <definedName name="CostEquity" localSheetId="4">#REF!</definedName>
    <definedName name="CostEquity">#REF!</definedName>
    <definedName name="Cwvu.Full_Year." hidden="1">#REF!,#REF!</definedName>
    <definedName name="Cwvu.Summary." hidden="1">#REF!,#REF!,#REF!,#REF!</definedName>
    <definedName name="DCF_INF" localSheetId="12">#REF!</definedName>
    <definedName name="DCF_INF" localSheetId="4">#REF!</definedName>
    <definedName name="DCF_INF">#REF!</definedName>
    <definedName name="DCF_Result" localSheetId="12">#REF!</definedName>
    <definedName name="DCF_Result" localSheetId="4">#REF!</definedName>
    <definedName name="DCF_Result">#REF!</definedName>
    <definedName name="DCF_Tier1Maint" localSheetId="12">#REF!</definedName>
    <definedName name="DCF_Tier1Maint">#REF!</definedName>
    <definedName name="DCF_WACC" localSheetId="12">#REF!</definedName>
    <definedName name="DCF_WACC" localSheetId="4">#REF!</definedName>
    <definedName name="DCF_WACC">#REF!</definedName>
    <definedName name="DDE" localSheetId="12">#REF!</definedName>
    <definedName name="DDE" localSheetId="4">#REF!</definedName>
    <definedName name="DDE">#REF!</definedName>
    <definedName name="depreciation" localSheetId="12">#REF!</definedName>
    <definedName name="depreciation" localSheetId="4">#REF!</definedName>
    <definedName name="depreciation">#REF!</definedName>
    <definedName name="dividend_income" localSheetId="4">#REF!</definedName>
    <definedName name="DPS" localSheetId="12">#REF!</definedName>
    <definedName name="DPS" localSheetId="4">#REF!</definedName>
    <definedName name="DPS">#REF!</definedName>
    <definedName name="DRP_participation" localSheetId="12">#REF!</definedName>
    <definedName name="DRP_participation" localSheetId="4">#REF!</definedName>
    <definedName name="DRP_participation">#REF!</definedName>
    <definedName name="DS" localSheetId="12" hidden="1">{"Full_Year",#N/A,FALSE,"PE1_S";#N/A,#N/A,FALSE,"DIVIS_S"}</definedName>
    <definedName name="DS" localSheetId="4" hidden="1">{"Full_Year",#N/A,FALSE,"PE1_S";#N/A,#N/A,FALSE,"DIVIS_S"}</definedName>
    <definedName name="DS" hidden="1">{"Full_Year",#N/A,FALSE,"PE1_S";#N/A,#N/A,FALSE,"DIVIS_S"}</definedName>
    <definedName name="E_ALL_ANZ.AX">#REF!</definedName>
    <definedName name="E_ALL_JDO.AX">#REF!</definedName>
    <definedName name="E_ALL_KEYWORDS_TYPE_ScalarContributed_EQTY_200021536">#REF!,#REF!,#REF!,#REF!,#REF!,#REF!,#REF!,#REF!,#REF!,#REF!,#REF!</definedName>
    <definedName name="E_ALL_SECTION_KEYWORDS_EQTY_200021536_13A">#REF!</definedName>
    <definedName name="earnings_adjustment" localSheetId="12">#REF!</definedName>
    <definedName name="earnings_adjustment" localSheetId="4">#REF!</definedName>
    <definedName name="earnings_adjustment">#REF!</definedName>
    <definedName name="effective_tax_rate" localSheetId="12">#REF!</definedName>
    <definedName name="effective_tax_rate" localSheetId="4">#REF!</definedName>
    <definedName name="effective_tax_rate">#REF!</definedName>
    <definedName name="EFPOWA" localSheetId="12">#REF!</definedName>
    <definedName name="EFPOWA" localSheetId="4">#REF!</definedName>
    <definedName name="EFPOWA">#REF!</definedName>
    <definedName name="EFPOWA_basic" localSheetId="4">#REF!</definedName>
    <definedName name="equity" localSheetId="12">#REF!</definedName>
    <definedName name="equity" localSheetId="4">#REF!</definedName>
    <definedName name="equity">#REF!</definedName>
    <definedName name="equity_and_minorities" localSheetId="4">#REF!</definedName>
    <definedName name="equity_buyback" localSheetId="4">#REF!</definedName>
    <definedName name="equity_buyback">#REF!</definedName>
    <definedName name="equity_drp" localSheetId="12">#REF!</definedName>
    <definedName name="equity_drp" localSheetId="4">#REF!</definedName>
    <definedName name="equity_drp">#REF!</definedName>
    <definedName name="equity_other_issues" localSheetId="12">#REF!</definedName>
    <definedName name="equity_other_issues">#REF!</definedName>
    <definedName name="equity_SPP" localSheetId="4">#REF!</definedName>
    <definedName name="equity_SPP">#REF!</definedName>
    <definedName name="ExchangeSheetLink" localSheetId="3">MigrationOutput_QP_NAB.AX!$F$2</definedName>
    <definedName name="Final_CF" localSheetId="12">#REF!</definedName>
    <definedName name="Final_CF">#REF!</definedName>
    <definedName name="Final_Forecast" localSheetId="12">#REF!</definedName>
    <definedName name="Final_Forecast">#REF!</definedName>
    <definedName name="FM_total_expenses" localSheetId="12">#REF!</definedName>
    <definedName name="FM_total_expenses">#REF!</definedName>
    <definedName name="forex_income" localSheetId="12">#REF!</definedName>
    <definedName name="forex_income" localSheetId="4">#REF!</definedName>
    <definedName name="forex_income">#REF!</definedName>
    <definedName name="franking" localSheetId="12">#REF!</definedName>
    <definedName name="franking" localSheetId="4">#REF!</definedName>
    <definedName name="franking">#REF!</definedName>
    <definedName name="free_funds" localSheetId="12">#REF!</definedName>
    <definedName name="Free_funds" localSheetId="4">#REF!</definedName>
    <definedName name="free_funds">#REF!</definedName>
    <definedName name="funds_management" localSheetId="12">#REF!</definedName>
    <definedName name="funds_management" localSheetId="4">#REF!</definedName>
    <definedName name="funds_management">#REF!</definedName>
    <definedName name="GNAL" localSheetId="12">#REF!</definedName>
    <definedName name="GNAL" localSheetId="4">#REF!</definedName>
    <definedName name="GNAL">#REF!</definedName>
    <definedName name="goodwill" localSheetId="12">#REF!</definedName>
    <definedName name="goodwill" localSheetId="4">#REF!</definedName>
    <definedName name="goodwill">#REF!</definedName>
    <definedName name="gross_impaired_assets" localSheetId="12">#REF!</definedName>
    <definedName name="gross_impaired_assets" localSheetId="4">#REF!</definedName>
    <definedName name="gross_impaired_assets">#REF!</definedName>
    <definedName name="gross_loans" localSheetId="12">#REF!</definedName>
    <definedName name="gross_loans" localSheetId="4">#REF!</definedName>
    <definedName name="gross_loans">#REF!</definedName>
    <definedName name="HiddenSheetLink" localSheetId="3">MigrationOutput_QP_NAB.AX!$F$3</definedName>
    <definedName name="housing_loans" localSheetId="12">#REF!</definedName>
    <definedName name="housing_loans" localSheetId="4">#REF!</definedName>
    <definedName name="housing_loans">#REF!</definedName>
    <definedName name="hybrid" localSheetId="12">#REF!</definedName>
    <definedName name="hybrid">#REF!</definedName>
    <definedName name="hybrid_posttax" localSheetId="12">#REF!</definedName>
    <definedName name="hybrid_posttax">#REF!</definedName>
    <definedName name="hybrid_pretax" localSheetId="12">#REF!</definedName>
    <definedName name="hybrid_pretax">#REF!</definedName>
    <definedName name="hybrids" localSheetId="12">#REF!</definedName>
    <definedName name="hybrids">#REF!</definedName>
    <definedName name="IFRS_adj_goodwill" localSheetId="12">#REF!</definedName>
    <definedName name="IFRS_adj_goodwill">#REF!</definedName>
    <definedName name="IFRS_adj_hedge" localSheetId="12">#REF!</definedName>
    <definedName name="IFRS_adj_hedge" localSheetId="4">#REF!</definedName>
    <definedName name="IFRS_adj_hedge">#REF!</definedName>
    <definedName name="IFRS_adj_revaluation" localSheetId="12">#REF!</definedName>
    <definedName name="IFRS_adj_revaluation" localSheetId="4">#REF!</definedName>
    <definedName name="IFRS_adj_revaluation">#REF!</definedName>
    <definedName name="IFRS_adj_treasury" localSheetId="12">#REF!</definedName>
    <definedName name="IFRS_adj_treasury" localSheetId="4">#REF!</definedName>
    <definedName name="IFRS_adj_treasury">#REF!</definedName>
    <definedName name="IMP_CREDIT" localSheetId="12">#REF!</definedName>
    <definedName name="Imp_Credit" localSheetId="4">#REF!</definedName>
    <definedName name="Imp_Credit">#REF!</definedName>
    <definedName name="income_tax" localSheetId="12">#REF!</definedName>
    <definedName name="income_tax" localSheetId="4">#REF!</definedName>
    <definedName name="income_tax">#REF!</definedName>
    <definedName name="intangibles" localSheetId="12">#REF!</definedName>
    <definedName name="intangibles" localSheetId="4">#REF!</definedName>
    <definedName name="intangibles">#REF!</definedName>
    <definedName name="interest_expense" localSheetId="12">#REF!</definedName>
    <definedName name="interest_expense" localSheetId="4">#REF!</definedName>
    <definedName name="interest_expense">#REF!</definedName>
    <definedName name="interest_income" localSheetId="12">#REF!</definedName>
    <definedName name="interest_income" localSheetId="4">#REF!</definedName>
    <definedName name="interest_income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issued_shares" localSheetId="12">#REF!</definedName>
    <definedName name="issued_shares" localSheetId="4">#REF!</definedName>
    <definedName name="issued_shares">#REF!</definedName>
    <definedName name="L_ALL_ANZ.AX">#REF!</definedName>
    <definedName name="L_ALL_JDO.AX">#REF!</definedName>
    <definedName name="L_ALL_KEYWORDS_TYPE_ScalarContributed_EQTY_200021536">#REF!,#REF!,#REF!,#REF!,#REF!,#REF!,#REF!,#REF!,#REF!,#REF!,#REF!</definedName>
    <definedName name="L_ALL_NAB.AX_">#REF!</definedName>
    <definedName name="L_ALL_SECTION_KEYWORDS_EQTY_200021536_13A">#REF!</definedName>
    <definedName name="LastProblemKeyword" localSheetId="3">MigrationOutput_QP_NAB.AX!$B$7:$F$7</definedName>
    <definedName name="lending_fees" localSheetId="12">#REF!</definedName>
    <definedName name="lending_fees" localSheetId="4">#REF!</definedName>
    <definedName name="lending_fees">#REF!</definedName>
    <definedName name="liabilities_deposits" localSheetId="12">#REF!</definedName>
    <definedName name="liabilities_deposits" localSheetId="4">#REF!</definedName>
    <definedName name="liabilities_deposits">#REF!</definedName>
    <definedName name="liabilities_total" localSheetId="12">#REF!</definedName>
    <definedName name="liabilities_total" localSheetId="4">#REF!</definedName>
    <definedName name="liabilities_total">#REF!</definedName>
    <definedName name="margin" localSheetId="12">#REF!</definedName>
    <definedName name="margin" localSheetId="4">#REF!</definedName>
    <definedName name="margin">#REF!</definedName>
    <definedName name="minorities" localSheetId="12">#REF!</definedName>
    <definedName name="minorities" localSheetId="4">#REF!</definedName>
    <definedName name="minorities">#REF!</definedName>
    <definedName name="net_gains_investment" localSheetId="4">#REF!</definedName>
    <definedName name="net_interest_income" localSheetId="12">#REF!</definedName>
    <definedName name="net_interest_income" localSheetId="4">#REF!</definedName>
    <definedName name="net_loans_company" localSheetId="12">#REF!</definedName>
    <definedName name="net_loans_company" localSheetId="4">#REF!</definedName>
    <definedName name="net_loans_company">#REF!</definedName>
    <definedName name="non_interest_expense" localSheetId="12">#REF!</definedName>
    <definedName name="non_interest_expense" localSheetId="4">#REF!</definedName>
    <definedName name="non_interest_expense">#REF!</definedName>
    <definedName name="non_interest_income" localSheetId="12">#REF!</definedName>
    <definedName name="non_interest_income" localSheetId="4">#REF!</definedName>
    <definedName name="non_interest_income">#REF!</definedName>
    <definedName name="Non_Interest_Income_Bank" localSheetId="12">#REF!</definedName>
    <definedName name="Non_Interest_Income_Bank">#REF!</definedName>
    <definedName name="NTA" localSheetId="12">#REF!</definedName>
    <definedName name="NTA" localSheetId="4">#REF!</definedName>
    <definedName name="NTA">#REF!</definedName>
    <definedName name="OEI" localSheetId="12">#REF!</definedName>
    <definedName name="OEI" localSheetId="4">#REF!</definedName>
    <definedName name="OEI">#REF!</definedName>
    <definedName name="other_commissions" localSheetId="12">#REF!</definedName>
    <definedName name="other_commissions" localSheetId="4">#REF!</definedName>
    <definedName name="other_commissions">#REF!</definedName>
    <definedName name="Other_expense" localSheetId="4">#REF!</definedName>
    <definedName name="past_90" localSheetId="12">#REF!</definedName>
    <definedName name="past_90" localSheetId="4">#REF!</definedName>
    <definedName name="past_90">#REF!</definedName>
    <definedName name="period" localSheetId="12">#REF!</definedName>
    <definedName name="period" localSheetId="4">#REF!</definedName>
    <definedName name="personnel" localSheetId="12">#REF!</definedName>
    <definedName name="personnel" localSheetId="4">#REF!</definedName>
    <definedName name="personnel">#REF!</definedName>
    <definedName name="pre_tax_profit" localSheetId="12">#REF!</definedName>
    <definedName name="pre_tax_profit" localSheetId="4">#REF!</definedName>
    <definedName name="pre_tax_profit">#REF!</definedName>
    <definedName name="pref_divs_post_tax" localSheetId="12">#REF!</definedName>
    <definedName name="pref_divs_post_tax" localSheetId="4">#REF!</definedName>
    <definedName name="pref_divs_post_tax">#REF!</definedName>
    <definedName name="pref_divs_pre_tax" localSheetId="12">#REF!</definedName>
    <definedName name="pref_divs_pre_tax" localSheetId="4">#REF!</definedName>
    <definedName name="pref_divs_pre_tax">#REF!</definedName>
    <definedName name="premises_expense" localSheetId="4">#REF!</definedName>
    <definedName name="_xlnm.Print_Area" localSheetId="7">FinSum!$E$5:$Q$85</definedName>
    <definedName name="_xlnm.Print_Area" localSheetId="6">Model!$B$1:$DD$852</definedName>
    <definedName name="_xlnm.Print_Area" localSheetId="8">RIM!$C$1:$AD$59</definedName>
    <definedName name="_xlnm.Print_Area" localSheetId="5">Summary!$B$2:$L$54,Summary!$B$57:$L$115,Summary!$B$118:$L$154,Summary!#REF!</definedName>
    <definedName name="_xlnm.Print_Titles" localSheetId="6">Model!$B:$B,Model!$1:$6</definedName>
    <definedName name="_xlnm.Print_Titles" localSheetId="5">Summary!$2:$11</definedName>
    <definedName name="provisioning" localSheetId="12">#REF!</definedName>
    <definedName name="provisioning" localSheetId="4">#REF!</definedName>
    <definedName name="provisioning">#REF!</definedName>
    <definedName name="provisioning_specific" localSheetId="4">#REF!</definedName>
    <definedName name="provisions_general" localSheetId="12">#REF!</definedName>
    <definedName name="provisions_general" localSheetId="4">#REF!</definedName>
    <definedName name="provisions_general">#REF!</definedName>
    <definedName name="provisions_specific" localSheetId="12">#REF!</definedName>
    <definedName name="provisions_specific" localSheetId="4">#REF!</definedName>
    <definedName name="provisions_specific">#REF!</definedName>
    <definedName name="PT_Price" localSheetId="12">#REF!</definedName>
    <definedName name="PT_Price" localSheetId="4">#REF!</definedName>
    <definedName name="PT_Price">#REF!</definedName>
    <definedName name="PVCF" localSheetId="12">#REF!</definedName>
    <definedName name="PVCF" localSheetId="4">#REF!</definedName>
    <definedName name="PVCF">#REF!</definedName>
    <definedName name="recoveries" localSheetId="12">#REF!</definedName>
    <definedName name="recoveries" localSheetId="4">#REF!</definedName>
    <definedName name="recoveries">#REF!</definedName>
    <definedName name="reported_profit" localSheetId="12">#REF!</definedName>
    <definedName name="reported_profit" localSheetId="4">#REF!</definedName>
    <definedName name="reported_profit">#REF!</definedName>
    <definedName name="Risk_Premium" localSheetId="12">#REF!</definedName>
    <definedName name="Risk_Premium" localSheetId="4">#REF!</definedName>
    <definedName name="Risk_Premium">#REF!</definedName>
    <definedName name="ROE" localSheetId="12">#REF!</definedName>
    <definedName name="ROE" localSheetId="4">#REF!</definedName>
    <definedName name="ROE">#REF!</definedName>
    <definedName name="RWA" localSheetId="12">#REF!</definedName>
    <definedName name="RWA" localSheetId="4">#REF!</definedName>
    <definedName name="RWA">#REF!</definedName>
    <definedName name="RWA_credit" localSheetId="4">#REF!</definedName>
    <definedName name="RWA_credit">#REF!</definedName>
    <definedName name="Rwvu.Full_Year." hidden="1">#REF!,#REF!,#REF!</definedName>
    <definedName name="salaries" localSheetId="12">#REF!</definedName>
    <definedName name="salaries" localSheetId="4">#REF!</definedName>
    <definedName name="salaries">#REF!</definedName>
    <definedName name="Scatter_Data_1">"$F$4:$N$5"</definedName>
    <definedName name="Scatter_Data_2">"$F$4:$N$5"</definedName>
    <definedName name="Scatter_Data_3">"$F$4:$N$5"</definedName>
    <definedName name="Scatter_Data_4">"$F$4:$N$5"</definedName>
    <definedName name="Scatter_Data_5">"$L$10:$O$103"</definedName>
    <definedName name="Scatter_Data_6">"$L$10:$O$103"</definedName>
    <definedName name="Scatter_Data_7">"$F$4:$N$5"</definedName>
    <definedName name="shareholder_funds" localSheetId="12">#REF!</definedName>
    <definedName name="shareholder_funds" localSheetId="4">#REF!</definedName>
    <definedName name="shareholder_funds">#REF!</definedName>
    <definedName name="significant_items_company" localSheetId="12">#REF!</definedName>
    <definedName name="significant_items_company" localSheetId="4">#REF!</definedName>
    <definedName name="significant_items_company">#REF!</definedName>
    <definedName name="spread" localSheetId="12">#REF!</definedName>
    <definedName name="spread" localSheetId="4">#REF!</definedName>
    <definedName name="spread">#REF!</definedName>
    <definedName name="staff" localSheetId="12">#REF!</definedName>
    <definedName name="staff" localSheetId="4">#REF!</definedName>
    <definedName name="staff">#REF!</definedName>
    <definedName name="staff_other" localSheetId="4">#REF!</definedName>
    <definedName name="Target_DCF_Beta" localSheetId="12">#REF!</definedName>
    <definedName name="Target_DCF_Beta">#REF!</definedName>
    <definedName name="Target_DCF_BetaOutput" localSheetId="12">#REF!</definedName>
    <definedName name="Target_DCF_BetaOutput">#REF!</definedName>
    <definedName name="Target_DCF_MRP" localSheetId="12">#REF!</definedName>
    <definedName name="Target_DCF_MRP">#REF!</definedName>
    <definedName name="Target_DCF_MRPOutput" localSheetId="12">#REF!</definedName>
    <definedName name="Target_DCF_MRPOutput">#REF!</definedName>
    <definedName name="Target_DCF_Rf" localSheetId="12">#REF!</definedName>
    <definedName name="Target_DCF_Rf">#REF!</definedName>
    <definedName name="Target_DCF_RfOutput" localSheetId="12">#REF!</definedName>
    <definedName name="Target_DCF_RfOutput">#REF!</definedName>
    <definedName name="Target_DCF_T1Maint" localSheetId="12">#REF!</definedName>
    <definedName name="Target_DCF_T1Maint">#REF!</definedName>
    <definedName name="Target_DCF_T1MaintOutput" localSheetId="12">#REF!</definedName>
    <definedName name="Target_DCF_T1MaintOutput">#REF!</definedName>
    <definedName name="target_price" localSheetId="12">#REF!</definedName>
    <definedName name="target_price">#REF!</definedName>
    <definedName name="tax_corporate" localSheetId="12">#REF!</definedName>
    <definedName name="tax_corporate">#REF!</definedName>
    <definedName name="tax_nri" localSheetId="12">#REF!</definedName>
    <definedName name="tax_nri">#REF!</definedName>
    <definedName name="Tier_1_hybrids" localSheetId="4">#REF!</definedName>
    <definedName name="Tier_1_hybrids">#REF!</definedName>
    <definedName name="tier_1_ratio" localSheetId="12">#REF!</definedName>
    <definedName name="tier_1_ratio" localSheetId="4">#REF!</definedName>
    <definedName name="tier_1_ratio">#REF!</definedName>
    <definedName name="tier_2_ratio" localSheetId="12">#REF!</definedName>
    <definedName name="tier_2_ratio" localSheetId="4">#REF!</definedName>
    <definedName name="tier_2_ratio">#REF!</definedName>
    <definedName name="Tier1" localSheetId="12">#REF!</definedName>
    <definedName name="Tier1" localSheetId="4">#REF!</definedName>
    <definedName name="Tier1">#REF!</definedName>
    <definedName name="Tigr_Exhibit7b9142cf_51f9_471e_bcd1_8d90fdb2fca9" hidden="1">FinSum!$E$4:$Q$83</definedName>
    <definedName name="Tigr_Exhibited97845e_7962_47b8_b778_8788b41b6d02" hidden="1">FinSum!$E$4:$Q$82</definedName>
    <definedName name="Total_capital" localSheetId="12">#REF!</definedName>
    <definedName name="Total_capital" localSheetId="4">#REF!</definedName>
    <definedName name="Total_capital">#REF!</definedName>
    <definedName name="total_capital_ratio" localSheetId="12">#REF!</definedName>
    <definedName name="total_capital_ratio" localSheetId="4">#REF!</definedName>
    <definedName name="total_capital_ratio">#REF!</definedName>
    <definedName name="total_fee" localSheetId="12">#REF!</definedName>
    <definedName name="total_fee" localSheetId="4">#REF!</definedName>
    <definedName name="total_fee">#REF!</definedName>
    <definedName name="total_interest_assets" localSheetId="12">#REF!</definedName>
    <definedName name="total_interest_assets" localSheetId="4">#REF!</definedName>
    <definedName name="total_interest_assets">#REF!</definedName>
    <definedName name="total_revenue" localSheetId="12">#REF!</definedName>
    <definedName name="total_revenue" localSheetId="4">#REF!</definedName>
    <definedName name="total_revenue">#REF!</definedName>
    <definedName name="trading_income" localSheetId="12">#REF!</definedName>
    <definedName name="trading_income" localSheetId="4">#REF!</definedName>
    <definedName name="trading_income">#REF!</definedName>
    <definedName name="underlying_performance" localSheetId="4">#REF!</definedName>
    <definedName name="underlying_performance">#REF!</definedName>
    <definedName name="V_ALL_ANZ.AX">#REF!</definedName>
    <definedName name="V_ALL_JDO.AX">#REF!</definedName>
    <definedName name="V_ALL_KEYWORDS_TYPE_ScalarContributed_EQTY_200021536">#REF!,#REF!,#REF!,#REF!,#REF!,#REF!,#REF!,#REF!,#REF!,#REF!,#REF!</definedName>
    <definedName name="V_ALL_NAB.AX_">#REF!</definedName>
    <definedName name="V_ALL_SECTION_KEYWORDS_EQTY_200021536_13A">#REF!</definedName>
    <definedName name="WACC" localSheetId="12">#REF!</definedName>
    <definedName name="WACC" localSheetId="4">#REF!</definedName>
    <definedName name="WACC">#REF!</definedName>
    <definedName name="WM_revenue" localSheetId="12">'NAB WM profits (no longer used)'!$19:$19</definedName>
    <definedName name="WM_revenue">#REF!</definedName>
    <definedName name="write_offs_general" localSheetId="4">#REF!</definedName>
    <definedName name="write_offs_general">#REF!</definedName>
    <definedName name="write_offs_specific" localSheetId="12">#REF!</definedName>
    <definedName name="write_offs_specific" localSheetId="4">#REF!</definedName>
    <definedName name="write_offs_specific">#REF!</definedName>
    <definedName name="wrn.Client." localSheetId="12" hidden="1">{"Full_Year",#N/A,FALSE,"PE1_S";#N/A,#N/A,FALSE,"DIVIS_S"}</definedName>
    <definedName name="wrn.Client." localSheetId="4" hidden="1">{"Full_Year",#N/A,FALSE,"PE1_S";#N/A,#N/A,FALSE,"DIVIS_S"}</definedName>
    <definedName name="wrn.Client." hidden="1">{"Full_Year",#N/A,FALSE,"PE1_S";#N/A,#N/A,FALSE,"DIVIS_S"}</definedName>
    <definedName name="wrn.Client_Detailed." localSheetId="12" hidden="1">{"Full_Year",#N/A,FALSE,"PE1_S";"Full_Year",#N/A,FALSE,"Cashflow_EPS";"Full_Year",#N/A,FALSE,"EBIT_DIV"}</definedName>
    <definedName name="wrn.Client_Detailed." localSheetId="4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Full_Client." localSheetId="12" hidden="1">{"Full_Year",#N/A,FALSE,"PE1_S";"Automotive",#N/A,FALSE,"Auto_EBIT";#N/A,#N/A,FALSE,"Industrial_EBIT";#N/A,#N/A,FALSE,"Webforge_EBIT"}</definedName>
    <definedName name="wrn.Full_Client." localSheetId="4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vu.B_Sheet." localSheetId="12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localSheetId="4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B_Sheet." hidden="1">{TRUE,TRUE,-1.25,-15.5,604.5,366.75,FALSE,TRUE,TRUE,TRUE,0,1,#N/A,1,65,17.1333333333333,4,3,FALSE,TRUE,3,TRUE,1,FALSE,75,"Swvu.B_Sheet.","ACwvu.B_Sheet.",#N/A,FALSE,FALSE,0.748031496062992,0.748031496062992,0.984251968503937,0.984251968503937,1,"","&amp;C&amp;""Helvetica,Regular""&amp;10J B Were &amp;&amp; Son Industrial Research - Analyst: Matt Cook - (03) 9679-1445",FALSE,FALSE,FALSE,FALSE,1,75,#N/A,#N/A,"=R5C7:R69C15","=C1:C3,R1:R4","Rwvu.B_Sheet.",#N/A,FALSE,FALSE,TRUE,9,#N/A,#N/A,FALSE,FALSE,TRUE,TRUE,TRUE}</definedName>
    <definedName name="wvu.Detail." localSheetId="12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localSheetId="4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Detail." hidden="1">{TRUE,TRUE,-1.25,-15.5,604.5,366.75,FALSE,TRUE,TRUE,TRUE,0,1,#N/A,1,#N/A,11.4,33.0769230769231,1,FALSE,FALSE,3,TRUE,1,FALSE,75,"Swvu.Detail.","ACwvu.Detail.",#N/A,FALSE,FALSE,0.393700787401575,0.393700787401575,0.393700787401575,0.393700787401575,1,"","&amp;C&amp;""Helvetica,Regular""&amp;10J B Were &amp;&amp; Son Industrial Research:  Analyst Matt Cook:  Ph: 03-9679 1445",TRUE,FALSE,FALSE,FALSE,1,80,#N/A,#N/A,"=R5C4:R105C11","=C1,R1:R4",#N/A,#N/A,FALSE,FALSE,TRUE,9,#N/A,#N/A,FALSE,FALSE,TRUE,TRUE,TRUE}</definedName>
    <definedName name="wvu.Warehouse." localSheetId="12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localSheetId="4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wvu.Warehouse." hidden="1">{TRUE,TRUE,-1.25,-15.5,604.5,366.75,FALSE,TRUE,TRUE,TRUE,0,1,6,1,74,3.7,5.15384615384615,4,TRUE,TRUE,3,TRUE,1,FALSE,75,"Swvu.Warehouse.","ACwvu.Warehouse.",#N/A,FALSE,FALSE,0.393700787401575,0.393700787401575,0.393700787401575,0.393700787401575,1,"","&amp;C&amp;10J B Were &amp;&amp; Son Industrial Research - Analyst:  Matt Cook Ph: 03 9679 1445",TRUE,FALSE,FALSE,FALSE,1,75,#N/A,#N/A,"=R74C7:R192C13","=C1:C4,R1:R4",#N/A,#N/A,FALSE,FALSE,TRUE,9,#N/A,#N/A,FALSE,FALSE,TRUE,TRUE,TRUE}</definedName>
    <definedName name="zDebt" localSheetId="12">#REF!</definedName>
    <definedName name="zDebt" localSheetId="4">#REF!</definedName>
    <definedName name="zDebt">#REF!</definedName>
    <definedName name="zEDE" localSheetId="12">#REF!</definedName>
    <definedName name="zEDE" localSheetId="4">#REF!</definedName>
    <definedName name="zEDE">#REF!</definedName>
    <definedName name="zEquityValue" localSheetId="12">#REF!</definedName>
    <definedName name="zEquityValue" localSheetId="4">#REF!</definedName>
    <definedName name="zEquityValue">#REF!</definedName>
    <definedName name="zIRRM" localSheetId="4">#REF!</definedName>
    <definedName name="zIssued_Shares" localSheetId="12">#REF!</definedName>
    <definedName name="zIssued_Shares">#REF!</definedName>
    <definedName name="zTc" localSheetId="12">#REF!</definedName>
    <definedName name="zTc" localSheetId="4">#REF!</definedName>
    <definedName name="zTc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40" i="1" l="1"/>
  <c r="AZ713" i="1" l="1"/>
  <c r="AZ711" i="1"/>
  <c r="AZ710" i="1"/>
  <c r="AZ703" i="1"/>
  <c r="AZ702" i="1"/>
  <c r="AZ698" i="1"/>
  <c r="AZ684" i="1"/>
  <c r="AZ679" i="1"/>
  <c r="AZ672" i="1"/>
  <c r="AZ115" i="1"/>
  <c r="AZ121" i="1"/>
  <c r="AZ122" i="1" s="1"/>
  <c r="AZ101" i="1"/>
  <c r="AZ102" i="1" s="1"/>
  <c r="AZ52" i="1"/>
  <c r="AZ54" i="1"/>
  <c r="AZ599" i="1"/>
  <c r="AZ603" i="1" s="1"/>
  <c r="AZ561" i="1"/>
  <c r="AZ522" i="1"/>
  <c r="AZ536" i="1" s="1"/>
  <c r="AZ520" i="1"/>
  <c r="AZ519" i="1"/>
  <c r="AZ518" i="1"/>
  <c r="AZ517" i="1"/>
  <c r="AZ516" i="1"/>
  <c r="AZ507" i="1"/>
  <c r="AZ504" i="1"/>
  <c r="AZ503" i="1"/>
  <c r="AZ502" i="1"/>
  <c r="AZ501" i="1"/>
  <c r="AZ500" i="1"/>
  <c r="AZ479" i="1"/>
  <c r="AZ475" i="1"/>
  <c r="AZ474" i="1"/>
  <c r="AZ473" i="1"/>
  <c r="AZ468" i="1"/>
  <c r="AZ450" i="1"/>
  <c r="AZ445" i="1"/>
  <c r="AZ444" i="1"/>
  <c r="AZ415" i="1"/>
  <c r="AZ409" i="1"/>
  <c r="AZ408" i="1" s="1"/>
  <c r="AZ406" i="1" s="1"/>
  <c r="AZ405" i="1" s="1"/>
  <c r="AZ323" i="1"/>
  <c r="AZ269" i="1" s="1"/>
  <c r="AZ611" i="1"/>
  <c r="AZ616" i="1"/>
  <c r="AZ615" i="1" s="1"/>
  <c r="AZ472" i="1" l="1"/>
  <c r="AZ471" i="1" s="1"/>
  <c r="AZ443" i="1"/>
  <c r="AZ441" i="1" s="1"/>
  <c r="AZ685" i="1"/>
  <c r="AZ612" i="1"/>
  <c r="AZ116" i="1" l="1"/>
  <c r="AZ244" i="1"/>
  <c r="AZ262" i="1"/>
  <c r="AZ257" i="1"/>
  <c r="AZ254" i="1"/>
  <c r="AZ249" i="1"/>
  <c r="AZ234" i="1"/>
  <c r="AZ228" i="1"/>
  <c r="AZ223" i="1"/>
  <c r="AZ215" i="1"/>
  <c r="AZ217" i="1" s="1"/>
  <c r="AZ204" i="1"/>
  <c r="AZ198" i="1"/>
  <c r="AZ193" i="1"/>
  <c r="AZ191" i="1"/>
  <c r="AZ190" i="1"/>
  <c r="AZ186" i="1"/>
  <c r="AZ55" i="1" s="1"/>
  <c r="AZ178" i="1"/>
  <c r="AZ176" i="1"/>
  <c r="AZ171" i="1"/>
  <c r="AZ165" i="1"/>
  <c r="AZ158" i="1"/>
  <c r="AZ259" i="1" l="1"/>
  <c r="AZ177" i="1"/>
  <c r="AZ114" i="1" s="1"/>
  <c r="AZ145" i="1"/>
  <c r="AZ181" i="1"/>
  <c r="AZ260" i="1"/>
  <c r="AZ699" i="1" s="1"/>
  <c r="AZ258" i="1"/>
  <c r="AZ218" i="1"/>
  <c r="AZ237" i="1"/>
  <c r="AZ232" i="1"/>
  <c r="AZ233" i="1" s="1"/>
  <c r="AZ243" i="1"/>
  <c r="AZ192" i="1"/>
  <c r="AZ261" i="1" l="1"/>
  <c r="AZ238" i="1"/>
  <c r="AZ146" i="1"/>
  <c r="BA146" i="1" s="1"/>
  <c r="BB146" i="1" s="1"/>
  <c r="BC146" i="1" s="1"/>
  <c r="BD146" i="1" s="1"/>
  <c r="BE146" i="1" s="1"/>
  <c r="BF146" i="1" s="1"/>
  <c r="AZ147" i="1"/>
  <c r="AY711" i="1"/>
  <c r="AX711" i="1"/>
  <c r="AX710" i="1"/>
  <c r="AY710" i="1"/>
  <c r="BA25" i="21" l="1"/>
  <c r="AZ25" i="21"/>
  <c r="AY25" i="21"/>
  <c r="AX25" i="21"/>
  <c r="AW25" i="21"/>
  <c r="AV25" i="21"/>
  <c r="AU25" i="21"/>
  <c r="AT25" i="21"/>
  <c r="BA24" i="21"/>
  <c r="AZ24" i="21"/>
  <c r="AY24" i="21"/>
  <c r="AX24" i="21"/>
  <c r="AW24" i="21"/>
  <c r="AV24" i="21"/>
  <c r="AU24" i="21"/>
  <c r="AT24" i="21"/>
  <c r="AU23" i="21"/>
  <c r="AT23" i="21"/>
  <c r="AV22" i="21"/>
  <c r="AU22" i="21"/>
  <c r="AT22" i="21"/>
  <c r="AS25" i="21"/>
  <c r="AS24" i="21"/>
  <c r="AS23" i="21"/>
  <c r="AS22" i="21"/>
  <c r="T27" i="21"/>
  <c r="S27" i="21"/>
  <c r="R27" i="21"/>
  <c r="Q27" i="21"/>
  <c r="P27" i="21"/>
  <c r="O27" i="21"/>
  <c r="N27" i="21"/>
  <c r="M27" i="21"/>
  <c r="L27" i="21"/>
  <c r="AD25" i="21"/>
  <c r="AC25" i="21"/>
  <c r="AB25" i="21"/>
  <c r="AA25" i="21"/>
  <c r="Z25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AD24" i="21"/>
  <c r="AC24" i="21"/>
  <c r="AB24" i="21"/>
  <c r="AA24" i="21"/>
  <c r="Z24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AD23" i="21"/>
  <c r="AB23" i="21"/>
  <c r="Z23" i="21"/>
  <c r="X23" i="21"/>
  <c r="V23" i="21"/>
  <c r="T23" i="21"/>
  <c r="R23" i="21"/>
  <c r="Q23" i="21"/>
  <c r="P23" i="21"/>
  <c r="O23" i="21"/>
  <c r="N23" i="21"/>
  <c r="M23" i="21"/>
  <c r="L23" i="21"/>
  <c r="T22" i="21"/>
  <c r="S22" i="21"/>
  <c r="R22" i="21"/>
  <c r="Q22" i="21"/>
  <c r="P22" i="21"/>
  <c r="O22" i="21"/>
  <c r="N22" i="21"/>
  <c r="M22" i="21"/>
  <c r="L22" i="21"/>
  <c r="K25" i="21"/>
  <c r="K24" i="21"/>
  <c r="K23" i="21"/>
  <c r="K22" i="21"/>
  <c r="J12" i="22"/>
  <c r="J11" i="22"/>
  <c r="O13" i="22"/>
  <c r="J13" i="22"/>
  <c r="O5" i="22"/>
  <c r="C57" i="22"/>
  <c r="C56" i="22"/>
  <c r="C37" i="22"/>
  <c r="C35" i="22"/>
  <c r="C5" i="22"/>
  <c r="AO78" i="21"/>
  <c r="AN78" i="21"/>
  <c r="J78" i="21"/>
  <c r="I78" i="21"/>
  <c r="H78" i="21"/>
  <c r="G78" i="21"/>
  <c r="F78" i="21"/>
  <c r="E78" i="21"/>
  <c r="D78" i="21"/>
  <c r="C78" i="21"/>
  <c r="AO77" i="21"/>
  <c r="AN77" i="21"/>
  <c r="J77" i="21"/>
  <c r="I77" i="21"/>
  <c r="H77" i="21"/>
  <c r="G77" i="21"/>
  <c r="F77" i="21"/>
  <c r="E77" i="21"/>
  <c r="D77" i="21"/>
  <c r="C77" i="21"/>
  <c r="AQ73" i="21"/>
  <c r="AP73" i="21"/>
  <c r="AO73" i="21"/>
  <c r="AN73" i="21"/>
  <c r="J73" i="21"/>
  <c r="I73" i="21"/>
  <c r="H73" i="21"/>
  <c r="G73" i="21"/>
  <c r="F73" i="21"/>
  <c r="E73" i="21"/>
  <c r="D73" i="21"/>
  <c r="C73" i="21"/>
  <c r="AQ72" i="21"/>
  <c r="AP72" i="21"/>
  <c r="AP74" i="21" s="1"/>
  <c r="AO72" i="21"/>
  <c r="AN72" i="21"/>
  <c r="J72" i="21"/>
  <c r="I72" i="21"/>
  <c r="H72" i="21"/>
  <c r="G72" i="21"/>
  <c r="F72" i="21"/>
  <c r="E72" i="21"/>
  <c r="D72" i="21"/>
  <c r="C72" i="21"/>
  <c r="AO71" i="21"/>
  <c r="AN71" i="21"/>
  <c r="J71" i="21"/>
  <c r="I71" i="21"/>
  <c r="H71" i="21"/>
  <c r="G71" i="21"/>
  <c r="F71" i="21"/>
  <c r="E71" i="21"/>
  <c r="D71" i="21"/>
  <c r="C71" i="21"/>
  <c r="AO70" i="21"/>
  <c r="AN70" i="21"/>
  <c r="J70" i="21"/>
  <c r="I70" i="21"/>
  <c r="H70" i="21"/>
  <c r="G70" i="21"/>
  <c r="F70" i="21"/>
  <c r="E70" i="21"/>
  <c r="D70" i="21"/>
  <c r="C70" i="21"/>
  <c r="AO68" i="21"/>
  <c r="AN68" i="21"/>
  <c r="AN69" i="21" s="1"/>
  <c r="J68" i="21"/>
  <c r="I68" i="21"/>
  <c r="H68" i="21"/>
  <c r="G68" i="21"/>
  <c r="F68" i="21"/>
  <c r="E68" i="21"/>
  <c r="D68" i="21"/>
  <c r="C68" i="21"/>
  <c r="AU66" i="21"/>
  <c r="AT66" i="21"/>
  <c r="AS66" i="21"/>
  <c r="AR66" i="21"/>
  <c r="AO66" i="21"/>
  <c r="AN66" i="21"/>
  <c r="AN67" i="21" s="1"/>
  <c r="T66" i="21"/>
  <c r="S66" i="21"/>
  <c r="R66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C66" i="21"/>
  <c r="AQ63" i="21"/>
  <c r="AP63" i="21"/>
  <c r="AO63" i="21"/>
  <c r="AN63" i="21"/>
  <c r="J63" i="21"/>
  <c r="I63" i="21"/>
  <c r="H63" i="21"/>
  <c r="G63" i="21"/>
  <c r="F63" i="21"/>
  <c r="E63" i="21"/>
  <c r="D63" i="21"/>
  <c r="C63" i="21"/>
  <c r="AQ62" i="21"/>
  <c r="AP62" i="21"/>
  <c r="AO62" i="21"/>
  <c r="AN62" i="21"/>
  <c r="T62" i="21"/>
  <c r="S62" i="21"/>
  <c r="R62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C62" i="21"/>
  <c r="AO61" i="21"/>
  <c r="AN61" i="21"/>
  <c r="J61" i="21"/>
  <c r="I61" i="21"/>
  <c r="H61" i="21"/>
  <c r="G61" i="21"/>
  <c r="F61" i="21"/>
  <c r="E61" i="21"/>
  <c r="D61" i="21"/>
  <c r="C61" i="21"/>
  <c r="AO59" i="21"/>
  <c r="AN59" i="21"/>
  <c r="AN60" i="21" s="1"/>
  <c r="J59" i="21"/>
  <c r="I59" i="21"/>
  <c r="H59" i="21"/>
  <c r="G59" i="21"/>
  <c r="F59" i="21"/>
  <c r="E59" i="21"/>
  <c r="D59" i="21"/>
  <c r="C59" i="21"/>
  <c r="AQ56" i="21"/>
  <c r="AP56" i="21"/>
  <c r="AO56" i="21"/>
  <c r="AN56" i="21"/>
  <c r="J56" i="21"/>
  <c r="I56" i="21"/>
  <c r="H56" i="21"/>
  <c r="G56" i="21"/>
  <c r="F56" i="21"/>
  <c r="E56" i="21"/>
  <c r="D56" i="21"/>
  <c r="C56" i="21"/>
  <c r="AQ55" i="21"/>
  <c r="AP55" i="21"/>
  <c r="AO55" i="21"/>
  <c r="AN55" i="21"/>
  <c r="J55" i="21"/>
  <c r="I55" i="21"/>
  <c r="H55" i="21"/>
  <c r="G55" i="21"/>
  <c r="F55" i="21"/>
  <c r="E55" i="21"/>
  <c r="D55" i="21"/>
  <c r="C55" i="21"/>
  <c r="AQ54" i="21"/>
  <c r="AP54" i="21"/>
  <c r="AO54" i="21"/>
  <c r="AN54" i="21"/>
  <c r="J54" i="21"/>
  <c r="I54" i="21"/>
  <c r="H54" i="21"/>
  <c r="G54" i="21"/>
  <c r="F54" i="21"/>
  <c r="E54" i="21"/>
  <c r="D54" i="21"/>
  <c r="C54" i="21"/>
  <c r="AO51" i="21"/>
  <c r="AN51" i="21"/>
  <c r="J51" i="21"/>
  <c r="I51" i="21"/>
  <c r="H51" i="21"/>
  <c r="G51" i="21"/>
  <c r="F51" i="21"/>
  <c r="E51" i="21"/>
  <c r="D51" i="21"/>
  <c r="C51" i="21"/>
  <c r="AO44" i="21"/>
  <c r="AO47" i="21" s="1"/>
  <c r="AN44" i="21"/>
  <c r="AN47" i="21" s="1"/>
  <c r="AN48" i="21" s="1"/>
  <c r="J44" i="21"/>
  <c r="J47" i="21" s="1"/>
  <c r="I44" i="21"/>
  <c r="I47" i="21" s="1"/>
  <c r="H44" i="21"/>
  <c r="G44" i="21"/>
  <c r="F44" i="21"/>
  <c r="F47" i="21" s="1"/>
  <c r="E44" i="21"/>
  <c r="E47" i="21" s="1"/>
  <c r="D44" i="21"/>
  <c r="D47" i="21" s="1"/>
  <c r="C44" i="21"/>
  <c r="C47" i="21" s="1"/>
  <c r="AQ43" i="21"/>
  <c r="AP43" i="21"/>
  <c r="AO43" i="21"/>
  <c r="AN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C43" i="21"/>
  <c r="AO40" i="21"/>
  <c r="AN40" i="21"/>
  <c r="T40" i="21"/>
  <c r="S40" i="21"/>
  <c r="R40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C40" i="21"/>
  <c r="AO38" i="21"/>
  <c r="AN38" i="21"/>
  <c r="J38" i="21"/>
  <c r="I38" i="21"/>
  <c r="H38" i="21"/>
  <c r="H41" i="21" s="1"/>
  <c r="G38" i="21"/>
  <c r="G41" i="21" s="1"/>
  <c r="F38" i="21"/>
  <c r="E38" i="21"/>
  <c r="D38" i="21"/>
  <c r="C38" i="21"/>
  <c r="AO35" i="21"/>
  <c r="AO36" i="21" s="1"/>
  <c r="AN35" i="21"/>
  <c r="J35" i="21"/>
  <c r="I35" i="21"/>
  <c r="H35" i="21"/>
  <c r="G35" i="21"/>
  <c r="F35" i="21"/>
  <c r="F36" i="21" s="1"/>
  <c r="E35" i="21"/>
  <c r="E36" i="21" s="1"/>
  <c r="D35" i="21"/>
  <c r="C35" i="21"/>
  <c r="AO32" i="21"/>
  <c r="AN32" i="21"/>
  <c r="AN33" i="21" s="1"/>
  <c r="J32" i="21"/>
  <c r="I32" i="21"/>
  <c r="H32" i="21"/>
  <c r="G32" i="21"/>
  <c r="F32" i="21"/>
  <c r="E32" i="21"/>
  <c r="D32" i="21"/>
  <c r="C32" i="21"/>
  <c r="AO28" i="21"/>
  <c r="AN28" i="21"/>
  <c r="AN30" i="21" s="1"/>
  <c r="J28" i="21"/>
  <c r="I28" i="21"/>
  <c r="H28" i="21"/>
  <c r="G28" i="21"/>
  <c r="F28" i="21"/>
  <c r="E28" i="21"/>
  <c r="D28" i="21"/>
  <c r="C28" i="21"/>
  <c r="AQ27" i="21"/>
  <c r="AP27" i="21"/>
  <c r="AO27" i="21"/>
  <c r="AN27" i="21"/>
  <c r="K27" i="21"/>
  <c r="J27" i="21"/>
  <c r="I27" i="21"/>
  <c r="H27" i="21"/>
  <c r="G27" i="21"/>
  <c r="F27" i="21"/>
  <c r="E27" i="21"/>
  <c r="D27" i="21"/>
  <c r="C27" i="21"/>
  <c r="AO26" i="21"/>
  <c r="AN26" i="21"/>
  <c r="J26" i="21"/>
  <c r="I26" i="21"/>
  <c r="H26" i="21"/>
  <c r="G26" i="21"/>
  <c r="F26" i="21"/>
  <c r="E26" i="21"/>
  <c r="D26" i="21"/>
  <c r="C26" i="21"/>
  <c r="J22" i="21"/>
  <c r="I22" i="21"/>
  <c r="H22" i="21"/>
  <c r="G22" i="21"/>
  <c r="F22" i="21"/>
  <c r="E22" i="21"/>
  <c r="D22" i="21"/>
  <c r="C22" i="21"/>
  <c r="AO19" i="21"/>
  <c r="AO20" i="21" s="1"/>
  <c r="AN19" i="21"/>
  <c r="J19" i="21"/>
  <c r="I19" i="21"/>
  <c r="H19" i="21"/>
  <c r="G19" i="21"/>
  <c r="F19" i="21"/>
  <c r="E19" i="21"/>
  <c r="D19" i="21"/>
  <c r="C19" i="21"/>
  <c r="AO17" i="21"/>
  <c r="AN17" i="21"/>
  <c r="J17" i="21"/>
  <c r="I17" i="21"/>
  <c r="H17" i="21"/>
  <c r="G17" i="21"/>
  <c r="F17" i="21"/>
  <c r="E17" i="21"/>
  <c r="D17" i="21"/>
  <c r="C17" i="21"/>
  <c r="AQ16" i="21"/>
  <c r="AP16" i="21"/>
  <c r="AO16" i="21"/>
  <c r="AN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AO15" i="21"/>
  <c r="AN15" i="21"/>
  <c r="J15" i="21"/>
  <c r="I15" i="21"/>
  <c r="H15" i="21"/>
  <c r="G15" i="21"/>
  <c r="F15" i="21"/>
  <c r="E15" i="21"/>
  <c r="D15" i="21"/>
  <c r="C15" i="21"/>
  <c r="AO14" i="21"/>
  <c r="AN14" i="21"/>
  <c r="J14" i="21"/>
  <c r="I14" i="21"/>
  <c r="H14" i="21"/>
  <c r="G14" i="21"/>
  <c r="F14" i="21"/>
  <c r="E14" i="21"/>
  <c r="D14" i="21"/>
  <c r="C14" i="21"/>
  <c r="AQ13" i="21"/>
  <c r="AP13" i="21"/>
  <c r="AO13" i="21"/>
  <c r="AN13" i="21"/>
  <c r="AL13" i="21"/>
  <c r="AK13" i="21"/>
  <c r="AJ13" i="21"/>
  <c r="AI13" i="21"/>
  <c r="AH13" i="21"/>
  <c r="AG13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AQ12" i="21"/>
  <c r="AP12" i="21"/>
  <c r="AO12" i="21"/>
  <c r="AN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AO11" i="21"/>
  <c r="AN11" i="21"/>
  <c r="T11" i="21"/>
  <c r="S11" i="21"/>
  <c r="R11" i="21"/>
  <c r="Q11" i="21"/>
  <c r="P11" i="21"/>
  <c r="O11" i="21"/>
  <c r="N11" i="21"/>
  <c r="M11" i="21"/>
  <c r="J11" i="21"/>
  <c r="I11" i="21"/>
  <c r="H11" i="21"/>
  <c r="G11" i="21"/>
  <c r="F11" i="21"/>
  <c r="E11" i="21"/>
  <c r="D11" i="21"/>
  <c r="C11" i="21"/>
  <c r="AO8" i="21"/>
  <c r="AN8" i="21"/>
  <c r="AN9" i="21" s="1"/>
  <c r="J8" i="21"/>
  <c r="I8" i="21"/>
  <c r="H8" i="21"/>
  <c r="G8" i="21"/>
  <c r="F8" i="21"/>
  <c r="E8" i="21"/>
  <c r="D8" i="21"/>
  <c r="C8" i="21"/>
  <c r="AO7" i="21"/>
  <c r="AN7" i="21"/>
  <c r="J7" i="21"/>
  <c r="I7" i="21"/>
  <c r="H7" i="21"/>
  <c r="G7" i="21"/>
  <c r="F7" i="21"/>
  <c r="E7" i="21"/>
  <c r="D7" i="21"/>
  <c r="C7" i="21"/>
  <c r="AO6" i="21"/>
  <c r="AN6" i="21"/>
  <c r="J6" i="21"/>
  <c r="I6" i="21"/>
  <c r="H6" i="21"/>
  <c r="G6" i="21"/>
  <c r="F6" i="21"/>
  <c r="E6" i="21"/>
  <c r="D6" i="21"/>
  <c r="C6" i="21"/>
  <c r="BE4" i="21"/>
  <c r="BD4" i="21"/>
  <c r="BC4" i="21"/>
  <c r="BB4" i="21"/>
  <c r="BA4" i="21"/>
  <c r="AZ4" i="21"/>
  <c r="AY4" i="21"/>
  <c r="AX4" i="21"/>
  <c r="AW4" i="21"/>
  <c r="AV4" i="21"/>
  <c r="AU4" i="21"/>
  <c r="AT4" i="21"/>
  <c r="AS4" i="21"/>
  <c r="AR4" i="21"/>
  <c r="AQ4" i="21"/>
  <c r="AP4" i="21"/>
  <c r="AO4" i="21"/>
  <c r="AN4" i="21"/>
  <c r="H47" i="21"/>
  <c r="H50" i="21" s="1"/>
  <c r="G47" i="21"/>
  <c r="AN20" i="21"/>
  <c r="C6" i="2" a="1"/>
  <c r="C5" i="2" a="1"/>
  <c r="G74" i="21" l="1"/>
  <c r="H74" i="21"/>
  <c r="H36" i="21"/>
  <c r="D41" i="21"/>
  <c r="AO9" i="21"/>
  <c r="G36" i="21"/>
  <c r="C41" i="21"/>
  <c r="I41" i="21"/>
  <c r="N67" i="21"/>
  <c r="T67" i="21"/>
  <c r="J41" i="21"/>
  <c r="AQ74" i="21"/>
  <c r="D36" i="21"/>
  <c r="J36" i="21"/>
  <c r="G50" i="21"/>
  <c r="F41" i="21"/>
  <c r="AS67" i="21"/>
  <c r="S67" i="21"/>
  <c r="J50" i="21"/>
  <c r="AO33" i="21"/>
  <c r="D50" i="21"/>
  <c r="E50" i="21"/>
  <c r="AT67" i="21"/>
  <c r="E74" i="21"/>
  <c r="F50" i="21"/>
  <c r="O67" i="21"/>
  <c r="F74" i="21"/>
  <c r="I36" i="21"/>
  <c r="E41" i="21"/>
  <c r="C5" i="2"/>
  <c r="C6" i="2"/>
  <c r="AN50" i="21"/>
  <c r="AN41" i="21"/>
  <c r="AO74" i="21"/>
  <c r="I50" i="21"/>
  <c r="C74" i="21"/>
  <c r="AN74" i="21"/>
  <c r="AO41" i="21"/>
  <c r="AO69" i="21"/>
  <c r="D74" i="21"/>
  <c r="C50" i="21"/>
  <c r="AO67" i="21"/>
  <c r="AU67" i="21"/>
  <c r="I74" i="21"/>
  <c r="J74" i="21"/>
  <c r="AO60" i="21"/>
  <c r="AO50" i="21"/>
  <c r="AO48" i="21"/>
  <c r="P67" i="21"/>
  <c r="C36" i="21"/>
  <c r="AN36" i="21"/>
  <c r="Q67" i="21"/>
  <c r="AO30" i="21"/>
  <c r="R67" i="21"/>
  <c r="DC138" i="1" l="1"/>
  <c r="DD138" i="1"/>
  <c r="AY52" i="1"/>
  <c r="AY54" i="1"/>
  <c r="AY684" i="1"/>
  <c r="AY679" i="1"/>
  <c r="AY672" i="1"/>
  <c r="AY121" i="1"/>
  <c r="AY685" i="1" s="1"/>
  <c r="AY611" i="1"/>
  <c r="AY616" i="1"/>
  <c r="AY599" i="1"/>
  <c r="AY603" i="1" s="1"/>
  <c r="AY546" i="1"/>
  <c r="AY500" i="1"/>
  <c r="AY501" i="1"/>
  <c r="AY502" i="1"/>
  <c r="AY503" i="1"/>
  <c r="AY504" i="1"/>
  <c r="AY507" i="1"/>
  <c r="AY470" i="1"/>
  <c r="AY468" i="1" s="1"/>
  <c r="AY473" i="1"/>
  <c r="AY474" i="1"/>
  <c r="AY475" i="1"/>
  <c r="AY479" i="1"/>
  <c r="AY434" i="1"/>
  <c r="AY444" i="1"/>
  <c r="AY445" i="1"/>
  <c r="AY450" i="1"/>
  <c r="AY409" i="1"/>
  <c r="AY408" i="1" s="1"/>
  <c r="T17" i="21" s="1"/>
  <c r="AY244" i="1"/>
  <c r="AX215" i="1"/>
  <c r="AY215" i="1"/>
  <c r="AY218" i="1" s="1"/>
  <c r="AY223" i="1"/>
  <c r="AY228" i="1"/>
  <c r="AY234" i="1"/>
  <c r="AY249" i="1"/>
  <c r="AY254" i="1"/>
  <c r="AY257" i="1"/>
  <c r="AY262" i="1"/>
  <c r="AY158" i="1"/>
  <c r="AY165" i="1"/>
  <c r="AY171" i="1"/>
  <c r="AY176" i="1"/>
  <c r="AY145" i="1" s="1"/>
  <c r="AY178" i="1"/>
  <c r="AY186" i="1"/>
  <c r="AY190" i="1"/>
  <c r="AY191" i="1"/>
  <c r="AY193" i="1"/>
  <c r="AY198" i="1"/>
  <c r="AY204" i="1"/>
  <c r="AZ216" i="1" l="1"/>
  <c r="AZ53" i="1"/>
  <c r="T59" i="21"/>
  <c r="T61" i="21"/>
  <c r="G52" i="22"/>
  <c r="AY55" i="1"/>
  <c r="AY612" i="1"/>
  <c r="AY116" i="1" s="1"/>
  <c r="AY243" i="1"/>
  <c r="AY259" i="1"/>
  <c r="AY260" i="1" s="1"/>
  <c r="AY443" i="1"/>
  <c r="AY217" i="1"/>
  <c r="AY713" i="1"/>
  <c r="AY181" i="1"/>
  <c r="AY232" i="1"/>
  <c r="AY233" i="1" s="1"/>
  <c r="AY237" i="1"/>
  <c r="AY192" i="1"/>
  <c r="AY177" i="1"/>
  <c r="AY114" i="1" s="1"/>
  <c r="T68" i="21" l="1"/>
  <c r="AY147" i="1"/>
  <c r="AY441" i="1"/>
  <c r="T28" i="21"/>
  <c r="AY146" i="1"/>
  <c r="AY261" i="1"/>
  <c r="AY258" i="1"/>
  <c r="AY238" i="1"/>
  <c r="AY440" i="1" l="1"/>
  <c r="T26" i="21"/>
  <c r="C8" i="2"/>
  <c r="BQ135" i="1"/>
  <c r="U27" i="21" l="1"/>
  <c r="BA442" i="1"/>
  <c r="V27" i="21" s="1"/>
  <c r="BB442" i="1"/>
  <c r="W27" i="21" s="1"/>
  <c r="BC442" i="1"/>
  <c r="X27" i="21" s="1"/>
  <c r="BD442" i="1"/>
  <c r="Y27" i="21" s="1"/>
  <c r="BE442" i="1"/>
  <c r="Z27" i="21" s="1"/>
  <c r="BF442" i="1"/>
  <c r="AA27" i="21" s="1"/>
  <c r="BG442" i="1"/>
  <c r="AB27" i="21" s="1"/>
  <c r="BH442" i="1"/>
  <c r="AC27" i="21" s="1"/>
  <c r="BI442" i="1"/>
  <c r="AD27" i="21" s="1"/>
  <c r="BJ442" i="1"/>
  <c r="AE27" i="21" s="1"/>
  <c r="BK442" i="1"/>
  <c r="AF27" i="21" s="1"/>
  <c r="BL442" i="1"/>
  <c r="AG27" i="21" s="1"/>
  <c r="BM442" i="1"/>
  <c r="AH27" i="21" s="1"/>
  <c r="BN442" i="1"/>
  <c r="AI27" i="21" s="1"/>
  <c r="BO442" i="1"/>
  <c r="AJ27" i="21" s="1"/>
  <c r="BP442" i="1"/>
  <c r="AK27" i="21" s="1"/>
  <c r="BQ442" i="1"/>
  <c r="AL27" i="21" s="1"/>
  <c r="AR92" i="1"/>
  <c r="AS92" i="1"/>
  <c r="AT92" i="1"/>
  <c r="AU92" i="1"/>
  <c r="AV92" i="1"/>
  <c r="AW92" i="1"/>
  <c r="AX92" i="1"/>
  <c r="AQ92" i="1"/>
  <c r="U16" i="21"/>
  <c r="BA407" i="1"/>
  <c r="V16" i="21" s="1"/>
  <c r="BB407" i="1"/>
  <c r="W16" i="21" s="1"/>
  <c r="BC407" i="1"/>
  <c r="X16" i="21" s="1"/>
  <c r="BD407" i="1"/>
  <c r="Y16" i="21" s="1"/>
  <c r="BE407" i="1"/>
  <c r="Z16" i="21" s="1"/>
  <c r="BF407" i="1"/>
  <c r="AA16" i="21" s="1"/>
  <c r="BG407" i="1"/>
  <c r="AB16" i="21" s="1"/>
  <c r="BH407" i="1"/>
  <c r="AC16" i="21" s="1"/>
  <c r="BI407" i="1"/>
  <c r="AD16" i="21" s="1"/>
  <c r="BJ407" i="1"/>
  <c r="AE16" i="21" s="1"/>
  <c r="BK407" i="1"/>
  <c r="AF16" i="21" s="1"/>
  <c r="BL407" i="1"/>
  <c r="AG16" i="21" s="1"/>
  <c r="BM407" i="1"/>
  <c r="AH16" i="21" s="1"/>
  <c r="BN407" i="1"/>
  <c r="AI16" i="21" s="1"/>
  <c r="BO407" i="1"/>
  <c r="AJ16" i="21" s="1"/>
  <c r="BP407" i="1"/>
  <c r="AK16" i="21" s="1"/>
  <c r="BQ407" i="1"/>
  <c r="AL16" i="21" s="1"/>
  <c r="CV323" i="1" l="1"/>
  <c r="AR70" i="21" s="1"/>
  <c r="AQ389" i="1"/>
  <c r="G6" i="2" l="1"/>
  <c r="G5" i="2"/>
  <c r="G4" i="2"/>
  <c r="O11" i="22" s="1"/>
  <c r="G2" i="2"/>
  <c r="DI104" i="1" l="1"/>
  <c r="DI105" i="1"/>
  <c r="DI149" i="1"/>
  <c r="DI151" i="1"/>
  <c r="DI192" i="1"/>
  <c r="DI193" i="1"/>
  <c r="DI198" i="1"/>
  <c r="DI199" i="1"/>
  <c r="DI362" i="1"/>
  <c r="DI363" i="1"/>
  <c r="DI367" i="1"/>
  <c r="DI368" i="1"/>
  <c r="DI372" i="1"/>
  <c r="DI373" i="1"/>
  <c r="DI382" i="1"/>
  <c r="DI420" i="1" s="1"/>
  <c r="DI383" i="1"/>
  <c r="DI384" i="1"/>
  <c r="DI385" i="1"/>
  <c r="DI386" i="1"/>
  <c r="DI388" i="1"/>
  <c r="DI398" i="1"/>
  <c r="DI399" i="1"/>
  <c r="DI400" i="1"/>
  <c r="DI401" i="1"/>
  <c r="DI407" i="1"/>
  <c r="BE16" i="21" s="1"/>
  <c r="DI410" i="1"/>
  <c r="DI411" i="1"/>
  <c r="DI412" i="1"/>
  <c r="DI415" i="1"/>
  <c r="DI436" i="1"/>
  <c r="DI437" i="1"/>
  <c r="DI438" i="1"/>
  <c r="DI439" i="1"/>
  <c r="DI442" i="1"/>
  <c r="BE27" i="21" s="1"/>
  <c r="DI446" i="1"/>
  <c r="DI447" i="1"/>
  <c r="DI448" i="1"/>
  <c r="DI450" i="1"/>
  <c r="DI476" i="1"/>
  <c r="DI477" i="1"/>
  <c r="DI479" i="1"/>
  <c r="DI492" i="1"/>
  <c r="DI524" i="1"/>
  <c r="DI527" i="1"/>
  <c r="DI528" i="1"/>
  <c r="DI557" i="1"/>
  <c r="DI558" i="1"/>
  <c r="DI559" i="1"/>
  <c r="DI560" i="1"/>
  <c r="DI602" i="1"/>
  <c r="DI615" i="1"/>
  <c r="DI683" i="1"/>
  <c r="DI686" i="1"/>
  <c r="DI687" i="1"/>
  <c r="DI688" i="1"/>
  <c r="DI689" i="1"/>
  <c r="DI690" i="1"/>
  <c r="DI691" i="1"/>
  <c r="DI692" i="1"/>
  <c r="DI693" i="1"/>
  <c r="DI705" i="1"/>
  <c r="DI736" i="1"/>
  <c r="BE13" i="21" l="1"/>
  <c r="DI423" i="1"/>
  <c r="DI458" i="1" s="1"/>
  <c r="DI487" i="1" s="1"/>
  <c r="DI422" i="1"/>
  <c r="DI457" i="1" s="1"/>
  <c r="DI424" i="1"/>
  <c r="DI459" i="1" s="1"/>
  <c r="DI488" i="1" s="1"/>
  <c r="DI427" i="1"/>
  <c r="DI462" i="1" s="1"/>
  <c r="DI491" i="1" s="1"/>
  <c r="AX672" i="1"/>
  <c r="AX663" i="1"/>
  <c r="AX479" i="1"/>
  <c r="AX451" i="1"/>
  <c r="AX449" i="1"/>
  <c r="AX244" i="1"/>
  <c r="AX52" i="1"/>
  <c r="AX54" i="1"/>
  <c r="AX101" i="1"/>
  <c r="AX102" i="1" s="1"/>
  <c r="AX115" i="1"/>
  <c r="AX122" i="1"/>
  <c r="AX141" i="1"/>
  <c r="AX158" i="1"/>
  <c r="AX165" i="1"/>
  <c r="AX171" i="1"/>
  <c r="AX176" i="1"/>
  <c r="AX178" i="1"/>
  <c r="AX186" i="1"/>
  <c r="AX190" i="1"/>
  <c r="AX191" i="1"/>
  <c r="AX193" i="1"/>
  <c r="AX198" i="1"/>
  <c r="AX61" i="1" s="1"/>
  <c r="AX204" i="1"/>
  <c r="AX212" i="1"/>
  <c r="AX218" i="1"/>
  <c r="AX223" i="1"/>
  <c r="AX228" i="1"/>
  <c r="AX234" i="1"/>
  <c r="AX237" i="1" s="1"/>
  <c r="AX249" i="1"/>
  <c r="AX254" i="1"/>
  <c r="AX257" i="1"/>
  <c r="AX262" i="1"/>
  <c r="AX381" i="1"/>
  <c r="AX388" i="1"/>
  <c r="AX409" i="1"/>
  <c r="AX421" i="1" s="1"/>
  <c r="AX415" i="1"/>
  <c r="AX420" i="1"/>
  <c r="AX422" i="1"/>
  <c r="AX457" i="1" s="1"/>
  <c r="AX423" i="1"/>
  <c r="AX458" i="1" s="1"/>
  <c r="AX487" i="1" s="1"/>
  <c r="AX424" i="1"/>
  <c r="AX459" i="1" s="1"/>
  <c r="AX488" i="1" s="1"/>
  <c r="AX425" i="1"/>
  <c r="AX460" i="1" s="1"/>
  <c r="AX489" i="1" s="1"/>
  <c r="AX434" i="1"/>
  <c r="AX444" i="1"/>
  <c r="AX445" i="1"/>
  <c r="AX473" i="1"/>
  <c r="AX474" i="1"/>
  <c r="AX475" i="1"/>
  <c r="AX500" i="1"/>
  <c r="AX495" i="1" s="1"/>
  <c r="AX501" i="1"/>
  <c r="AX502" i="1"/>
  <c r="AX503" i="1"/>
  <c r="AX504" i="1"/>
  <c r="AX507" i="1"/>
  <c r="AX516" i="1"/>
  <c r="AX517" i="1"/>
  <c r="AX518" i="1"/>
  <c r="AX519" i="1"/>
  <c r="AX520" i="1"/>
  <c r="AX522" i="1"/>
  <c r="AX536" i="1" s="1"/>
  <c r="AX623" i="1" s="1"/>
  <c r="AX561" i="1"/>
  <c r="AX588" i="1"/>
  <c r="AX589" i="1"/>
  <c r="AX599" i="1"/>
  <c r="AX603" i="1" s="1"/>
  <c r="AX612" i="1"/>
  <c r="AX116" i="1" s="1"/>
  <c r="AX616" i="1"/>
  <c r="AX615" i="1" s="1"/>
  <c r="AX621" i="1"/>
  <c r="AX625" i="1"/>
  <c r="AX626" i="1"/>
  <c r="AX627" i="1"/>
  <c r="AX633" i="1"/>
  <c r="AX634" i="1"/>
  <c r="AX679" i="1"/>
  <c r="AX684" i="1"/>
  <c r="AX685" i="1"/>
  <c r="AX696" i="1"/>
  <c r="AX698" i="1"/>
  <c r="AX702" i="1"/>
  <c r="AX703" i="1"/>
  <c r="AX708" i="1"/>
  <c r="AX735" i="1"/>
  <c r="AX737" i="1"/>
  <c r="AX763" i="1" s="1"/>
  <c r="AX814" i="1"/>
  <c r="AX815" i="1"/>
  <c r="AX818" i="1"/>
  <c r="AX824" i="1"/>
  <c r="AX839" i="1"/>
  <c r="S68" i="21" l="1"/>
  <c r="T69" i="21" s="1"/>
  <c r="S61" i="21"/>
  <c r="S59" i="21"/>
  <c r="T60" i="21" s="1"/>
  <c r="S8" i="21"/>
  <c r="AX762" i="1"/>
  <c r="S56" i="21"/>
  <c r="AX55" i="1"/>
  <c r="AY53" i="1"/>
  <c r="AY216" i="1"/>
  <c r="AX455" i="1"/>
  <c r="AX484" i="1" s="1"/>
  <c r="AX130" i="1"/>
  <c r="AX327" i="1"/>
  <c r="AX181" i="1"/>
  <c r="AX486" i="1"/>
  <c r="AX823" i="1"/>
  <c r="AX408" i="1"/>
  <c r="AX472" i="1"/>
  <c r="AX817" i="1"/>
  <c r="AX667" i="1"/>
  <c r="AX456" i="1"/>
  <c r="AX485" i="1" s="1"/>
  <c r="AX795" i="1"/>
  <c r="AX192" i="1"/>
  <c r="AX58" i="1" s="1"/>
  <c r="AX177" i="1"/>
  <c r="AX114" i="1" s="1"/>
  <c r="AX145" i="1"/>
  <c r="BA145" i="1" s="1"/>
  <c r="BB145" i="1" s="1"/>
  <c r="BC145" i="1" s="1"/>
  <c r="AX635" i="1"/>
  <c r="AX238" i="1"/>
  <c r="AX232" i="1"/>
  <c r="AX233" i="1" s="1"/>
  <c r="AX427" i="1"/>
  <c r="AX450" i="1"/>
  <c r="AX443" i="1"/>
  <c r="AZ98" i="1" s="1"/>
  <c r="AX243" i="1"/>
  <c r="AX259" i="1"/>
  <c r="AX260" i="1" s="1"/>
  <c r="AX217" i="1"/>
  <c r="AW710" i="1"/>
  <c r="AW506" i="1"/>
  <c r="AX147" i="1" l="1"/>
  <c r="S28" i="21"/>
  <c r="AX465" i="1"/>
  <c r="AX712" i="1" s="1"/>
  <c r="S35" i="21"/>
  <c r="S36" i="21" s="1"/>
  <c r="AX419" i="1"/>
  <c r="AX454" i="1" s="1"/>
  <c r="S17" i="21"/>
  <c r="AX816" i="1"/>
  <c r="AX813" i="1"/>
  <c r="AX154" i="1"/>
  <c r="AX822" i="1"/>
  <c r="AX812" i="1"/>
  <c r="AX146" i="1"/>
  <c r="AX393" i="1"/>
  <c r="AX515" i="1"/>
  <c r="AX406" i="1"/>
  <c r="AX258" i="1"/>
  <c r="AX261" i="1"/>
  <c r="AX441" i="1"/>
  <c r="AX430" i="1"/>
  <c r="AX99" i="1"/>
  <c r="AX462" i="1"/>
  <c r="AX491" i="1" s="1"/>
  <c r="CY244" i="1"/>
  <c r="CY243" i="1" s="1"/>
  <c r="CY262" i="1"/>
  <c r="CY257" i="1"/>
  <c r="CY254" i="1"/>
  <c r="CY249" i="1"/>
  <c r="CY234" i="1"/>
  <c r="CY237" i="1" s="1"/>
  <c r="CY228" i="1"/>
  <c r="CY223" i="1"/>
  <c r="CY151" i="1"/>
  <c r="CY149" i="1"/>
  <c r="AW141" i="1"/>
  <c r="AW115" i="1"/>
  <c r="AW54" i="1"/>
  <c r="AW52" i="1"/>
  <c r="AW672" i="1"/>
  <c r="AW663" i="1"/>
  <c r="AW685" i="1"/>
  <c r="AW684" i="1"/>
  <c r="AW679" i="1"/>
  <c r="AW824" i="1"/>
  <c r="AW818" i="1"/>
  <c r="AW815" i="1"/>
  <c r="AW814" i="1"/>
  <c r="AW737" i="1"/>
  <c r="AW763" i="1" s="1"/>
  <c r="AW735" i="1"/>
  <c r="AW708" i="1"/>
  <c r="AW703" i="1"/>
  <c r="AW702" i="1"/>
  <c r="AW698" i="1"/>
  <c r="AW696" i="1"/>
  <c r="AW634" i="1"/>
  <c r="AW633" i="1"/>
  <c r="AW627" i="1"/>
  <c r="AW626" i="1"/>
  <c r="AW625" i="1"/>
  <c r="AW621" i="1"/>
  <c r="AW616" i="1"/>
  <c r="AW615" i="1" s="1"/>
  <c r="AW612" i="1"/>
  <c r="AW116" i="1" s="1"/>
  <c r="AW599" i="1"/>
  <c r="AW603" i="1" s="1"/>
  <c r="AW589" i="1"/>
  <c r="AW588" i="1"/>
  <c r="AW561" i="1"/>
  <c r="AW546" i="1"/>
  <c r="C33" i="22" l="1"/>
  <c r="AU68" i="21"/>
  <c r="AX793" i="1"/>
  <c r="S71" i="21" s="1"/>
  <c r="AX405" i="1"/>
  <c r="S14" i="21" s="1"/>
  <c r="S15" i="21"/>
  <c r="AX440" i="1"/>
  <c r="S26" i="21"/>
  <c r="AX620" i="1"/>
  <c r="S44" i="21"/>
  <c r="S47" i="21" s="1"/>
  <c r="AX426" i="1"/>
  <c r="AX792" i="1"/>
  <c r="AW762" i="1"/>
  <c r="R56" i="21"/>
  <c r="T30" i="21"/>
  <c r="AX525" i="1"/>
  <c r="AX136" i="1"/>
  <c r="AX838" i="1" s="1"/>
  <c r="AX521" i="1"/>
  <c r="AX513" i="1"/>
  <c r="AX699" i="1"/>
  <c r="AX461" i="1"/>
  <c r="AX483" i="1"/>
  <c r="AW823" i="1"/>
  <c r="AW817" i="1"/>
  <c r="CY259" i="1"/>
  <c r="CY260" i="1" s="1"/>
  <c r="CY238" i="1"/>
  <c r="AW635" i="1"/>
  <c r="CY543" i="1"/>
  <c r="C55" i="22" s="1"/>
  <c r="AW449" i="1"/>
  <c r="AW451" i="1"/>
  <c r="AW522" i="1"/>
  <c r="AW520" i="1"/>
  <c r="AW519" i="1"/>
  <c r="AW518" i="1"/>
  <c r="AW517" i="1"/>
  <c r="AW516" i="1"/>
  <c r="AW507" i="1"/>
  <c r="AW504" i="1"/>
  <c r="AW503" i="1"/>
  <c r="AW502" i="1"/>
  <c r="AW501" i="1"/>
  <c r="AW500" i="1"/>
  <c r="AW495" i="1" s="1"/>
  <c r="AW470" i="1"/>
  <c r="AW479" i="1"/>
  <c r="AW475" i="1"/>
  <c r="AW474" i="1"/>
  <c r="AW473" i="1"/>
  <c r="AW445" i="1"/>
  <c r="AW444" i="1"/>
  <c r="AW425" i="1"/>
  <c r="AW460" i="1" s="1"/>
  <c r="AW489" i="1" s="1"/>
  <c r="AW424" i="1"/>
  <c r="AW459" i="1" s="1"/>
  <c r="AW488" i="1" s="1"/>
  <c r="AW423" i="1"/>
  <c r="AW458" i="1" s="1"/>
  <c r="AW487" i="1" s="1"/>
  <c r="AW422" i="1"/>
  <c r="AW457" i="1" s="1"/>
  <c r="AW420" i="1"/>
  <c r="AW415" i="1"/>
  <c r="AW409" i="1"/>
  <c r="AW421" i="1" s="1"/>
  <c r="AW388" i="1"/>
  <c r="AW381" i="1"/>
  <c r="AW244" i="1"/>
  <c r="AW262" i="1"/>
  <c r="AW257" i="1"/>
  <c r="AW254" i="1"/>
  <c r="AW249" i="1"/>
  <c r="AW234" i="1"/>
  <c r="AW237" i="1" s="1"/>
  <c r="AW228" i="1"/>
  <c r="AW223" i="1"/>
  <c r="AW215" i="1"/>
  <c r="AW232" i="1" s="1"/>
  <c r="AW204" i="1"/>
  <c r="AW198" i="1"/>
  <c r="AW61" i="1" s="1"/>
  <c r="AW193" i="1"/>
  <c r="AW191" i="1"/>
  <c r="AW190" i="1"/>
  <c r="AW186" i="1"/>
  <c r="AW178" i="1"/>
  <c r="AW176" i="1"/>
  <c r="AW145" i="1" s="1"/>
  <c r="AW171" i="1"/>
  <c r="AW165" i="1"/>
  <c r="AW158" i="1"/>
  <c r="AV141" i="1"/>
  <c r="AW122" i="1"/>
  <c r="AW104" i="1"/>
  <c r="AW103" i="1"/>
  <c r="AW434" i="1" s="1"/>
  <c r="AW102" i="1"/>
  <c r="AW101" i="1"/>
  <c r="R68" i="21" l="1"/>
  <c r="R59" i="21"/>
  <c r="R61" i="21"/>
  <c r="S69" i="21"/>
  <c r="R8" i="21"/>
  <c r="S51" i="21"/>
  <c r="S50" i="21" s="1"/>
  <c r="AX463" i="1"/>
  <c r="S32" i="21"/>
  <c r="S60" i="21"/>
  <c r="AW55" i="1"/>
  <c r="AX428" i="1"/>
  <c r="S19" i="21"/>
  <c r="T29" i="21"/>
  <c r="AW243" i="1"/>
  <c r="AX545" i="1"/>
  <c r="AY545" i="1" s="1"/>
  <c r="AX544" i="1"/>
  <c r="AY544" i="1" s="1"/>
  <c r="AW130" i="1"/>
  <c r="AW238" i="1"/>
  <c r="AW456" i="1"/>
  <c r="AW485" i="1" s="1"/>
  <c r="AX216" i="1"/>
  <c r="AX53" i="1"/>
  <c r="AX468" i="1"/>
  <c r="AX713" i="1"/>
  <c r="AX471" i="1"/>
  <c r="AX490" i="1"/>
  <c r="AX129" i="1"/>
  <c r="CY258" i="1"/>
  <c r="AW472" i="1"/>
  <c r="AW455" i="1"/>
  <c r="AW484" i="1" s="1"/>
  <c r="AW443" i="1"/>
  <c r="AW486" i="1"/>
  <c r="AW536" i="1"/>
  <c r="AW623" i="1" s="1"/>
  <c r="CY261" i="1"/>
  <c r="AW468" i="1"/>
  <c r="AW713" i="1"/>
  <c r="AW427" i="1"/>
  <c r="AW181" i="1"/>
  <c r="AW667" i="1"/>
  <c r="AW795" i="1"/>
  <c r="AW408" i="1"/>
  <c r="R17" i="21" s="1"/>
  <c r="AW450" i="1"/>
  <c r="AW233" i="1"/>
  <c r="AW105" i="1"/>
  <c r="AW259" i="1"/>
  <c r="AW218" i="1"/>
  <c r="AW217" i="1"/>
  <c r="AW192" i="1"/>
  <c r="AW58" i="1" s="1"/>
  <c r="AW177" i="1"/>
  <c r="AW114" i="1" s="1"/>
  <c r="BQ622" i="1"/>
  <c r="BP622" i="1"/>
  <c r="BQ519" i="1"/>
  <c r="BP519" i="1"/>
  <c r="BQ518" i="1"/>
  <c r="BP518" i="1"/>
  <c r="BQ516" i="1"/>
  <c r="BP516" i="1"/>
  <c r="BQ504" i="1"/>
  <c r="BP504" i="1"/>
  <c r="BQ503" i="1"/>
  <c r="BP503" i="1"/>
  <c r="BQ502" i="1"/>
  <c r="BP502" i="1"/>
  <c r="BQ501" i="1"/>
  <c r="BP501" i="1"/>
  <c r="BQ475" i="1"/>
  <c r="BP475" i="1"/>
  <c r="BQ474" i="1"/>
  <c r="BP474" i="1"/>
  <c r="BQ473" i="1"/>
  <c r="BP473" i="1"/>
  <c r="BQ445" i="1"/>
  <c r="BP445" i="1"/>
  <c r="BQ444" i="1"/>
  <c r="BP444" i="1"/>
  <c r="BQ427" i="1"/>
  <c r="BQ462" i="1" s="1"/>
  <c r="BQ491" i="1" s="1"/>
  <c r="BP427" i="1"/>
  <c r="BP462" i="1" s="1"/>
  <c r="BP491" i="1" s="1"/>
  <c r="BQ424" i="1"/>
  <c r="BQ459" i="1" s="1"/>
  <c r="BQ488" i="1" s="1"/>
  <c r="BP424" i="1"/>
  <c r="BP459" i="1" s="1"/>
  <c r="BP488" i="1" s="1"/>
  <c r="BQ423" i="1"/>
  <c r="BQ458" i="1" s="1"/>
  <c r="BQ487" i="1" s="1"/>
  <c r="BP423" i="1"/>
  <c r="BP458" i="1" s="1"/>
  <c r="BP487" i="1" s="1"/>
  <c r="BQ422" i="1"/>
  <c r="BQ457" i="1" s="1"/>
  <c r="BP422" i="1"/>
  <c r="BP457" i="1" s="1"/>
  <c r="BQ420" i="1"/>
  <c r="BP420" i="1"/>
  <c r="BQ409" i="1"/>
  <c r="BQ421" i="1" s="1"/>
  <c r="BP409" i="1"/>
  <c r="AW471" i="1" l="1"/>
  <c r="R35" i="21"/>
  <c r="R36" i="21" s="1"/>
  <c r="S9" i="21"/>
  <c r="AX493" i="1"/>
  <c r="AX510" i="1" s="1"/>
  <c r="S38" i="21"/>
  <c r="S41" i="21" s="1"/>
  <c r="AW441" i="1"/>
  <c r="R28" i="21"/>
  <c r="DI444" i="1"/>
  <c r="DI455" i="1" s="1"/>
  <c r="DI474" i="1"/>
  <c r="DI502" i="1"/>
  <c r="DI445" i="1"/>
  <c r="DI475" i="1"/>
  <c r="DI486" i="1" s="1"/>
  <c r="DI516" i="1"/>
  <c r="DI622" i="1"/>
  <c r="DI473" i="1"/>
  <c r="DI501" i="1"/>
  <c r="DI504" i="1"/>
  <c r="DI519" i="1"/>
  <c r="DI503" i="1"/>
  <c r="DI518" i="1"/>
  <c r="AW99" i="1"/>
  <c r="BP421" i="1"/>
  <c r="BP456" i="1" s="1"/>
  <c r="BP485" i="1" s="1"/>
  <c r="DI409" i="1"/>
  <c r="DI421" i="1" s="1"/>
  <c r="DI456" i="1" s="1"/>
  <c r="AW146" i="1"/>
  <c r="AW465" i="1"/>
  <c r="AW712" i="1" s="1"/>
  <c r="AW462" i="1"/>
  <c r="AW491" i="1" s="1"/>
  <c r="AW260" i="1"/>
  <c r="BQ456" i="1"/>
  <c r="BQ485" i="1" s="1"/>
  <c r="AW154" i="1"/>
  <c r="AW816" i="1"/>
  <c r="AW813" i="1"/>
  <c r="AW812" i="1"/>
  <c r="AW822" i="1"/>
  <c r="AW147" i="1"/>
  <c r="AW419" i="1"/>
  <c r="AW406" i="1"/>
  <c r="BQ486" i="1"/>
  <c r="AW393" i="1"/>
  <c r="AW515" i="1"/>
  <c r="AW258" i="1"/>
  <c r="BQ455" i="1"/>
  <c r="BQ484" i="1" s="1"/>
  <c r="BP455" i="1"/>
  <c r="BP484" i="1" s="1"/>
  <c r="BP486" i="1"/>
  <c r="AW405" i="1" l="1"/>
  <c r="R14" i="21" s="1"/>
  <c r="R15" i="21"/>
  <c r="S30" i="21"/>
  <c r="AW440" i="1"/>
  <c r="R26" i="21"/>
  <c r="AW521" i="1"/>
  <c r="R44" i="21"/>
  <c r="R47" i="21" s="1"/>
  <c r="DI484" i="1"/>
  <c r="DI485" i="1"/>
  <c r="AW261" i="1"/>
  <c r="AW699" i="1"/>
  <c r="AW525" i="1"/>
  <c r="AW792" i="1"/>
  <c r="AW513" i="1"/>
  <c r="AW620" i="1"/>
  <c r="AW136" i="1"/>
  <c r="AW838" i="1" s="1"/>
  <c r="AW426" i="1"/>
  <c r="AW454" i="1"/>
  <c r="BA114" i="1"/>
  <c r="BB114" i="1" s="1"/>
  <c r="S29" i="21" l="1"/>
  <c r="R51" i="21"/>
  <c r="R50" i="21" s="1"/>
  <c r="S48" i="21"/>
  <c r="AW428" i="1"/>
  <c r="R19" i="21"/>
  <c r="AW483" i="1"/>
  <c r="AW461" i="1"/>
  <c r="S20" i="21" l="1"/>
  <c r="AW463" i="1"/>
  <c r="R32" i="21"/>
  <c r="S33" i="21" s="1"/>
  <c r="AW490" i="1"/>
  <c r="AW129" i="1"/>
  <c r="AW493" i="1" l="1"/>
  <c r="AW510" i="1" s="1"/>
  <c r="R38" i="21"/>
  <c r="R41" i="21" s="1"/>
  <c r="AU470" i="1"/>
  <c r="AU102" i="1" l="1"/>
  <c r="AV672" i="1" l="1"/>
  <c r="AT672" i="1"/>
  <c r="AU672" i="1"/>
  <c r="AV663" i="1"/>
  <c r="AV600" i="1"/>
  <c r="AV389" i="1"/>
  <c r="AV388" i="1" s="1"/>
  <c r="AV244" i="1"/>
  <c r="AV158" i="1"/>
  <c r="AV165" i="1"/>
  <c r="AV171" i="1"/>
  <c r="AV176" i="1"/>
  <c r="AV145" i="1" s="1"/>
  <c r="AV178" i="1"/>
  <c r="AV186" i="1"/>
  <c r="AV190" i="1"/>
  <c r="AV191" i="1"/>
  <c r="AV193" i="1"/>
  <c r="AV198" i="1"/>
  <c r="AV204" i="1"/>
  <c r="AV212" i="1"/>
  <c r="AV215" i="1"/>
  <c r="AV217" i="1" s="1"/>
  <c r="AV223" i="1"/>
  <c r="AV228" i="1"/>
  <c r="AV234" i="1"/>
  <c r="AV237" i="1" s="1"/>
  <c r="AV249" i="1"/>
  <c r="AV254" i="1"/>
  <c r="AV257" i="1"/>
  <c r="AV262" i="1"/>
  <c r="AV381" i="1"/>
  <c r="AV409" i="1"/>
  <c r="AV408" i="1" s="1"/>
  <c r="Q17" i="21" s="1"/>
  <c r="AV415" i="1"/>
  <c r="AV420" i="1"/>
  <c r="AV422" i="1"/>
  <c r="AV457" i="1" s="1"/>
  <c r="AV423" i="1"/>
  <c r="AV458" i="1" s="1"/>
  <c r="AV487" i="1" s="1"/>
  <c r="AV424" i="1"/>
  <c r="AV459" i="1" s="1"/>
  <c r="AV488" i="1" s="1"/>
  <c r="AV425" i="1"/>
  <c r="AV460" i="1" s="1"/>
  <c r="AV489" i="1" s="1"/>
  <c r="AV444" i="1"/>
  <c r="AV445" i="1"/>
  <c r="AV451" i="1"/>
  <c r="AV450" i="1" s="1"/>
  <c r="AV468" i="1"/>
  <c r="AV473" i="1"/>
  <c r="AV474" i="1"/>
  <c r="AV475" i="1"/>
  <c r="AV479" i="1"/>
  <c r="AV500" i="1"/>
  <c r="AV495" i="1" s="1"/>
  <c r="AV501" i="1"/>
  <c r="AV502" i="1"/>
  <c r="AV503" i="1"/>
  <c r="AV504" i="1"/>
  <c r="AV509" i="1"/>
  <c r="AV516" i="1"/>
  <c r="AV517" i="1"/>
  <c r="AV518" i="1"/>
  <c r="AV519" i="1"/>
  <c r="AV520" i="1"/>
  <c r="AV522" i="1"/>
  <c r="AV561" i="1"/>
  <c r="AV588" i="1"/>
  <c r="AV589" i="1"/>
  <c r="AV599" i="1"/>
  <c r="AV612" i="1"/>
  <c r="AV817" i="1" s="1"/>
  <c r="AV616" i="1"/>
  <c r="AV615" i="1" s="1"/>
  <c r="AV621" i="1"/>
  <c r="AV625" i="1"/>
  <c r="AV626" i="1"/>
  <c r="AV627" i="1"/>
  <c r="AV633" i="1"/>
  <c r="AV634" i="1"/>
  <c r="AV679" i="1"/>
  <c r="AV684" i="1"/>
  <c r="AV685" i="1"/>
  <c r="AV696" i="1"/>
  <c r="AV698" i="1"/>
  <c r="AV700" i="1"/>
  <c r="AV702" i="1"/>
  <c r="AV703" i="1"/>
  <c r="AV708" i="1"/>
  <c r="AV713" i="1"/>
  <c r="AV735" i="1"/>
  <c r="AV737" i="1"/>
  <c r="AV763" i="1" s="1"/>
  <c r="AV814" i="1"/>
  <c r="AV815" i="1"/>
  <c r="AV818" i="1"/>
  <c r="AV824" i="1"/>
  <c r="AV115" i="1"/>
  <c r="AV122" i="1"/>
  <c r="AV101" i="1"/>
  <c r="Q59" i="21" l="1"/>
  <c r="R60" i="21" s="1"/>
  <c r="Q61" i="21"/>
  <c r="Q68" i="21"/>
  <c r="R69" i="21" s="1"/>
  <c r="Q8" i="21"/>
  <c r="R9" i="21" s="1"/>
  <c r="AV762" i="1"/>
  <c r="Q56" i="21"/>
  <c r="AV181" i="1"/>
  <c r="AW216" i="1"/>
  <c r="AW53" i="1"/>
  <c r="AV507" i="1"/>
  <c r="AV137" i="1"/>
  <c r="AV839" i="1" s="1"/>
  <c r="AV667" i="1"/>
  <c r="AV603" i="1"/>
  <c r="AV455" i="1"/>
  <c r="AV484" i="1" s="1"/>
  <c r="AV443" i="1"/>
  <c r="AV472" i="1"/>
  <c r="AV823" i="1"/>
  <c r="AV427" i="1"/>
  <c r="AV462" i="1" s="1"/>
  <c r="AV491" i="1" s="1"/>
  <c r="AV795" i="1"/>
  <c r="AV406" i="1"/>
  <c r="AV393" i="1"/>
  <c r="AV486" i="1"/>
  <c r="AV421" i="1"/>
  <c r="AV456" i="1" s="1"/>
  <c r="AV485" i="1" s="1"/>
  <c r="AV635" i="1"/>
  <c r="AV259" i="1"/>
  <c r="AV192" i="1"/>
  <c r="AV177" i="1"/>
  <c r="AV238" i="1"/>
  <c r="AV243" i="1"/>
  <c r="AV419" i="1"/>
  <c r="AV327" i="1"/>
  <c r="AV536" i="1"/>
  <c r="AV623" i="1" s="1"/>
  <c r="AV218" i="1"/>
  <c r="AV232" i="1"/>
  <c r="AV233" i="1" s="1"/>
  <c r="AV471" i="1" l="1"/>
  <c r="Q35" i="21"/>
  <c r="Q36" i="21" s="1"/>
  <c r="Q28" i="21"/>
  <c r="AV405" i="1"/>
  <c r="Q14" i="21" s="1"/>
  <c r="Q15" i="21"/>
  <c r="AV816" i="1"/>
  <c r="AV146" i="1"/>
  <c r="AV822" i="1"/>
  <c r="AV812" i="1"/>
  <c r="AV154" i="1"/>
  <c r="AV147" i="1"/>
  <c r="AV813" i="1"/>
  <c r="AV430" i="1"/>
  <c r="AV793" i="1" s="1"/>
  <c r="Q71" i="21" s="1"/>
  <c r="AX98" i="1"/>
  <c r="AV441" i="1"/>
  <c r="Q26" i="21" s="1"/>
  <c r="AV515" i="1"/>
  <c r="AV465" i="1"/>
  <c r="AV712" i="1" s="1"/>
  <c r="AV260" i="1"/>
  <c r="AV258" i="1"/>
  <c r="AV792" i="1"/>
  <c r="AV426" i="1"/>
  <c r="AV454" i="1"/>
  <c r="DB138" i="1"/>
  <c r="DA138" i="1"/>
  <c r="E52" i="22" s="1"/>
  <c r="CZ138" i="1"/>
  <c r="D52" i="22" s="1"/>
  <c r="R30" i="21" l="1"/>
  <c r="F52" i="22"/>
  <c r="AV525" i="1"/>
  <c r="Q44" i="21"/>
  <c r="Q47" i="21" s="1"/>
  <c r="AV428" i="1"/>
  <c r="Q19" i="21"/>
  <c r="R29" i="21"/>
  <c r="AV261" i="1"/>
  <c r="AV620" i="1"/>
  <c r="AV521" i="1"/>
  <c r="AV513" i="1"/>
  <c r="AV699" i="1"/>
  <c r="AV461" i="1"/>
  <c r="AV483" i="1"/>
  <c r="AV490" i="1" s="1"/>
  <c r="AS545" i="1"/>
  <c r="R48" i="21" l="1"/>
  <c r="Q51" i="21"/>
  <c r="Q50" i="21" s="1"/>
  <c r="R20" i="21"/>
  <c r="AV493" i="1"/>
  <c r="AV510" i="1" s="1"/>
  <c r="Q38" i="21"/>
  <c r="Q41" i="21" s="1"/>
  <c r="AV463" i="1"/>
  <c r="Q32" i="21"/>
  <c r="AV545" i="1"/>
  <c r="AW545" i="1" s="1"/>
  <c r="AW729" i="1" s="1"/>
  <c r="AW758" i="1" s="1"/>
  <c r="AV734" i="1"/>
  <c r="AV761" i="1" s="1"/>
  <c r="AV741" i="1"/>
  <c r="AV767" i="1" s="1"/>
  <c r="AV740" i="1"/>
  <c r="AV766" i="1" s="1"/>
  <c r="AV738" i="1"/>
  <c r="AV730" i="1"/>
  <c r="AV728" i="1"/>
  <c r="CX244" i="1"/>
  <c r="AU710" i="1"/>
  <c r="AV757" i="1" l="1"/>
  <c r="AV759" i="1"/>
  <c r="Q54" i="21"/>
  <c r="R33" i="21"/>
  <c r="AV729" i="1"/>
  <c r="AV758" i="1" s="1"/>
  <c r="AV732" i="1"/>
  <c r="AW732" i="1"/>
  <c r="AW734" i="1"/>
  <c r="AW761" i="1" s="1"/>
  <c r="AW738" i="1"/>
  <c r="AW741" i="1"/>
  <c r="AW767" i="1" s="1"/>
  <c r="AW740" i="1"/>
  <c r="AW766" i="1" s="1"/>
  <c r="AW728" i="1"/>
  <c r="AW730" i="1"/>
  <c r="AV764" i="1"/>
  <c r="AV840" i="1"/>
  <c r="AU663" i="1"/>
  <c r="AU600" i="1"/>
  <c r="AU389" i="1"/>
  <c r="AU388" i="1" s="1"/>
  <c r="AU244" i="1"/>
  <c r="AU103" i="1"/>
  <c r="CX223" i="1"/>
  <c r="CX228" i="1"/>
  <c r="CX234" i="1"/>
  <c r="CX237" i="1" s="1"/>
  <c r="CX243" i="1"/>
  <c r="CX249" i="1"/>
  <c r="CX254" i="1"/>
  <c r="CX257" i="1"/>
  <c r="CX262" i="1"/>
  <c r="AU158" i="1"/>
  <c r="AV216" i="1" s="1"/>
  <c r="AU165" i="1"/>
  <c r="AU171" i="1"/>
  <c r="AU176" i="1"/>
  <c r="AU145" i="1" s="1"/>
  <c r="AU178" i="1"/>
  <c r="AU186" i="1"/>
  <c r="AU190" i="1"/>
  <c r="AU191" i="1"/>
  <c r="AU193" i="1"/>
  <c r="AU198" i="1"/>
  <c r="AU204" i="1"/>
  <c r="AU212" i="1"/>
  <c r="AU215" i="1"/>
  <c r="AU223" i="1"/>
  <c r="AU228" i="1"/>
  <c r="AU234" i="1"/>
  <c r="AU237" i="1" s="1"/>
  <c r="AU249" i="1"/>
  <c r="AU254" i="1"/>
  <c r="AU257" i="1"/>
  <c r="AU262" i="1"/>
  <c r="AU381" i="1"/>
  <c r="AU409" i="1"/>
  <c r="AU421" i="1" s="1"/>
  <c r="AU415" i="1"/>
  <c r="AU420" i="1"/>
  <c r="AU422" i="1"/>
  <c r="AU457" i="1" s="1"/>
  <c r="AU423" i="1"/>
  <c r="AU458" i="1" s="1"/>
  <c r="AU487" i="1" s="1"/>
  <c r="AU424" i="1"/>
  <c r="AU459" i="1" s="1"/>
  <c r="AU488" i="1" s="1"/>
  <c r="AU425" i="1"/>
  <c r="AU460" i="1" s="1"/>
  <c r="AU489" i="1" s="1"/>
  <c r="AU444" i="1"/>
  <c r="AU445" i="1"/>
  <c r="AU451" i="1"/>
  <c r="AU450" i="1" s="1"/>
  <c r="AU468" i="1"/>
  <c r="AU473" i="1"/>
  <c r="AU474" i="1"/>
  <c r="AU475" i="1"/>
  <c r="AU479" i="1"/>
  <c r="AU500" i="1"/>
  <c r="AU495" i="1" s="1"/>
  <c r="AU501" i="1"/>
  <c r="AU502" i="1"/>
  <c r="AU503" i="1"/>
  <c r="AU504" i="1"/>
  <c r="AU509" i="1"/>
  <c r="AU507" i="1" s="1"/>
  <c r="AU516" i="1"/>
  <c r="AU517" i="1"/>
  <c r="AU518" i="1"/>
  <c r="AU519" i="1"/>
  <c r="AU520" i="1"/>
  <c r="AU522" i="1"/>
  <c r="AU536" i="1" s="1"/>
  <c r="AU561" i="1"/>
  <c r="AU588" i="1"/>
  <c r="AU589" i="1"/>
  <c r="AU599" i="1"/>
  <c r="AU612" i="1"/>
  <c r="AU817" i="1" s="1"/>
  <c r="AU616" i="1"/>
  <c r="AU615" i="1" s="1"/>
  <c r="AU621" i="1"/>
  <c r="AU625" i="1"/>
  <c r="AU626" i="1"/>
  <c r="AU627" i="1"/>
  <c r="AU633" i="1"/>
  <c r="AU634" i="1"/>
  <c r="AU679" i="1"/>
  <c r="AU684" i="1"/>
  <c r="AU685" i="1"/>
  <c r="AU696" i="1"/>
  <c r="AU698" i="1"/>
  <c r="AU700" i="1"/>
  <c r="AU702" i="1"/>
  <c r="AU703" i="1"/>
  <c r="AU708" i="1"/>
  <c r="AU713" i="1"/>
  <c r="AU735" i="1"/>
  <c r="AU737" i="1"/>
  <c r="AU763" i="1" s="1"/>
  <c r="AU814" i="1"/>
  <c r="AU815" i="1"/>
  <c r="AU818" i="1"/>
  <c r="AU824" i="1"/>
  <c r="AU839" i="1"/>
  <c r="AU101" i="1"/>
  <c r="AU115" i="1"/>
  <c r="AU122" i="1"/>
  <c r="AU143" i="1"/>
  <c r="P61" i="21" l="1"/>
  <c r="P59" i="21"/>
  <c r="Q60" i="21" s="1"/>
  <c r="P68" i="21"/>
  <c r="P8" i="21"/>
  <c r="Q9" i="21" s="1"/>
  <c r="R54" i="21"/>
  <c r="AW760" i="1"/>
  <c r="R55" i="21"/>
  <c r="AW757" i="1"/>
  <c r="AV760" i="1"/>
  <c r="Q55" i="21"/>
  <c r="CX238" i="1"/>
  <c r="AT68" i="21"/>
  <c r="AU762" i="1"/>
  <c r="P56" i="21"/>
  <c r="AW733" i="1"/>
  <c r="AU181" i="1"/>
  <c r="AU146" i="1" s="1"/>
  <c r="AW731" i="1"/>
  <c r="AW759" i="1"/>
  <c r="AW764" i="1"/>
  <c r="AW840" i="1"/>
  <c r="AU603" i="1"/>
  <c r="AV434" i="1"/>
  <c r="AV105" i="1"/>
  <c r="AU443" i="1"/>
  <c r="AU635" i="1"/>
  <c r="AU738" i="1" s="1"/>
  <c r="AU764" i="1" s="1"/>
  <c r="AU105" i="1"/>
  <c r="AU434" i="1"/>
  <c r="AU472" i="1"/>
  <c r="AU455" i="1"/>
  <c r="AU484" i="1" s="1"/>
  <c r="AU456" i="1"/>
  <c r="AU485" i="1" s="1"/>
  <c r="AU192" i="1"/>
  <c r="AU623" i="1"/>
  <c r="AU408" i="1"/>
  <c r="AU823" i="1"/>
  <c r="AU427" i="1"/>
  <c r="AU462" i="1" s="1"/>
  <c r="AU491" i="1" s="1"/>
  <c r="CX259" i="1"/>
  <c r="AU238" i="1"/>
  <c r="AU795" i="1"/>
  <c r="AU486" i="1"/>
  <c r="AU813" i="1"/>
  <c r="AU243" i="1"/>
  <c r="AU259" i="1"/>
  <c r="AU217" i="1"/>
  <c r="AU218" i="1"/>
  <c r="AU327" i="1"/>
  <c r="AU232" i="1"/>
  <c r="AU233" i="1" s="1"/>
  <c r="AU177" i="1"/>
  <c r="AU667" i="1"/>
  <c r="DH736" i="1"/>
  <c r="DH705" i="1"/>
  <c r="DH693" i="1"/>
  <c r="DH692" i="1"/>
  <c r="DH691" i="1"/>
  <c r="DH690" i="1"/>
  <c r="DH689" i="1"/>
  <c r="DH688" i="1"/>
  <c r="DH687" i="1"/>
  <c r="DH686" i="1"/>
  <c r="DH683" i="1"/>
  <c r="DH615" i="1"/>
  <c r="DH602" i="1"/>
  <c r="DH560" i="1"/>
  <c r="DH559" i="1"/>
  <c r="DH558" i="1"/>
  <c r="DH557" i="1"/>
  <c r="DH528" i="1"/>
  <c r="DH527" i="1"/>
  <c r="DH524" i="1"/>
  <c r="DH492" i="1"/>
  <c r="DH479" i="1"/>
  <c r="DH477" i="1"/>
  <c r="DH476" i="1"/>
  <c r="DH450" i="1"/>
  <c r="DH448" i="1"/>
  <c r="DH447" i="1"/>
  <c r="DH446" i="1"/>
  <c r="DH442" i="1"/>
  <c r="BD27" i="21" s="1"/>
  <c r="DH439" i="1"/>
  <c r="DH438" i="1"/>
  <c r="DH437" i="1"/>
  <c r="DH436" i="1"/>
  <c r="DH415" i="1"/>
  <c r="DH412" i="1"/>
  <c r="DH411" i="1"/>
  <c r="DH410" i="1"/>
  <c r="DH407" i="1"/>
  <c r="BD16" i="21" s="1"/>
  <c r="DH401" i="1"/>
  <c r="DH400" i="1"/>
  <c r="DH399" i="1"/>
  <c r="DH398" i="1"/>
  <c r="DH388" i="1"/>
  <c r="DH386" i="1"/>
  <c r="DH385" i="1"/>
  <c r="DH384" i="1"/>
  <c r="DH383" i="1"/>
  <c r="DH382" i="1"/>
  <c r="DH420" i="1" s="1"/>
  <c r="DH373" i="1"/>
  <c r="DH372" i="1"/>
  <c r="DH368" i="1"/>
  <c r="DH367" i="1"/>
  <c r="DH363" i="1"/>
  <c r="DH362" i="1"/>
  <c r="DH199" i="1"/>
  <c r="DH198" i="1"/>
  <c r="DH193" i="1"/>
  <c r="DH192" i="1"/>
  <c r="DH149" i="1"/>
  <c r="DH105" i="1"/>
  <c r="DH104" i="1"/>
  <c r="BO622" i="1"/>
  <c r="BN622" i="1"/>
  <c r="BO519" i="1"/>
  <c r="BN519" i="1"/>
  <c r="BO518" i="1"/>
  <c r="BN518" i="1"/>
  <c r="BO516" i="1"/>
  <c r="BN516" i="1"/>
  <c r="BO504" i="1"/>
  <c r="BN504" i="1"/>
  <c r="BO503" i="1"/>
  <c r="BN503" i="1"/>
  <c r="BO502" i="1"/>
  <c r="BN502" i="1"/>
  <c r="BO501" i="1"/>
  <c r="BN501" i="1"/>
  <c r="BO475" i="1"/>
  <c r="BN475" i="1"/>
  <c r="BO474" i="1"/>
  <c r="BN474" i="1"/>
  <c r="BO473" i="1"/>
  <c r="BN473" i="1"/>
  <c r="BO445" i="1"/>
  <c r="BN445" i="1"/>
  <c r="BO444" i="1"/>
  <c r="BN444" i="1"/>
  <c r="BO427" i="1"/>
  <c r="BO462" i="1" s="1"/>
  <c r="BO491" i="1" s="1"/>
  <c r="BN427" i="1"/>
  <c r="BN462" i="1" s="1"/>
  <c r="BN491" i="1" s="1"/>
  <c r="BO424" i="1"/>
  <c r="BO459" i="1" s="1"/>
  <c r="BO488" i="1" s="1"/>
  <c r="BN424" i="1"/>
  <c r="BN459" i="1" s="1"/>
  <c r="BN488" i="1" s="1"/>
  <c r="BO423" i="1"/>
  <c r="BO458" i="1" s="1"/>
  <c r="BO487" i="1" s="1"/>
  <c r="BN423" i="1"/>
  <c r="BN458" i="1" s="1"/>
  <c r="BN487" i="1" s="1"/>
  <c r="BO422" i="1"/>
  <c r="BO457" i="1" s="1"/>
  <c r="BN422" i="1"/>
  <c r="BN457" i="1" s="1"/>
  <c r="BO420" i="1"/>
  <c r="BN420" i="1"/>
  <c r="BO409" i="1"/>
  <c r="BO421" i="1" s="1"/>
  <c r="BN409" i="1"/>
  <c r="CX260" i="1" l="1"/>
  <c r="CX261" i="1" s="1"/>
  <c r="AU430" i="1"/>
  <c r="P28" i="21"/>
  <c r="Q69" i="21"/>
  <c r="BD13" i="21"/>
  <c r="AU471" i="1"/>
  <c r="P35" i="21"/>
  <c r="P36" i="21" s="1"/>
  <c r="AU393" i="1"/>
  <c r="P17" i="21"/>
  <c r="AU69" i="21"/>
  <c r="AU260" i="1"/>
  <c r="AU822" i="1"/>
  <c r="AU816" i="1"/>
  <c r="AU147" i="1"/>
  <c r="AU812" i="1"/>
  <c r="AU154" i="1"/>
  <c r="AV440" i="1"/>
  <c r="AW96" i="1" s="1"/>
  <c r="AU441" i="1"/>
  <c r="AW98" i="1"/>
  <c r="AU465" i="1"/>
  <c r="AU712" i="1" s="1"/>
  <c r="DH444" i="1"/>
  <c r="DH455" i="1" s="1"/>
  <c r="DH474" i="1"/>
  <c r="DH502" i="1"/>
  <c r="DH516" i="1"/>
  <c r="DH622" i="1"/>
  <c r="AU419" i="1"/>
  <c r="AU406" i="1"/>
  <c r="AU515" i="1"/>
  <c r="CX258" i="1"/>
  <c r="DH445" i="1"/>
  <c r="DH475" i="1"/>
  <c r="DH503" i="1"/>
  <c r="DH518" i="1"/>
  <c r="AU258" i="1"/>
  <c r="DH424" i="1"/>
  <c r="DH459" i="1" s="1"/>
  <c r="DH488" i="1" s="1"/>
  <c r="BO486" i="1"/>
  <c r="DH427" i="1"/>
  <c r="DH462" i="1" s="1"/>
  <c r="DH491" i="1" s="1"/>
  <c r="BO456" i="1"/>
  <c r="BO485" i="1" s="1"/>
  <c r="DH473" i="1"/>
  <c r="DH501" i="1"/>
  <c r="DH504" i="1"/>
  <c r="DH519" i="1"/>
  <c r="DH423" i="1"/>
  <c r="DH458" i="1" s="1"/>
  <c r="DH487" i="1" s="1"/>
  <c r="DH422" i="1"/>
  <c r="DH457" i="1" s="1"/>
  <c r="BN486" i="1"/>
  <c r="BN421" i="1"/>
  <c r="BN456" i="1" s="1"/>
  <c r="BN485" i="1" s="1"/>
  <c r="DH409" i="1"/>
  <c r="DH421" i="1" s="1"/>
  <c r="BO455" i="1"/>
  <c r="BO484" i="1" s="1"/>
  <c r="BN455" i="1"/>
  <c r="BN484" i="1" s="1"/>
  <c r="AU699" i="1" l="1"/>
  <c r="AU440" i="1"/>
  <c r="AV96" i="1" s="1"/>
  <c r="P26" i="21"/>
  <c r="Q30" i="21"/>
  <c r="AU405" i="1"/>
  <c r="P14" i="21" s="1"/>
  <c r="P15" i="21"/>
  <c r="AU525" i="1"/>
  <c r="AU729" i="1" s="1"/>
  <c r="AU758" i="1" s="1"/>
  <c r="P44" i="21"/>
  <c r="P47" i="21" s="1"/>
  <c r="AV794" i="1"/>
  <c r="AU793" i="1"/>
  <c r="P71" i="21" s="1"/>
  <c r="AU454" i="1"/>
  <c r="AU426" i="1"/>
  <c r="AU741" i="1"/>
  <c r="AU767" i="1" s="1"/>
  <c r="AU792" i="1"/>
  <c r="AU521" i="1"/>
  <c r="DH456" i="1"/>
  <c r="DH485" i="1" s="1"/>
  <c r="AU732" i="1"/>
  <c r="AU620" i="1"/>
  <c r="AU740" i="1"/>
  <c r="AU766" i="1" s="1"/>
  <c r="AU513" i="1"/>
  <c r="AU730" i="1"/>
  <c r="DH486" i="1"/>
  <c r="AU261" i="1"/>
  <c r="AU728" i="1"/>
  <c r="DH484" i="1"/>
  <c r="Q48" i="21" l="1"/>
  <c r="AU757" i="1"/>
  <c r="AU428" i="1"/>
  <c r="P19" i="21"/>
  <c r="P51" i="21"/>
  <c r="P50" i="21" s="1"/>
  <c r="AV733" i="1"/>
  <c r="P55" i="21"/>
  <c r="P54" i="21"/>
  <c r="Q29" i="21"/>
  <c r="AU461" i="1"/>
  <c r="AU483" i="1"/>
  <c r="AU490" i="1" s="1"/>
  <c r="AU734" i="1"/>
  <c r="AU761" i="1" s="1"/>
  <c r="AU759" i="1"/>
  <c r="AV731" i="1"/>
  <c r="AU760" i="1"/>
  <c r="AU840" i="1"/>
  <c r="Q20" i="21" l="1"/>
  <c r="AU493" i="1"/>
  <c r="AU510" i="1" s="1"/>
  <c r="P38" i="21"/>
  <c r="P41" i="21" s="1"/>
  <c r="AU463" i="1"/>
  <c r="P32" i="21"/>
  <c r="AT703" i="1"/>
  <c r="AT708" i="1"/>
  <c r="AT713" i="1"/>
  <c r="AT468" i="1"/>
  <c r="AT473" i="1"/>
  <c r="AT474" i="1"/>
  <c r="AT475" i="1"/>
  <c r="AT479" i="1"/>
  <c r="AT500" i="1"/>
  <c r="AT495" i="1" s="1"/>
  <c r="AT501" i="1"/>
  <c r="AT502" i="1"/>
  <c r="AT130" i="1" s="1"/>
  <c r="AT503" i="1"/>
  <c r="AT504" i="1"/>
  <c r="AT509" i="1"/>
  <c r="AT507" i="1" s="1"/>
  <c r="AT516" i="1"/>
  <c r="AT517" i="1"/>
  <c r="AT518" i="1"/>
  <c r="AT519" i="1"/>
  <c r="AT520" i="1"/>
  <c r="AT522" i="1"/>
  <c r="AT536" i="1" s="1"/>
  <c r="AT623" i="1" s="1"/>
  <c r="AT543" i="1"/>
  <c r="AU141" i="1" s="1"/>
  <c r="AT545" i="1"/>
  <c r="AT546" i="1" s="1"/>
  <c r="AT561" i="1"/>
  <c r="AT588" i="1"/>
  <c r="AT589" i="1"/>
  <c r="AT599" i="1"/>
  <c r="AT600" i="1"/>
  <c r="AT612" i="1"/>
  <c r="AT616" i="1"/>
  <c r="AT615" i="1" s="1"/>
  <c r="AT621" i="1"/>
  <c r="AT625" i="1"/>
  <c r="AT626" i="1"/>
  <c r="AT627" i="1"/>
  <c r="AT633" i="1"/>
  <c r="AT634" i="1"/>
  <c r="AT663" i="1"/>
  <c r="AT679" i="1"/>
  <c r="AT684" i="1"/>
  <c r="AT685" i="1"/>
  <c r="AT186" i="1"/>
  <c r="AT55" i="1" s="1"/>
  <c r="AT190" i="1"/>
  <c r="AT191" i="1"/>
  <c r="AT193" i="1"/>
  <c r="AT198" i="1"/>
  <c r="AT61" i="1" s="1"/>
  <c r="AT204" i="1"/>
  <c r="AT212" i="1"/>
  <c r="AT215" i="1"/>
  <c r="AT217" i="1" s="1"/>
  <c r="AT223" i="1"/>
  <c r="AT228" i="1"/>
  <c r="AT234" i="1"/>
  <c r="AT237" i="1" s="1"/>
  <c r="AT244" i="1"/>
  <c r="AT249" i="1"/>
  <c r="AT254" i="1"/>
  <c r="AT257" i="1"/>
  <c r="AT262" i="1"/>
  <c r="AT381" i="1"/>
  <c r="AT389" i="1"/>
  <c r="AT388" i="1" s="1"/>
  <c r="AT409" i="1"/>
  <c r="AT421" i="1" s="1"/>
  <c r="AT415" i="1"/>
  <c r="AT420" i="1"/>
  <c r="AT422" i="1"/>
  <c r="AT457" i="1" s="1"/>
  <c r="AT423" i="1"/>
  <c r="AT458" i="1" s="1"/>
  <c r="AT424" i="1"/>
  <c r="AT459" i="1" s="1"/>
  <c r="AT488" i="1" s="1"/>
  <c r="AT425" i="1"/>
  <c r="AT460" i="1" s="1"/>
  <c r="AT489" i="1" s="1"/>
  <c r="AT434" i="1"/>
  <c r="CX434" i="1" s="1"/>
  <c r="AT444" i="1"/>
  <c r="AT445" i="1"/>
  <c r="AT451" i="1"/>
  <c r="AT450" i="1" s="1"/>
  <c r="AT122" i="1"/>
  <c r="AT158" i="1"/>
  <c r="AU216" i="1" s="1"/>
  <c r="AT165" i="1"/>
  <c r="AT171" i="1"/>
  <c r="AT176" i="1"/>
  <c r="AT145" i="1" s="1"/>
  <c r="AT178" i="1"/>
  <c r="AT101" i="1"/>
  <c r="AT105" i="1" s="1"/>
  <c r="AT115" i="1"/>
  <c r="AT52" i="1"/>
  <c r="AT54" i="1"/>
  <c r="AT735" i="1"/>
  <c r="AT737" i="1"/>
  <c r="AT763" i="1" s="1"/>
  <c r="AT814" i="1"/>
  <c r="AT815" i="1"/>
  <c r="AT818" i="1"/>
  <c r="AT824" i="1"/>
  <c r="AT839" i="1"/>
  <c r="C3" i="2"/>
  <c r="C4" i="2"/>
  <c r="O61" i="21" l="1"/>
  <c r="O59" i="21"/>
  <c r="P60" i="21" s="1"/>
  <c r="O8" i="21"/>
  <c r="O68" i="21"/>
  <c r="AT762" i="1"/>
  <c r="O56" i="21"/>
  <c r="Q33" i="21"/>
  <c r="J6" i="22"/>
  <c r="J8" i="22"/>
  <c r="AT243" i="1"/>
  <c r="AT327" i="1"/>
  <c r="AT181" i="1"/>
  <c r="AT232" i="1"/>
  <c r="AT233" i="1" s="1"/>
  <c r="AT141" i="1"/>
  <c r="AT456" i="1"/>
  <c r="AT485" i="1" s="1"/>
  <c r="AT427" i="1"/>
  <c r="AT462" i="1" s="1"/>
  <c r="AT491" i="1" s="1"/>
  <c r="AT603" i="1"/>
  <c r="AT177" i="1"/>
  <c r="AT114" i="1" s="1"/>
  <c r="AT192" i="1"/>
  <c r="AT58" i="1" s="1"/>
  <c r="AT635" i="1"/>
  <c r="AT738" i="1" s="1"/>
  <c r="AT408" i="1"/>
  <c r="O17" i="21" s="1"/>
  <c r="AT455" i="1"/>
  <c r="AT484" i="1" s="1"/>
  <c r="AT487" i="1"/>
  <c r="AT667" i="1"/>
  <c r="AT443" i="1"/>
  <c r="AT259" i="1"/>
  <c r="AT472" i="1"/>
  <c r="AT486" i="1"/>
  <c r="AT238" i="1"/>
  <c r="AT218" i="1"/>
  <c r="AT116" i="1"/>
  <c r="AT817" i="1"/>
  <c r="AT823" i="1"/>
  <c r="AT795" i="1"/>
  <c r="E9" i="2"/>
  <c r="E10" i="2"/>
  <c r="P69" i="21" l="1"/>
  <c r="AT260" i="1"/>
  <c r="AT465" i="1"/>
  <c r="AT712" i="1" s="1"/>
  <c r="O35" i="21"/>
  <c r="O36" i="21" s="1"/>
  <c r="O28" i="21"/>
  <c r="P30" i="21" s="1"/>
  <c r="P9" i="21"/>
  <c r="AT154" i="1"/>
  <c r="G8" i="2"/>
  <c r="O14" i="22" s="1"/>
  <c r="AT258" i="1"/>
  <c r="AT99" i="1"/>
  <c r="AT515" i="1"/>
  <c r="AT406" i="1"/>
  <c r="AT393" i="1"/>
  <c r="AT419" i="1"/>
  <c r="AT471" i="1"/>
  <c r="AT430" i="1"/>
  <c r="AT441" i="1"/>
  <c r="AT146" i="1"/>
  <c r="AT147" i="1"/>
  <c r="AT813" i="1"/>
  <c r="AT816" i="1"/>
  <c r="AT822" i="1"/>
  <c r="AT812" i="1"/>
  <c r="AT764" i="1"/>
  <c r="AT261" i="1" l="1"/>
  <c r="AT405" i="1"/>
  <c r="O14" i="21" s="1"/>
  <c r="O15" i="21"/>
  <c r="AT440" i="1"/>
  <c r="AU96" i="1" s="1"/>
  <c r="O26" i="21"/>
  <c r="AT136" i="1"/>
  <c r="AT838" i="1" s="1"/>
  <c r="O44" i="21"/>
  <c r="O47" i="21" s="1"/>
  <c r="AU794" i="1"/>
  <c r="AT793" i="1"/>
  <c r="O71" i="21" s="1"/>
  <c r="AT525" i="1"/>
  <c r="AT521" i="1"/>
  <c r="AT620" i="1"/>
  <c r="AT732" i="1"/>
  <c r="O55" i="21" s="1"/>
  <c r="AT741" i="1"/>
  <c r="AT767" i="1" s="1"/>
  <c r="AT513" i="1"/>
  <c r="AT740" i="1"/>
  <c r="AT766" i="1" s="1"/>
  <c r="AT730" i="1"/>
  <c r="AT426" i="1"/>
  <c r="AT454" i="1"/>
  <c r="AT792" i="1"/>
  <c r="P29" i="21" l="1"/>
  <c r="AT428" i="1"/>
  <c r="O19" i="21"/>
  <c r="O54" i="21"/>
  <c r="AT728" i="1"/>
  <c r="O51" i="21"/>
  <c r="O50" i="21" s="1"/>
  <c r="P48" i="21"/>
  <c r="AT840" i="1"/>
  <c r="AU731" i="1"/>
  <c r="AT760" i="1"/>
  <c r="AU733" i="1"/>
  <c r="AT729" i="1"/>
  <c r="AT758" i="1" s="1"/>
  <c r="AT759" i="1"/>
  <c r="AT461" i="1"/>
  <c r="AT483" i="1"/>
  <c r="AT734" i="1"/>
  <c r="AT761" i="1" s="1"/>
  <c r="AS537" i="1"/>
  <c r="AS141" i="1"/>
  <c r="P20" i="21" l="1"/>
  <c r="AT757" i="1"/>
  <c r="AT463" i="1"/>
  <c r="O32" i="21"/>
  <c r="AT129" i="1"/>
  <c r="AT490" i="1"/>
  <c r="AS143" i="1"/>
  <c r="CW139" i="1"/>
  <c r="CY138" i="1"/>
  <c r="C52" i="22" s="1"/>
  <c r="O15" i="22" s="1"/>
  <c r="CX138" i="1"/>
  <c r="CW138" i="1"/>
  <c r="CV138" i="1"/>
  <c r="P33" i="21" l="1"/>
  <c r="AT493" i="1"/>
  <c r="AT510" i="1" s="1"/>
  <c r="O38" i="21"/>
  <c r="O41" i="21" s="1"/>
  <c r="AS713" i="1"/>
  <c r="CW244" i="1" l="1"/>
  <c r="AS102" i="1"/>
  <c r="CW185" i="1" l="1"/>
  <c r="CW696" i="1"/>
  <c r="CW254" i="1"/>
  <c r="CW257" i="1"/>
  <c r="CW262" i="1"/>
  <c r="CW234" i="1"/>
  <c r="CW237" i="1" s="1"/>
  <c r="CW249" i="1"/>
  <c r="CW223" i="1"/>
  <c r="CW228" i="1"/>
  <c r="CW197" i="1"/>
  <c r="CW196" i="1"/>
  <c r="CW184" i="1"/>
  <c r="AS103" i="1"/>
  <c r="AS434" i="1" s="1"/>
  <c r="AS710" i="1"/>
  <c r="AS672" i="1"/>
  <c r="AS663" i="1"/>
  <c r="AS600" i="1"/>
  <c r="AS546" i="1"/>
  <c r="AS509" i="1"/>
  <c r="AS507" i="1" s="1"/>
  <c r="AS451" i="1"/>
  <c r="AS450" i="1" s="1"/>
  <c r="AS389" i="1"/>
  <c r="AS388" i="1" s="1"/>
  <c r="AS101" i="1"/>
  <c r="AS115" i="1"/>
  <c r="AS122" i="1"/>
  <c r="AS158" i="1"/>
  <c r="AS165" i="1"/>
  <c r="AS171" i="1"/>
  <c r="AS176" i="1"/>
  <c r="AS145" i="1" s="1"/>
  <c r="AS178" i="1"/>
  <c r="AS186" i="1"/>
  <c r="AS190" i="1"/>
  <c r="CW190" i="1" s="1"/>
  <c r="AS191" i="1"/>
  <c r="AS193" i="1"/>
  <c r="AS198" i="1"/>
  <c r="AS204" i="1"/>
  <c r="AS212" i="1"/>
  <c r="AS215" i="1"/>
  <c r="AS217" i="1" s="1"/>
  <c r="AS223" i="1"/>
  <c r="AS228" i="1"/>
  <c r="AS234" i="1"/>
  <c r="AS237" i="1" s="1"/>
  <c r="AS249" i="1"/>
  <c r="AS254" i="1"/>
  <c r="AS257" i="1"/>
  <c r="AS262" i="1"/>
  <c r="AS381" i="1"/>
  <c r="AS409" i="1"/>
  <c r="AS421" i="1" s="1"/>
  <c r="AS415" i="1"/>
  <c r="AS420" i="1"/>
  <c r="AS422" i="1"/>
  <c r="AS457" i="1" s="1"/>
  <c r="AS423" i="1"/>
  <c r="AS458" i="1" s="1"/>
  <c r="AS487" i="1" s="1"/>
  <c r="AS424" i="1"/>
  <c r="AS459" i="1" s="1"/>
  <c r="AS488" i="1" s="1"/>
  <c r="AS425" i="1"/>
  <c r="AS460" i="1" s="1"/>
  <c r="AS489" i="1" s="1"/>
  <c r="AS444" i="1"/>
  <c r="AS445" i="1"/>
  <c r="AS468" i="1"/>
  <c r="AS473" i="1"/>
  <c r="AS474" i="1"/>
  <c r="AS475" i="1"/>
  <c r="AS479" i="1"/>
  <c r="AS500" i="1"/>
  <c r="AS495" i="1" s="1"/>
  <c r="AS501" i="1"/>
  <c r="AS502" i="1"/>
  <c r="AS130" i="1" s="1"/>
  <c r="AS503" i="1"/>
  <c r="AS504" i="1"/>
  <c r="AS516" i="1"/>
  <c r="AS517" i="1"/>
  <c r="AS518" i="1"/>
  <c r="AS519" i="1"/>
  <c r="AS520" i="1"/>
  <c r="AS522" i="1"/>
  <c r="AS561" i="1"/>
  <c r="AS588" i="1"/>
  <c r="AS589" i="1"/>
  <c r="AS599" i="1"/>
  <c r="AS612" i="1"/>
  <c r="AS116" i="1" s="1"/>
  <c r="AS616" i="1"/>
  <c r="AS615" i="1" s="1"/>
  <c r="AS621" i="1"/>
  <c r="AS625" i="1"/>
  <c r="AS626" i="1"/>
  <c r="AS627" i="1"/>
  <c r="AS633" i="1"/>
  <c r="AS634" i="1"/>
  <c r="AS679" i="1"/>
  <c r="AS684" i="1"/>
  <c r="AS685" i="1"/>
  <c r="AS703" i="1"/>
  <c r="AS708" i="1"/>
  <c r="AS735" i="1"/>
  <c r="AS737" i="1"/>
  <c r="AS763" i="1" s="1"/>
  <c r="AS814" i="1"/>
  <c r="AS815" i="1"/>
  <c r="AS818" i="1"/>
  <c r="AS824" i="1"/>
  <c r="AS839" i="1"/>
  <c r="N61" i="21" l="1"/>
  <c r="N59" i="21"/>
  <c r="O60" i="21" s="1"/>
  <c r="CW238" i="1"/>
  <c r="AS68" i="21"/>
  <c r="AS762" i="1"/>
  <c r="N56" i="21"/>
  <c r="N68" i="21"/>
  <c r="N8" i="21"/>
  <c r="AS327" i="1"/>
  <c r="AS181" i="1"/>
  <c r="CW186" i="1"/>
  <c r="AT53" i="1"/>
  <c r="AT216" i="1"/>
  <c r="AS105" i="1"/>
  <c r="AS456" i="1"/>
  <c r="AS485" i="1" s="1"/>
  <c r="AS192" i="1"/>
  <c r="AS408" i="1"/>
  <c r="AS635" i="1"/>
  <c r="AS472" i="1"/>
  <c r="AS486" i="1"/>
  <c r="CW191" i="1"/>
  <c r="AS667" i="1"/>
  <c r="AS443" i="1"/>
  <c r="AS795" i="1"/>
  <c r="CW259" i="1"/>
  <c r="CW243" i="1"/>
  <c r="AS177" i="1"/>
  <c r="AS114" i="1" s="1"/>
  <c r="AS603" i="1"/>
  <c r="AS427" i="1"/>
  <c r="AS462" i="1" s="1"/>
  <c r="AS491" i="1" s="1"/>
  <c r="AS536" i="1"/>
  <c r="AS623" i="1" s="1"/>
  <c r="AS455" i="1"/>
  <c r="AS484" i="1" s="1"/>
  <c r="AS238" i="1"/>
  <c r="AS823" i="1"/>
  <c r="AS218" i="1"/>
  <c r="AS232" i="1"/>
  <c r="AS817" i="1"/>
  <c r="DG736" i="1"/>
  <c r="DG705" i="1"/>
  <c r="DG693" i="1"/>
  <c r="DG692" i="1"/>
  <c r="DG691" i="1"/>
  <c r="DG690" i="1"/>
  <c r="DG689" i="1"/>
  <c r="DG688" i="1"/>
  <c r="DG687" i="1"/>
  <c r="DG686" i="1"/>
  <c r="DG683" i="1"/>
  <c r="DG615" i="1"/>
  <c r="DG602" i="1"/>
  <c r="DG560" i="1"/>
  <c r="DG559" i="1"/>
  <c r="DG558" i="1"/>
  <c r="DG557" i="1"/>
  <c r="DG528" i="1"/>
  <c r="DG527" i="1"/>
  <c r="DG524" i="1"/>
  <c r="DG492" i="1"/>
  <c r="DG479" i="1"/>
  <c r="DG477" i="1"/>
  <c r="DG476" i="1"/>
  <c r="DG450" i="1"/>
  <c r="DG448" i="1"/>
  <c r="DG447" i="1"/>
  <c r="DG446" i="1"/>
  <c r="DG442" i="1"/>
  <c r="BC27" i="21" s="1"/>
  <c r="DG439" i="1"/>
  <c r="DG438" i="1"/>
  <c r="DG437" i="1"/>
  <c r="DG436" i="1"/>
  <c r="DG415" i="1"/>
  <c r="DG412" i="1"/>
  <c r="DG411" i="1"/>
  <c r="DG410" i="1"/>
  <c r="DG407" i="1"/>
  <c r="BC16" i="21" s="1"/>
  <c r="DG401" i="1"/>
  <c r="DG400" i="1"/>
  <c r="DG399" i="1"/>
  <c r="DG398" i="1"/>
  <c r="DG388" i="1"/>
  <c r="DG386" i="1"/>
  <c r="DG385" i="1"/>
  <c r="DG384" i="1"/>
  <c r="DG383" i="1"/>
  <c r="DG382" i="1"/>
  <c r="DG420" i="1" s="1"/>
  <c r="DG373" i="1"/>
  <c r="DG372" i="1"/>
  <c r="DG368" i="1"/>
  <c r="DG367" i="1"/>
  <c r="DG363" i="1"/>
  <c r="DG362" i="1"/>
  <c r="DG199" i="1"/>
  <c r="DG198" i="1"/>
  <c r="DG193" i="1"/>
  <c r="DG192" i="1"/>
  <c r="DG149" i="1"/>
  <c r="DG105" i="1"/>
  <c r="DG104" i="1"/>
  <c r="BM622" i="1"/>
  <c r="BL622" i="1"/>
  <c r="BM519" i="1"/>
  <c r="BL519" i="1"/>
  <c r="BM518" i="1"/>
  <c r="BL518" i="1"/>
  <c r="BM516" i="1"/>
  <c r="BL516" i="1"/>
  <c r="BM504" i="1"/>
  <c r="BL504" i="1"/>
  <c r="BM503" i="1"/>
  <c r="BL503" i="1"/>
  <c r="BM502" i="1"/>
  <c r="BL502" i="1"/>
  <c r="BM501" i="1"/>
  <c r="BL501" i="1"/>
  <c r="BM475" i="1"/>
  <c r="BL475" i="1"/>
  <c r="BM474" i="1"/>
  <c r="BL474" i="1"/>
  <c r="BM473" i="1"/>
  <c r="BL473" i="1"/>
  <c r="BM445" i="1"/>
  <c r="BL445" i="1"/>
  <c r="BM444" i="1"/>
  <c r="BL444" i="1"/>
  <c r="BM427" i="1"/>
  <c r="BM462" i="1" s="1"/>
  <c r="BM491" i="1" s="1"/>
  <c r="BL427" i="1"/>
  <c r="BL462" i="1" s="1"/>
  <c r="BL491" i="1" s="1"/>
  <c r="BM424" i="1"/>
  <c r="BM459" i="1" s="1"/>
  <c r="BM488" i="1" s="1"/>
  <c r="BL424" i="1"/>
  <c r="BL459" i="1" s="1"/>
  <c r="BL488" i="1" s="1"/>
  <c r="BM423" i="1"/>
  <c r="BM458" i="1" s="1"/>
  <c r="BM487" i="1" s="1"/>
  <c r="BL423" i="1"/>
  <c r="BL458" i="1" s="1"/>
  <c r="BL487" i="1" s="1"/>
  <c r="BM422" i="1"/>
  <c r="BM457" i="1" s="1"/>
  <c r="BL422" i="1"/>
  <c r="BL457" i="1" s="1"/>
  <c r="BM420" i="1"/>
  <c r="BL420" i="1"/>
  <c r="BM409" i="1"/>
  <c r="BM421" i="1" s="1"/>
  <c r="BL409" i="1"/>
  <c r="AS471" i="1" l="1"/>
  <c r="N35" i="21"/>
  <c r="N36" i="21" s="1"/>
  <c r="O9" i="21"/>
  <c r="O69" i="21"/>
  <c r="N28" i="21"/>
  <c r="AT69" i="21"/>
  <c r="BC13" i="21"/>
  <c r="AS393" i="1"/>
  <c r="N17" i="21"/>
  <c r="AS146" i="1"/>
  <c r="AS816" i="1"/>
  <c r="AS813" i="1"/>
  <c r="AS154" i="1"/>
  <c r="AS147" i="1"/>
  <c r="AS822" i="1"/>
  <c r="AS812" i="1"/>
  <c r="BM456" i="1"/>
  <c r="BM485" i="1" s="1"/>
  <c r="AS406" i="1"/>
  <c r="BM486" i="1"/>
  <c r="DG423" i="1"/>
  <c r="DG458" i="1" s="1"/>
  <c r="DG487" i="1" s="1"/>
  <c r="AS419" i="1"/>
  <c r="AS99" i="1"/>
  <c r="AS465" i="1"/>
  <c r="AS712" i="1" s="1"/>
  <c r="AS430" i="1"/>
  <c r="DG422" i="1"/>
  <c r="DG457" i="1" s="1"/>
  <c r="CW258" i="1"/>
  <c r="CW260" i="1"/>
  <c r="AS515" i="1"/>
  <c r="AS441" i="1"/>
  <c r="AS233" i="1"/>
  <c r="DG473" i="1"/>
  <c r="DG475" i="1"/>
  <c r="DG502" i="1"/>
  <c r="DG427" i="1"/>
  <c r="DG462" i="1" s="1"/>
  <c r="DG491" i="1" s="1"/>
  <c r="BL421" i="1"/>
  <c r="BL456" i="1" s="1"/>
  <c r="BL485" i="1" s="1"/>
  <c r="DG409" i="1"/>
  <c r="DG421" i="1" s="1"/>
  <c r="DG445" i="1"/>
  <c r="DG504" i="1"/>
  <c r="DG516" i="1"/>
  <c r="DG519" i="1"/>
  <c r="DG622" i="1"/>
  <c r="BM455" i="1"/>
  <c r="BM484" i="1" s="1"/>
  <c r="DG474" i="1"/>
  <c r="BL486" i="1"/>
  <c r="BL455" i="1"/>
  <c r="BL484" i="1" s="1"/>
  <c r="DG444" i="1"/>
  <c r="DG455" i="1" s="1"/>
  <c r="DG501" i="1"/>
  <c r="DG503" i="1"/>
  <c r="DG518" i="1"/>
  <c r="DG424" i="1"/>
  <c r="DG459" i="1" s="1"/>
  <c r="DG488" i="1" s="1"/>
  <c r="AS136" i="1" l="1"/>
  <c r="AS838" i="1" s="1"/>
  <c r="N44" i="21"/>
  <c r="N47" i="21" s="1"/>
  <c r="O30" i="21"/>
  <c r="AS405" i="1"/>
  <c r="N14" i="21" s="1"/>
  <c r="N15" i="21"/>
  <c r="AS440" i="1"/>
  <c r="AT96" i="1" s="1"/>
  <c r="N26" i="21"/>
  <c r="AS426" i="1"/>
  <c r="AS792" i="1"/>
  <c r="AS793" i="1"/>
  <c r="N71" i="21" s="1"/>
  <c r="DG486" i="1"/>
  <c r="AT794" i="1"/>
  <c r="AS513" i="1"/>
  <c r="AS525" i="1"/>
  <c r="AS521" i="1"/>
  <c r="AS454" i="1"/>
  <c r="AS620" i="1"/>
  <c r="CW261" i="1"/>
  <c r="DG484" i="1"/>
  <c r="DG456" i="1"/>
  <c r="DG485" i="1" s="1"/>
  <c r="N51" i="21" l="1"/>
  <c r="AS428" i="1"/>
  <c r="N19" i="21"/>
  <c r="O29" i="21"/>
  <c r="N50" i="21"/>
  <c r="O48" i="21"/>
  <c r="AS483" i="1"/>
  <c r="AS129" i="1" s="1"/>
  <c r="AS490" i="1"/>
  <c r="AS461" i="1"/>
  <c r="AS732" i="1"/>
  <c r="AS729" i="1"/>
  <c r="AS758" i="1" s="1"/>
  <c r="AS738" i="1"/>
  <c r="AS741" i="1"/>
  <c r="AS767" i="1" s="1"/>
  <c r="AS730" i="1"/>
  <c r="AS740" i="1"/>
  <c r="AS766" i="1" s="1"/>
  <c r="AS734" i="1"/>
  <c r="AS761" i="1" s="1"/>
  <c r="AS728" i="1"/>
  <c r="AT733" i="1" l="1"/>
  <c r="N55" i="21"/>
  <c r="O20" i="21"/>
  <c r="AS463" i="1"/>
  <c r="N32" i="21"/>
  <c r="AS493" i="1"/>
  <c r="AS510" i="1" s="1"/>
  <c r="N38" i="21"/>
  <c r="N41" i="21" s="1"/>
  <c r="AS757" i="1"/>
  <c r="AT731" i="1"/>
  <c r="N54" i="21"/>
  <c r="AS840" i="1"/>
  <c r="AS764" i="1"/>
  <c r="AS759" i="1"/>
  <c r="AS760" i="1"/>
  <c r="O33" i="21" l="1"/>
  <c r="CV736" i="1"/>
  <c r="CV683" i="1"/>
  <c r="CV682" i="1"/>
  <c r="CV681" i="1"/>
  <c r="CV680" i="1"/>
  <c r="CV678" i="1"/>
  <c r="CV677" i="1"/>
  <c r="CV676" i="1"/>
  <c r="CV675" i="1"/>
  <c r="CV673" i="1"/>
  <c r="CV671" i="1"/>
  <c r="CV670" i="1"/>
  <c r="CV669" i="1"/>
  <c r="CV668" i="1"/>
  <c r="CV666" i="1"/>
  <c r="CV665" i="1"/>
  <c r="CV664" i="1"/>
  <c r="CV662" i="1"/>
  <c r="CV661" i="1"/>
  <c r="CV660" i="1"/>
  <c r="CV614" i="1"/>
  <c r="CV610" i="1"/>
  <c r="CV606" i="1"/>
  <c r="CV598" i="1"/>
  <c r="CV601" i="1"/>
  <c r="CV602" i="1"/>
  <c r="CV604" i="1"/>
  <c r="CV584" i="1"/>
  <c r="CV582" i="1"/>
  <c r="CV581" i="1"/>
  <c r="CV580" i="1"/>
  <c r="CV579" i="1"/>
  <c r="CV578" i="1"/>
  <c r="CV577" i="1"/>
  <c r="CV576" i="1"/>
  <c r="CV575" i="1"/>
  <c r="CV574" i="1"/>
  <c r="CV573" i="1"/>
  <c r="CV572" i="1"/>
  <c r="CV571" i="1"/>
  <c r="CV567" i="1"/>
  <c r="CV566" i="1"/>
  <c r="CV565" i="1"/>
  <c r="CV562" i="1"/>
  <c r="CV553" i="1"/>
  <c r="CV554" i="1"/>
  <c r="CV555" i="1"/>
  <c r="CV556" i="1"/>
  <c r="CV557" i="1"/>
  <c r="CV558" i="1"/>
  <c r="CV559" i="1"/>
  <c r="CV560" i="1"/>
  <c r="CV546" i="1"/>
  <c r="CV540" i="1"/>
  <c r="CV539" i="1"/>
  <c r="CV528" i="1"/>
  <c r="CV526" i="1"/>
  <c r="CV524" i="1"/>
  <c r="CV506" i="1"/>
  <c r="CV509" i="1"/>
  <c r="CV508" i="1"/>
  <c r="CV505" i="1"/>
  <c r="CV499" i="1"/>
  <c r="CV498" i="1"/>
  <c r="AR43" i="21" s="1"/>
  <c r="CV497" i="1"/>
  <c r="AR40" i="21" s="1"/>
  <c r="CV480" i="1"/>
  <c r="CV478" i="1"/>
  <c r="CV477" i="1"/>
  <c r="CV476" i="1"/>
  <c r="CV470" i="1"/>
  <c r="CV469" i="1"/>
  <c r="CV467" i="1"/>
  <c r="CV451" i="1"/>
  <c r="CV449" i="1"/>
  <c r="CV448" i="1"/>
  <c r="CV447" i="1"/>
  <c r="CV446" i="1"/>
  <c r="CV442" i="1"/>
  <c r="AR27" i="21" s="1"/>
  <c r="CV439" i="1"/>
  <c r="CV438" i="1"/>
  <c r="CV437" i="1"/>
  <c r="CV436" i="1"/>
  <c r="CV435" i="1"/>
  <c r="CV433" i="1"/>
  <c r="CV432" i="1"/>
  <c r="CV407" i="1"/>
  <c r="AR16" i="21" s="1"/>
  <c r="CV410" i="1"/>
  <c r="CV411" i="1"/>
  <c r="CV412" i="1"/>
  <c r="CV413" i="1"/>
  <c r="CV414" i="1"/>
  <c r="CV416" i="1"/>
  <c r="CV404" i="1"/>
  <c r="CV403" i="1"/>
  <c r="CV402" i="1"/>
  <c r="CV401" i="1"/>
  <c r="CV400" i="1"/>
  <c r="CV399" i="1"/>
  <c r="CV398" i="1"/>
  <c r="AR13" i="21" s="1"/>
  <c r="CV397" i="1"/>
  <c r="AR12" i="21" s="1"/>
  <c r="CV395" i="1"/>
  <c r="CV383" i="1"/>
  <c r="CV384" i="1"/>
  <c r="CV385" i="1"/>
  <c r="CV386" i="1"/>
  <c r="CV387" i="1"/>
  <c r="CV382" i="1"/>
  <c r="CV205" i="1"/>
  <c r="CV203" i="1"/>
  <c r="CV202" i="1"/>
  <c r="CV199" i="1"/>
  <c r="CV197" i="1"/>
  <c r="CV196" i="1"/>
  <c r="CV187" i="1"/>
  <c r="CV185" i="1"/>
  <c r="CV184" i="1"/>
  <c r="CV180" i="1"/>
  <c r="CV179" i="1"/>
  <c r="CV173" i="1"/>
  <c r="CV172" i="1"/>
  <c r="CV170" i="1"/>
  <c r="CV167" i="1"/>
  <c r="CV166" i="1"/>
  <c r="CV164" i="1"/>
  <c r="CV159" i="1"/>
  <c r="CV160" i="1"/>
  <c r="CV161" i="1"/>
  <c r="CV157" i="1"/>
  <c r="CV151" i="1"/>
  <c r="CV137" i="1"/>
  <c r="CV135" i="1"/>
  <c r="CV125" i="1"/>
  <c r="CV124" i="1"/>
  <c r="CV121" i="1"/>
  <c r="CV120" i="1"/>
  <c r="CV103" i="1"/>
  <c r="CV104" i="1"/>
  <c r="CV92" i="1"/>
  <c r="CV106" i="1"/>
  <c r="CV204" i="1" l="1"/>
  <c r="AR61" i="21" s="1"/>
  <c r="CV198" i="1"/>
  <c r="CW683" i="1" l="1"/>
  <c r="CX683" i="1"/>
  <c r="CY683" i="1"/>
  <c r="CZ683" i="1"/>
  <c r="DA683" i="1"/>
  <c r="DB683" i="1"/>
  <c r="DC683" i="1"/>
  <c r="DD683" i="1"/>
  <c r="DE683" i="1"/>
  <c r="DF683" i="1"/>
  <c r="CW686" i="1"/>
  <c r="CX686" i="1"/>
  <c r="CY686" i="1"/>
  <c r="CZ686" i="1"/>
  <c r="DA686" i="1"/>
  <c r="DB686" i="1"/>
  <c r="DC686" i="1"/>
  <c r="DD686" i="1"/>
  <c r="DE686" i="1"/>
  <c r="DF686" i="1"/>
  <c r="CW687" i="1"/>
  <c r="CX687" i="1"/>
  <c r="CY687" i="1"/>
  <c r="CZ687" i="1"/>
  <c r="DA687" i="1"/>
  <c r="DB687" i="1"/>
  <c r="DC687" i="1"/>
  <c r="DD687" i="1"/>
  <c r="DE687" i="1"/>
  <c r="DF687" i="1"/>
  <c r="CW688" i="1"/>
  <c r="CX688" i="1"/>
  <c r="CY688" i="1"/>
  <c r="CZ688" i="1"/>
  <c r="DA688" i="1"/>
  <c r="DB688" i="1"/>
  <c r="DC688" i="1"/>
  <c r="DD688" i="1"/>
  <c r="DE688" i="1"/>
  <c r="DF688" i="1"/>
  <c r="CW689" i="1"/>
  <c r="CX689" i="1"/>
  <c r="CY689" i="1"/>
  <c r="CZ689" i="1"/>
  <c r="DA689" i="1"/>
  <c r="DB689" i="1"/>
  <c r="DC689" i="1"/>
  <c r="DD689" i="1"/>
  <c r="DE689" i="1"/>
  <c r="DF689" i="1"/>
  <c r="CW690" i="1"/>
  <c r="CX690" i="1"/>
  <c r="CY690" i="1"/>
  <c r="CZ690" i="1"/>
  <c r="DA690" i="1"/>
  <c r="DB690" i="1"/>
  <c r="DC690" i="1"/>
  <c r="DD690" i="1"/>
  <c r="DE690" i="1"/>
  <c r="DF690" i="1"/>
  <c r="CW691" i="1"/>
  <c r="CX691" i="1"/>
  <c r="CY691" i="1"/>
  <c r="CZ691" i="1"/>
  <c r="DA691" i="1"/>
  <c r="DB691" i="1"/>
  <c r="DC691" i="1"/>
  <c r="DD691" i="1"/>
  <c r="DE691" i="1"/>
  <c r="DF691" i="1"/>
  <c r="CW692" i="1"/>
  <c r="CX692" i="1"/>
  <c r="CY692" i="1"/>
  <c r="CZ692" i="1"/>
  <c r="DA692" i="1"/>
  <c r="DB692" i="1"/>
  <c r="DC692" i="1"/>
  <c r="DD692" i="1"/>
  <c r="DE692" i="1"/>
  <c r="DF692" i="1"/>
  <c r="CW693" i="1"/>
  <c r="CX693" i="1"/>
  <c r="CY693" i="1"/>
  <c r="CZ693" i="1"/>
  <c r="DA693" i="1"/>
  <c r="DB693" i="1"/>
  <c r="DC693" i="1"/>
  <c r="DD693" i="1"/>
  <c r="DE693" i="1"/>
  <c r="DF693" i="1"/>
  <c r="DF736" i="1"/>
  <c r="DE736" i="1"/>
  <c r="DD736" i="1"/>
  <c r="DC736" i="1"/>
  <c r="DB736" i="1"/>
  <c r="DA736" i="1"/>
  <c r="CZ736" i="1"/>
  <c r="CY736" i="1"/>
  <c r="CX736" i="1"/>
  <c r="CW736" i="1"/>
  <c r="DF705" i="1"/>
  <c r="DE705" i="1"/>
  <c r="DD705" i="1"/>
  <c r="DC705" i="1"/>
  <c r="DB705" i="1"/>
  <c r="DA705" i="1"/>
  <c r="CZ705" i="1"/>
  <c r="CY705" i="1"/>
  <c r="CX705" i="1"/>
  <c r="DF615" i="1"/>
  <c r="DE615" i="1"/>
  <c r="DD615" i="1"/>
  <c r="DC615" i="1"/>
  <c r="DB615" i="1"/>
  <c r="DA615" i="1"/>
  <c r="CZ615" i="1"/>
  <c r="CY615" i="1"/>
  <c r="CW615" i="1"/>
  <c r="CX614" i="1"/>
  <c r="CW614" i="1"/>
  <c r="DF602" i="1"/>
  <c r="DE602" i="1"/>
  <c r="DD602" i="1"/>
  <c r="DC602" i="1"/>
  <c r="DB602" i="1"/>
  <c r="DA602" i="1"/>
  <c r="CZ602" i="1"/>
  <c r="CY602" i="1"/>
  <c r="CX602" i="1"/>
  <c r="CW602" i="1"/>
  <c r="CW592" i="1"/>
  <c r="CW591" i="1"/>
  <c r="DF560" i="1"/>
  <c r="DE560" i="1"/>
  <c r="DD560" i="1"/>
  <c r="DC560" i="1"/>
  <c r="DB560" i="1"/>
  <c r="DA560" i="1"/>
  <c r="DF559" i="1"/>
  <c r="DE559" i="1"/>
  <c r="DD559" i="1"/>
  <c r="DC559" i="1"/>
  <c r="DB559" i="1"/>
  <c r="DA559" i="1"/>
  <c r="DF558" i="1"/>
  <c r="DE558" i="1"/>
  <c r="DD558" i="1"/>
  <c r="DC558" i="1"/>
  <c r="DB558" i="1"/>
  <c r="DA558" i="1"/>
  <c r="DF557" i="1"/>
  <c r="DE557" i="1"/>
  <c r="DD557" i="1"/>
  <c r="DC557" i="1"/>
  <c r="DB557" i="1"/>
  <c r="DA557" i="1"/>
  <c r="DF528" i="1"/>
  <c r="DE528" i="1"/>
  <c r="DD528" i="1"/>
  <c r="DC528" i="1"/>
  <c r="DB528" i="1"/>
  <c r="DA528" i="1"/>
  <c r="CZ528" i="1"/>
  <c r="CY528" i="1"/>
  <c r="CX528" i="1"/>
  <c r="CW528" i="1"/>
  <c r="DF527" i="1"/>
  <c r="DE527" i="1"/>
  <c r="DD527" i="1"/>
  <c r="DC527" i="1"/>
  <c r="DB527" i="1"/>
  <c r="DF524" i="1"/>
  <c r="DE524" i="1"/>
  <c r="DD524" i="1"/>
  <c r="DC524" i="1"/>
  <c r="DB524" i="1"/>
  <c r="F18" i="22" s="1"/>
  <c r="DA524" i="1"/>
  <c r="E18" i="22" s="1"/>
  <c r="CZ524" i="1"/>
  <c r="D18" i="22" s="1"/>
  <c r="CY524" i="1"/>
  <c r="C18" i="22" s="1"/>
  <c r="CX524" i="1"/>
  <c r="CW524" i="1"/>
  <c r="DF492" i="1"/>
  <c r="DE492" i="1"/>
  <c r="DD492" i="1"/>
  <c r="DC492" i="1"/>
  <c r="DB492" i="1"/>
  <c r="DA492" i="1"/>
  <c r="CZ492" i="1"/>
  <c r="CY492" i="1"/>
  <c r="CX492" i="1"/>
  <c r="CW492" i="1"/>
  <c r="DF479" i="1"/>
  <c r="DE479" i="1"/>
  <c r="DD479" i="1"/>
  <c r="DC479" i="1"/>
  <c r="DB479" i="1"/>
  <c r="DA479" i="1"/>
  <c r="CZ479" i="1"/>
  <c r="CY479" i="1"/>
  <c r="CX479" i="1"/>
  <c r="DF477" i="1"/>
  <c r="DE477" i="1"/>
  <c r="DD477" i="1"/>
  <c r="DC477" i="1"/>
  <c r="DB477" i="1"/>
  <c r="DA477" i="1"/>
  <c r="CZ477" i="1"/>
  <c r="CY477" i="1"/>
  <c r="CX477" i="1"/>
  <c r="CW477" i="1"/>
  <c r="DF476" i="1"/>
  <c r="DE476" i="1"/>
  <c r="DD476" i="1"/>
  <c r="DC476" i="1"/>
  <c r="DB476" i="1"/>
  <c r="DA476" i="1"/>
  <c r="CZ476" i="1"/>
  <c r="CY476" i="1"/>
  <c r="CX476" i="1"/>
  <c r="CW476" i="1"/>
  <c r="DF450" i="1"/>
  <c r="DE450" i="1"/>
  <c r="DD450" i="1"/>
  <c r="DC450" i="1"/>
  <c r="DB450" i="1"/>
  <c r="DA450" i="1"/>
  <c r="CZ450" i="1"/>
  <c r="CY450" i="1"/>
  <c r="CX450" i="1"/>
  <c r="DF448" i="1"/>
  <c r="DE448" i="1"/>
  <c r="DD448" i="1"/>
  <c r="DC448" i="1"/>
  <c r="DB448" i="1"/>
  <c r="DA448" i="1"/>
  <c r="CZ448" i="1"/>
  <c r="CY448" i="1"/>
  <c r="CX448" i="1"/>
  <c r="CW448" i="1"/>
  <c r="DF447" i="1"/>
  <c r="DE447" i="1"/>
  <c r="DD447" i="1"/>
  <c r="DC447" i="1"/>
  <c r="DB447" i="1"/>
  <c r="DA447" i="1"/>
  <c r="CZ447" i="1"/>
  <c r="CY447" i="1"/>
  <c r="CX447" i="1"/>
  <c r="CW447" i="1"/>
  <c r="DF446" i="1"/>
  <c r="DE446" i="1"/>
  <c r="DD446" i="1"/>
  <c r="DC446" i="1"/>
  <c r="DB446" i="1"/>
  <c r="DA446" i="1"/>
  <c r="CZ446" i="1"/>
  <c r="CY446" i="1"/>
  <c r="CX446" i="1"/>
  <c r="CW446" i="1"/>
  <c r="DF442" i="1"/>
  <c r="BB27" i="21" s="1"/>
  <c r="DE442" i="1"/>
  <c r="BA27" i="21" s="1"/>
  <c r="DD442" i="1"/>
  <c r="AZ27" i="21" s="1"/>
  <c r="DC442" i="1"/>
  <c r="AY27" i="21" s="1"/>
  <c r="DB442" i="1"/>
  <c r="AX27" i="21" s="1"/>
  <c r="DA442" i="1"/>
  <c r="AW27" i="21" s="1"/>
  <c r="CZ442" i="1"/>
  <c r="AV27" i="21" s="1"/>
  <c r="CY442" i="1"/>
  <c r="AU27" i="21" s="1"/>
  <c r="CX442" i="1"/>
  <c r="AT27" i="21" s="1"/>
  <c r="CW442" i="1"/>
  <c r="AS27" i="21" s="1"/>
  <c r="DF439" i="1"/>
  <c r="DE439" i="1"/>
  <c r="DD439" i="1"/>
  <c r="DC439" i="1"/>
  <c r="DB439" i="1"/>
  <c r="DA439" i="1"/>
  <c r="DF438" i="1"/>
  <c r="DE438" i="1"/>
  <c r="DD438" i="1"/>
  <c r="DC438" i="1"/>
  <c r="DB438" i="1"/>
  <c r="DA438" i="1"/>
  <c r="DF437" i="1"/>
  <c r="DE437" i="1"/>
  <c r="DD437" i="1"/>
  <c r="DC437" i="1"/>
  <c r="DB437" i="1"/>
  <c r="DA437" i="1"/>
  <c r="DF436" i="1"/>
  <c r="DE436" i="1"/>
  <c r="DD436" i="1"/>
  <c r="DC436" i="1"/>
  <c r="DB436" i="1"/>
  <c r="DA436" i="1"/>
  <c r="DF415" i="1"/>
  <c r="DE415" i="1"/>
  <c r="DD415" i="1"/>
  <c r="DC415" i="1"/>
  <c r="DB415" i="1"/>
  <c r="DA415" i="1"/>
  <c r="CZ415" i="1"/>
  <c r="CY415" i="1"/>
  <c r="CX415" i="1"/>
  <c r="DF412" i="1"/>
  <c r="DE412" i="1"/>
  <c r="DD412" i="1"/>
  <c r="DC412" i="1"/>
  <c r="DB412" i="1"/>
  <c r="DA412" i="1"/>
  <c r="CZ412" i="1"/>
  <c r="CY412" i="1"/>
  <c r="CX412" i="1"/>
  <c r="CW412" i="1"/>
  <c r="DF411" i="1"/>
  <c r="DE411" i="1"/>
  <c r="DD411" i="1"/>
  <c r="DC411" i="1"/>
  <c r="DB411" i="1"/>
  <c r="DA411" i="1"/>
  <c r="CZ411" i="1"/>
  <c r="CY411" i="1"/>
  <c r="CX411" i="1"/>
  <c r="CW411" i="1"/>
  <c r="DF410" i="1"/>
  <c r="DE410" i="1"/>
  <c r="DD410" i="1"/>
  <c r="DC410" i="1"/>
  <c r="DB410" i="1"/>
  <c r="DA410" i="1"/>
  <c r="CZ410" i="1"/>
  <c r="CY410" i="1"/>
  <c r="CX410" i="1"/>
  <c r="CW410" i="1"/>
  <c r="DF407" i="1"/>
  <c r="BB16" i="21" s="1"/>
  <c r="DE407" i="1"/>
  <c r="BA16" i="21" s="1"/>
  <c r="DD407" i="1"/>
  <c r="AZ16" i="21" s="1"/>
  <c r="DC407" i="1"/>
  <c r="AY16" i="21" s="1"/>
  <c r="DB407" i="1"/>
  <c r="AX16" i="21" s="1"/>
  <c r="DA407" i="1"/>
  <c r="AW16" i="21" s="1"/>
  <c r="CZ407" i="1"/>
  <c r="AV16" i="21" s="1"/>
  <c r="CY407" i="1"/>
  <c r="AU16" i="21" s="1"/>
  <c r="CX407" i="1"/>
  <c r="AT16" i="21" s="1"/>
  <c r="CW407" i="1"/>
  <c r="AS16" i="21" s="1"/>
  <c r="DF401" i="1"/>
  <c r="DE401" i="1"/>
  <c r="DD401" i="1"/>
  <c r="DC401" i="1"/>
  <c r="DB401" i="1"/>
  <c r="DA401" i="1"/>
  <c r="CZ401" i="1"/>
  <c r="CY401" i="1"/>
  <c r="CX401" i="1"/>
  <c r="CW401" i="1"/>
  <c r="DF400" i="1"/>
  <c r="DE400" i="1"/>
  <c r="DD400" i="1"/>
  <c r="DC400" i="1"/>
  <c r="DB400" i="1"/>
  <c r="DA400" i="1"/>
  <c r="CZ400" i="1"/>
  <c r="CY400" i="1"/>
  <c r="CX400" i="1"/>
  <c r="CW400" i="1"/>
  <c r="DF399" i="1"/>
  <c r="DE399" i="1"/>
  <c r="DD399" i="1"/>
  <c r="DC399" i="1"/>
  <c r="DB399" i="1"/>
  <c r="DA399" i="1"/>
  <c r="CZ399" i="1"/>
  <c r="CY399" i="1"/>
  <c r="CX399" i="1"/>
  <c r="CW399" i="1"/>
  <c r="DF398" i="1"/>
  <c r="DE398" i="1"/>
  <c r="DD398" i="1"/>
  <c r="DC398" i="1"/>
  <c r="DB398" i="1"/>
  <c r="AX13" i="21" s="1"/>
  <c r="DA398" i="1"/>
  <c r="AW13" i="21" s="1"/>
  <c r="CZ398" i="1"/>
  <c r="AV13" i="21" s="1"/>
  <c r="CY398" i="1"/>
  <c r="AU13" i="21" s="1"/>
  <c r="CX398" i="1"/>
  <c r="AT13" i="21" s="1"/>
  <c r="CW398" i="1"/>
  <c r="AS13" i="21" s="1"/>
  <c r="DF388" i="1"/>
  <c r="DE388" i="1"/>
  <c r="DD388" i="1"/>
  <c r="DC388" i="1"/>
  <c r="DB388" i="1"/>
  <c r="DA388" i="1"/>
  <c r="CZ388" i="1"/>
  <c r="CY388" i="1"/>
  <c r="CX388" i="1"/>
  <c r="DF386" i="1"/>
  <c r="DE386" i="1"/>
  <c r="DD386" i="1"/>
  <c r="DC386" i="1"/>
  <c r="DB386" i="1"/>
  <c r="DA386" i="1"/>
  <c r="CZ386" i="1"/>
  <c r="CY386" i="1"/>
  <c r="CX386" i="1"/>
  <c r="CW386" i="1"/>
  <c r="DF385" i="1"/>
  <c r="DE385" i="1"/>
  <c r="DD385" i="1"/>
  <c r="DC385" i="1"/>
  <c r="DB385" i="1"/>
  <c r="DA385" i="1"/>
  <c r="CZ385" i="1"/>
  <c r="CY385" i="1"/>
  <c r="CX385" i="1"/>
  <c r="CW385" i="1"/>
  <c r="DF384" i="1"/>
  <c r="DE384" i="1"/>
  <c r="DD384" i="1"/>
  <c r="DC384" i="1"/>
  <c r="DB384" i="1"/>
  <c r="DA384" i="1"/>
  <c r="CZ384" i="1"/>
  <c r="CY384" i="1"/>
  <c r="CX384" i="1"/>
  <c r="CW384" i="1"/>
  <c r="DF383" i="1"/>
  <c r="DE383" i="1"/>
  <c r="DD383" i="1"/>
  <c r="DC383" i="1"/>
  <c r="DB383" i="1"/>
  <c r="DA383" i="1"/>
  <c r="CZ383" i="1"/>
  <c r="CY383" i="1"/>
  <c r="CX383" i="1"/>
  <c r="CW383" i="1"/>
  <c r="DF382" i="1"/>
  <c r="DF420" i="1" s="1"/>
  <c r="DE382" i="1"/>
  <c r="DE420" i="1" s="1"/>
  <c r="DD382" i="1"/>
  <c r="DD420" i="1" s="1"/>
  <c r="DC382" i="1"/>
  <c r="DC420" i="1" s="1"/>
  <c r="DB382" i="1"/>
  <c r="DB420" i="1" s="1"/>
  <c r="DA382" i="1"/>
  <c r="DA420" i="1" s="1"/>
  <c r="CZ382" i="1"/>
  <c r="CZ420" i="1" s="1"/>
  <c r="CY382" i="1"/>
  <c r="CY420" i="1" s="1"/>
  <c r="CX382" i="1"/>
  <c r="CX420" i="1" s="1"/>
  <c r="CW382" i="1"/>
  <c r="CW420" i="1" s="1"/>
  <c r="DF373" i="1"/>
  <c r="DE373" i="1"/>
  <c r="DD373" i="1"/>
  <c r="DC373" i="1"/>
  <c r="DB373" i="1"/>
  <c r="DA373" i="1"/>
  <c r="DF372" i="1"/>
  <c r="DE372" i="1"/>
  <c r="DD372" i="1"/>
  <c r="DC372" i="1"/>
  <c r="DB372" i="1"/>
  <c r="DA372" i="1"/>
  <c r="DF368" i="1"/>
  <c r="DE368" i="1"/>
  <c r="DD368" i="1"/>
  <c r="DC368" i="1"/>
  <c r="DB368" i="1"/>
  <c r="DA368" i="1"/>
  <c r="DF367" i="1"/>
  <c r="DE367" i="1"/>
  <c r="DD367" i="1"/>
  <c r="DC367" i="1"/>
  <c r="DB367" i="1"/>
  <c r="DA367" i="1"/>
  <c r="DF363" i="1"/>
  <c r="DE363" i="1"/>
  <c r="DD363" i="1"/>
  <c r="DC363" i="1"/>
  <c r="DB363" i="1"/>
  <c r="DA363" i="1"/>
  <c r="DF362" i="1"/>
  <c r="DE362" i="1"/>
  <c r="DD362" i="1"/>
  <c r="DC362" i="1"/>
  <c r="DB362" i="1"/>
  <c r="DA362" i="1"/>
  <c r="DF199" i="1"/>
  <c r="DE199" i="1"/>
  <c r="DD199" i="1"/>
  <c r="DC199" i="1"/>
  <c r="DB199" i="1"/>
  <c r="DA199" i="1"/>
  <c r="CZ199" i="1"/>
  <c r="CY199" i="1"/>
  <c r="CX199" i="1"/>
  <c r="CW199" i="1"/>
  <c r="DF198" i="1"/>
  <c r="DE198" i="1"/>
  <c r="DD198" i="1"/>
  <c r="DC198" i="1"/>
  <c r="DB198" i="1"/>
  <c r="DA198" i="1"/>
  <c r="CZ198" i="1"/>
  <c r="CY198" i="1"/>
  <c r="CX198" i="1"/>
  <c r="CW198" i="1"/>
  <c r="DF193" i="1"/>
  <c r="DE193" i="1"/>
  <c r="DD193" i="1"/>
  <c r="DC193" i="1"/>
  <c r="DB193" i="1"/>
  <c r="DA193" i="1"/>
  <c r="CZ193" i="1"/>
  <c r="CY193" i="1"/>
  <c r="CX193" i="1"/>
  <c r="CW193" i="1"/>
  <c r="DF192" i="1"/>
  <c r="DE192" i="1"/>
  <c r="DD192" i="1"/>
  <c r="DC192" i="1"/>
  <c r="DB192" i="1"/>
  <c r="DA192" i="1"/>
  <c r="CZ192" i="1"/>
  <c r="CY192" i="1"/>
  <c r="CX192" i="1"/>
  <c r="CW192" i="1"/>
  <c r="DF149" i="1"/>
  <c r="DE149" i="1"/>
  <c r="DD149" i="1"/>
  <c r="DC149" i="1"/>
  <c r="DB149" i="1"/>
  <c r="DA149" i="1"/>
  <c r="CZ149" i="1"/>
  <c r="CX149" i="1"/>
  <c r="DD135" i="1"/>
  <c r="DC135" i="1"/>
  <c r="DB135" i="1"/>
  <c r="DA135" i="1"/>
  <c r="CZ135" i="1"/>
  <c r="CY135" i="1"/>
  <c r="CX135" i="1"/>
  <c r="CW135" i="1"/>
  <c r="DF105" i="1"/>
  <c r="DE105" i="1"/>
  <c r="DD105" i="1"/>
  <c r="DC105" i="1"/>
  <c r="DB105" i="1"/>
  <c r="DA105" i="1"/>
  <c r="CY105" i="1"/>
  <c r="CX105" i="1"/>
  <c r="DF104" i="1"/>
  <c r="DE104" i="1"/>
  <c r="DD104" i="1"/>
  <c r="DC104" i="1"/>
  <c r="DB104" i="1"/>
  <c r="DA104" i="1"/>
  <c r="CZ104" i="1"/>
  <c r="CY104" i="1"/>
  <c r="CX104" i="1"/>
  <c r="CW104" i="1"/>
  <c r="CW101" i="1"/>
  <c r="CW92" i="1"/>
  <c r="CW574" i="1"/>
  <c r="BK622" i="1"/>
  <c r="BJ622" i="1"/>
  <c r="BK519" i="1"/>
  <c r="BJ519" i="1"/>
  <c r="BK518" i="1"/>
  <c r="BJ518" i="1"/>
  <c r="BK516" i="1"/>
  <c r="BJ516" i="1"/>
  <c r="BK504" i="1"/>
  <c r="BJ504" i="1"/>
  <c r="BK503" i="1"/>
  <c r="BJ503" i="1"/>
  <c r="BK502" i="1"/>
  <c r="BJ502" i="1"/>
  <c r="BK501" i="1"/>
  <c r="BJ501" i="1"/>
  <c r="BK475" i="1"/>
  <c r="BJ475" i="1"/>
  <c r="BK474" i="1"/>
  <c r="BJ474" i="1"/>
  <c r="BK473" i="1"/>
  <c r="BJ473" i="1"/>
  <c r="BK445" i="1"/>
  <c r="BJ445" i="1"/>
  <c r="BK444" i="1"/>
  <c r="BJ444" i="1"/>
  <c r="BK427" i="1"/>
  <c r="BK462" i="1" s="1"/>
  <c r="BK491" i="1" s="1"/>
  <c r="BJ427" i="1"/>
  <c r="BJ462" i="1" s="1"/>
  <c r="BJ491" i="1" s="1"/>
  <c r="BK424" i="1"/>
  <c r="BK459" i="1" s="1"/>
  <c r="BK488" i="1" s="1"/>
  <c r="BJ424" i="1"/>
  <c r="BJ459" i="1" s="1"/>
  <c r="BJ488" i="1" s="1"/>
  <c r="BK423" i="1"/>
  <c r="BK458" i="1" s="1"/>
  <c r="BK487" i="1" s="1"/>
  <c r="BJ423" i="1"/>
  <c r="BJ458" i="1" s="1"/>
  <c r="BJ487" i="1" s="1"/>
  <c r="BK422" i="1"/>
  <c r="BK457" i="1" s="1"/>
  <c r="BJ422" i="1"/>
  <c r="BJ457" i="1" s="1"/>
  <c r="BK420" i="1"/>
  <c r="BJ420" i="1"/>
  <c r="BK409" i="1"/>
  <c r="BJ409" i="1"/>
  <c r="BJ421" i="1" s="1"/>
  <c r="AQ141" i="1"/>
  <c r="AR141" i="1"/>
  <c r="AR115" i="1"/>
  <c r="AQ115" i="1"/>
  <c r="AP115" i="1"/>
  <c r="AR54" i="1"/>
  <c r="AQ54" i="1"/>
  <c r="AP54" i="1"/>
  <c r="AR52" i="1"/>
  <c r="AQ52" i="1"/>
  <c r="AP52" i="1"/>
  <c r="AR839" i="1"/>
  <c r="AQ839" i="1"/>
  <c r="AR824" i="1"/>
  <c r="AQ824" i="1"/>
  <c r="AR818" i="1"/>
  <c r="AQ818" i="1"/>
  <c r="AR815" i="1"/>
  <c r="AQ815" i="1"/>
  <c r="AR814" i="1"/>
  <c r="AQ814" i="1"/>
  <c r="AR737" i="1"/>
  <c r="AR763" i="1" s="1"/>
  <c r="AQ737" i="1"/>
  <c r="AR703" i="1"/>
  <c r="AQ703" i="1"/>
  <c r="AP703" i="1"/>
  <c r="AR672" i="1"/>
  <c r="AQ672" i="1"/>
  <c r="AP672" i="1"/>
  <c r="AR663" i="1"/>
  <c r="AQ663" i="1"/>
  <c r="AP663" i="1"/>
  <c r="AR735" i="1"/>
  <c r="AQ735" i="1"/>
  <c r="AP735" i="1"/>
  <c r="AR708" i="1"/>
  <c r="AQ708" i="1"/>
  <c r="AP708" i="1"/>
  <c r="AQ702" i="1"/>
  <c r="AP702" i="1"/>
  <c r="AR702" i="1"/>
  <c r="AQ700" i="1"/>
  <c r="AR698" i="1"/>
  <c r="AQ698" i="1"/>
  <c r="AP700" i="1"/>
  <c r="AR685" i="1"/>
  <c r="AQ685" i="1"/>
  <c r="AP685" i="1"/>
  <c r="AR684" i="1"/>
  <c r="AQ684" i="1"/>
  <c r="AP684" i="1"/>
  <c r="AR679" i="1"/>
  <c r="AQ679" i="1"/>
  <c r="AP679" i="1"/>
  <c r="AQ621" i="1"/>
  <c r="AR621" i="1"/>
  <c r="AQ625" i="1"/>
  <c r="AR625" i="1"/>
  <c r="AQ626" i="1"/>
  <c r="AR626" i="1"/>
  <c r="AQ627" i="1"/>
  <c r="AR627" i="1"/>
  <c r="AR633" i="1"/>
  <c r="AR612" i="1"/>
  <c r="AR817" i="1" s="1"/>
  <c r="AP611" i="1"/>
  <c r="AP612" i="1" s="1"/>
  <c r="AP116" i="1" s="1"/>
  <c r="AR600" i="1"/>
  <c r="AQ600" i="1"/>
  <c r="CV600" i="1" s="1"/>
  <c r="AP600" i="1"/>
  <c r="AR616" i="1"/>
  <c r="AR615" i="1" s="1"/>
  <c r="AQ616" i="1"/>
  <c r="AQ615" i="1" s="1"/>
  <c r="AP616" i="1"/>
  <c r="AP615" i="1" s="1"/>
  <c r="AQ611" i="1"/>
  <c r="AR599" i="1"/>
  <c r="AQ599" i="1"/>
  <c r="CV599" i="1" s="1"/>
  <c r="AP599" i="1"/>
  <c r="AR589" i="1"/>
  <c r="AQ589" i="1"/>
  <c r="CV589" i="1" s="1"/>
  <c r="AP589" i="1"/>
  <c r="AR588" i="1"/>
  <c r="AQ588" i="1"/>
  <c r="CV588" i="1" s="1"/>
  <c r="AP588" i="1"/>
  <c r="AR561" i="1"/>
  <c r="AQ561" i="1"/>
  <c r="CV561" i="1" s="1"/>
  <c r="AP561" i="1"/>
  <c r="AY13" i="21" l="1"/>
  <c r="K56" i="21"/>
  <c r="AZ13" i="21"/>
  <c r="L56" i="21"/>
  <c r="BA13" i="21"/>
  <c r="AR762" i="1"/>
  <c r="M56" i="21"/>
  <c r="BB13" i="21"/>
  <c r="G18" i="22"/>
  <c r="CV611" i="1"/>
  <c r="DF501" i="1"/>
  <c r="DF519" i="1"/>
  <c r="DF503" i="1"/>
  <c r="DF474" i="1"/>
  <c r="DF516" i="1"/>
  <c r="BJ486" i="1"/>
  <c r="CV672" i="1"/>
  <c r="CV663" i="1"/>
  <c r="AQ612" i="1"/>
  <c r="CV612" i="1" s="1"/>
  <c r="CX427" i="1"/>
  <c r="CX462" i="1" s="1"/>
  <c r="CX491" i="1" s="1"/>
  <c r="DB427" i="1"/>
  <c r="DB462" i="1" s="1"/>
  <c r="DB491" i="1" s="1"/>
  <c r="DF427" i="1"/>
  <c r="DF462" i="1" s="1"/>
  <c r="DF491" i="1" s="1"/>
  <c r="BJ456" i="1"/>
  <c r="BJ485" i="1" s="1"/>
  <c r="CZ422" i="1"/>
  <c r="CZ457" i="1" s="1"/>
  <c r="DD422" i="1"/>
  <c r="DD457" i="1" s="1"/>
  <c r="CX423" i="1"/>
  <c r="CX458" i="1" s="1"/>
  <c r="CX487" i="1" s="1"/>
  <c r="DB423" i="1"/>
  <c r="DB458" i="1" s="1"/>
  <c r="DB487" i="1" s="1"/>
  <c r="DF423" i="1"/>
  <c r="DF458" i="1" s="1"/>
  <c r="DF487" i="1" s="1"/>
  <c r="CZ424" i="1"/>
  <c r="CZ459" i="1" s="1"/>
  <c r="CZ488" i="1" s="1"/>
  <c r="DD424" i="1"/>
  <c r="DD459" i="1" s="1"/>
  <c r="DD488" i="1" s="1"/>
  <c r="AR603" i="1"/>
  <c r="CW422" i="1"/>
  <c r="CW457" i="1" s="1"/>
  <c r="DA422" i="1"/>
  <c r="DA457" i="1" s="1"/>
  <c r="DE422" i="1"/>
  <c r="DE457" i="1" s="1"/>
  <c r="CY423" i="1"/>
  <c r="CY458" i="1" s="1"/>
  <c r="CY487" i="1" s="1"/>
  <c r="DC423" i="1"/>
  <c r="DC458" i="1" s="1"/>
  <c r="DC487" i="1" s="1"/>
  <c r="CW424" i="1"/>
  <c r="CW459" i="1" s="1"/>
  <c r="CW488" i="1" s="1"/>
  <c r="DA424" i="1"/>
  <c r="DA459" i="1" s="1"/>
  <c r="DA488" i="1" s="1"/>
  <c r="DE424" i="1"/>
  <c r="DE459" i="1" s="1"/>
  <c r="DE488" i="1" s="1"/>
  <c r="CZ427" i="1"/>
  <c r="CZ462" i="1" s="1"/>
  <c r="CZ491" i="1" s="1"/>
  <c r="DD427" i="1"/>
  <c r="DD462" i="1" s="1"/>
  <c r="DD491" i="1" s="1"/>
  <c r="DA427" i="1"/>
  <c r="DA462" i="1" s="1"/>
  <c r="DA491" i="1" s="1"/>
  <c r="DE427" i="1"/>
  <c r="DE462" i="1" s="1"/>
  <c r="DE491" i="1" s="1"/>
  <c r="CV679" i="1"/>
  <c r="BK486" i="1"/>
  <c r="BK455" i="1"/>
  <c r="BK484" i="1" s="1"/>
  <c r="CV684" i="1"/>
  <c r="CV685" i="1"/>
  <c r="DF445" i="1"/>
  <c r="DF473" i="1"/>
  <c r="DF475" i="1"/>
  <c r="DF502" i="1"/>
  <c r="DF504" i="1"/>
  <c r="DF518" i="1"/>
  <c r="DF622" i="1"/>
  <c r="BK421" i="1"/>
  <c r="BK456" i="1" s="1"/>
  <c r="BK485" i="1" s="1"/>
  <c r="DF409" i="1"/>
  <c r="DF421" i="1" s="1"/>
  <c r="BJ455" i="1"/>
  <c r="BJ484" i="1" s="1"/>
  <c r="DF444" i="1"/>
  <c r="DF455" i="1" s="1"/>
  <c r="AR116" i="1"/>
  <c r="AR823" i="1"/>
  <c r="CX422" i="1"/>
  <c r="CX457" i="1" s="1"/>
  <c r="DB422" i="1"/>
  <c r="DB457" i="1" s="1"/>
  <c r="DF422" i="1"/>
  <c r="DF457" i="1" s="1"/>
  <c r="CZ423" i="1"/>
  <c r="CZ458" i="1" s="1"/>
  <c r="CZ487" i="1" s="1"/>
  <c r="DD423" i="1"/>
  <c r="DD458" i="1" s="1"/>
  <c r="DD487" i="1" s="1"/>
  <c r="CX424" i="1"/>
  <c r="CX459" i="1" s="1"/>
  <c r="CX488" i="1" s="1"/>
  <c r="DB424" i="1"/>
  <c r="DB459" i="1" s="1"/>
  <c r="DB488" i="1" s="1"/>
  <c r="DF424" i="1"/>
  <c r="DF459" i="1" s="1"/>
  <c r="DF488" i="1" s="1"/>
  <c r="CV615" i="1"/>
  <c r="CX615" i="1"/>
  <c r="CY422" i="1"/>
  <c r="CY457" i="1" s="1"/>
  <c r="DC422" i="1"/>
  <c r="DC457" i="1" s="1"/>
  <c r="CW423" i="1"/>
  <c r="CW458" i="1" s="1"/>
  <c r="CW487" i="1" s="1"/>
  <c r="DA423" i="1"/>
  <c r="DA458" i="1" s="1"/>
  <c r="DA487" i="1" s="1"/>
  <c r="DE423" i="1"/>
  <c r="DE458" i="1" s="1"/>
  <c r="DE487" i="1" s="1"/>
  <c r="CY424" i="1"/>
  <c r="CY459" i="1" s="1"/>
  <c r="CY488" i="1" s="1"/>
  <c r="DC424" i="1"/>
  <c r="DC459" i="1" s="1"/>
  <c r="DC488" i="1" s="1"/>
  <c r="CY427" i="1"/>
  <c r="CY462" i="1" s="1"/>
  <c r="CY491" i="1" s="1"/>
  <c r="DC427" i="1"/>
  <c r="DC462" i="1" s="1"/>
  <c r="DC491" i="1" s="1"/>
  <c r="CW735" i="1"/>
  <c r="DA735" i="1"/>
  <c r="CX735" i="1"/>
  <c r="DB735" i="1"/>
  <c r="CY735" i="1"/>
  <c r="DC735" i="1"/>
  <c r="CZ735" i="1"/>
  <c r="DD735" i="1"/>
  <c r="AQ696" i="1"/>
  <c r="AP698" i="1"/>
  <c r="AR696" i="1"/>
  <c r="AR700" i="1"/>
  <c r="AP696" i="1"/>
  <c r="AQ603" i="1"/>
  <c r="CV603" i="1" s="1"/>
  <c r="AP603" i="1"/>
  <c r="AV56" i="21" l="1"/>
  <c r="D49" i="22"/>
  <c r="AS56" i="21"/>
  <c r="G49" i="22"/>
  <c r="AY56" i="21"/>
  <c r="C49" i="22"/>
  <c r="K24" i="22" s="1"/>
  <c r="AU56" i="21"/>
  <c r="AZ56" i="21"/>
  <c r="AW56" i="21"/>
  <c r="E49" i="22"/>
  <c r="F49" i="22"/>
  <c r="AX56" i="21"/>
  <c r="AT56" i="21"/>
  <c r="CV613" i="1"/>
  <c r="AR62" i="21" s="1"/>
  <c r="DE135" i="1"/>
  <c r="DE138" i="1"/>
  <c r="AQ823" i="1"/>
  <c r="AQ116" i="1"/>
  <c r="DF456" i="1"/>
  <c r="DF485" i="1" s="1"/>
  <c r="DF484" i="1"/>
  <c r="AQ817" i="1"/>
  <c r="DF486" i="1"/>
  <c r="AR537" i="1"/>
  <c r="AQ537" i="1"/>
  <c r="AP535" i="1"/>
  <c r="AP537" i="1"/>
  <c r="AR523" i="1"/>
  <c r="AQ523" i="1"/>
  <c r="AP523" i="1"/>
  <c r="AR522" i="1"/>
  <c r="AQ522" i="1"/>
  <c r="AP522" i="1"/>
  <c r="AR520" i="1"/>
  <c r="AQ520" i="1"/>
  <c r="AP520" i="1"/>
  <c r="AR519" i="1"/>
  <c r="AQ519" i="1"/>
  <c r="AP519" i="1"/>
  <c r="AR518" i="1"/>
  <c r="AQ518" i="1"/>
  <c r="AP518" i="1"/>
  <c r="AR517" i="1"/>
  <c r="AQ517" i="1"/>
  <c r="AP517" i="1"/>
  <c r="AR516" i="1"/>
  <c r="AQ516" i="1"/>
  <c r="AP516" i="1"/>
  <c r="AR507" i="1"/>
  <c r="AQ507" i="1"/>
  <c r="AP507" i="1"/>
  <c r="AR504" i="1"/>
  <c r="AQ504" i="1"/>
  <c r="AP504" i="1"/>
  <c r="AR503" i="1"/>
  <c r="AQ503" i="1"/>
  <c r="AP503" i="1"/>
  <c r="AR502" i="1"/>
  <c r="AQ502" i="1"/>
  <c r="AQ130" i="1" s="1"/>
  <c r="AP502" i="1"/>
  <c r="AR501" i="1"/>
  <c r="AQ501" i="1"/>
  <c r="AP501" i="1"/>
  <c r="AR500" i="1"/>
  <c r="AQ500" i="1"/>
  <c r="AP500" i="1"/>
  <c r="AP102" i="1"/>
  <c r="AR101" i="1"/>
  <c r="AR105" i="1" s="1"/>
  <c r="CW105" i="1" s="1"/>
  <c r="AQ101" i="1"/>
  <c r="AQ105" i="1" s="1"/>
  <c r="AP101" i="1"/>
  <c r="AR479" i="1"/>
  <c r="CW479" i="1" s="1"/>
  <c r="AQ479" i="1"/>
  <c r="AP479" i="1"/>
  <c r="AR475" i="1"/>
  <c r="AQ475" i="1"/>
  <c r="AP475" i="1"/>
  <c r="AR474" i="1"/>
  <c r="AQ474" i="1"/>
  <c r="AP474" i="1"/>
  <c r="AR473" i="1"/>
  <c r="AQ473" i="1"/>
  <c r="AP473" i="1"/>
  <c r="AR468" i="1"/>
  <c r="AQ468" i="1"/>
  <c r="AP468" i="1"/>
  <c r="AR450" i="1"/>
  <c r="CW450" i="1" s="1"/>
  <c r="AQ450" i="1"/>
  <c r="AP450" i="1"/>
  <c r="AR445" i="1"/>
  <c r="AQ445" i="1"/>
  <c r="AP445" i="1"/>
  <c r="AR444" i="1"/>
  <c r="AQ444" i="1"/>
  <c r="AP444" i="1"/>
  <c r="AP434" i="1"/>
  <c r="AQ396" i="1"/>
  <c r="L11" i="21" s="1"/>
  <c r="AP396" i="1"/>
  <c r="AR425" i="1"/>
  <c r="AR460" i="1" s="1"/>
  <c r="AR489" i="1" s="1"/>
  <c r="AQ425" i="1"/>
  <c r="AQ460" i="1" s="1"/>
  <c r="AQ489" i="1" s="1"/>
  <c r="AP425" i="1"/>
  <c r="AP460" i="1" s="1"/>
  <c r="AP489" i="1" s="1"/>
  <c r="AR424" i="1"/>
  <c r="AR459" i="1" s="1"/>
  <c r="AR488" i="1" s="1"/>
  <c r="AQ424" i="1"/>
  <c r="AQ459" i="1" s="1"/>
  <c r="AQ488" i="1" s="1"/>
  <c r="AP424" i="1"/>
  <c r="AP459" i="1" s="1"/>
  <c r="AP488" i="1" s="1"/>
  <c r="AR423" i="1"/>
  <c r="AR458" i="1" s="1"/>
  <c r="AR487" i="1" s="1"/>
  <c r="AQ423" i="1"/>
  <c r="AQ458" i="1" s="1"/>
  <c r="AQ487" i="1" s="1"/>
  <c r="AP423" i="1"/>
  <c r="AP458" i="1" s="1"/>
  <c r="AP487" i="1" s="1"/>
  <c r="AR422" i="1"/>
  <c r="AR457" i="1" s="1"/>
  <c r="AQ422" i="1"/>
  <c r="AQ457" i="1" s="1"/>
  <c r="AP422" i="1"/>
  <c r="AP457" i="1" s="1"/>
  <c r="AR420" i="1"/>
  <c r="AQ420" i="1"/>
  <c r="AP420" i="1"/>
  <c r="AR415" i="1"/>
  <c r="CW415" i="1" s="1"/>
  <c r="AQ415" i="1"/>
  <c r="AP415" i="1"/>
  <c r="AR409" i="1"/>
  <c r="AR408" i="1" s="1"/>
  <c r="M17" i="21" s="1"/>
  <c r="AQ409" i="1"/>
  <c r="AQ408" i="1" s="1"/>
  <c r="L17" i="21" s="1"/>
  <c r="AP409" i="1"/>
  <c r="AR389" i="1"/>
  <c r="AP389" i="1"/>
  <c r="G50" i="22" l="1"/>
  <c r="O24" i="22"/>
  <c r="CV616" i="1"/>
  <c r="D50" i="22"/>
  <c r="L24" i="22"/>
  <c r="E50" i="22"/>
  <c r="M24" i="22"/>
  <c r="K11" i="21"/>
  <c r="DE735" i="1"/>
  <c r="F50" i="22"/>
  <c r="N24" i="22"/>
  <c r="CV389" i="1"/>
  <c r="CV523" i="1"/>
  <c r="CV396" i="1"/>
  <c r="AR11" i="21" s="1"/>
  <c r="AQ634" i="1"/>
  <c r="AQ143" i="1"/>
  <c r="AR143" i="1"/>
  <c r="AR634" i="1"/>
  <c r="AR635" i="1" s="1"/>
  <c r="AP486" i="1"/>
  <c r="CV473" i="1"/>
  <c r="CV500" i="1"/>
  <c r="CV504" i="1"/>
  <c r="CV468" i="1"/>
  <c r="CV479" i="1"/>
  <c r="CV503" i="1"/>
  <c r="CV415" i="1"/>
  <c r="CV445" i="1"/>
  <c r="CV444" i="1"/>
  <c r="AQ443" i="1"/>
  <c r="AR130" i="1"/>
  <c r="AP536" i="1"/>
  <c r="CV522" i="1"/>
  <c r="CV475" i="1"/>
  <c r="AP130" i="1"/>
  <c r="CV502" i="1"/>
  <c r="AP421" i="1"/>
  <c r="AP456" i="1" s="1"/>
  <c r="AP485" i="1" s="1"/>
  <c r="CV409" i="1"/>
  <c r="AR421" i="1"/>
  <c r="AR456" i="1" s="1"/>
  <c r="AR485" i="1" s="1"/>
  <c r="AR455" i="1"/>
  <c r="AR484" i="1" s="1"/>
  <c r="CV450" i="1"/>
  <c r="CV474" i="1"/>
  <c r="AP96" i="1"/>
  <c r="CV102" i="1"/>
  <c r="CV501" i="1"/>
  <c r="CV507" i="1"/>
  <c r="AP443" i="1"/>
  <c r="AP472" i="1"/>
  <c r="AR472" i="1"/>
  <c r="AR443" i="1"/>
  <c r="AR393" i="1"/>
  <c r="AP408" i="1"/>
  <c r="AQ455" i="1"/>
  <c r="AQ484" i="1" s="1"/>
  <c r="AP495" i="1"/>
  <c r="AP105" i="1"/>
  <c r="CV105" i="1" s="1"/>
  <c r="AQ486" i="1"/>
  <c r="AQ472" i="1"/>
  <c r="AR486" i="1"/>
  <c r="AP455" i="1"/>
  <c r="AP484" i="1" s="1"/>
  <c r="AQ393" i="1"/>
  <c r="AQ406" i="1"/>
  <c r="AR406" i="1"/>
  <c r="AQ421" i="1"/>
  <c r="AQ456" i="1" s="1"/>
  <c r="AQ485" i="1" s="1"/>
  <c r="AP471" i="1" l="1"/>
  <c r="K35" i="21"/>
  <c r="AS98" i="1"/>
  <c r="L28" i="21"/>
  <c r="CV408" i="1"/>
  <c r="AR17" i="21" s="1"/>
  <c r="K17" i="21"/>
  <c r="AQ465" i="1"/>
  <c r="L35" i="21"/>
  <c r="AQ405" i="1"/>
  <c r="L14" i="21" s="1"/>
  <c r="L15" i="21"/>
  <c r="AR471" i="1"/>
  <c r="M35" i="21"/>
  <c r="BA56" i="21"/>
  <c r="K28" i="21"/>
  <c r="AR405" i="1"/>
  <c r="M14" i="21" s="1"/>
  <c r="M15" i="21"/>
  <c r="AT98" i="1"/>
  <c r="M28" i="21"/>
  <c r="N30" i="21" s="1"/>
  <c r="DF135" i="1"/>
  <c r="BL735" i="1"/>
  <c r="DF138" i="1"/>
  <c r="AQ441" i="1"/>
  <c r="L26" i="21" s="1"/>
  <c r="AP465" i="1"/>
  <c r="AP712" i="1" s="1"/>
  <c r="AQ471" i="1"/>
  <c r="CV471" i="1" s="1"/>
  <c r="CV443" i="1"/>
  <c r="AQ712" i="1"/>
  <c r="AR465" i="1"/>
  <c r="AQ98" i="1"/>
  <c r="CV472" i="1"/>
  <c r="AP393" i="1"/>
  <c r="CV101" i="1"/>
  <c r="AR98" i="1"/>
  <c r="AP98" i="1"/>
  <c r="AP406" i="1"/>
  <c r="K15" i="21" s="1"/>
  <c r="AR441" i="1"/>
  <c r="M26" i="21" s="1"/>
  <c r="N29" i="21" s="1"/>
  <c r="AP441" i="1"/>
  <c r="K26" i="21" s="1"/>
  <c r="AR28" i="21" l="1"/>
  <c r="DF735" i="1"/>
  <c r="AR35" i="21"/>
  <c r="AG56" i="21"/>
  <c r="BN735" i="1"/>
  <c r="DG135" i="1"/>
  <c r="BM735" i="1"/>
  <c r="DG138" i="1"/>
  <c r="AR712" i="1"/>
  <c r="AP405" i="1"/>
  <c r="K14" i="21" s="1"/>
  <c r="CV406" i="1"/>
  <c r="AR15" i="21" s="1"/>
  <c r="AP440" i="1"/>
  <c r="CV441" i="1"/>
  <c r="AR26" i="21" s="1"/>
  <c r="AI56" i="21" l="1"/>
  <c r="BB56" i="21"/>
  <c r="AH56" i="21"/>
  <c r="DG735" i="1"/>
  <c r="DH138" i="1"/>
  <c r="CV405" i="1"/>
  <c r="AR14" i="21" s="1"/>
  <c r="AQ96" i="1"/>
  <c r="BC56" i="21" l="1"/>
  <c r="BO735" i="1"/>
  <c r="DH135" i="1"/>
  <c r="AJ56" i="21" l="1"/>
  <c r="DH735" i="1"/>
  <c r="BP735" i="1"/>
  <c r="DI138" i="1"/>
  <c r="AR388" i="1"/>
  <c r="AQ388" i="1"/>
  <c r="AQ427" i="1" s="1"/>
  <c r="AQ462" i="1" s="1"/>
  <c r="AQ491" i="1" s="1"/>
  <c r="AP388" i="1"/>
  <c r="AR381" i="1"/>
  <c r="AQ381" i="1"/>
  <c r="AP381" i="1"/>
  <c r="AR244" i="1"/>
  <c r="AQ244" i="1"/>
  <c r="AQ243" i="1" s="1"/>
  <c r="AP244" i="1"/>
  <c r="AR262" i="1"/>
  <c r="AQ262" i="1"/>
  <c r="AP262" i="1"/>
  <c r="AR257" i="1"/>
  <c r="AQ257" i="1"/>
  <c r="AP257" i="1"/>
  <c r="AR254" i="1"/>
  <c r="AQ254" i="1"/>
  <c r="AP254" i="1"/>
  <c r="AR249" i="1"/>
  <c r="AQ249" i="1"/>
  <c r="AP249" i="1"/>
  <c r="AR234" i="1"/>
  <c r="AQ234" i="1"/>
  <c r="AP234" i="1"/>
  <c r="AR228" i="1"/>
  <c r="AQ228" i="1"/>
  <c r="AP228" i="1"/>
  <c r="AR223" i="1"/>
  <c r="AQ223" i="1"/>
  <c r="AP223" i="1"/>
  <c r="AR215" i="1"/>
  <c r="AR217" i="1" s="1"/>
  <c r="AQ215" i="1"/>
  <c r="AQ218" i="1" s="1"/>
  <c r="AP215" i="1"/>
  <c r="AP218" i="1" s="1"/>
  <c r="AQ190" i="1"/>
  <c r="CV190" i="1" s="1"/>
  <c r="AR190" i="1"/>
  <c r="AQ191" i="1"/>
  <c r="CV191" i="1" s="1"/>
  <c r="AR191" i="1"/>
  <c r="AQ193" i="1"/>
  <c r="CV193" i="1" s="1"/>
  <c r="AR193" i="1"/>
  <c r="AR204" i="1"/>
  <c r="AQ204" i="1"/>
  <c r="AP204" i="1"/>
  <c r="AR198" i="1"/>
  <c r="AR61" i="1" s="1"/>
  <c r="AQ198" i="1"/>
  <c r="AQ61" i="1" s="1"/>
  <c r="AR186" i="1"/>
  <c r="AR55" i="1" s="1"/>
  <c r="AQ186" i="1"/>
  <c r="AQ55" i="1" s="1"/>
  <c r="AR178" i="1"/>
  <c r="AQ178" i="1"/>
  <c r="AR176" i="1"/>
  <c r="AR145" i="1" s="1"/>
  <c r="AQ176" i="1"/>
  <c r="AQ145" i="1" s="1"/>
  <c r="AQ171" i="1"/>
  <c r="CV171" i="1" s="1"/>
  <c r="AR171" i="1"/>
  <c r="AQ165" i="1"/>
  <c r="CV165" i="1" s="1"/>
  <c r="AR165" i="1"/>
  <c r="AP165" i="1"/>
  <c r="AQ158" i="1"/>
  <c r="AR158" i="1"/>
  <c r="AQ122" i="1"/>
  <c r="AR122" i="1"/>
  <c r="M61" i="21" l="1"/>
  <c r="M59" i="21"/>
  <c r="N60" i="21" s="1"/>
  <c r="L61" i="21"/>
  <c r="L59" i="21"/>
  <c r="L36" i="21" s="1"/>
  <c r="K61" i="21"/>
  <c r="AK56" i="21"/>
  <c r="L8" i="21"/>
  <c r="M8" i="21"/>
  <c r="N9" i="21" s="1"/>
  <c r="BD56" i="21"/>
  <c r="K8" i="21"/>
  <c r="AR243" i="1"/>
  <c r="DI135" i="1"/>
  <c r="AQ327" i="1"/>
  <c r="BQ735" i="1"/>
  <c r="AS216" i="1"/>
  <c r="CV192" i="1"/>
  <c r="AP232" i="1"/>
  <c r="AP233" i="1" s="1"/>
  <c r="AQ237" i="1"/>
  <c r="CV158" i="1"/>
  <c r="AP237" i="1"/>
  <c r="AR232" i="1"/>
  <c r="AR233" i="1" s="1"/>
  <c r="AR427" i="1"/>
  <c r="AR462" i="1" s="1"/>
  <c r="AR491" i="1" s="1"/>
  <c r="CW388" i="1"/>
  <c r="CW427" i="1" s="1"/>
  <c r="CW462" i="1" s="1"/>
  <c r="CW491" i="1" s="1"/>
  <c r="AP427" i="1"/>
  <c r="AP462" i="1" s="1"/>
  <c r="AP491" i="1" s="1"/>
  <c r="CV388" i="1"/>
  <c r="AR216" i="1"/>
  <c r="AQ232" i="1"/>
  <c r="AQ233" i="1" s="1"/>
  <c r="AQ259" i="1"/>
  <c r="AR515" i="1"/>
  <c r="AR419" i="1"/>
  <c r="AR99" i="1"/>
  <c r="AR53" i="1"/>
  <c r="AR192" i="1"/>
  <c r="AR58" i="1" s="1"/>
  <c r="AQ181" i="1"/>
  <c r="AQ795" i="1"/>
  <c r="AQ667" i="1"/>
  <c r="AQ192" i="1"/>
  <c r="AQ58" i="1" s="1"/>
  <c r="AP259" i="1"/>
  <c r="AP327" i="1"/>
  <c r="AP515" i="1"/>
  <c r="AP419" i="1"/>
  <c r="AP99" i="1"/>
  <c r="AR181" i="1"/>
  <c r="AR667" i="1"/>
  <c r="AR795" i="1"/>
  <c r="AQ419" i="1"/>
  <c r="AQ99" i="1"/>
  <c r="AQ515" i="1"/>
  <c r="AR327" i="1"/>
  <c r="AP243" i="1"/>
  <c r="AR259" i="1"/>
  <c r="AR237" i="1"/>
  <c r="AP217" i="1"/>
  <c r="AQ217" i="1"/>
  <c r="AR218" i="1"/>
  <c r="AQ177" i="1"/>
  <c r="AQ114" i="1" s="1"/>
  <c r="AR177" i="1"/>
  <c r="AR114" i="1" s="1"/>
  <c r="M36" i="21" l="1"/>
  <c r="AL56" i="21"/>
  <c r="M44" i="21"/>
  <c r="M47" i="21" s="1"/>
  <c r="K44" i="21"/>
  <c r="K47" i="21" s="1"/>
  <c r="AP238" i="1"/>
  <c r="K68" i="21"/>
  <c r="L44" i="21"/>
  <c r="L47" i="21" s="1"/>
  <c r="DI735" i="1"/>
  <c r="M68" i="21"/>
  <c r="N69" i="21" s="1"/>
  <c r="AQ258" i="1"/>
  <c r="AQ238" i="1"/>
  <c r="L68" i="21"/>
  <c r="AQ260" i="1"/>
  <c r="AQ261" i="1" s="1"/>
  <c r="CV667" i="1"/>
  <c r="AQ454" i="1"/>
  <c r="AQ792" i="1"/>
  <c r="AQ426" i="1"/>
  <c r="AP258" i="1"/>
  <c r="AP525" i="1"/>
  <c r="AP513" i="1"/>
  <c r="AP521" i="1"/>
  <c r="AQ813" i="1"/>
  <c r="AQ822" i="1"/>
  <c r="AQ812" i="1"/>
  <c r="AQ816" i="1"/>
  <c r="AQ146" i="1"/>
  <c r="AQ147" i="1"/>
  <c r="AR426" i="1"/>
  <c r="AR792" i="1"/>
  <c r="AR454" i="1"/>
  <c r="AR260" i="1"/>
  <c r="AP426" i="1"/>
  <c r="AP454" i="1"/>
  <c r="AR238" i="1"/>
  <c r="AQ620" i="1"/>
  <c r="AQ136" i="1"/>
  <c r="AQ838" i="1" s="1"/>
  <c r="AQ513" i="1"/>
  <c r="AQ521" i="1"/>
  <c r="AQ525" i="1"/>
  <c r="AR146" i="1"/>
  <c r="AR147" i="1"/>
  <c r="AR816" i="1"/>
  <c r="AR812" i="1"/>
  <c r="AR822" i="1"/>
  <c r="AR813" i="1"/>
  <c r="AR136" i="1"/>
  <c r="AR838" i="1" s="1"/>
  <c r="AR620" i="1"/>
  <c r="AR525" i="1"/>
  <c r="AR521" i="1"/>
  <c r="AR513" i="1"/>
  <c r="AR258" i="1"/>
  <c r="L51" i="21" l="1"/>
  <c r="L50" i="21" s="1"/>
  <c r="AP428" i="1"/>
  <c r="K19" i="21"/>
  <c r="K51" i="21"/>
  <c r="K50" i="21" s="1"/>
  <c r="M51" i="21"/>
  <c r="M50" i="21" s="1"/>
  <c r="N48" i="21"/>
  <c r="AQ428" i="1"/>
  <c r="L19" i="21"/>
  <c r="BE56" i="21"/>
  <c r="AR428" i="1"/>
  <c r="M19" i="21"/>
  <c r="N20" i="21" s="1"/>
  <c r="AR699" i="1"/>
  <c r="AQ699" i="1"/>
  <c r="AR261" i="1"/>
  <c r="AR483" i="1"/>
  <c r="AR461" i="1"/>
  <c r="AP544" i="1"/>
  <c r="AP734" i="1" s="1"/>
  <c r="AP545" i="1"/>
  <c r="AP527" i="1"/>
  <c r="AP529" i="1" s="1"/>
  <c r="AP534" i="1" s="1"/>
  <c r="AP538" i="1" s="1"/>
  <c r="K63" i="21" s="1"/>
  <c r="AQ461" i="1"/>
  <c r="AQ483" i="1"/>
  <c r="AR545" i="1"/>
  <c r="AR729" i="1" s="1"/>
  <c r="AR544" i="1"/>
  <c r="AQ734" i="1"/>
  <c r="AQ732" i="1"/>
  <c r="AP461" i="1"/>
  <c r="AP483" i="1"/>
  <c r="C3" i="1"/>
  <c r="AR463" i="1" l="1"/>
  <c r="M32" i="21"/>
  <c r="N33" i="21" s="1"/>
  <c r="L55" i="21"/>
  <c r="AP463" i="1"/>
  <c r="K32" i="21"/>
  <c r="AQ463" i="1"/>
  <c r="L32" i="21"/>
  <c r="AR758" i="1"/>
  <c r="AP541" i="1"/>
  <c r="AP674" i="1" s="1"/>
  <c r="AQ729" i="1"/>
  <c r="AR732" i="1"/>
  <c r="AP732" i="1"/>
  <c r="AP730" i="1"/>
  <c r="AQ728" i="1"/>
  <c r="AR738" i="1"/>
  <c r="AR730" i="1"/>
  <c r="AR741" i="1"/>
  <c r="AR767" i="1" s="1"/>
  <c r="AR740" i="1"/>
  <c r="AR766" i="1" s="1"/>
  <c r="AR728" i="1"/>
  <c r="AP728" i="1"/>
  <c r="AP490" i="1"/>
  <c r="AP129" i="1"/>
  <c r="AR129" i="1"/>
  <c r="AR490" i="1"/>
  <c r="AR734" i="1"/>
  <c r="AR761" i="1" s="1"/>
  <c r="AQ740" i="1"/>
  <c r="AQ730" i="1"/>
  <c r="AQ741" i="1"/>
  <c r="AQ490" i="1"/>
  <c r="AQ129" i="1"/>
  <c r="AP729" i="1"/>
  <c r="K54" i="21" l="1"/>
  <c r="AQ493" i="1"/>
  <c r="AQ510" i="1" s="1"/>
  <c r="L38" i="21"/>
  <c r="L41" i="21" s="1"/>
  <c r="AS733" i="1"/>
  <c r="M55" i="21"/>
  <c r="L54" i="21"/>
  <c r="AP493" i="1"/>
  <c r="AP510" i="1" s="1"/>
  <c r="K38" i="21"/>
  <c r="K41" i="21" s="1"/>
  <c r="AR757" i="1"/>
  <c r="AR493" i="1"/>
  <c r="AR510" i="1" s="1"/>
  <c r="M38" i="21"/>
  <c r="M41" i="21" s="1"/>
  <c r="K55" i="21"/>
  <c r="AS731" i="1"/>
  <c r="M54" i="21"/>
  <c r="AQ731" i="1"/>
  <c r="AP550" i="1"/>
  <c r="AP564" i="1" s="1"/>
  <c r="AP568" i="1" s="1"/>
  <c r="AP585" i="1" s="1"/>
  <c r="AP583" i="1" s="1"/>
  <c r="AR733" i="1"/>
  <c r="AQ733" i="1"/>
  <c r="AR760" i="1"/>
  <c r="AR731" i="1"/>
  <c r="AR759" i="1"/>
  <c r="AR840" i="1"/>
  <c r="AR764" i="1"/>
  <c r="J6" i="7"/>
  <c r="N81" i="7"/>
  <c r="O75" i="7"/>
  <c r="P74" i="7"/>
  <c r="O74" i="7"/>
  <c r="P73" i="7"/>
  <c r="O73" i="7"/>
  <c r="O72" i="7"/>
  <c r="O71" i="7"/>
  <c r="G6" i="7"/>
  <c r="AP587" i="1" l="1"/>
  <c r="G9" i="7"/>
  <c r="G10" i="7"/>
  <c r="AP607" i="1" l="1"/>
  <c r="AP590" i="1"/>
  <c r="AP595" i="1" s="1"/>
  <c r="AP150" i="1" l="1"/>
  <c r="AP593" i="1"/>
  <c r="AP591" i="1" s="1"/>
  <c r="AP592" i="1" s="1"/>
  <c r="G7" i="7" l="1"/>
  <c r="CU840" i="1"/>
  <c r="CT840" i="1"/>
  <c r="CV839" i="1"/>
  <c r="CU839" i="1"/>
  <c r="CT839" i="1"/>
  <c r="AP824" i="1"/>
  <c r="CV818" i="1"/>
  <c r="AP818" i="1"/>
  <c r="AP815" i="1"/>
  <c r="CU814" i="1"/>
  <c r="CT814" i="1"/>
  <c r="AP814" i="1"/>
  <c r="AP737" i="1"/>
  <c r="CV737" i="1" s="1"/>
  <c r="CV735" i="1"/>
  <c r="CV708" i="1"/>
  <c r="CV652" i="1"/>
  <c r="B652" i="1"/>
  <c r="B635" i="1"/>
  <c r="B637" i="1" s="1"/>
  <c r="CV634" i="1"/>
  <c r="B634" i="1"/>
  <c r="CV633" i="1"/>
  <c r="AP633" i="1"/>
  <c r="CV627" i="1"/>
  <c r="AP627" i="1"/>
  <c r="CV626" i="1"/>
  <c r="AP626" i="1"/>
  <c r="CV625" i="1"/>
  <c r="AP625" i="1"/>
  <c r="B623" i="1"/>
  <c r="BI622" i="1"/>
  <c r="BH622" i="1"/>
  <c r="BG622" i="1"/>
  <c r="BF622" i="1"/>
  <c r="BE622" i="1"/>
  <c r="BD622" i="1"/>
  <c r="BC622" i="1"/>
  <c r="BB622" i="1"/>
  <c r="BA622" i="1"/>
  <c r="B622" i="1"/>
  <c r="CV621" i="1"/>
  <c r="B621" i="1"/>
  <c r="CU618" i="1"/>
  <c r="CT618" i="1"/>
  <c r="CU616" i="1"/>
  <c r="CU615" i="1" s="1"/>
  <c r="CT616" i="1"/>
  <c r="CT615" i="1" s="1"/>
  <c r="CV817" i="1"/>
  <c r="CU611" i="1"/>
  <c r="CU612" i="1" s="1"/>
  <c r="CT611" i="1"/>
  <c r="CT612" i="1" s="1"/>
  <c r="CU607" i="1"/>
  <c r="CT607" i="1"/>
  <c r="CU599" i="1"/>
  <c r="CT599" i="1"/>
  <c r="CU589" i="1"/>
  <c r="CT589" i="1"/>
  <c r="CU588" i="1"/>
  <c r="CT588" i="1"/>
  <c r="CU587" i="1"/>
  <c r="CT587" i="1"/>
  <c r="B587" i="1"/>
  <c r="CW571" i="1"/>
  <c r="CW565" i="1"/>
  <c r="CU550" i="1"/>
  <c r="CT550" i="1"/>
  <c r="AP634" i="1"/>
  <c r="AP623" i="1"/>
  <c r="B536" i="1"/>
  <c r="AQ535" i="1"/>
  <c r="CV139" i="1" s="1"/>
  <c r="CU531" i="1"/>
  <c r="CT531" i="1"/>
  <c r="AP621" i="1"/>
  <c r="CU523" i="1"/>
  <c r="CT523" i="1"/>
  <c r="CV623" i="1"/>
  <c r="CU522" i="1"/>
  <c r="CT522" i="1"/>
  <c r="B522" i="1"/>
  <c r="CV520" i="1"/>
  <c r="CU520" i="1"/>
  <c r="CT520" i="1"/>
  <c r="CV519" i="1"/>
  <c r="CU519" i="1"/>
  <c r="CT519" i="1"/>
  <c r="BI519" i="1"/>
  <c r="BH519" i="1"/>
  <c r="BG519" i="1"/>
  <c r="BF519" i="1"/>
  <c r="BE519" i="1"/>
  <c r="BD519" i="1"/>
  <c r="BC519" i="1"/>
  <c r="BB519" i="1"/>
  <c r="BA519" i="1"/>
  <c r="AY519" i="1"/>
  <c r="CW519" i="1"/>
  <c r="CV518" i="1"/>
  <c r="CU518" i="1"/>
  <c r="CT518" i="1"/>
  <c r="BI518" i="1"/>
  <c r="BH518" i="1"/>
  <c r="BG518" i="1"/>
  <c r="BF518" i="1"/>
  <c r="BE518" i="1"/>
  <c r="BD518" i="1"/>
  <c r="BC518" i="1"/>
  <c r="BB518" i="1"/>
  <c r="BA518" i="1"/>
  <c r="AY518" i="1"/>
  <c r="CX518" i="1"/>
  <c r="CW518" i="1"/>
  <c r="CV517" i="1"/>
  <c r="CU517" i="1"/>
  <c r="CT517" i="1"/>
  <c r="CV516" i="1"/>
  <c r="CU516" i="1"/>
  <c r="CT516" i="1"/>
  <c r="BI516" i="1"/>
  <c r="BH516" i="1"/>
  <c r="BG516" i="1"/>
  <c r="BF516" i="1"/>
  <c r="BE516" i="1"/>
  <c r="BD516" i="1"/>
  <c r="BC516" i="1"/>
  <c r="BB516" i="1"/>
  <c r="BA516" i="1"/>
  <c r="AY516" i="1"/>
  <c r="CW516" i="1"/>
  <c r="CU507" i="1"/>
  <c r="CT507" i="1"/>
  <c r="CW505" i="1"/>
  <c r="CU504" i="1"/>
  <c r="CT504" i="1"/>
  <c r="BI504" i="1"/>
  <c r="BH504" i="1"/>
  <c r="BG504" i="1"/>
  <c r="BF504" i="1"/>
  <c r="BE504" i="1"/>
  <c r="BD504" i="1"/>
  <c r="BC504" i="1"/>
  <c r="BB504" i="1"/>
  <c r="BA504" i="1"/>
  <c r="CW504" i="1"/>
  <c r="CU503" i="1"/>
  <c r="CT503" i="1"/>
  <c r="BI503" i="1"/>
  <c r="BH503" i="1"/>
  <c r="BG503" i="1"/>
  <c r="BF503" i="1"/>
  <c r="BE503" i="1"/>
  <c r="BD503" i="1"/>
  <c r="BC503" i="1"/>
  <c r="BB503" i="1"/>
  <c r="BA503" i="1"/>
  <c r="CW503" i="1"/>
  <c r="CU502" i="1"/>
  <c r="CT502" i="1"/>
  <c r="BI502" i="1"/>
  <c r="BH502" i="1"/>
  <c r="BG502" i="1"/>
  <c r="BF502" i="1"/>
  <c r="BE502" i="1"/>
  <c r="BD502" i="1"/>
  <c r="BC502" i="1"/>
  <c r="BB502" i="1"/>
  <c r="BA502" i="1"/>
  <c r="CW502" i="1"/>
  <c r="CU501" i="1"/>
  <c r="CT501" i="1"/>
  <c r="BI501" i="1"/>
  <c r="BH501" i="1"/>
  <c r="BG501" i="1"/>
  <c r="BF501" i="1"/>
  <c r="BE501" i="1"/>
  <c r="BD501" i="1"/>
  <c r="BC501" i="1"/>
  <c r="BB501" i="1"/>
  <c r="BA501" i="1"/>
  <c r="CW501" i="1"/>
  <c r="AR536" i="1"/>
  <c r="CU497" i="1"/>
  <c r="CT497" i="1"/>
  <c r="CV492" i="1"/>
  <c r="CT492" i="1"/>
  <c r="CU479" i="1"/>
  <c r="CT479" i="1"/>
  <c r="CU475" i="1"/>
  <c r="CT475" i="1"/>
  <c r="BI475" i="1"/>
  <c r="BH475" i="1"/>
  <c r="BG475" i="1"/>
  <c r="BF475" i="1"/>
  <c r="BE475" i="1"/>
  <c r="BD475" i="1"/>
  <c r="BC475" i="1"/>
  <c r="BB475" i="1"/>
  <c r="BA475" i="1"/>
  <c r="CW475" i="1"/>
  <c r="CW486" i="1" s="1"/>
  <c r="CU474" i="1"/>
  <c r="CT474" i="1"/>
  <c r="BI474" i="1"/>
  <c r="BH474" i="1"/>
  <c r="BG474" i="1"/>
  <c r="BF474" i="1"/>
  <c r="BE474" i="1"/>
  <c r="BD474" i="1"/>
  <c r="BC474" i="1"/>
  <c r="BB474" i="1"/>
  <c r="BA474" i="1"/>
  <c r="CW474" i="1"/>
  <c r="CU473" i="1"/>
  <c r="CT473" i="1"/>
  <c r="BI473" i="1"/>
  <c r="BH473" i="1"/>
  <c r="BG473" i="1"/>
  <c r="BF473" i="1"/>
  <c r="BE473" i="1"/>
  <c r="BD473" i="1"/>
  <c r="BC473" i="1"/>
  <c r="BB473" i="1"/>
  <c r="BA473" i="1"/>
  <c r="CW473" i="1"/>
  <c r="CV465" i="1"/>
  <c r="CU468" i="1"/>
  <c r="CT468" i="1"/>
  <c r="CU450" i="1"/>
  <c r="CT450" i="1"/>
  <c r="CU445" i="1"/>
  <c r="CT445" i="1"/>
  <c r="BI445" i="1"/>
  <c r="BH445" i="1"/>
  <c r="BG445" i="1"/>
  <c r="BF445" i="1"/>
  <c r="BE445" i="1"/>
  <c r="BD445" i="1"/>
  <c r="BC445" i="1"/>
  <c r="BB445" i="1"/>
  <c r="BA445" i="1"/>
  <c r="CW445" i="1"/>
  <c r="CU444" i="1"/>
  <c r="CT444" i="1"/>
  <c r="BI444" i="1"/>
  <c r="BH444" i="1"/>
  <c r="BG444" i="1"/>
  <c r="BF444" i="1"/>
  <c r="BE444" i="1"/>
  <c r="BD444" i="1"/>
  <c r="BC444" i="1"/>
  <c r="BB444" i="1"/>
  <c r="BA444" i="1"/>
  <c r="CW444" i="1"/>
  <c r="CW455" i="1" s="1"/>
  <c r="AP430" i="1"/>
  <c r="CU434" i="1"/>
  <c r="CT434" i="1"/>
  <c r="BI427" i="1"/>
  <c r="BI462" i="1" s="1"/>
  <c r="BI491" i="1" s="1"/>
  <c r="BH427" i="1"/>
  <c r="BH462" i="1" s="1"/>
  <c r="BH491" i="1" s="1"/>
  <c r="BG427" i="1"/>
  <c r="BG462" i="1" s="1"/>
  <c r="BG491" i="1" s="1"/>
  <c r="BF427" i="1"/>
  <c r="BF462" i="1" s="1"/>
  <c r="BF491" i="1" s="1"/>
  <c r="BE427" i="1"/>
  <c r="BE462" i="1" s="1"/>
  <c r="BE491" i="1" s="1"/>
  <c r="BD427" i="1"/>
  <c r="BD462" i="1" s="1"/>
  <c r="BD491" i="1" s="1"/>
  <c r="BC427" i="1"/>
  <c r="BC462" i="1" s="1"/>
  <c r="BC491" i="1" s="1"/>
  <c r="BB427" i="1"/>
  <c r="BB462" i="1" s="1"/>
  <c r="BB491" i="1" s="1"/>
  <c r="BA427" i="1"/>
  <c r="BA462" i="1" s="1"/>
  <c r="BA491" i="1" s="1"/>
  <c r="AZ427" i="1"/>
  <c r="AZ462" i="1" s="1"/>
  <c r="AZ491" i="1" s="1"/>
  <c r="AY427" i="1"/>
  <c r="AY462" i="1" s="1"/>
  <c r="AY491" i="1" s="1"/>
  <c r="CV425" i="1"/>
  <c r="CV460" i="1" s="1"/>
  <c r="CV489" i="1" s="1"/>
  <c r="CU425" i="1"/>
  <c r="CU460" i="1" s="1"/>
  <c r="CU489" i="1" s="1"/>
  <c r="CT425" i="1"/>
  <c r="CT460" i="1" s="1"/>
  <c r="CT489" i="1" s="1"/>
  <c r="CV424" i="1"/>
  <c r="CV459" i="1" s="1"/>
  <c r="CV488" i="1" s="1"/>
  <c r="CU424" i="1"/>
  <c r="CU459" i="1" s="1"/>
  <c r="CU488" i="1" s="1"/>
  <c r="CT424" i="1"/>
  <c r="CT459" i="1" s="1"/>
  <c r="CT488" i="1" s="1"/>
  <c r="BI424" i="1"/>
  <c r="BI459" i="1" s="1"/>
  <c r="BI488" i="1" s="1"/>
  <c r="BH424" i="1"/>
  <c r="BH459" i="1" s="1"/>
  <c r="BH488" i="1" s="1"/>
  <c r="BG424" i="1"/>
  <c r="BG459" i="1" s="1"/>
  <c r="BG488" i="1" s="1"/>
  <c r="BF424" i="1"/>
  <c r="BF459" i="1" s="1"/>
  <c r="BF488" i="1" s="1"/>
  <c r="BE424" i="1"/>
  <c r="BE459" i="1" s="1"/>
  <c r="BE488" i="1" s="1"/>
  <c r="BD424" i="1"/>
  <c r="BD459" i="1" s="1"/>
  <c r="BD488" i="1" s="1"/>
  <c r="BC424" i="1"/>
  <c r="BC459" i="1" s="1"/>
  <c r="BC488" i="1" s="1"/>
  <c r="BB424" i="1"/>
  <c r="BB459" i="1" s="1"/>
  <c r="BB488" i="1" s="1"/>
  <c r="BA424" i="1"/>
  <c r="BA459" i="1" s="1"/>
  <c r="BA488" i="1" s="1"/>
  <c r="AZ424" i="1"/>
  <c r="AZ459" i="1" s="1"/>
  <c r="AZ488" i="1" s="1"/>
  <c r="AY424" i="1"/>
  <c r="AY459" i="1" s="1"/>
  <c r="AY488" i="1" s="1"/>
  <c r="CV423" i="1"/>
  <c r="CV458" i="1" s="1"/>
  <c r="CV487" i="1" s="1"/>
  <c r="CU423" i="1"/>
  <c r="CU458" i="1" s="1"/>
  <c r="CU487" i="1" s="1"/>
  <c r="CT423" i="1"/>
  <c r="CT458" i="1" s="1"/>
  <c r="CT487" i="1" s="1"/>
  <c r="BI423" i="1"/>
  <c r="BI458" i="1" s="1"/>
  <c r="BI487" i="1" s="1"/>
  <c r="BH423" i="1"/>
  <c r="BH458" i="1" s="1"/>
  <c r="BH487" i="1" s="1"/>
  <c r="BG423" i="1"/>
  <c r="BG458" i="1" s="1"/>
  <c r="BG487" i="1" s="1"/>
  <c r="BF423" i="1"/>
  <c r="BF458" i="1" s="1"/>
  <c r="BF487" i="1" s="1"/>
  <c r="BE423" i="1"/>
  <c r="BE458" i="1" s="1"/>
  <c r="BE487" i="1" s="1"/>
  <c r="BD423" i="1"/>
  <c r="BD458" i="1" s="1"/>
  <c r="BD487" i="1" s="1"/>
  <c r="BC423" i="1"/>
  <c r="BC458" i="1" s="1"/>
  <c r="BC487" i="1" s="1"/>
  <c r="BB423" i="1"/>
  <c r="BB458" i="1" s="1"/>
  <c r="BB487" i="1" s="1"/>
  <c r="BA423" i="1"/>
  <c r="BA458" i="1" s="1"/>
  <c r="BA487" i="1" s="1"/>
  <c r="AZ423" i="1"/>
  <c r="AZ458" i="1" s="1"/>
  <c r="AZ487" i="1" s="1"/>
  <c r="AY423" i="1"/>
  <c r="AY458" i="1" s="1"/>
  <c r="AY487" i="1" s="1"/>
  <c r="CV422" i="1"/>
  <c r="CV457" i="1" s="1"/>
  <c r="CV486" i="1" s="1"/>
  <c r="CU422" i="1"/>
  <c r="CU457" i="1" s="1"/>
  <c r="CT422" i="1"/>
  <c r="CT457" i="1" s="1"/>
  <c r="BI422" i="1"/>
  <c r="BI457" i="1" s="1"/>
  <c r="BH422" i="1"/>
  <c r="BH457" i="1" s="1"/>
  <c r="BG422" i="1"/>
  <c r="BG457" i="1" s="1"/>
  <c r="BF422" i="1"/>
  <c r="BF457" i="1" s="1"/>
  <c r="BE422" i="1"/>
  <c r="BE457" i="1" s="1"/>
  <c r="BD422" i="1"/>
  <c r="BD457" i="1" s="1"/>
  <c r="BC422" i="1"/>
  <c r="BC457" i="1" s="1"/>
  <c r="BB422" i="1"/>
  <c r="BB457" i="1" s="1"/>
  <c r="BA422" i="1"/>
  <c r="BA457" i="1" s="1"/>
  <c r="AZ422" i="1"/>
  <c r="AZ457" i="1" s="1"/>
  <c r="AY422" i="1"/>
  <c r="AY457" i="1" s="1"/>
  <c r="CV420" i="1"/>
  <c r="CU420" i="1"/>
  <c r="CT420" i="1"/>
  <c r="BI420" i="1"/>
  <c r="BH420" i="1"/>
  <c r="BG420" i="1"/>
  <c r="BF420" i="1"/>
  <c r="BE420" i="1"/>
  <c r="BD420" i="1"/>
  <c r="BC420" i="1"/>
  <c r="BB420" i="1"/>
  <c r="BA420" i="1"/>
  <c r="AZ420" i="1"/>
  <c r="AY420" i="1"/>
  <c r="CV427" i="1"/>
  <c r="CV462" i="1" s="1"/>
  <c r="CU415" i="1"/>
  <c r="CT415" i="1"/>
  <c r="CV421" i="1"/>
  <c r="CV456" i="1" s="1"/>
  <c r="CV485" i="1" s="1"/>
  <c r="CU409" i="1"/>
  <c r="CT409" i="1"/>
  <c r="CT421" i="1" s="1"/>
  <c r="BI409" i="1"/>
  <c r="BI421" i="1" s="1"/>
  <c r="BH409" i="1"/>
  <c r="BG409" i="1"/>
  <c r="BG421" i="1" s="1"/>
  <c r="BF409" i="1"/>
  <c r="BE409" i="1"/>
  <c r="BE421" i="1" s="1"/>
  <c r="BD409" i="1"/>
  <c r="BD421" i="1" s="1"/>
  <c r="BC409" i="1"/>
  <c r="BC421" i="1" s="1"/>
  <c r="BB409" i="1"/>
  <c r="BA409" i="1"/>
  <c r="BA421" i="1" s="1"/>
  <c r="AY421" i="1"/>
  <c r="CU396" i="1"/>
  <c r="AQ11" i="21" s="1"/>
  <c r="CT396" i="1"/>
  <c r="AP11" i="21" s="1"/>
  <c r="CU388" i="1"/>
  <c r="CT388" i="1"/>
  <c r="CV381" i="1"/>
  <c r="CU381" i="1"/>
  <c r="CT381" i="1"/>
  <c r="B373" i="1"/>
  <c r="B372" i="1"/>
  <c r="CU368" i="1"/>
  <c r="CT368" i="1"/>
  <c r="CU367" i="1"/>
  <c r="CT367" i="1"/>
  <c r="CU363" i="1"/>
  <c r="CT363" i="1"/>
  <c r="CU362" i="1"/>
  <c r="CT362" i="1"/>
  <c r="CU357" i="1"/>
  <c r="CT357" i="1"/>
  <c r="B315" i="1"/>
  <c r="B314" i="1"/>
  <c r="CU266" i="1"/>
  <c r="CT266" i="1"/>
  <c r="B258" i="1"/>
  <c r="CV257" i="1"/>
  <c r="CU257" i="1"/>
  <c r="CT257" i="1"/>
  <c r="B257" i="1"/>
  <c r="CV254" i="1"/>
  <c r="CU254" i="1"/>
  <c r="CT254" i="1"/>
  <c r="CV249" i="1"/>
  <c r="CU249" i="1"/>
  <c r="CT249" i="1"/>
  <c r="CU239" i="1"/>
  <c r="CT239" i="1"/>
  <c r="CV234" i="1"/>
  <c r="CU234" i="1"/>
  <c r="CT234" i="1"/>
  <c r="CV228" i="1"/>
  <c r="CU228" i="1"/>
  <c r="CT228" i="1"/>
  <c r="CV223" i="1"/>
  <c r="CU223" i="1"/>
  <c r="CT223" i="1"/>
  <c r="CV212" i="1"/>
  <c r="AP212" i="1"/>
  <c r="AP210" i="1"/>
  <c r="AQ210" i="1" s="1"/>
  <c r="CU208" i="1"/>
  <c r="CT208" i="1"/>
  <c r="CU205" i="1"/>
  <c r="CT205" i="1"/>
  <c r="CT203" i="1"/>
  <c r="B203" i="1"/>
  <c r="CU202" i="1"/>
  <c r="CT202" i="1"/>
  <c r="B202" i="1"/>
  <c r="CU198" i="1"/>
  <c r="CU61" i="1" s="1"/>
  <c r="CT198" i="1"/>
  <c r="CT61" i="1" s="1"/>
  <c r="AP198" i="1"/>
  <c r="AP61" i="1" s="1"/>
  <c r="B197" i="1"/>
  <c r="B196" i="1"/>
  <c r="AP193" i="1"/>
  <c r="CU192" i="1"/>
  <c r="CU58" i="1" s="1"/>
  <c r="CT192" i="1"/>
  <c r="CT58" i="1" s="1"/>
  <c r="B191" i="1"/>
  <c r="B190" i="1"/>
  <c r="CV186" i="1"/>
  <c r="CV55" i="1" s="1"/>
  <c r="CT186" i="1"/>
  <c r="CU185" i="1"/>
  <c r="AP186" i="1"/>
  <c r="AP55" i="1" s="1"/>
  <c r="CV178" i="1"/>
  <c r="CU178" i="1"/>
  <c r="CT178" i="1"/>
  <c r="AP178" i="1"/>
  <c r="AP176" i="1"/>
  <c r="AP145" i="1" s="1"/>
  <c r="CU171" i="1"/>
  <c r="CT171" i="1"/>
  <c r="AP171" i="1"/>
  <c r="CU165" i="1"/>
  <c r="CT165" i="1"/>
  <c r="CU157" i="1"/>
  <c r="CV52" i="1" s="1"/>
  <c r="CT157" i="1"/>
  <c r="CT158" i="1" s="1"/>
  <c r="CV141" i="1"/>
  <c r="CU141" i="1"/>
  <c r="CT141" i="1"/>
  <c r="AP141" i="1"/>
  <c r="AP143" i="1" s="1"/>
  <c r="AY131" i="1"/>
  <c r="CV130" i="1"/>
  <c r="CT123" i="1"/>
  <c r="CU123" i="1" s="1"/>
  <c r="AP122" i="1"/>
  <c r="CV116" i="1"/>
  <c r="CU102" i="1"/>
  <c r="CT102" i="1"/>
  <c r="CT96" i="1" s="1"/>
  <c r="CU101" i="1"/>
  <c r="CU790" i="1" s="1"/>
  <c r="CT101" i="1"/>
  <c r="CT97" i="1" s="1"/>
  <c r="CV93" i="1"/>
  <c r="CU93" i="1"/>
  <c r="CT93" i="1"/>
  <c r="CU64" i="1"/>
  <c r="CT64" i="1"/>
  <c r="CV61" i="1"/>
  <c r="CV58" i="1"/>
  <c r="CV54" i="1"/>
  <c r="CU54" i="1"/>
  <c r="CT5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CA3" i="1"/>
  <c r="BS3" i="1"/>
  <c r="CA2" i="1"/>
  <c r="BS2" i="1"/>
  <c r="C2" i="1"/>
  <c r="CB1" i="1"/>
  <c r="CB2" i="1" s="1"/>
  <c r="BT1" i="1"/>
  <c r="BT2" i="1" s="1"/>
  <c r="D1" i="1"/>
  <c r="O70" i="7"/>
  <c r="AZ131" i="1" l="1"/>
  <c r="BA131" i="1" s="1"/>
  <c r="BB131" i="1" s="1"/>
  <c r="BC131" i="1" s="1"/>
  <c r="BD131" i="1" s="1"/>
  <c r="BE131" i="1" s="1"/>
  <c r="BF131" i="1" s="1"/>
  <c r="BG131" i="1" s="1"/>
  <c r="BH131" i="1" s="1"/>
  <c r="BI131" i="1" s="1"/>
  <c r="BJ131" i="1" s="1"/>
  <c r="BK131" i="1" s="1"/>
  <c r="BL131" i="1" s="1"/>
  <c r="BM131" i="1" s="1"/>
  <c r="BN131" i="1" s="1"/>
  <c r="BO131" i="1" s="1"/>
  <c r="BP131" i="1" s="1"/>
  <c r="BQ131" i="1" s="1"/>
  <c r="K59" i="21"/>
  <c r="K36" i="21" s="1"/>
  <c r="AP59" i="21"/>
  <c r="AP60" i="21" s="1"/>
  <c r="CT500" i="1"/>
  <c r="CT495" i="1" s="1"/>
  <c r="AP40" i="21"/>
  <c r="CU500" i="1"/>
  <c r="CU495" i="1" s="1"/>
  <c r="AQ40" i="21"/>
  <c r="CT327" i="1"/>
  <c r="AP8" i="21"/>
  <c r="AP9" i="21" s="1"/>
  <c r="AP66" i="21"/>
  <c r="AP67" i="21" s="1"/>
  <c r="CU327" i="1"/>
  <c r="AQ8" i="21"/>
  <c r="AQ66" i="21"/>
  <c r="AR8" i="21"/>
  <c r="AQ59" i="21"/>
  <c r="AR56" i="21"/>
  <c r="AR59" i="21"/>
  <c r="AR36" i="21" s="1"/>
  <c r="CU262" i="1"/>
  <c r="CU261" i="1" s="1"/>
  <c r="CU376" i="1" s="1"/>
  <c r="CU296" i="1"/>
  <c r="CU354" i="1" s="1"/>
  <c r="CU323" i="1"/>
  <c r="AQ70" i="21" s="1"/>
  <c r="BH486" i="1"/>
  <c r="BA486" i="1"/>
  <c r="CZ503" i="1"/>
  <c r="DD518" i="1"/>
  <c r="BD486" i="1"/>
  <c r="DA501" i="1"/>
  <c r="CT130" i="1"/>
  <c r="BC456" i="1"/>
  <c r="BC485" i="1" s="1"/>
  <c r="CZ519" i="1"/>
  <c r="CY501" i="1"/>
  <c r="DE501" i="1"/>
  <c r="CX503" i="1"/>
  <c r="DD503" i="1"/>
  <c r="DB518" i="1"/>
  <c r="CX519" i="1"/>
  <c r="DD519" i="1"/>
  <c r="AY456" i="1"/>
  <c r="AY485" i="1" s="1"/>
  <c r="AZ486" i="1"/>
  <c r="DC501" i="1"/>
  <c r="DB503" i="1"/>
  <c r="CZ518" i="1"/>
  <c r="DB519" i="1"/>
  <c r="BI486" i="1"/>
  <c r="BE486" i="1"/>
  <c r="BG456" i="1"/>
  <c r="BG485" i="1" s="1"/>
  <c r="CY475" i="1"/>
  <c r="CY486" i="1" s="1"/>
  <c r="CU130" i="1"/>
  <c r="CU63" i="1"/>
  <c r="BD456" i="1"/>
  <c r="BD485" i="1" s="1"/>
  <c r="CY444" i="1"/>
  <c r="CY455" i="1" s="1"/>
  <c r="CX474" i="1"/>
  <c r="CY502" i="1"/>
  <c r="DA502" i="1"/>
  <c r="DC502" i="1"/>
  <c r="DE502" i="1"/>
  <c r="CX504" i="1"/>
  <c r="CZ504" i="1"/>
  <c r="DB504" i="1"/>
  <c r="DD504" i="1"/>
  <c r="CY516" i="1"/>
  <c r="DA516" i="1"/>
  <c r="BB486" i="1"/>
  <c r="BF486" i="1"/>
  <c r="CT486" i="1"/>
  <c r="CX444" i="1"/>
  <c r="CX455" i="1" s="1"/>
  <c r="CT111" i="1"/>
  <c r="BE456" i="1"/>
  <c r="BE485" i="1" s="1"/>
  <c r="BI456" i="1"/>
  <c r="BI485" i="1" s="1"/>
  <c r="CT472" i="1"/>
  <c r="CC1" i="1"/>
  <c r="CC3" i="1" s="1"/>
  <c r="CT63" i="1"/>
  <c r="CT456" i="1"/>
  <c r="CT485" i="1" s="1"/>
  <c r="CU472" i="1"/>
  <c r="CU237" i="1"/>
  <c r="CT364" i="1"/>
  <c r="CU486" i="1"/>
  <c r="CY503" i="1"/>
  <c r="DA503" i="1"/>
  <c r="CY518" i="1"/>
  <c r="DA518" i="1"/>
  <c r="CW484" i="1"/>
  <c r="CZ444" i="1"/>
  <c r="CZ455" i="1" s="1"/>
  <c r="DB444" i="1"/>
  <c r="DB455" i="1" s="1"/>
  <c r="DD444" i="1"/>
  <c r="DD455" i="1" s="1"/>
  <c r="CY474" i="1"/>
  <c r="DA474" i="1"/>
  <c r="DC474" i="1"/>
  <c r="DE474" i="1"/>
  <c r="CX501" i="1"/>
  <c r="DC518" i="1"/>
  <c r="DE518" i="1"/>
  <c r="CY519" i="1"/>
  <c r="DA519" i="1"/>
  <c r="DC622" i="1"/>
  <c r="DE622" i="1"/>
  <c r="CT53" i="1"/>
  <c r="CU97" i="1"/>
  <c r="CU111" i="1"/>
  <c r="CW151" i="1"/>
  <c r="CU181" i="1"/>
  <c r="CU813" i="1" s="1"/>
  <c r="CW409" i="1"/>
  <c r="CW421" i="1" s="1"/>
  <c r="CW456" i="1" s="1"/>
  <c r="CW485" i="1" s="1"/>
  <c r="CW413" i="1"/>
  <c r="CW425" i="1" s="1"/>
  <c r="CW460" i="1" s="1"/>
  <c r="CW489" i="1" s="1"/>
  <c r="DA444" i="1"/>
  <c r="DA455" i="1" s="1"/>
  <c r="DC444" i="1"/>
  <c r="DC455" i="1" s="1"/>
  <c r="DE444" i="1"/>
  <c r="DE455" i="1" s="1"/>
  <c r="CZ474" i="1"/>
  <c r="DB474" i="1"/>
  <c r="DD474" i="1"/>
  <c r="AR623" i="1"/>
  <c r="CZ501" i="1"/>
  <c r="DB501" i="1"/>
  <c r="DD501" i="1"/>
  <c r="DC503" i="1"/>
  <c r="DE503" i="1"/>
  <c r="DC519" i="1"/>
  <c r="DE519" i="1"/>
  <c r="CW561" i="1"/>
  <c r="CW573" i="1"/>
  <c r="CW606" i="1"/>
  <c r="DB622" i="1"/>
  <c r="DD622" i="1"/>
  <c r="CW677" i="1"/>
  <c r="CV111" i="1"/>
  <c r="CT204" i="1"/>
  <c r="CV237" i="1"/>
  <c r="CV696" i="1"/>
  <c r="CU372" i="1"/>
  <c r="CX409" i="1"/>
  <c r="CX421" i="1" s="1"/>
  <c r="CZ409" i="1"/>
  <c r="CZ421" i="1" s="1"/>
  <c r="BB421" i="1"/>
  <c r="BB456" i="1" s="1"/>
  <c r="BB485" i="1" s="1"/>
  <c r="DB409" i="1"/>
  <c r="DB421" i="1" s="1"/>
  <c r="BF421" i="1"/>
  <c r="BF456" i="1" s="1"/>
  <c r="BF485" i="1" s="1"/>
  <c r="DD409" i="1"/>
  <c r="DD421" i="1" s="1"/>
  <c r="CX445" i="1"/>
  <c r="CZ445" i="1"/>
  <c r="DB445" i="1"/>
  <c r="DD445" i="1"/>
  <c r="CX473" i="1"/>
  <c r="CZ473" i="1"/>
  <c r="DB473" i="1"/>
  <c r="DD473" i="1"/>
  <c r="DA475" i="1"/>
  <c r="DA486" i="1" s="1"/>
  <c r="DC475" i="1"/>
  <c r="DC486" i="1" s="1"/>
  <c r="DE475" i="1"/>
  <c r="DE486" i="1" s="1"/>
  <c r="CW522" i="1"/>
  <c r="CW499" i="1"/>
  <c r="DC516" i="1"/>
  <c r="DE516" i="1"/>
  <c r="AQ633" i="1"/>
  <c r="AQ635" i="1" s="1"/>
  <c r="AQ738" i="1" s="1"/>
  <c r="AQ840" i="1" s="1"/>
  <c r="CW539" i="1"/>
  <c r="CW554" i="1"/>
  <c r="CX574" i="1"/>
  <c r="CT837" i="1"/>
  <c r="CW678" i="1"/>
  <c r="CV210" i="1"/>
  <c r="AQ209" i="1"/>
  <c r="AR210" i="1"/>
  <c r="AS210" i="1" s="1"/>
  <c r="AT210" i="1" s="1"/>
  <c r="AU210" i="1" s="1"/>
  <c r="AV210" i="1" s="1"/>
  <c r="AW210" i="1" s="1"/>
  <c r="AX210" i="1" s="1"/>
  <c r="CT455" i="1"/>
  <c r="CT484" i="1" s="1"/>
  <c r="CW546" i="1"/>
  <c r="CW566" i="1"/>
  <c r="CW575" i="1"/>
  <c r="CU836" i="1"/>
  <c r="CW600" i="1"/>
  <c r="CU837" i="1"/>
  <c r="CW681" i="1"/>
  <c r="CT52" i="1"/>
  <c r="CV215" i="1"/>
  <c r="CV232" i="1" s="1"/>
  <c r="CU176" i="1"/>
  <c r="CU145" i="1" s="1"/>
  <c r="CV262" i="1"/>
  <c r="CT408" i="1"/>
  <c r="CY409" i="1"/>
  <c r="CY421" i="1" s="1"/>
  <c r="AZ421" i="1"/>
  <c r="AZ456" i="1" s="1"/>
  <c r="AZ485" i="1" s="1"/>
  <c r="DA409" i="1"/>
  <c r="DA421" i="1" s="1"/>
  <c r="DC409" i="1"/>
  <c r="DC421" i="1" s="1"/>
  <c r="BH421" i="1"/>
  <c r="BH456" i="1" s="1"/>
  <c r="BH485" i="1" s="1"/>
  <c r="DE409" i="1"/>
  <c r="DE421" i="1" s="1"/>
  <c r="CW435" i="1"/>
  <c r="AY455" i="1"/>
  <c r="AY484" i="1" s="1"/>
  <c r="BG455" i="1"/>
  <c r="BG484" i="1" s="1"/>
  <c r="CY445" i="1"/>
  <c r="DA445" i="1"/>
  <c r="DC445" i="1"/>
  <c r="DE445" i="1"/>
  <c r="CY473" i="1"/>
  <c r="DA473" i="1"/>
  <c r="DC473" i="1"/>
  <c r="DE473" i="1"/>
  <c r="CX475" i="1"/>
  <c r="CX486" i="1" s="1"/>
  <c r="CZ475" i="1"/>
  <c r="CZ486" i="1" s="1"/>
  <c r="DB475" i="1"/>
  <c r="DB486" i="1" s="1"/>
  <c r="DD475" i="1"/>
  <c r="DD486" i="1" s="1"/>
  <c r="CW498" i="1"/>
  <c r="CX502" i="1"/>
  <c r="CZ502" i="1"/>
  <c r="DB502" i="1"/>
  <c r="DD502" i="1"/>
  <c r="CY504" i="1"/>
  <c r="DA504" i="1"/>
  <c r="DC504" i="1"/>
  <c r="DE504" i="1"/>
  <c r="CX516" i="1"/>
  <c r="CZ516" i="1"/>
  <c r="DB516" i="1"/>
  <c r="DD516" i="1"/>
  <c r="CW588" i="1"/>
  <c r="CW555" i="1"/>
  <c r="CW577" i="1"/>
  <c r="CW603" i="1"/>
  <c r="CW601" i="1"/>
  <c r="CW682" i="1"/>
  <c r="CV698" i="1"/>
  <c r="CV181" i="1"/>
  <c r="D3" i="1"/>
  <c r="E1" i="1"/>
  <c r="BB455" i="1"/>
  <c r="BB484" i="1" s="1"/>
  <c r="AP181" i="1"/>
  <c r="AP667" i="1"/>
  <c r="AY486" i="1"/>
  <c r="BC486" i="1"/>
  <c r="BG486" i="1"/>
  <c r="CV495" i="1"/>
  <c r="CW517" i="1"/>
  <c r="CT443" i="1"/>
  <c r="BC455" i="1"/>
  <c r="BC484" i="1" s="1"/>
  <c r="CU455" i="1"/>
  <c r="CU484" i="1" s="1"/>
  <c r="CU443" i="1"/>
  <c r="AZ455" i="1"/>
  <c r="AZ484" i="1" s="1"/>
  <c r="BD455" i="1"/>
  <c r="BD484" i="1" s="1"/>
  <c r="BH455" i="1"/>
  <c r="BH484" i="1" s="1"/>
  <c r="CV455" i="1"/>
  <c r="CV484" i="1" s="1"/>
  <c r="CV491" i="1"/>
  <c r="CT427" i="1"/>
  <c r="CT462" i="1" s="1"/>
  <c r="CT491" i="1" s="1"/>
  <c r="BF455" i="1"/>
  <c r="BF484" i="1" s="1"/>
  <c r="CV712" i="1"/>
  <c r="AP191" i="1"/>
  <c r="G11" i="7"/>
  <c r="G8" i="7"/>
  <c r="D2" i="1"/>
  <c r="BU1" i="1"/>
  <c r="BT3" i="1"/>
  <c r="CB3" i="1"/>
  <c r="CT790" i="1"/>
  <c r="CT105" i="1"/>
  <c r="CU215" i="1"/>
  <c r="CT176" i="1"/>
  <c r="CT145" i="1" s="1"/>
  <c r="CU52" i="1"/>
  <c r="CT215" i="1"/>
  <c r="CT216" i="1"/>
  <c r="CV814" i="1"/>
  <c r="CV115" i="1"/>
  <c r="AP839" i="1"/>
  <c r="CT244" i="1"/>
  <c r="CT55" i="1"/>
  <c r="CU186" i="1"/>
  <c r="CU203" i="1"/>
  <c r="CU105" i="1"/>
  <c r="CU158" i="1"/>
  <c r="CV176" i="1"/>
  <c r="CT181" i="1"/>
  <c r="CT265" i="1"/>
  <c r="CU265" i="1"/>
  <c r="CT237" i="1"/>
  <c r="CV824" i="1"/>
  <c r="CV823" i="1"/>
  <c r="CV815" i="1"/>
  <c r="AP795" i="1"/>
  <c r="CV795" i="1"/>
  <c r="AP209" i="1"/>
  <c r="CV122" i="1"/>
  <c r="AP177" i="1"/>
  <c r="AP114" i="1" s="1"/>
  <c r="CV703" i="1"/>
  <c r="AP190" i="1"/>
  <c r="CT372" i="1"/>
  <c r="CT262" i="1"/>
  <c r="CT296" i="1"/>
  <c r="CT212" i="1"/>
  <c r="CT369" i="1"/>
  <c r="CW508" i="1"/>
  <c r="CV327" i="1"/>
  <c r="CV419" i="1"/>
  <c r="CU421" i="1"/>
  <c r="CU456" i="1" s="1"/>
  <c r="CU485" i="1" s="1"/>
  <c r="CU408" i="1"/>
  <c r="AQ17" i="21" s="1"/>
  <c r="CW507" i="1"/>
  <c r="CW520" i="1"/>
  <c r="CU212" i="1"/>
  <c r="BA455" i="1"/>
  <c r="BA484" i="1" s="1"/>
  <c r="BE455" i="1"/>
  <c r="BE484" i="1" s="1"/>
  <c r="BI455" i="1"/>
  <c r="BI484" i="1" s="1"/>
  <c r="CU427" i="1"/>
  <c r="CU462" i="1" s="1"/>
  <c r="CU491" i="1" s="1"/>
  <c r="CT836" i="1"/>
  <c r="CT590" i="1"/>
  <c r="CU590" i="1"/>
  <c r="BA456" i="1"/>
  <c r="BA485" i="1" s="1"/>
  <c r="AQ536" i="1"/>
  <c r="AQ623" i="1" s="1"/>
  <c r="CW553" i="1"/>
  <c r="AP823" i="1"/>
  <c r="AP817" i="1"/>
  <c r="CV635" i="1"/>
  <c r="AP635" i="1"/>
  <c r="CU379" i="1" l="1"/>
  <c r="AQ6" i="21" s="1"/>
  <c r="AQ9" i="21"/>
  <c r="AR9" i="21"/>
  <c r="CT430" i="1"/>
  <c r="AP28" i="21"/>
  <c r="AP30" i="21" s="1"/>
  <c r="CT419" i="1"/>
  <c r="AP17" i="21"/>
  <c r="CU791" i="1"/>
  <c r="AQ28" i="21"/>
  <c r="AR67" i="21"/>
  <c r="AQ67" i="21"/>
  <c r="AS43" i="21"/>
  <c r="AQ78" i="21"/>
  <c r="AP78" i="21"/>
  <c r="CT471" i="1"/>
  <c r="AP35" i="21"/>
  <c r="AP36" i="21" s="1"/>
  <c r="AR60" i="21"/>
  <c r="AQ60" i="21"/>
  <c r="CU465" i="1"/>
  <c r="AQ35" i="21"/>
  <c r="AQ36" i="21" s="1"/>
  <c r="CT238" i="1"/>
  <c r="AP68" i="21"/>
  <c r="AP69" i="21" s="1"/>
  <c r="CV112" i="1"/>
  <c r="AR68" i="21"/>
  <c r="AP61" i="21"/>
  <c r="CU112" i="1"/>
  <c r="AQ68" i="21"/>
  <c r="CV813" i="1"/>
  <c r="CU319" i="1"/>
  <c r="CU322" i="1" s="1"/>
  <c r="AX209" i="1"/>
  <c r="CU471" i="1"/>
  <c r="AW209" i="1"/>
  <c r="CT465" i="1"/>
  <c r="AV209" i="1"/>
  <c r="AU209" i="1"/>
  <c r="CT406" i="1"/>
  <c r="CU177" i="1"/>
  <c r="CU114" i="1" s="1"/>
  <c r="CV238" i="1"/>
  <c r="CX484" i="1"/>
  <c r="AT209" i="1"/>
  <c r="AT208" i="1" s="1"/>
  <c r="CU812" i="1"/>
  <c r="CZ484" i="1"/>
  <c r="CV809" i="1"/>
  <c r="CY484" i="1"/>
  <c r="CU809" i="1"/>
  <c r="CV811" i="1"/>
  <c r="CT393" i="1"/>
  <c r="CT454" i="1"/>
  <c r="CT515" i="1"/>
  <c r="CT177" i="1"/>
  <c r="CT114" i="1" s="1"/>
  <c r="CV117" i="1"/>
  <c r="CV218" i="1"/>
  <c r="AS209" i="1"/>
  <c r="CV217" i="1"/>
  <c r="AP192" i="1"/>
  <c r="AP58" i="1" s="1"/>
  <c r="CD1" i="1"/>
  <c r="CU811" i="1"/>
  <c r="CU238" i="1"/>
  <c r="CU117" i="1"/>
  <c r="CC2" i="1"/>
  <c r="DA456" i="1"/>
  <c r="DA485" i="1" s="1"/>
  <c r="CU321" i="1"/>
  <c r="DB484" i="1"/>
  <c r="DD484" i="1"/>
  <c r="CT811" i="1"/>
  <c r="CU364" i="1"/>
  <c r="CW536" i="1"/>
  <c r="CT795" i="1"/>
  <c r="AP154" i="1"/>
  <c r="AP816" i="1"/>
  <c r="CW661" i="1"/>
  <c r="AP822" i="1"/>
  <c r="DB456" i="1"/>
  <c r="DB485" i="1" s="1"/>
  <c r="CX456" i="1"/>
  <c r="CX485" i="1" s="1"/>
  <c r="CV808" i="1"/>
  <c r="CV810" i="1"/>
  <c r="DE456" i="1"/>
  <c r="DE485" i="1" s="1"/>
  <c r="CV209" i="1"/>
  <c r="CX554" i="1"/>
  <c r="CX606" i="1"/>
  <c r="CX561" i="1"/>
  <c r="CU147" i="1"/>
  <c r="CU120" i="1"/>
  <c r="CU146" i="1"/>
  <c r="CU154" i="1"/>
  <c r="CU121" i="1"/>
  <c r="CT441" i="1"/>
  <c r="CW433" i="1"/>
  <c r="CW523" i="1"/>
  <c r="AP812" i="1"/>
  <c r="CX682" i="1"/>
  <c r="CX603" i="1"/>
  <c r="CY456" i="1"/>
  <c r="CY485" i="1" s="1"/>
  <c r="CX681" i="1"/>
  <c r="CX600" i="1"/>
  <c r="CX575" i="1"/>
  <c r="DE484" i="1"/>
  <c r="CT791" i="1"/>
  <c r="AP813" i="1"/>
  <c r="DC456" i="1"/>
  <c r="DC485" i="1" s="1"/>
  <c r="AQ208" i="1"/>
  <c r="CY574" i="1"/>
  <c r="DD456" i="1"/>
  <c r="DD485" i="1" s="1"/>
  <c r="CZ456" i="1"/>
  <c r="CZ485" i="1" s="1"/>
  <c r="CX573" i="1"/>
  <c r="DC484" i="1"/>
  <c r="CX151" i="1"/>
  <c r="CU204" i="1"/>
  <c r="AQ61" i="21" s="1"/>
  <c r="CX413" i="1"/>
  <c r="CX425" i="1" s="1"/>
  <c r="CX460" i="1" s="1"/>
  <c r="CX489" i="1" s="1"/>
  <c r="CX601" i="1"/>
  <c r="CX577" i="1"/>
  <c r="CX706" i="1"/>
  <c r="CX566" i="1"/>
  <c r="AR209" i="1"/>
  <c r="DA484" i="1"/>
  <c r="CV515" i="1"/>
  <c r="CV147" i="1"/>
  <c r="CV154" i="1"/>
  <c r="CV146" i="1"/>
  <c r="CY92" i="1"/>
  <c r="E3" i="1"/>
  <c r="D5" i="1" s="1"/>
  <c r="E2" i="1"/>
  <c r="F1" i="1"/>
  <c r="AP146" i="1"/>
  <c r="AP147" i="1"/>
  <c r="AP208" i="1"/>
  <c r="AP64" i="1"/>
  <c r="AQ266" i="1"/>
  <c r="AP266" i="1"/>
  <c r="AQ64" i="1"/>
  <c r="CX555" i="1"/>
  <c r="CU515" i="1"/>
  <c r="CU430" i="1"/>
  <c r="CV98" i="1"/>
  <c r="CV99" i="1"/>
  <c r="CV430" i="1"/>
  <c r="CU98" i="1"/>
  <c r="CU441" i="1"/>
  <c r="CV393" i="1"/>
  <c r="CT98" i="1"/>
  <c r="CT99" i="1"/>
  <c r="CV53" i="1"/>
  <c r="CT813" i="1"/>
  <c r="CT812" i="1"/>
  <c r="CT147" i="1"/>
  <c r="CT146" i="1"/>
  <c r="CT121" i="1"/>
  <c r="CT154" i="1"/>
  <c r="CT120" i="1"/>
  <c r="CV177" i="1"/>
  <c r="CV114" i="1" s="1"/>
  <c r="CV145" i="1"/>
  <c r="CV216" i="1"/>
  <c r="CU53" i="1"/>
  <c r="CV244" i="1"/>
  <c r="CU55" i="1"/>
  <c r="CU244" i="1"/>
  <c r="CX565" i="1"/>
  <c r="CX505" i="1"/>
  <c r="CT261" i="1"/>
  <c r="CV816" i="1"/>
  <c r="CV822" i="1"/>
  <c r="CU369" i="1"/>
  <c r="CT809" i="1"/>
  <c r="CT112" i="1"/>
  <c r="CT117" i="1"/>
  <c r="CU267" i="1"/>
  <c r="CU87" i="1" s="1"/>
  <c r="CU88" i="1"/>
  <c r="CV812" i="1"/>
  <c r="CU216" i="1"/>
  <c r="CU232" i="1"/>
  <c r="CU218" i="1"/>
  <c r="CU217" i="1"/>
  <c r="CT379" i="1"/>
  <c r="AP6" i="21" s="1"/>
  <c r="CT321" i="1"/>
  <c r="CU419" i="1"/>
  <c r="CU406" i="1"/>
  <c r="CU393" i="1"/>
  <c r="CU99" i="1"/>
  <c r="CV454" i="1"/>
  <c r="CV426" i="1"/>
  <c r="CT267" i="1"/>
  <c r="CT87" i="1" s="1"/>
  <c r="CT88" i="1"/>
  <c r="CV233" i="1"/>
  <c r="CV110" i="1"/>
  <c r="CV109" i="1"/>
  <c r="CT232" i="1"/>
  <c r="CT218" i="1"/>
  <c r="CT217" i="1"/>
  <c r="CT834" i="1"/>
  <c r="CT595" i="1"/>
  <c r="CT593" i="1"/>
  <c r="CT548" i="1"/>
  <c r="CT150" i="1"/>
  <c r="AP741" i="1"/>
  <c r="AP740" i="1"/>
  <c r="AP620" i="1"/>
  <c r="AP136" i="1"/>
  <c r="AP838" i="1" s="1"/>
  <c r="AP738" i="1"/>
  <c r="CU834" i="1"/>
  <c r="CU593" i="1"/>
  <c r="CU595" i="1"/>
  <c r="CU548" i="1"/>
  <c r="CU150" i="1"/>
  <c r="CT259" i="1"/>
  <c r="CT243" i="1"/>
  <c r="BU3" i="1"/>
  <c r="BV1" i="1"/>
  <c r="BU2" i="1"/>
  <c r="AQ69" i="21" l="1"/>
  <c r="CT793" i="1"/>
  <c r="AP71" i="21" s="1"/>
  <c r="CT426" i="1"/>
  <c r="CT428" i="1" s="1"/>
  <c r="AQ77" i="21"/>
  <c r="CU521" i="1"/>
  <c r="AQ44" i="21"/>
  <c r="AQ47" i="21" s="1"/>
  <c r="CT521" i="1"/>
  <c r="AP44" i="21"/>
  <c r="AP47" i="21" s="1"/>
  <c r="AP48" i="21" s="1"/>
  <c r="CT405" i="1"/>
  <c r="CT89" i="1" s="1"/>
  <c r="AP15" i="21"/>
  <c r="AP77" i="21"/>
  <c r="AR69" i="21"/>
  <c r="AS69" i="21"/>
  <c r="AQ30" i="21"/>
  <c r="AR30" i="21"/>
  <c r="CV428" i="1"/>
  <c r="AR19" i="21"/>
  <c r="CT440" i="1"/>
  <c r="CU96" i="1" s="1"/>
  <c r="AP26" i="21"/>
  <c r="CU440" i="1"/>
  <c r="CV96" i="1" s="1"/>
  <c r="AQ26" i="21"/>
  <c r="CV521" i="1"/>
  <c r="AR44" i="21"/>
  <c r="AR47" i="21" s="1"/>
  <c r="CU405" i="1"/>
  <c r="AQ14" i="21" s="1"/>
  <c r="AQ15" i="21"/>
  <c r="AX266" i="1"/>
  <c r="AX64" i="1"/>
  <c r="AX208" i="1"/>
  <c r="AW208" i="1"/>
  <c r="AW64" i="1"/>
  <c r="CT792" i="1"/>
  <c r="AV208" i="1"/>
  <c r="AW266" i="1"/>
  <c r="CT461" i="1"/>
  <c r="AU208" i="1"/>
  <c r="AV266" i="1"/>
  <c r="CT483" i="1"/>
  <c r="CT490" i="1" s="1"/>
  <c r="AY35" i="1"/>
  <c r="CZ35" i="1" s="1"/>
  <c r="CT136" i="1"/>
  <c r="CT838" i="1" s="1"/>
  <c r="CT841" i="1" s="1"/>
  <c r="AU266" i="1"/>
  <c r="CV787" i="1"/>
  <c r="CE1" i="1"/>
  <c r="CE2" i="1" s="1"/>
  <c r="CD2" i="1"/>
  <c r="CT525" i="1"/>
  <c r="CT513" i="1"/>
  <c r="E5" i="1"/>
  <c r="C5" i="1" s="1"/>
  <c r="CD3" i="1"/>
  <c r="CX677" i="1"/>
  <c r="CW623" i="1"/>
  <c r="AT266" i="1"/>
  <c r="AT64" i="1"/>
  <c r="CX499" i="1"/>
  <c r="AS208" i="1"/>
  <c r="AT265" i="1" s="1"/>
  <c r="CX522" i="1"/>
  <c r="CU136" i="1"/>
  <c r="CU838" i="1" s="1"/>
  <c r="CU841" i="1" s="1"/>
  <c r="CX678" i="1"/>
  <c r="CY678" i="1"/>
  <c r="CU513" i="1"/>
  <c r="CV136" i="1"/>
  <c r="CV838" i="1" s="1"/>
  <c r="CU525" i="1"/>
  <c r="CV513" i="1"/>
  <c r="CW698" i="1"/>
  <c r="AR64" i="1"/>
  <c r="AS266" i="1"/>
  <c r="CX498" i="1"/>
  <c r="CX539" i="1"/>
  <c r="CU325" i="1"/>
  <c r="CV794" i="1"/>
  <c r="CW540" i="1"/>
  <c r="CW556" i="1"/>
  <c r="CW562" i="1" s="1"/>
  <c r="CW576" i="1"/>
  <c r="CT376" i="1"/>
  <c r="CY566" i="1"/>
  <c r="CX435" i="1"/>
  <c r="CX707" i="1"/>
  <c r="CY682" i="1"/>
  <c r="CX571" i="1"/>
  <c r="AR208" i="1"/>
  <c r="CY577" i="1"/>
  <c r="CY600" i="1"/>
  <c r="AY34" i="1"/>
  <c r="CZ34" i="1" s="1"/>
  <c r="CU122" i="1"/>
  <c r="CU115" i="1"/>
  <c r="CY561" i="1"/>
  <c r="CY554" i="1"/>
  <c r="CU795" i="1"/>
  <c r="CV208" i="1"/>
  <c r="CY603" i="1"/>
  <c r="CU116" i="1"/>
  <c r="CU826" i="1"/>
  <c r="CU822" i="1"/>
  <c r="CU818" i="1"/>
  <c r="CU816" i="1"/>
  <c r="CU827" i="1"/>
  <c r="CU823" i="1"/>
  <c r="CU825" i="1"/>
  <c r="CU821" i="1"/>
  <c r="CU817" i="1"/>
  <c r="CU824" i="1"/>
  <c r="CU820" i="1"/>
  <c r="CU819" i="1"/>
  <c r="AR266" i="1"/>
  <c r="CT319" i="1"/>
  <c r="CT322" i="1" s="1"/>
  <c r="CT323" i="1" s="1"/>
  <c r="AP70" i="21" s="1"/>
  <c r="CY601" i="1"/>
  <c r="CX517" i="1"/>
  <c r="CY573" i="1"/>
  <c r="BA574" i="1"/>
  <c r="CZ574" i="1"/>
  <c r="CY575" i="1"/>
  <c r="CY681" i="1"/>
  <c r="CY606" i="1"/>
  <c r="CV266" i="1"/>
  <c r="CV64" i="1"/>
  <c r="CV525" i="1"/>
  <c r="CV789" i="1"/>
  <c r="CV620" i="1"/>
  <c r="CV788" i="1"/>
  <c r="AR72" i="21" s="1"/>
  <c r="F3" i="1"/>
  <c r="G1" i="1"/>
  <c r="F2" i="1"/>
  <c r="AP63" i="1"/>
  <c r="AQ265" i="1"/>
  <c r="AQ267" i="1" s="1"/>
  <c r="AP265" i="1"/>
  <c r="AP267" i="1" s="1"/>
  <c r="AQ63" i="1"/>
  <c r="CX588" i="1"/>
  <c r="CV793" i="1"/>
  <c r="AR71" i="21" s="1"/>
  <c r="CV792" i="1"/>
  <c r="CU792" i="1"/>
  <c r="CT358" i="1"/>
  <c r="AP840" i="1"/>
  <c r="CT109" i="1"/>
  <c r="CT810" i="1"/>
  <c r="CT233" i="1"/>
  <c r="CX553" i="1"/>
  <c r="CT110" i="1"/>
  <c r="CT808" i="1"/>
  <c r="CX520" i="1"/>
  <c r="CT258" i="1"/>
  <c r="CT85" i="1"/>
  <c r="CU835" i="1"/>
  <c r="CU604" i="1"/>
  <c r="CU591" i="1"/>
  <c r="CU592" i="1" s="1"/>
  <c r="CT835" i="1"/>
  <c r="CT604" i="1"/>
  <c r="CT591" i="1"/>
  <c r="CT592" i="1" s="1"/>
  <c r="CU233" i="1"/>
  <c r="CU110" i="1"/>
  <c r="CU109" i="1"/>
  <c r="CU810" i="1"/>
  <c r="CU808" i="1"/>
  <c r="CT260" i="1"/>
  <c r="CV259" i="1"/>
  <c r="CV243" i="1"/>
  <c r="CT122" i="1"/>
  <c r="CT115" i="1"/>
  <c r="BV2" i="1"/>
  <c r="BV3" i="1"/>
  <c r="BW1" i="1"/>
  <c r="CW626" i="1"/>
  <c r="AP793" i="1"/>
  <c r="K71" i="21" s="1"/>
  <c r="CU243" i="1"/>
  <c r="CU259" i="1"/>
  <c r="AP792" i="1"/>
  <c r="CV118" i="1"/>
  <c r="CV113" i="1"/>
  <c r="CV86" i="1"/>
  <c r="CV84" i="1"/>
  <c r="CV461" i="1"/>
  <c r="CV483" i="1"/>
  <c r="CU794" i="1"/>
  <c r="CU426" i="1"/>
  <c r="CU454" i="1"/>
  <c r="CU793" i="1"/>
  <c r="AQ71" i="21" s="1"/>
  <c r="CT827" i="1"/>
  <c r="CT826" i="1"/>
  <c r="CT825" i="1"/>
  <c r="CT824" i="1"/>
  <c r="CT820" i="1"/>
  <c r="CT819" i="1"/>
  <c r="CT822" i="1"/>
  <c r="CT818" i="1"/>
  <c r="CT817" i="1"/>
  <c r="CT816" i="1"/>
  <c r="CT821" i="1"/>
  <c r="CT823" i="1"/>
  <c r="CT116" i="1"/>
  <c r="AP19" i="21" l="1"/>
  <c r="AP20" i="21" s="1"/>
  <c r="AR48" i="21"/>
  <c r="CT493" i="1"/>
  <c r="CT510" i="1" s="1"/>
  <c r="AP38" i="21"/>
  <c r="AP41" i="21" s="1"/>
  <c r="CU428" i="1"/>
  <c r="AQ19" i="21"/>
  <c r="AQ20" i="21" s="1"/>
  <c r="CU529" i="1"/>
  <c r="AQ51" i="21"/>
  <c r="AQ50" i="21" s="1"/>
  <c r="CT463" i="1"/>
  <c r="AP32" i="21"/>
  <c r="AP33" i="21" s="1"/>
  <c r="AQ48" i="21"/>
  <c r="CV463" i="1"/>
  <c r="AR32" i="21"/>
  <c r="CV260" i="1"/>
  <c r="CV261" i="1" s="1"/>
  <c r="AT43" i="21"/>
  <c r="AR51" i="21"/>
  <c r="AR50" i="21" s="1"/>
  <c r="AP51" i="21"/>
  <c r="AP50" i="21" s="1"/>
  <c r="AP14" i="21"/>
  <c r="AX265" i="1"/>
  <c r="AX267" i="1" s="1"/>
  <c r="AW265" i="1"/>
  <c r="AW267" i="1" s="1"/>
  <c r="AX63" i="1"/>
  <c r="AW63" i="1"/>
  <c r="AV265" i="1"/>
  <c r="AV267" i="1" s="1"/>
  <c r="CT529" i="1"/>
  <c r="AU265" i="1"/>
  <c r="CT129" i="1"/>
  <c r="AY60" i="1"/>
  <c r="AZ35" i="1"/>
  <c r="AZ60" i="1" s="1"/>
  <c r="CF1" i="1"/>
  <c r="CG1" i="1" s="1"/>
  <c r="CE3" i="1"/>
  <c r="CY706" i="1"/>
  <c r="CX507" i="1"/>
  <c r="CY539" i="1"/>
  <c r="CX536" i="1"/>
  <c r="AT267" i="1"/>
  <c r="CU81" i="1"/>
  <c r="AT63" i="1"/>
  <c r="AR63" i="1"/>
  <c r="AS265" i="1"/>
  <c r="CU269" i="1"/>
  <c r="AR265" i="1"/>
  <c r="AR267" i="1" s="1"/>
  <c r="CY435" i="1"/>
  <c r="CX661" i="1"/>
  <c r="BA681" i="1"/>
  <c r="CZ681" i="1"/>
  <c r="BB574" i="1"/>
  <c r="BC574" i="1" s="1"/>
  <c r="DA574" i="1"/>
  <c r="CY498" i="1"/>
  <c r="CV63" i="1"/>
  <c r="CV265" i="1"/>
  <c r="BA561" i="1"/>
  <c r="CZ561" i="1"/>
  <c r="CX433" i="1"/>
  <c r="U43" i="21"/>
  <c r="BA606" i="1"/>
  <c r="CZ606" i="1"/>
  <c r="BA575" i="1"/>
  <c r="CZ575" i="1"/>
  <c r="BA573" i="1"/>
  <c r="CZ573" i="1"/>
  <c r="BA603" i="1"/>
  <c r="CZ603" i="1"/>
  <c r="BA554" i="1"/>
  <c r="CZ554" i="1"/>
  <c r="AZ34" i="1"/>
  <c r="AY59" i="1"/>
  <c r="BA600" i="1"/>
  <c r="CZ600" i="1"/>
  <c r="BA577" i="1"/>
  <c r="CZ577" i="1"/>
  <c r="BA682" i="1"/>
  <c r="CZ682" i="1"/>
  <c r="CY413" i="1"/>
  <c r="CY425" i="1" s="1"/>
  <c r="CY460" i="1" s="1"/>
  <c r="CY489" i="1" s="1"/>
  <c r="BA601" i="1"/>
  <c r="CZ601" i="1"/>
  <c r="CZ151" i="1"/>
  <c r="BA566" i="1"/>
  <c r="CZ566" i="1"/>
  <c r="G3" i="1"/>
  <c r="G2" i="1"/>
  <c r="H1" i="1"/>
  <c r="CY555" i="1"/>
  <c r="CT269" i="1"/>
  <c r="CT325" i="1"/>
  <c r="CT81" i="1"/>
  <c r="CU358" i="1"/>
  <c r="CU483" i="1"/>
  <c r="CU461" i="1"/>
  <c r="CX576" i="1"/>
  <c r="CY565" i="1"/>
  <c r="CY571" i="1"/>
  <c r="CT373" i="1"/>
  <c r="CV490" i="1"/>
  <c r="CV129" i="1"/>
  <c r="CU260" i="1"/>
  <c r="CU258" i="1"/>
  <c r="CU85" i="1"/>
  <c r="BW2" i="1"/>
  <c r="BW3" i="1"/>
  <c r="BX1" i="1"/>
  <c r="CU118" i="1"/>
  <c r="CU113" i="1"/>
  <c r="CU86" i="1"/>
  <c r="CU84" i="1"/>
  <c r="CU598" i="1"/>
  <c r="CU603" i="1" s="1"/>
  <c r="CV258" i="1"/>
  <c r="CV89" i="1"/>
  <c r="CV85" i="1"/>
  <c r="CT598" i="1"/>
  <c r="CT603" i="1" s="1"/>
  <c r="CU89" i="1"/>
  <c r="CY505" i="1"/>
  <c r="CT113" i="1"/>
  <c r="CT118" i="1"/>
  <c r="CT86" i="1"/>
  <c r="CT84" i="1"/>
  <c r="CT359" i="1"/>
  <c r="AR20" i="21" l="1"/>
  <c r="AU43" i="21"/>
  <c r="CV493" i="1"/>
  <c r="CV510" i="1" s="1"/>
  <c r="AR38" i="21"/>
  <c r="AR41" i="21" s="1"/>
  <c r="CU463" i="1"/>
  <c r="AQ32" i="21"/>
  <c r="AQ33" i="21" s="1"/>
  <c r="CT786" i="1"/>
  <c r="AU267" i="1"/>
  <c r="CT784" i="1"/>
  <c r="BA35" i="1"/>
  <c r="DA35" i="1" s="1"/>
  <c r="F5" i="1"/>
  <c r="CF2" i="1"/>
  <c r="CF3" i="1"/>
  <c r="CY522" i="1"/>
  <c r="CY499" i="1"/>
  <c r="CY677" i="1"/>
  <c r="CY707" i="1"/>
  <c r="AS267" i="1"/>
  <c r="CZ435" i="1"/>
  <c r="G5" i="1"/>
  <c r="CX540" i="1"/>
  <c r="CZ498" i="1"/>
  <c r="BB575" i="1"/>
  <c r="BC575" i="1" s="1"/>
  <c r="DA575" i="1"/>
  <c r="CY433" i="1"/>
  <c r="CV267" i="1"/>
  <c r="CV87" i="1" s="1"/>
  <c r="CV88" i="1"/>
  <c r="BD574" i="1"/>
  <c r="BE574" i="1" s="1"/>
  <c r="DB574" i="1"/>
  <c r="DA151" i="1"/>
  <c r="BB601" i="1"/>
  <c r="BC601" i="1" s="1"/>
  <c r="DA601" i="1"/>
  <c r="BB682" i="1"/>
  <c r="BC682" i="1" s="1"/>
  <c r="DA682" i="1"/>
  <c r="BB600" i="1"/>
  <c r="BC600" i="1" s="1"/>
  <c r="DA600" i="1"/>
  <c r="BB554" i="1"/>
  <c r="BC554" i="1" s="1"/>
  <c r="DA554" i="1"/>
  <c r="CY517" i="1"/>
  <c r="BB573" i="1"/>
  <c r="BC573" i="1" s="1"/>
  <c r="DA573" i="1"/>
  <c r="BB606" i="1"/>
  <c r="BC606" i="1" s="1"/>
  <c r="DA606" i="1"/>
  <c r="BA435" i="1"/>
  <c r="BB435" i="1" s="1"/>
  <c r="BB681" i="1"/>
  <c r="BC681" i="1" s="1"/>
  <c r="DA681" i="1"/>
  <c r="BB566" i="1"/>
  <c r="BC566" i="1" s="1"/>
  <c r="DA566" i="1"/>
  <c r="BB577" i="1"/>
  <c r="BC577" i="1" s="1"/>
  <c r="DA577" i="1"/>
  <c r="AZ59" i="1"/>
  <c r="BA34" i="1"/>
  <c r="DA34" i="1" s="1"/>
  <c r="BB603" i="1"/>
  <c r="BC603" i="1" s="1"/>
  <c r="DA603" i="1"/>
  <c r="BA498" i="1"/>
  <c r="BB561" i="1"/>
  <c r="BC561" i="1" s="1"/>
  <c r="DA561" i="1"/>
  <c r="H3" i="1"/>
  <c r="H2" i="1"/>
  <c r="I1" i="1"/>
  <c r="CY588" i="1"/>
  <c r="CT374" i="1"/>
  <c r="CY553" i="1"/>
  <c r="CG3" i="1"/>
  <c r="CH1" i="1"/>
  <c r="CG2" i="1"/>
  <c r="CU359" i="1"/>
  <c r="CY520" i="1"/>
  <c r="CY507" i="1"/>
  <c r="BD114" i="1"/>
  <c r="BE114" i="1" s="1"/>
  <c r="BF114" i="1" s="1"/>
  <c r="BG114" i="1" s="1"/>
  <c r="BH114" i="1" s="1"/>
  <c r="BI114" i="1" s="1"/>
  <c r="BJ114" i="1" s="1"/>
  <c r="BK114" i="1" s="1"/>
  <c r="BL114" i="1" s="1"/>
  <c r="CU373" i="1"/>
  <c r="BX2" i="1"/>
  <c r="BX3" i="1"/>
  <c r="BY1" i="1"/>
  <c r="CT354" i="1"/>
  <c r="CU490" i="1"/>
  <c r="CU129" i="1"/>
  <c r="C16" i="22" l="1"/>
  <c r="AR33" i="21"/>
  <c r="CU493" i="1"/>
  <c r="CU510" i="1" s="1"/>
  <c r="AQ38" i="21"/>
  <c r="AQ41" i="21" s="1"/>
  <c r="AV43" i="21"/>
  <c r="BB498" i="1"/>
  <c r="W43" i="21" s="1"/>
  <c r="V43" i="21"/>
  <c r="BB35" i="1"/>
  <c r="BB60" i="1" s="1"/>
  <c r="BA60" i="1"/>
  <c r="CZ499" i="1"/>
  <c r="CZ539" i="1"/>
  <c r="CZ706" i="1"/>
  <c r="CZ678" i="1"/>
  <c r="CY661" i="1"/>
  <c r="DA498" i="1"/>
  <c r="BM114" i="1"/>
  <c r="BN114" i="1" s="1"/>
  <c r="DA435" i="1"/>
  <c r="CZ433" i="1"/>
  <c r="BD577" i="1"/>
  <c r="BE577" i="1" s="1"/>
  <c r="DB577" i="1"/>
  <c r="BD575" i="1"/>
  <c r="BE575" i="1" s="1"/>
  <c r="DB575" i="1"/>
  <c r="BD603" i="1"/>
  <c r="BE603" i="1" s="1"/>
  <c r="DB603" i="1"/>
  <c r="BD566" i="1"/>
  <c r="BE566" i="1" s="1"/>
  <c r="DB566" i="1"/>
  <c r="BD606" i="1"/>
  <c r="BE606" i="1" s="1"/>
  <c r="DB606" i="1"/>
  <c r="BD554" i="1"/>
  <c r="BE554" i="1" s="1"/>
  <c r="DB554" i="1"/>
  <c r="BD601" i="1"/>
  <c r="BE601" i="1" s="1"/>
  <c r="DB601" i="1"/>
  <c r="CX626" i="1"/>
  <c r="CX556" i="1"/>
  <c r="CX562" i="1" s="1"/>
  <c r="BA59" i="1"/>
  <c r="BB34" i="1"/>
  <c r="CY536" i="1"/>
  <c r="CZ413" i="1"/>
  <c r="CZ425" i="1" s="1"/>
  <c r="CZ460" i="1" s="1"/>
  <c r="CZ489" i="1" s="1"/>
  <c r="BD561" i="1"/>
  <c r="BE561" i="1" s="1"/>
  <c r="DB561" i="1"/>
  <c r="BD681" i="1"/>
  <c r="BE681" i="1" s="1"/>
  <c r="DB681" i="1"/>
  <c r="BC435" i="1"/>
  <c r="BD435" i="1" s="1"/>
  <c r="BD573" i="1"/>
  <c r="BE573" i="1" s="1"/>
  <c r="DB573" i="1"/>
  <c r="BA433" i="1"/>
  <c r="BB433" i="1" s="1"/>
  <c r="BD600" i="1"/>
  <c r="BE600" i="1" s="1"/>
  <c r="DB600" i="1"/>
  <c r="BD682" i="1"/>
  <c r="BE682" i="1" s="1"/>
  <c r="DB682" i="1"/>
  <c r="DB151" i="1"/>
  <c r="BF574" i="1"/>
  <c r="BG574" i="1" s="1"/>
  <c r="DC574" i="1"/>
  <c r="I3" i="1"/>
  <c r="I2" i="1"/>
  <c r="J1" i="1"/>
  <c r="CZ555" i="1"/>
  <c r="CZ571" i="1"/>
  <c r="BY3" i="1"/>
  <c r="BZ1" i="1"/>
  <c r="BY2" i="1"/>
  <c r="CZ565" i="1"/>
  <c r="CI1" i="1"/>
  <c r="CH2" i="1"/>
  <c r="CH3" i="1"/>
  <c r="CT375" i="1"/>
  <c r="CT377" i="1" s="1"/>
  <c r="CT391" i="1" s="1"/>
  <c r="CU380" i="1"/>
  <c r="CU374" i="1"/>
  <c r="AY522" i="1"/>
  <c r="CT380" i="1"/>
  <c r="CU786" i="1"/>
  <c r="CU784" i="1"/>
  <c r="CY576" i="1"/>
  <c r="CZ505" i="1"/>
  <c r="AW43" i="21" l="1"/>
  <c r="BC498" i="1"/>
  <c r="DB498" i="1" s="1"/>
  <c r="AQ7" i="21"/>
  <c r="AP7" i="21"/>
  <c r="D16" i="22"/>
  <c r="BC35" i="1"/>
  <c r="DB35" i="1" s="1"/>
  <c r="BA539" i="1"/>
  <c r="BA678" i="1"/>
  <c r="BA706" i="1"/>
  <c r="CZ707" i="1"/>
  <c r="CZ522" i="1"/>
  <c r="CZ677" i="1"/>
  <c r="BO114" i="1"/>
  <c r="BP114" i="1" s="1"/>
  <c r="CY540" i="1"/>
  <c r="DA433" i="1"/>
  <c r="DB435" i="1"/>
  <c r="BB59" i="1"/>
  <c r="BC34" i="1"/>
  <c r="DB34" i="1" s="1"/>
  <c r="BF601" i="1"/>
  <c r="BG601" i="1" s="1"/>
  <c r="DC601" i="1"/>
  <c r="BF554" i="1"/>
  <c r="BG554" i="1" s="1"/>
  <c r="DC554" i="1"/>
  <c r="BF603" i="1"/>
  <c r="BG603" i="1" s="1"/>
  <c r="DC603" i="1"/>
  <c r="BF575" i="1"/>
  <c r="BG575" i="1" s="1"/>
  <c r="DC575" i="1"/>
  <c r="BH574" i="1"/>
  <c r="BI574" i="1" s="1"/>
  <c r="DD574" i="1"/>
  <c r="BF682" i="1"/>
  <c r="BG682" i="1" s="1"/>
  <c r="DC682" i="1"/>
  <c r="BC433" i="1"/>
  <c r="BD433" i="1" s="1"/>
  <c r="BE435" i="1"/>
  <c r="BF435" i="1" s="1"/>
  <c r="BF561" i="1"/>
  <c r="BG561" i="1" s="1"/>
  <c r="DC561" i="1"/>
  <c r="AY425" i="1"/>
  <c r="AY460" i="1" s="1"/>
  <c r="AY489" i="1" s="1"/>
  <c r="AY517" i="1"/>
  <c r="CZ517" i="1" s="1"/>
  <c r="BF606" i="1"/>
  <c r="BG606" i="1" s="1"/>
  <c r="DC606" i="1"/>
  <c r="BF566" i="1"/>
  <c r="BG566" i="1" s="1"/>
  <c r="DC566" i="1"/>
  <c r="BF577" i="1"/>
  <c r="BG577" i="1" s="1"/>
  <c r="DC577" i="1"/>
  <c r="DC151" i="1"/>
  <c r="BF600" i="1"/>
  <c r="BG600" i="1" s="1"/>
  <c r="DC600" i="1"/>
  <c r="BF573" i="1"/>
  <c r="BG573" i="1" s="1"/>
  <c r="DC573" i="1"/>
  <c r="BF681" i="1"/>
  <c r="BG681" i="1" s="1"/>
  <c r="DC681" i="1"/>
  <c r="J3" i="1"/>
  <c r="K1" i="1"/>
  <c r="J2" i="1"/>
  <c r="H5" i="1"/>
  <c r="I5" i="1"/>
  <c r="AY588" i="1"/>
  <c r="CZ588" i="1" s="1"/>
  <c r="CU375" i="1"/>
  <c r="CU377" i="1" s="1"/>
  <c r="CU391" i="1" s="1"/>
  <c r="CI2" i="1"/>
  <c r="CI3" i="1"/>
  <c r="CJ1" i="1"/>
  <c r="BZ2" i="1"/>
  <c r="BZ3" i="1"/>
  <c r="BA499" i="1"/>
  <c r="BC60" i="1"/>
  <c r="AY520" i="1"/>
  <c r="CZ520" i="1" s="1"/>
  <c r="AY536" i="1"/>
  <c r="CZ553" i="1"/>
  <c r="BD498" i="1" l="1"/>
  <c r="X43" i="21"/>
  <c r="BB678" i="1"/>
  <c r="DA539" i="1"/>
  <c r="AX43" i="21"/>
  <c r="DA499" i="1"/>
  <c r="BB706" i="1"/>
  <c r="BB539" i="1"/>
  <c r="BD35" i="1"/>
  <c r="BD60" i="1" s="1"/>
  <c r="DA678" i="1"/>
  <c r="BA677" i="1"/>
  <c r="BA707" i="1"/>
  <c r="DA706" i="1"/>
  <c r="BQ114" i="1"/>
  <c r="CZ661" i="1"/>
  <c r="CZ507" i="1"/>
  <c r="DB433" i="1"/>
  <c r="DC435" i="1"/>
  <c r="CY626" i="1"/>
  <c r="CY556" i="1"/>
  <c r="CY562" i="1" s="1"/>
  <c r="BH577" i="1"/>
  <c r="BI577" i="1" s="1"/>
  <c r="DD577" i="1"/>
  <c r="BH606" i="1"/>
  <c r="BI606" i="1" s="1"/>
  <c r="DD606" i="1"/>
  <c r="BE433" i="1"/>
  <c r="BF433" i="1" s="1"/>
  <c r="BJ574" i="1"/>
  <c r="BK574" i="1" s="1"/>
  <c r="DE574" i="1"/>
  <c r="BC59" i="1"/>
  <c r="BD34" i="1"/>
  <c r="BH681" i="1"/>
  <c r="BI681" i="1" s="1"/>
  <c r="DD681" i="1"/>
  <c r="BH600" i="1"/>
  <c r="BI600" i="1" s="1"/>
  <c r="DD600" i="1"/>
  <c r="BH603" i="1"/>
  <c r="BI603" i="1" s="1"/>
  <c r="DD603" i="1"/>
  <c r="BH554" i="1"/>
  <c r="BI554" i="1" s="1"/>
  <c r="DD554" i="1"/>
  <c r="CZ536" i="1"/>
  <c r="BH566" i="1"/>
  <c r="BI566" i="1" s="1"/>
  <c r="DD566" i="1"/>
  <c r="BH561" i="1"/>
  <c r="BI561" i="1" s="1"/>
  <c r="DD561" i="1"/>
  <c r="BG435" i="1"/>
  <c r="BH435" i="1" s="1"/>
  <c r="BH682" i="1"/>
  <c r="BI682" i="1" s="1"/>
  <c r="DD682" i="1"/>
  <c r="BH573" i="1"/>
  <c r="BI573" i="1" s="1"/>
  <c r="DD573" i="1"/>
  <c r="DD151" i="1"/>
  <c r="AZ425" i="1"/>
  <c r="AZ460" i="1" s="1"/>
  <c r="AZ489" i="1" s="1"/>
  <c r="BA413" i="1"/>
  <c r="BH575" i="1"/>
  <c r="BI575" i="1" s="1"/>
  <c r="DD575" i="1"/>
  <c r="BH601" i="1"/>
  <c r="BI601" i="1" s="1"/>
  <c r="DD601" i="1"/>
  <c r="K3" i="1"/>
  <c r="J5" i="1" s="1"/>
  <c r="K2" i="1"/>
  <c r="L1" i="1"/>
  <c r="AZ588" i="1"/>
  <c r="BA555" i="1"/>
  <c r="DA555" i="1" s="1"/>
  <c r="N80" i="7"/>
  <c r="N79" i="7"/>
  <c r="J8" i="7"/>
  <c r="N78" i="7"/>
  <c r="CZ576" i="1"/>
  <c r="BA571" i="1"/>
  <c r="BA565" i="1"/>
  <c r="DA565" i="1" s="1"/>
  <c r="BE35" i="1"/>
  <c r="DC35" i="1" s="1"/>
  <c r="BA505" i="1"/>
  <c r="DA505" i="1" s="1"/>
  <c r="AY735" i="1"/>
  <c r="BA522" i="1"/>
  <c r="DA522" i="1" s="1"/>
  <c r="BB499" i="1"/>
  <c r="CJ2" i="1"/>
  <c r="CK1" i="1"/>
  <c r="CJ3" i="1"/>
  <c r="BC706" i="1" l="1"/>
  <c r="E16" i="22"/>
  <c r="BC678" i="1"/>
  <c r="T56" i="21"/>
  <c r="BC539" i="1"/>
  <c r="Y43" i="21"/>
  <c r="BE498" i="1"/>
  <c r="DA677" i="1"/>
  <c r="BB677" i="1"/>
  <c r="BB707" i="1"/>
  <c r="DA707" i="1"/>
  <c r="CZ540" i="1"/>
  <c r="DF574" i="1"/>
  <c r="BL574" i="1"/>
  <c r="BB413" i="1"/>
  <c r="BA517" i="1"/>
  <c r="DA517" i="1" s="1"/>
  <c r="BA425" i="1"/>
  <c r="BA460" i="1" s="1"/>
  <c r="BA489" i="1" s="1"/>
  <c r="DD435" i="1"/>
  <c r="BD59" i="1"/>
  <c r="BE34" i="1"/>
  <c r="DC34" i="1" s="1"/>
  <c r="DC433" i="1"/>
  <c r="BA661" i="1"/>
  <c r="DA571" i="1"/>
  <c r="DE151" i="1"/>
  <c r="BI435" i="1"/>
  <c r="BJ435" i="1" s="1"/>
  <c r="BJ603" i="1"/>
  <c r="BK603" i="1" s="1"/>
  <c r="DE603" i="1"/>
  <c r="BJ600" i="1"/>
  <c r="BK600" i="1" s="1"/>
  <c r="DE600" i="1"/>
  <c r="BG433" i="1"/>
  <c r="BH433" i="1" s="1"/>
  <c r="BJ577" i="1"/>
  <c r="BK577" i="1" s="1"/>
  <c r="DE577" i="1"/>
  <c r="BJ601" i="1"/>
  <c r="BK601" i="1" s="1"/>
  <c r="DE601" i="1"/>
  <c r="BJ575" i="1"/>
  <c r="BK575" i="1" s="1"/>
  <c r="DE575" i="1"/>
  <c r="DA413" i="1"/>
  <c r="DA425" i="1" s="1"/>
  <c r="DA460" i="1" s="1"/>
  <c r="DA489" i="1" s="1"/>
  <c r="BJ573" i="1"/>
  <c r="BK573" i="1" s="1"/>
  <c r="DE573" i="1"/>
  <c r="BJ682" i="1"/>
  <c r="BK682" i="1" s="1"/>
  <c r="DE682" i="1"/>
  <c r="BJ561" i="1"/>
  <c r="BK561" i="1" s="1"/>
  <c r="DE561" i="1"/>
  <c r="BJ566" i="1"/>
  <c r="BK566" i="1" s="1"/>
  <c r="DE566" i="1"/>
  <c r="BJ554" i="1"/>
  <c r="BK554" i="1" s="1"/>
  <c r="DE554" i="1"/>
  <c r="BJ681" i="1"/>
  <c r="BK681" i="1" s="1"/>
  <c r="DE681" i="1"/>
  <c r="BJ606" i="1"/>
  <c r="BK606" i="1" s="1"/>
  <c r="DE606" i="1"/>
  <c r="K5" i="1"/>
  <c r="L3" i="1"/>
  <c r="M1" i="1"/>
  <c r="L2" i="1"/>
  <c r="BB555" i="1"/>
  <c r="BA588" i="1"/>
  <c r="DA588" i="1" s="1"/>
  <c r="AZ735" i="1"/>
  <c r="CK3" i="1"/>
  <c r="CL1" i="1"/>
  <c r="CK2" i="1"/>
  <c r="BA147" i="1"/>
  <c r="BB565" i="1"/>
  <c r="BA553" i="1"/>
  <c r="DA553" i="1" s="1"/>
  <c r="BB522" i="1"/>
  <c r="BC499" i="1"/>
  <c r="BA536" i="1"/>
  <c r="BA507" i="1"/>
  <c r="DA507" i="1" s="1"/>
  <c r="BA520" i="1"/>
  <c r="DA520" i="1" s="1"/>
  <c r="BB505" i="1"/>
  <c r="BE60" i="1"/>
  <c r="BF35" i="1"/>
  <c r="BB571" i="1"/>
  <c r="AB263" i="10"/>
  <c r="X263" i="10"/>
  <c r="W263" i="10"/>
  <c r="U263" i="10"/>
  <c r="T263" i="10"/>
  <c r="R263" i="10"/>
  <c r="Q263" i="10"/>
  <c r="O263" i="10"/>
  <c r="N263" i="10"/>
  <c r="AB262" i="10"/>
  <c r="Y262" i="10"/>
  <c r="V262" i="10"/>
  <c r="S262" i="10"/>
  <c r="P262" i="10"/>
  <c r="AB260" i="10"/>
  <c r="Y260" i="10"/>
  <c r="V260" i="10"/>
  <c r="S260" i="10"/>
  <c r="P260" i="10"/>
  <c r="AA259" i="10"/>
  <c r="Z259" i="10"/>
  <c r="X259" i="10"/>
  <c r="W259" i="10"/>
  <c r="U259" i="10"/>
  <c r="T259" i="10"/>
  <c r="R259" i="10"/>
  <c r="Q259" i="10"/>
  <c r="O259" i="10"/>
  <c r="N259" i="10"/>
  <c r="AB255" i="10"/>
  <c r="V255" i="10"/>
  <c r="S255" i="10"/>
  <c r="P255" i="10"/>
  <c r="AA251" i="10"/>
  <c r="Z251" i="10"/>
  <c r="X251" i="10"/>
  <c r="W251" i="10"/>
  <c r="U251" i="10"/>
  <c r="T251" i="10"/>
  <c r="R251" i="10"/>
  <c r="Q251" i="10"/>
  <c r="O251" i="10"/>
  <c r="N251" i="10"/>
  <c r="AA250" i="10"/>
  <c r="Z250" i="10"/>
  <c r="X250" i="10"/>
  <c r="W250" i="10"/>
  <c r="U250" i="10"/>
  <c r="T250" i="10"/>
  <c r="R250" i="10"/>
  <c r="Q250" i="10"/>
  <c r="O250" i="10"/>
  <c r="N250" i="10"/>
  <c r="AA245" i="10"/>
  <c r="Z245" i="10"/>
  <c r="W245" i="10"/>
  <c r="U245" i="10"/>
  <c r="T245" i="10"/>
  <c r="Q245" i="10"/>
  <c r="O245" i="10"/>
  <c r="N245" i="10"/>
  <c r="AA243" i="10"/>
  <c r="Z243" i="10"/>
  <c r="X243" i="10"/>
  <c r="W243" i="10"/>
  <c r="U243" i="10"/>
  <c r="T243" i="10"/>
  <c r="R243" i="10"/>
  <c r="Q243" i="10"/>
  <c r="O243" i="10"/>
  <c r="N243" i="10"/>
  <c r="R242" i="10"/>
  <c r="Q242" i="10"/>
  <c r="O242" i="10"/>
  <c r="N242" i="10"/>
  <c r="AA241" i="10"/>
  <c r="U241" i="10"/>
  <c r="R241" i="10"/>
  <c r="O241" i="10"/>
  <c r="Z240" i="10"/>
  <c r="W240" i="10"/>
  <c r="U240" i="10"/>
  <c r="T240" i="10"/>
  <c r="S240" i="10"/>
  <c r="P240" i="10"/>
  <c r="AB239" i="10"/>
  <c r="X239" i="10"/>
  <c r="X245" i="10" s="1"/>
  <c r="V239" i="10"/>
  <c r="S239" i="10"/>
  <c r="P239" i="10"/>
  <c r="Q241" i="10" s="1"/>
  <c r="AB235" i="10"/>
  <c r="Y235" i="10"/>
  <c r="V235" i="10"/>
  <c r="S235" i="10"/>
  <c r="P235" i="10"/>
  <c r="AA229" i="10"/>
  <c r="Z229" i="10"/>
  <c r="X229" i="10"/>
  <c r="W229" i="10"/>
  <c r="U229" i="10"/>
  <c r="T229" i="10"/>
  <c r="R229" i="10"/>
  <c r="Q229" i="10"/>
  <c r="O229" i="10"/>
  <c r="N229" i="10"/>
  <c r="AB228" i="10"/>
  <c r="Y228" i="10"/>
  <c r="V228" i="10"/>
  <c r="S228" i="10"/>
  <c r="P228" i="10"/>
  <c r="AB227" i="10"/>
  <c r="Y227" i="10"/>
  <c r="V227" i="10"/>
  <c r="S227" i="10"/>
  <c r="P227" i="10"/>
  <c r="AY223" i="10"/>
  <c r="AV223" i="10"/>
  <c r="AS223" i="10"/>
  <c r="AP223" i="10"/>
  <c r="AM223" i="10"/>
  <c r="AJ223" i="10"/>
  <c r="AG223" i="10"/>
  <c r="AD223" i="10"/>
  <c r="AA223" i="10"/>
  <c r="X223" i="10"/>
  <c r="V223" i="10"/>
  <c r="T223" i="10" s="1"/>
  <c r="U223" i="10" s="1"/>
  <c r="S223" i="10"/>
  <c r="P223" i="10"/>
  <c r="O223" i="10" s="1"/>
  <c r="M221" i="10"/>
  <c r="P220" i="10"/>
  <c r="P221" i="10" s="1"/>
  <c r="O221" i="10" s="1"/>
  <c r="Y218" i="10"/>
  <c r="W218" i="10" s="1"/>
  <c r="X218" i="10" s="1"/>
  <c r="AA208" i="10"/>
  <c r="AC207" i="10"/>
  <c r="Z207" i="10"/>
  <c r="X207" i="10"/>
  <c r="W207" i="10"/>
  <c r="U207" i="10"/>
  <c r="T207" i="10"/>
  <c r="R207" i="10"/>
  <c r="O207" i="10"/>
  <c r="N207" i="10"/>
  <c r="L207" i="10"/>
  <c r="K207" i="10"/>
  <c r="I207" i="10"/>
  <c r="H207" i="10"/>
  <c r="F207" i="10"/>
  <c r="E207" i="10"/>
  <c r="AC206" i="10"/>
  <c r="Z206" i="10"/>
  <c r="X206" i="10"/>
  <c r="W206" i="10"/>
  <c r="U206" i="10"/>
  <c r="T206" i="10"/>
  <c r="R206" i="10"/>
  <c r="O206" i="10"/>
  <c r="N206" i="10"/>
  <c r="L206" i="10"/>
  <c r="K206" i="10"/>
  <c r="I206" i="10"/>
  <c r="H206" i="10"/>
  <c r="F206" i="10"/>
  <c r="F211" i="10" s="1"/>
  <c r="E206" i="10"/>
  <c r="AF202" i="10"/>
  <c r="AG202" i="10" s="1"/>
  <c r="AI202" i="10" s="1"/>
  <c r="AJ202" i="10" s="1"/>
  <c r="AL202" i="10" s="1"/>
  <c r="AM202" i="10" s="1"/>
  <c r="AO202" i="10" s="1"/>
  <c r="AP202" i="10" s="1"/>
  <c r="AR202" i="10" s="1"/>
  <c r="F202" i="10"/>
  <c r="F201" i="10"/>
  <c r="Z198" i="10"/>
  <c r="Z182" i="10" s="1"/>
  <c r="X198" i="10"/>
  <c r="X182" i="10" s="1"/>
  <c r="W198" i="10"/>
  <c r="U198" i="10"/>
  <c r="T198" i="10"/>
  <c r="T182" i="10" s="1"/>
  <c r="R198" i="10"/>
  <c r="R182" i="10" s="1"/>
  <c r="O198" i="10"/>
  <c r="O182" i="10" s="1"/>
  <c r="N198" i="10"/>
  <c r="N182" i="10" s="1"/>
  <c r="L198" i="10"/>
  <c r="L182" i="10" s="1"/>
  <c r="K198" i="10"/>
  <c r="K182" i="10" s="1"/>
  <c r="I198" i="10"/>
  <c r="I182" i="10" s="1"/>
  <c r="H198" i="10"/>
  <c r="H182" i="10" s="1"/>
  <c r="F198" i="10"/>
  <c r="E198" i="10"/>
  <c r="E182" i="10" s="1"/>
  <c r="Y197" i="10"/>
  <c r="V197" i="10"/>
  <c r="Q197" i="10"/>
  <c r="P197" i="10"/>
  <c r="M197" i="10"/>
  <c r="J197" i="10"/>
  <c r="G197" i="10"/>
  <c r="Y196" i="10"/>
  <c r="V196" i="10"/>
  <c r="Q196" i="10"/>
  <c r="P196" i="10"/>
  <c r="M196" i="10"/>
  <c r="J196" i="10"/>
  <c r="G196" i="10"/>
  <c r="AI192" i="10"/>
  <c r="AL192" i="10" s="1"/>
  <c r="AG192" i="10"/>
  <c r="Z192" i="10"/>
  <c r="X192" i="10"/>
  <c r="W192" i="10"/>
  <c r="U192" i="10"/>
  <c r="T192" i="10"/>
  <c r="R192" i="10"/>
  <c r="Q192" i="10"/>
  <c r="O192" i="10"/>
  <c r="N192" i="10"/>
  <c r="L192" i="10"/>
  <c r="K192" i="10"/>
  <c r="I192" i="10"/>
  <c r="H192" i="10"/>
  <c r="AL191" i="10"/>
  <c r="AM191" i="10" s="1"/>
  <c r="AJ191" i="10"/>
  <c r="AG191" i="10"/>
  <c r="Z191" i="10"/>
  <c r="X191" i="10"/>
  <c r="W191" i="10"/>
  <c r="U191" i="10"/>
  <c r="T191" i="10"/>
  <c r="R191" i="10"/>
  <c r="Q191" i="10"/>
  <c r="O191" i="10"/>
  <c r="N191" i="10"/>
  <c r="L191" i="10"/>
  <c r="K191" i="10"/>
  <c r="I191" i="10"/>
  <c r="H191" i="10"/>
  <c r="Z188" i="10"/>
  <c r="Z181" i="10" s="1"/>
  <c r="X188" i="10"/>
  <c r="X181" i="10" s="1"/>
  <c r="W188" i="10"/>
  <c r="W181" i="10" s="1"/>
  <c r="U188" i="10"/>
  <c r="T188" i="10"/>
  <c r="R188" i="10"/>
  <c r="R181" i="10" s="1"/>
  <c r="Q188" i="10"/>
  <c r="O188" i="10"/>
  <c r="O181" i="10" s="1"/>
  <c r="N188" i="10"/>
  <c r="N181" i="10" s="1"/>
  <c r="L188" i="10"/>
  <c r="L181" i="10" s="1"/>
  <c r="K188" i="10"/>
  <c r="I188" i="10"/>
  <c r="H188" i="10"/>
  <c r="F188" i="10"/>
  <c r="F181" i="10" s="1"/>
  <c r="E188" i="10"/>
  <c r="AC187" i="10"/>
  <c r="AA187" i="10"/>
  <c r="AA197" i="10" s="1"/>
  <c r="Y187" i="10"/>
  <c r="V187" i="10"/>
  <c r="S187" i="10"/>
  <c r="P187" i="10"/>
  <c r="M187" i="10"/>
  <c r="J187" i="10"/>
  <c r="G187" i="10"/>
  <c r="AC186" i="10"/>
  <c r="AF186" i="10" s="1"/>
  <c r="AI186" i="10" s="1"/>
  <c r="AA186" i="10"/>
  <c r="AA196" i="10" s="1"/>
  <c r="Y186" i="10"/>
  <c r="V186" i="10"/>
  <c r="S186" i="10"/>
  <c r="P186" i="10"/>
  <c r="M186" i="10"/>
  <c r="J186" i="10"/>
  <c r="G186" i="10"/>
  <c r="W182" i="10"/>
  <c r="G180" i="10"/>
  <c r="E177" i="10"/>
  <c r="F176" i="10"/>
  <c r="F175" i="10"/>
  <c r="G175" i="10" s="1"/>
  <c r="AA169" i="10"/>
  <c r="Z169" i="10"/>
  <c r="X169" i="10"/>
  <c r="W169" i="10"/>
  <c r="T169" i="10"/>
  <c r="Q169" i="10"/>
  <c r="O169" i="10"/>
  <c r="N169" i="10"/>
  <c r="L169" i="10"/>
  <c r="K169" i="10"/>
  <c r="I169" i="10"/>
  <c r="H169" i="10"/>
  <c r="AA167" i="10"/>
  <c r="Z167" i="10"/>
  <c r="X167" i="10"/>
  <c r="W167" i="10"/>
  <c r="T167" i="10"/>
  <c r="Q167" i="10"/>
  <c r="O167" i="10"/>
  <c r="N167" i="10"/>
  <c r="L167" i="10"/>
  <c r="K167" i="10"/>
  <c r="I167" i="10"/>
  <c r="H167" i="10"/>
  <c r="I165" i="10"/>
  <c r="H165" i="10"/>
  <c r="F165" i="10"/>
  <c r="E165" i="10"/>
  <c r="I163" i="10"/>
  <c r="H163" i="10"/>
  <c r="F163" i="10"/>
  <c r="E163" i="10"/>
  <c r="I162" i="10"/>
  <c r="H162" i="10"/>
  <c r="F162" i="10"/>
  <c r="E162" i="10"/>
  <c r="I160" i="10"/>
  <c r="H160" i="10"/>
  <c r="F160" i="10"/>
  <c r="I159" i="10"/>
  <c r="H159" i="10"/>
  <c r="G158" i="10"/>
  <c r="J159" i="10" s="1"/>
  <c r="AK155" i="10"/>
  <c r="AH155" i="10"/>
  <c r="AD155" i="10"/>
  <c r="AD154" i="10" s="1"/>
  <c r="AC155" i="10"/>
  <c r="AC154" i="10" s="1"/>
  <c r="AB155" i="10"/>
  <c r="Y155" i="10"/>
  <c r="V155" i="10"/>
  <c r="S155" i="10"/>
  <c r="P155" i="10"/>
  <c r="M155" i="10"/>
  <c r="J155" i="10"/>
  <c r="G155" i="10"/>
  <c r="AJ154" i="10"/>
  <c r="AJ153" i="10" s="1"/>
  <c r="AI154" i="10"/>
  <c r="AI153" i="10" s="1"/>
  <c r="AL153" i="10" s="1"/>
  <c r="AG154" i="10"/>
  <c r="AG153" i="10" s="1"/>
  <c r="AF154" i="10"/>
  <c r="AF153" i="10" s="1"/>
  <c r="AB153" i="10"/>
  <c r="Y153" i="10"/>
  <c r="V153" i="10"/>
  <c r="R153" i="10"/>
  <c r="P153" i="10"/>
  <c r="M153" i="10"/>
  <c r="J153" i="10"/>
  <c r="J165" i="10" s="1"/>
  <c r="G153" i="10"/>
  <c r="AA152" i="10"/>
  <c r="AA154" i="10" s="1"/>
  <c r="Z152" i="10"/>
  <c r="X152" i="10"/>
  <c r="W152" i="10"/>
  <c r="W154" i="10" s="1"/>
  <c r="U152" i="10"/>
  <c r="T152" i="10"/>
  <c r="T154" i="10" s="1"/>
  <c r="Q152" i="10"/>
  <c r="O152" i="10"/>
  <c r="O154" i="10" s="1"/>
  <c r="N152" i="10"/>
  <c r="L152" i="10"/>
  <c r="K152" i="10"/>
  <c r="K154" i="10" s="1"/>
  <c r="I152" i="10"/>
  <c r="H152" i="10"/>
  <c r="H154" i="10" s="1"/>
  <c r="F152" i="10"/>
  <c r="F164" i="10" s="1"/>
  <c r="E152" i="10"/>
  <c r="AJ151" i="10"/>
  <c r="AI151" i="10"/>
  <c r="AG151" i="10"/>
  <c r="AB151" i="10"/>
  <c r="Y151" i="10"/>
  <c r="V151" i="10"/>
  <c r="R151" i="10"/>
  <c r="S151" i="10" s="1"/>
  <c r="P151" i="10"/>
  <c r="M151" i="10"/>
  <c r="J151" i="10"/>
  <c r="J163" i="10" s="1"/>
  <c r="G151" i="10"/>
  <c r="AK150" i="10"/>
  <c r="AB150" i="10"/>
  <c r="Y150" i="10"/>
  <c r="V150" i="10"/>
  <c r="R150" i="10"/>
  <c r="R17" i="10" s="1"/>
  <c r="P150" i="10"/>
  <c r="M150" i="10"/>
  <c r="J150" i="10"/>
  <c r="J162" i="10" s="1"/>
  <c r="G150" i="10"/>
  <c r="AA145" i="10"/>
  <c r="U145" i="10"/>
  <c r="R145" i="10"/>
  <c r="O145" i="10"/>
  <c r="L145" i="10"/>
  <c r="I145" i="10"/>
  <c r="F145" i="10"/>
  <c r="O144" i="10"/>
  <c r="L144" i="10"/>
  <c r="I144" i="10"/>
  <c r="F144" i="10"/>
  <c r="AJ143" i="10"/>
  <c r="AL143" i="10" s="1"/>
  <c r="AM143" i="10" s="1"/>
  <c r="AO143" i="10" s="1"/>
  <c r="AP143" i="10" s="1"/>
  <c r="AR143" i="10" s="1"/>
  <c r="AS143" i="10" s="1"/>
  <c r="AU143" i="10" s="1"/>
  <c r="AV143" i="10" s="1"/>
  <c r="AX143" i="10" s="1"/>
  <c r="AY143" i="10" s="1"/>
  <c r="AG143" i="10"/>
  <c r="AD143" i="10"/>
  <c r="AA143" i="10"/>
  <c r="X143" i="10"/>
  <c r="R143" i="10"/>
  <c r="O143" i="10"/>
  <c r="L143" i="10"/>
  <c r="I143" i="10"/>
  <c r="F143" i="10"/>
  <c r="AJ142" i="10"/>
  <c r="AL142" i="10" s="1"/>
  <c r="AM142" i="10" s="1"/>
  <c r="AO142" i="10" s="1"/>
  <c r="AP142" i="10" s="1"/>
  <c r="AR142" i="10" s="1"/>
  <c r="AS142" i="10" s="1"/>
  <c r="AU142" i="10" s="1"/>
  <c r="AV142" i="10" s="1"/>
  <c r="AX142" i="10" s="1"/>
  <c r="AY142" i="10" s="1"/>
  <c r="AG142" i="10"/>
  <c r="AD142" i="10"/>
  <c r="AA141" i="10"/>
  <c r="X141" i="10"/>
  <c r="R141" i="10"/>
  <c r="O141" i="10"/>
  <c r="L141" i="10"/>
  <c r="I141" i="10"/>
  <c r="F141" i="10"/>
  <c r="AA140" i="10"/>
  <c r="X140" i="10"/>
  <c r="R140" i="10"/>
  <c r="O140" i="10"/>
  <c r="L140" i="10"/>
  <c r="I140" i="10"/>
  <c r="F140" i="10"/>
  <c r="AL137" i="10"/>
  <c r="AL89" i="10" s="1"/>
  <c r="AK137" i="10"/>
  <c r="AH137" i="10"/>
  <c r="AE137" i="10"/>
  <c r="AA137" i="10"/>
  <c r="AA89" i="10" s="1"/>
  <c r="Z137" i="10"/>
  <c r="Z89" i="10" s="1"/>
  <c r="Y137" i="10"/>
  <c r="U137" i="10"/>
  <c r="U89" i="10" s="1"/>
  <c r="T137" i="10"/>
  <c r="R137" i="10"/>
  <c r="R89" i="10" s="1"/>
  <c r="Q137" i="10"/>
  <c r="O137" i="10"/>
  <c r="O89" i="10" s="1"/>
  <c r="N137" i="10"/>
  <c r="M137" i="10"/>
  <c r="J137" i="10"/>
  <c r="G137" i="10"/>
  <c r="AJ135" i="10"/>
  <c r="AI135" i="10"/>
  <c r="AG135" i="10"/>
  <c r="AF135" i="10"/>
  <c r="AD135" i="10"/>
  <c r="AC135" i="10"/>
  <c r="AB134" i="10"/>
  <c r="Y134" i="10"/>
  <c r="V134" i="10"/>
  <c r="S134" i="10"/>
  <c r="P134" i="10"/>
  <c r="M134" i="10"/>
  <c r="J134" i="10"/>
  <c r="G134" i="10"/>
  <c r="AB133" i="10"/>
  <c r="Y133" i="10"/>
  <c r="V133" i="10"/>
  <c r="S133" i="10"/>
  <c r="P133" i="10"/>
  <c r="M133" i="10"/>
  <c r="J133" i="10"/>
  <c r="G133" i="10"/>
  <c r="AK132" i="10"/>
  <c r="AH132" i="10"/>
  <c r="AE132" i="10"/>
  <c r="AB132" i="10"/>
  <c r="Y132" i="10"/>
  <c r="U132" i="10"/>
  <c r="U143" i="10" s="1"/>
  <c r="S132" i="10"/>
  <c r="P132" i="10"/>
  <c r="M132" i="10"/>
  <c r="J132" i="10"/>
  <c r="G132" i="10"/>
  <c r="AK131" i="10"/>
  <c r="AH131" i="10"/>
  <c r="AE131" i="10"/>
  <c r="AA131" i="10"/>
  <c r="Z131" i="10"/>
  <c r="X131" i="10"/>
  <c r="W131" i="10"/>
  <c r="T131" i="10"/>
  <c r="R131" i="10"/>
  <c r="Q131" i="10"/>
  <c r="O131" i="10"/>
  <c r="N131" i="10"/>
  <c r="L131" i="10"/>
  <c r="K131" i="10"/>
  <c r="I131" i="10"/>
  <c r="H131" i="10"/>
  <c r="H135" i="10" s="1"/>
  <c r="H88" i="10" s="1"/>
  <c r="F131" i="10"/>
  <c r="E131" i="10"/>
  <c r="AB130" i="10"/>
  <c r="Y130" i="10"/>
  <c r="U130" i="10"/>
  <c r="U141" i="10" s="1"/>
  <c r="S130" i="10"/>
  <c r="P130" i="10"/>
  <c r="M130" i="10"/>
  <c r="J130" i="10"/>
  <c r="G130" i="10"/>
  <c r="AB129" i="10"/>
  <c r="Y129" i="10"/>
  <c r="U129" i="10"/>
  <c r="S129" i="10"/>
  <c r="P129" i="10"/>
  <c r="M129" i="10"/>
  <c r="J129" i="10"/>
  <c r="G129" i="10"/>
  <c r="AA125" i="10"/>
  <c r="Z125" i="10"/>
  <c r="X125" i="10"/>
  <c r="W125" i="10"/>
  <c r="T125" i="10"/>
  <c r="R125" i="10"/>
  <c r="Q125" i="10"/>
  <c r="O125" i="10"/>
  <c r="N125" i="10"/>
  <c r="L125" i="10"/>
  <c r="K125" i="10"/>
  <c r="I125" i="10"/>
  <c r="I67" i="10" s="1"/>
  <c r="J67" i="10" s="1"/>
  <c r="H125" i="10"/>
  <c r="F125" i="10"/>
  <c r="E125" i="10"/>
  <c r="AA124" i="10"/>
  <c r="Z124" i="10"/>
  <c r="X124" i="10"/>
  <c r="W124" i="10"/>
  <c r="U124" i="10"/>
  <c r="T124" i="10"/>
  <c r="R124" i="10"/>
  <c r="Q124" i="10"/>
  <c r="O124" i="10"/>
  <c r="N124" i="10"/>
  <c r="L124" i="10"/>
  <c r="K124" i="10"/>
  <c r="I124" i="10"/>
  <c r="I66" i="10" s="1"/>
  <c r="H124" i="10"/>
  <c r="F124" i="10"/>
  <c r="E124" i="10"/>
  <c r="AJ123" i="10"/>
  <c r="AM123" i="10" s="1"/>
  <c r="AP123" i="10" s="1"/>
  <c r="AS123" i="10" s="1"/>
  <c r="AV123" i="10" s="1"/>
  <c r="AY123" i="10" s="1"/>
  <c r="AI123" i="10"/>
  <c r="AG123" i="10"/>
  <c r="AF123" i="10"/>
  <c r="AC123" i="10"/>
  <c r="AE123" i="10" s="1"/>
  <c r="AA123" i="10"/>
  <c r="Z123" i="10"/>
  <c r="X123" i="10"/>
  <c r="W123" i="10"/>
  <c r="T123" i="10"/>
  <c r="R123" i="10"/>
  <c r="Q123" i="10"/>
  <c r="O123" i="10"/>
  <c r="N123" i="10"/>
  <c r="L123" i="10"/>
  <c r="K123" i="10"/>
  <c r="I123" i="10"/>
  <c r="H123" i="10"/>
  <c r="F123" i="10"/>
  <c r="E123" i="10"/>
  <c r="AJ122" i="10"/>
  <c r="AI122" i="10"/>
  <c r="AG122" i="10"/>
  <c r="AF122" i="10"/>
  <c r="AC122" i="10"/>
  <c r="AA121" i="10"/>
  <c r="Z121" i="10"/>
  <c r="X121" i="10"/>
  <c r="W121" i="10"/>
  <c r="T121" i="10"/>
  <c r="R121" i="10"/>
  <c r="Q121" i="10"/>
  <c r="O121" i="10"/>
  <c r="N121" i="10"/>
  <c r="L121" i="10"/>
  <c r="K121" i="10"/>
  <c r="I121" i="10"/>
  <c r="H121" i="10"/>
  <c r="F121" i="10"/>
  <c r="E121" i="10"/>
  <c r="AA120" i="10"/>
  <c r="Z120" i="10"/>
  <c r="X120" i="10"/>
  <c r="W120" i="10"/>
  <c r="T120" i="10"/>
  <c r="R120" i="10"/>
  <c r="Q120" i="10"/>
  <c r="O120" i="10"/>
  <c r="N120" i="10"/>
  <c r="L120" i="10"/>
  <c r="K120" i="10"/>
  <c r="I120" i="10"/>
  <c r="H120" i="10"/>
  <c r="F120" i="10"/>
  <c r="E120" i="10"/>
  <c r="AJ117" i="10"/>
  <c r="AI117" i="10"/>
  <c r="AG117" i="10"/>
  <c r="AF117" i="10"/>
  <c r="AC117" i="10"/>
  <c r="AB116" i="10"/>
  <c r="Y116" i="10"/>
  <c r="U116" i="10"/>
  <c r="V116" i="10" s="1"/>
  <c r="S116" i="10"/>
  <c r="P116" i="10"/>
  <c r="M116" i="10"/>
  <c r="J116" i="10"/>
  <c r="G116" i="10"/>
  <c r="AB115" i="10"/>
  <c r="Y115" i="10"/>
  <c r="V115" i="10"/>
  <c r="S115" i="10"/>
  <c r="P115" i="10"/>
  <c r="M115" i="10"/>
  <c r="J115" i="10"/>
  <c r="G115" i="10"/>
  <c r="AB114" i="10"/>
  <c r="Y114" i="10"/>
  <c r="U114" i="10"/>
  <c r="V114" i="10" s="1"/>
  <c r="S114" i="10"/>
  <c r="P114" i="10"/>
  <c r="M114" i="10"/>
  <c r="J114" i="10"/>
  <c r="G114" i="10"/>
  <c r="AA113" i="10"/>
  <c r="AA117" i="10" s="1"/>
  <c r="Z113" i="10"/>
  <c r="X113" i="10"/>
  <c r="X117" i="10" s="1"/>
  <c r="W113" i="10"/>
  <c r="W117" i="10" s="1"/>
  <c r="W86" i="10" s="1"/>
  <c r="T113" i="10"/>
  <c r="R113" i="10"/>
  <c r="Q113" i="10"/>
  <c r="Q117" i="10" s="1"/>
  <c r="Q86" i="10" s="1"/>
  <c r="O113" i="10"/>
  <c r="O117" i="10" s="1"/>
  <c r="O86" i="10" s="1"/>
  <c r="N113" i="10"/>
  <c r="L113" i="10"/>
  <c r="L117" i="10" s="1"/>
  <c r="L86" i="10" s="1"/>
  <c r="K113" i="10"/>
  <c r="K117" i="10" s="1"/>
  <c r="K86" i="10" s="1"/>
  <c r="I113" i="10"/>
  <c r="I117" i="10" s="1"/>
  <c r="I86" i="10" s="1"/>
  <c r="H113" i="10"/>
  <c r="F113" i="10"/>
  <c r="F117" i="10" s="1"/>
  <c r="F86" i="10" s="1"/>
  <c r="E113" i="10"/>
  <c r="E117" i="10" s="1"/>
  <c r="E86" i="10" s="1"/>
  <c r="AB112" i="10"/>
  <c r="Y112" i="10"/>
  <c r="U112" i="10"/>
  <c r="V112" i="10" s="1"/>
  <c r="S112" i="10"/>
  <c r="P112" i="10"/>
  <c r="M112" i="10"/>
  <c r="J112" i="10"/>
  <c r="G112" i="10"/>
  <c r="AB111" i="10"/>
  <c r="Y111" i="10"/>
  <c r="U111" i="10"/>
  <c r="S111" i="10"/>
  <c r="P111" i="10"/>
  <c r="M111" i="10"/>
  <c r="J111" i="10"/>
  <c r="G111" i="10"/>
  <c r="AJ108" i="10"/>
  <c r="AI108" i="10"/>
  <c r="AG108" i="10"/>
  <c r="AF108" i="10"/>
  <c r="AC108" i="10"/>
  <c r="AB107" i="10"/>
  <c r="Y107" i="10"/>
  <c r="U107" i="10"/>
  <c r="S107" i="10"/>
  <c r="P107" i="10"/>
  <c r="M107" i="10"/>
  <c r="J107" i="10"/>
  <c r="G107" i="10"/>
  <c r="AB106" i="10"/>
  <c r="Y106" i="10"/>
  <c r="V106" i="10"/>
  <c r="S106" i="10"/>
  <c r="P106" i="10"/>
  <c r="M106" i="10"/>
  <c r="J106" i="10"/>
  <c r="G106" i="10"/>
  <c r="AB105" i="10"/>
  <c r="Y105" i="10"/>
  <c r="U105" i="10"/>
  <c r="S105" i="10"/>
  <c r="P105" i="10"/>
  <c r="M105" i="10"/>
  <c r="J105" i="10"/>
  <c r="G105" i="10"/>
  <c r="AA104" i="10"/>
  <c r="AA108" i="10" s="1"/>
  <c r="Z104" i="10"/>
  <c r="Z108" i="10" s="1"/>
  <c r="X104" i="10"/>
  <c r="X108" i="10" s="1"/>
  <c r="W104" i="10"/>
  <c r="W108" i="10" s="1"/>
  <c r="W85" i="10" s="1"/>
  <c r="T104" i="10"/>
  <c r="T108" i="10" s="1"/>
  <c r="T85" i="10" s="1"/>
  <c r="R104" i="10"/>
  <c r="R108" i="10" s="1"/>
  <c r="R85" i="10" s="1"/>
  <c r="Q104" i="10"/>
  <c r="O104" i="10"/>
  <c r="N104" i="10"/>
  <c r="N108" i="10" s="1"/>
  <c r="N85" i="10" s="1"/>
  <c r="L104" i="10"/>
  <c r="L108" i="10" s="1"/>
  <c r="L85" i="10" s="1"/>
  <c r="K104" i="10"/>
  <c r="I104" i="10"/>
  <c r="I108" i="10" s="1"/>
  <c r="I85" i="10" s="1"/>
  <c r="H104" i="10"/>
  <c r="F104" i="10"/>
  <c r="E104" i="10"/>
  <c r="AB103" i="10"/>
  <c r="Y103" i="10"/>
  <c r="U103" i="10"/>
  <c r="V103" i="10" s="1"/>
  <c r="S103" i="10"/>
  <c r="P103" i="10"/>
  <c r="M103" i="10"/>
  <c r="J103" i="10"/>
  <c r="G103" i="10"/>
  <c r="AB102" i="10"/>
  <c r="Y102" i="10"/>
  <c r="U102" i="10"/>
  <c r="S102" i="10"/>
  <c r="P102" i="10"/>
  <c r="M102" i="10"/>
  <c r="J102" i="10"/>
  <c r="G102" i="10"/>
  <c r="AI98" i="10"/>
  <c r="AF98" i="10"/>
  <c r="AC98" i="10"/>
  <c r="AI97" i="10"/>
  <c r="AF97" i="10"/>
  <c r="AC97" i="10"/>
  <c r="T90" i="10"/>
  <c r="U84" i="10" s="1"/>
  <c r="AK89" i="10"/>
  <c r="AH89" i="10"/>
  <c r="AD89" i="10"/>
  <c r="W89" i="10"/>
  <c r="Y89" i="10" s="1"/>
  <c r="L89" i="10"/>
  <c r="K89" i="10"/>
  <c r="I89" i="10"/>
  <c r="H89" i="10"/>
  <c r="F89" i="10"/>
  <c r="E89" i="10"/>
  <c r="AK88" i="10"/>
  <c r="AH88" i="10"/>
  <c r="AJ87" i="10"/>
  <c r="AI87" i="10"/>
  <c r="AI91" i="10" s="1"/>
  <c r="AI99" i="10" s="1"/>
  <c r="AG87" i="10"/>
  <c r="AF87" i="10"/>
  <c r="AF91" i="10" s="1"/>
  <c r="AF99" i="10" s="1"/>
  <c r="AC87" i="10"/>
  <c r="AC90" i="10" s="1"/>
  <c r="X86" i="10"/>
  <c r="X85" i="10"/>
  <c r="AK84" i="10"/>
  <c r="AJ84" i="10"/>
  <c r="AG84" i="10"/>
  <c r="AG98" i="10" s="1"/>
  <c r="AE84" i="10"/>
  <c r="AD84" i="10"/>
  <c r="G84" i="10"/>
  <c r="AJ68" i="10"/>
  <c r="AI68" i="10"/>
  <c r="AI78" i="10" s="1"/>
  <c r="AG68" i="10"/>
  <c r="AG69" i="10" s="1"/>
  <c r="AF68" i="10"/>
  <c r="AF79" i="10" s="1"/>
  <c r="AD68" i="10"/>
  <c r="AD69" i="10" s="1"/>
  <c r="AC68" i="10"/>
  <c r="AC80" i="10" s="1"/>
  <c r="AB67" i="10"/>
  <c r="Y67" i="10"/>
  <c r="V67" i="10"/>
  <c r="S67" i="10"/>
  <c r="T145" i="10" s="1"/>
  <c r="P67" i="10"/>
  <c r="Q145" i="10" s="1"/>
  <c r="M67" i="10"/>
  <c r="G67" i="10"/>
  <c r="H145" i="10" s="1"/>
  <c r="AB66" i="10"/>
  <c r="Y66" i="10"/>
  <c r="S66" i="10"/>
  <c r="P66" i="10"/>
  <c r="M66" i="10"/>
  <c r="G66" i="10"/>
  <c r="AK65" i="10"/>
  <c r="AH65" i="10"/>
  <c r="AE65" i="10"/>
  <c r="AF143" i="10" s="1"/>
  <c r="AB65" i="10"/>
  <c r="AC143" i="10" s="1"/>
  <c r="Y65" i="10"/>
  <c r="V65" i="10"/>
  <c r="S65" i="10"/>
  <c r="T143" i="10" s="1"/>
  <c r="P65" i="10"/>
  <c r="Q143" i="10" s="1"/>
  <c r="M65" i="10"/>
  <c r="G65" i="10"/>
  <c r="AK64" i="10"/>
  <c r="AH64" i="10"/>
  <c r="AE64" i="10"/>
  <c r="AA64" i="10"/>
  <c r="AB64" i="10" s="1"/>
  <c r="AC142" i="10" s="1"/>
  <c r="Z64" i="10"/>
  <c r="X64" i="10"/>
  <c r="Y64" i="10" s="1"/>
  <c r="W64" i="10"/>
  <c r="U64" i="10"/>
  <c r="T64" i="10"/>
  <c r="R64" i="10"/>
  <c r="S64" i="10" s="1"/>
  <c r="Q64" i="10"/>
  <c r="O64" i="10"/>
  <c r="N64" i="10"/>
  <c r="L64" i="10"/>
  <c r="M64" i="10" s="1"/>
  <c r="K64" i="10"/>
  <c r="I64" i="10"/>
  <c r="J64" i="10" s="1"/>
  <c r="H64" i="10"/>
  <c r="H68" i="10" s="1"/>
  <c r="H80" i="10" s="1"/>
  <c r="F64" i="10"/>
  <c r="E64" i="10"/>
  <c r="AB63" i="10"/>
  <c r="Y63" i="10"/>
  <c r="V63" i="10"/>
  <c r="S63" i="10"/>
  <c r="T141" i="10" s="1"/>
  <c r="P63" i="10"/>
  <c r="Q141" i="10" s="1"/>
  <c r="M63" i="10"/>
  <c r="N141" i="10" s="1"/>
  <c r="J63" i="10"/>
  <c r="G63" i="10"/>
  <c r="AB62" i="10"/>
  <c r="Y62" i="10"/>
  <c r="V62" i="10"/>
  <c r="S62" i="10"/>
  <c r="T140" i="10" s="1"/>
  <c r="P62" i="10"/>
  <c r="Q140" i="10" s="1"/>
  <c r="M62" i="10"/>
  <c r="J62" i="10"/>
  <c r="G62" i="10"/>
  <c r="H140" i="10" s="1"/>
  <c r="AJ59" i="10"/>
  <c r="AI59" i="10"/>
  <c r="AG59" i="10"/>
  <c r="AF59" i="10"/>
  <c r="AY56" i="10"/>
  <c r="AV56" i="10"/>
  <c r="AS56" i="10"/>
  <c r="AP56" i="10"/>
  <c r="AM56" i="10"/>
  <c r="O56" i="10"/>
  <c r="N56" i="10"/>
  <c r="L56" i="10"/>
  <c r="K56" i="10"/>
  <c r="I56" i="10"/>
  <c r="H56" i="10"/>
  <c r="AA54" i="10"/>
  <c r="Z54" i="10"/>
  <c r="X54" i="10"/>
  <c r="W54" i="10"/>
  <c r="U54" i="10"/>
  <c r="T54" i="10"/>
  <c r="R54" i="10"/>
  <c r="Q54" i="10"/>
  <c r="O54" i="10"/>
  <c r="N54" i="10"/>
  <c r="L54" i="10"/>
  <c r="K54" i="10"/>
  <c r="I54" i="10"/>
  <c r="H54" i="10"/>
  <c r="X51" i="10"/>
  <c r="W51" i="10"/>
  <c r="R51" i="10"/>
  <c r="Q51" i="10"/>
  <c r="O51" i="10"/>
  <c r="N51" i="10"/>
  <c r="L51" i="10"/>
  <c r="K51" i="10"/>
  <c r="I51" i="10"/>
  <c r="H51" i="10"/>
  <c r="F51" i="10"/>
  <c r="E51" i="10"/>
  <c r="X50" i="10"/>
  <c r="W50" i="10"/>
  <c r="R50" i="10"/>
  <c r="Q50" i="10"/>
  <c r="O50" i="10"/>
  <c r="N50" i="10"/>
  <c r="L50" i="10"/>
  <c r="K50" i="10"/>
  <c r="I50" i="10"/>
  <c r="H50" i="10"/>
  <c r="F50" i="10"/>
  <c r="E50" i="10"/>
  <c r="AJ48" i="10"/>
  <c r="AI48" i="10"/>
  <c r="AG48" i="10"/>
  <c r="AF48" i="10"/>
  <c r="AD48" i="10"/>
  <c r="X48" i="10"/>
  <c r="R48" i="10"/>
  <c r="Q48" i="10"/>
  <c r="O48" i="10"/>
  <c r="N48" i="10"/>
  <c r="L48" i="10"/>
  <c r="K48" i="10"/>
  <c r="I48" i="10"/>
  <c r="H48" i="10"/>
  <c r="F48" i="10"/>
  <c r="AJ47" i="10"/>
  <c r="AI47" i="10"/>
  <c r="AG47" i="10"/>
  <c r="AF47" i="10"/>
  <c r="V47" i="10"/>
  <c r="S47" i="10"/>
  <c r="R47" i="10"/>
  <c r="Q47" i="10"/>
  <c r="O47" i="10"/>
  <c r="N47" i="10"/>
  <c r="L47" i="10"/>
  <c r="K47" i="10"/>
  <c r="I47" i="10"/>
  <c r="H47" i="10"/>
  <c r="AK46" i="10"/>
  <c r="AK47" i="10" s="1"/>
  <c r="AE46" i="10"/>
  <c r="Y46" i="10"/>
  <c r="Y47" i="10" s="1"/>
  <c r="M46" i="10"/>
  <c r="G46" i="10"/>
  <c r="J47" i="10" s="1"/>
  <c r="AJ43" i="10"/>
  <c r="AJ42" i="10" s="1"/>
  <c r="AI43" i="10"/>
  <c r="AG43" i="10"/>
  <c r="AG22" i="10" s="1"/>
  <c r="AF43" i="10"/>
  <c r="AF22" i="10" s="1"/>
  <c r="AD43" i="10"/>
  <c r="AD42" i="10" s="1"/>
  <c r="AC43" i="10"/>
  <c r="P43" i="10"/>
  <c r="M43" i="10"/>
  <c r="J43" i="10"/>
  <c r="G43" i="10"/>
  <c r="AD41" i="10"/>
  <c r="AC41" i="10"/>
  <c r="X41" i="10"/>
  <c r="X231" i="10" s="1"/>
  <c r="W41" i="10"/>
  <c r="W20" i="10" s="1"/>
  <c r="W30" i="10" s="1"/>
  <c r="R41" i="10"/>
  <c r="Q41" i="10"/>
  <c r="P41" i="10"/>
  <c r="M41" i="10"/>
  <c r="J41" i="10"/>
  <c r="G41" i="10"/>
  <c r="AJ40" i="10"/>
  <c r="AJ52" i="10" s="1"/>
  <c r="AI40" i="10"/>
  <c r="AG40" i="10"/>
  <c r="AF40" i="10"/>
  <c r="AA40" i="10"/>
  <c r="Z40" i="10"/>
  <c r="X40" i="10"/>
  <c r="W40" i="10"/>
  <c r="W52" i="10" s="1"/>
  <c r="U40" i="10"/>
  <c r="T40" i="10"/>
  <c r="R40" i="10"/>
  <c r="R52" i="10" s="1"/>
  <c r="Q40" i="10"/>
  <c r="Q52" i="10" s="1"/>
  <c r="O40" i="10"/>
  <c r="O52" i="10" s="1"/>
  <c r="N40" i="10"/>
  <c r="N52" i="10" s="1"/>
  <c r="L40" i="10"/>
  <c r="K40" i="10"/>
  <c r="I40" i="10"/>
  <c r="H40" i="10"/>
  <c r="H42" i="10" s="1"/>
  <c r="F40" i="10"/>
  <c r="F52" i="10" s="1"/>
  <c r="E40" i="10"/>
  <c r="AB39" i="10"/>
  <c r="Y39" i="10"/>
  <c r="V39" i="10"/>
  <c r="V51" i="10" s="1"/>
  <c r="S39" i="10"/>
  <c r="S51" i="10" s="1"/>
  <c r="P39" i="10"/>
  <c r="M39" i="10"/>
  <c r="J39" i="10"/>
  <c r="J51" i="10" s="1"/>
  <c r="G39" i="10"/>
  <c r="AB38" i="10"/>
  <c r="Y38" i="10"/>
  <c r="V38" i="10"/>
  <c r="S38" i="10"/>
  <c r="P38" i="10"/>
  <c r="M38" i="10"/>
  <c r="J38" i="10"/>
  <c r="G38" i="10"/>
  <c r="W34" i="10"/>
  <c r="Y34" i="10" s="1"/>
  <c r="V34" i="10"/>
  <c r="S34" i="10"/>
  <c r="P34" i="10"/>
  <c r="M34" i="10"/>
  <c r="J34" i="10"/>
  <c r="G34" i="10"/>
  <c r="G32" i="10"/>
  <c r="G30" i="10"/>
  <c r="H29" i="10"/>
  <c r="F29" i="10"/>
  <c r="F31" i="10" s="1"/>
  <c r="F33" i="10" s="1"/>
  <c r="F35" i="10" s="1"/>
  <c r="E29" i="10"/>
  <c r="X28" i="10"/>
  <c r="Y28" i="10" s="1"/>
  <c r="V28" i="10"/>
  <c r="S28" i="10"/>
  <c r="P28" i="10"/>
  <c r="M28" i="10"/>
  <c r="J28" i="10"/>
  <c r="G28" i="10"/>
  <c r="X27" i="10"/>
  <c r="U27" i="10"/>
  <c r="U29" i="10" s="1"/>
  <c r="T27" i="10"/>
  <c r="R27" i="10"/>
  <c r="R29" i="10" s="1"/>
  <c r="Q27" i="10"/>
  <c r="O27" i="10"/>
  <c r="O29" i="10" s="1"/>
  <c r="N27" i="10"/>
  <c r="N29" i="10" s="1"/>
  <c r="L27" i="10"/>
  <c r="L29" i="10" s="1"/>
  <c r="K27" i="10"/>
  <c r="I27" i="10"/>
  <c r="G27" i="10"/>
  <c r="X26" i="10"/>
  <c r="Z26" i="10" s="1"/>
  <c r="AA26" i="10" s="1"/>
  <c r="AC26" i="10" s="1"/>
  <c r="V26" i="10"/>
  <c r="S26" i="10"/>
  <c r="P26" i="10"/>
  <c r="M26" i="10"/>
  <c r="J26" i="10"/>
  <c r="G26" i="10"/>
  <c r="O22" i="10"/>
  <c r="O236" i="10" s="1"/>
  <c r="N22" i="10"/>
  <c r="L22" i="10"/>
  <c r="L32" i="10" s="1"/>
  <c r="K22" i="10"/>
  <c r="I22" i="10"/>
  <c r="I32" i="10" s="1"/>
  <c r="J32" i="10" s="1"/>
  <c r="H22" i="10"/>
  <c r="F22" i="10"/>
  <c r="E22" i="10"/>
  <c r="O20" i="10"/>
  <c r="O231" i="10" s="1"/>
  <c r="N20" i="10"/>
  <c r="N231" i="10" s="1"/>
  <c r="L20" i="10"/>
  <c r="L30" i="10" s="1"/>
  <c r="K20" i="10"/>
  <c r="I20" i="10"/>
  <c r="I30" i="10" s="1"/>
  <c r="J30" i="10" s="1"/>
  <c r="H20" i="10"/>
  <c r="F20" i="10"/>
  <c r="E20" i="10"/>
  <c r="AA18" i="10"/>
  <c r="Z18" i="10"/>
  <c r="X18" i="10"/>
  <c r="W18" i="10"/>
  <c r="U18" i="10"/>
  <c r="T18" i="10"/>
  <c r="Q18" i="10"/>
  <c r="O18" i="10"/>
  <c r="N18" i="10"/>
  <c r="L18" i="10"/>
  <c r="K18" i="10"/>
  <c r="I18" i="10"/>
  <c r="H18" i="10"/>
  <c r="F18" i="10"/>
  <c r="E18" i="10"/>
  <c r="AA17" i="10"/>
  <c r="Z17" i="10"/>
  <c r="X17" i="10"/>
  <c r="W17" i="10"/>
  <c r="U17" i="10"/>
  <c r="T17" i="10"/>
  <c r="Q17" i="10"/>
  <c r="O17" i="10"/>
  <c r="N17" i="10"/>
  <c r="L17" i="10"/>
  <c r="K17" i="10"/>
  <c r="I17" i="10"/>
  <c r="H17" i="10"/>
  <c r="F17" i="10"/>
  <c r="E17" i="10"/>
  <c r="AF9" i="10"/>
  <c r="AG9" i="10" s="1"/>
  <c r="AI9" i="10" s="1"/>
  <c r="AB9" i="10"/>
  <c r="Y9" i="10"/>
  <c r="V9" i="10"/>
  <c r="S9" i="10"/>
  <c r="P9" i="10"/>
  <c r="M9" i="10"/>
  <c r="J9" i="10"/>
  <c r="G9" i="10"/>
  <c r="AJ7" i="10"/>
  <c r="AI7" i="10"/>
  <c r="AG7" i="10"/>
  <c r="AF7" i="10"/>
  <c r="AD7" i="10"/>
  <c r="AC7" i="10"/>
  <c r="AJ6" i="10"/>
  <c r="AI6" i="10"/>
  <c r="AG6" i="10"/>
  <c r="AF6" i="10"/>
  <c r="AD6" i="10"/>
  <c r="AC6" i="10"/>
  <c r="A14" i="18"/>
  <c r="P8" i="18"/>
  <c r="Q8" i="18" s="1"/>
  <c r="R8" i="18" s="1"/>
  <c r="F3" i="15"/>
  <c r="F2" i="15"/>
  <c r="BD678" i="1" l="1"/>
  <c r="DB678" i="1"/>
  <c r="BD539" i="1"/>
  <c r="DB539" i="1"/>
  <c r="DA661" i="1"/>
  <c r="U56" i="21"/>
  <c r="BC677" i="1"/>
  <c r="DB677" i="1" s="1"/>
  <c r="DB499" i="1"/>
  <c r="BF498" i="1"/>
  <c r="Z43" i="21"/>
  <c r="DC498" i="1"/>
  <c r="BD706" i="1"/>
  <c r="DB706" i="1"/>
  <c r="S8" i="18"/>
  <c r="BC707" i="1"/>
  <c r="W27" i="10"/>
  <c r="W29" i="10" s="1"/>
  <c r="M51" i="10"/>
  <c r="AG42" i="10"/>
  <c r="AJ57" i="10" s="1"/>
  <c r="L19" i="10"/>
  <c r="L21" i="10" s="1"/>
  <c r="L23" i="10" s="1"/>
  <c r="V40" i="10"/>
  <c r="V52" i="10" s="1"/>
  <c r="N19" i="10"/>
  <c r="N252" i="10" s="1"/>
  <c r="AF126" i="10"/>
  <c r="S250" i="10"/>
  <c r="J40" i="10"/>
  <c r="J42" i="10" s="1"/>
  <c r="J58" i="10" s="1"/>
  <c r="K122" i="10"/>
  <c r="K126" i="10" s="1"/>
  <c r="V191" i="10"/>
  <c r="V198" i="10"/>
  <c r="S259" i="10"/>
  <c r="Y125" i="10"/>
  <c r="G131" i="10"/>
  <c r="S251" i="10"/>
  <c r="V259" i="10"/>
  <c r="AB259" i="10"/>
  <c r="V263" i="10"/>
  <c r="DF575" i="1"/>
  <c r="BL575" i="1"/>
  <c r="BM575" i="1" s="1"/>
  <c r="DF600" i="1"/>
  <c r="BL600" i="1"/>
  <c r="BM600" i="1" s="1"/>
  <c r="DF151" i="1"/>
  <c r="DF606" i="1"/>
  <c r="BL606" i="1"/>
  <c r="BM606" i="1" s="1"/>
  <c r="DF681" i="1"/>
  <c r="BL681" i="1"/>
  <c r="BM681" i="1" s="1"/>
  <c r="DF554" i="1"/>
  <c r="BL554" i="1"/>
  <c r="BM554" i="1" s="1"/>
  <c r="DF561" i="1"/>
  <c r="BL561" i="1"/>
  <c r="DF573" i="1"/>
  <c r="BL573" i="1"/>
  <c r="BM573" i="1" s="1"/>
  <c r="DF601" i="1"/>
  <c r="BL601" i="1"/>
  <c r="BM601" i="1" s="1"/>
  <c r="DF577" i="1"/>
  <c r="BL577" i="1"/>
  <c r="BM577" i="1" s="1"/>
  <c r="DF603" i="1"/>
  <c r="BL603" i="1"/>
  <c r="BM603" i="1" s="1"/>
  <c r="BM574" i="1"/>
  <c r="DF566" i="1"/>
  <c r="BL566" i="1"/>
  <c r="BM566" i="1" s="1"/>
  <c r="DF682" i="1"/>
  <c r="BL682" i="1"/>
  <c r="BM682" i="1" s="1"/>
  <c r="DA536" i="1"/>
  <c r="BK435" i="1"/>
  <c r="DD433" i="1"/>
  <c r="BI433" i="1"/>
  <c r="BJ433" i="1" s="1"/>
  <c r="BC413" i="1"/>
  <c r="BB425" i="1"/>
  <c r="BB460" i="1" s="1"/>
  <c r="BB489" i="1" s="1"/>
  <c r="BB517" i="1"/>
  <c r="AY626" i="1"/>
  <c r="CZ626" i="1" s="1"/>
  <c r="CZ556" i="1"/>
  <c r="CZ562" i="1" s="1"/>
  <c r="DE435" i="1"/>
  <c r="BE59" i="1"/>
  <c r="BF34" i="1"/>
  <c r="M3" i="1"/>
  <c r="L5" i="1" s="1"/>
  <c r="M2" i="1"/>
  <c r="N1" i="1"/>
  <c r="BB588" i="1"/>
  <c r="BC555" i="1"/>
  <c r="DB555" i="1" s="1"/>
  <c r="BA576" i="1"/>
  <c r="DA576" i="1" s="1"/>
  <c r="BA540" i="1"/>
  <c r="BB553" i="1"/>
  <c r="BB147" i="1"/>
  <c r="BC571" i="1"/>
  <c r="DB571" i="1" s="1"/>
  <c r="BF60" i="1"/>
  <c r="BG35" i="1"/>
  <c r="BB520" i="1"/>
  <c r="BC505" i="1"/>
  <c r="DB505" i="1" s="1"/>
  <c r="BC522" i="1"/>
  <c r="DB522" i="1" s="1"/>
  <c r="BD499" i="1"/>
  <c r="AP123" i="1"/>
  <c r="AQ123" i="1" s="1"/>
  <c r="CV123" i="1" s="1"/>
  <c r="BB661" i="1"/>
  <c r="BA735" i="1"/>
  <c r="BB536" i="1"/>
  <c r="BB507" i="1"/>
  <c r="BC565" i="1"/>
  <c r="DB565" i="1" s="1"/>
  <c r="CM1" i="1"/>
  <c r="CL2" i="1"/>
  <c r="CL3" i="1"/>
  <c r="S27" i="10"/>
  <c r="W19" i="10"/>
  <c r="W21" i="10" s="1"/>
  <c r="G163" i="10"/>
  <c r="X19" i="10"/>
  <c r="T68" i="10"/>
  <c r="T76" i="10" s="1"/>
  <c r="AH9" i="10"/>
  <c r="G22" i="10"/>
  <c r="P169" i="10"/>
  <c r="R18" i="10"/>
  <c r="R19" i="10" s="1"/>
  <c r="R252" i="10" s="1"/>
  <c r="R253" i="10" s="1"/>
  <c r="R257" i="10" s="1"/>
  <c r="R261" i="10" s="1"/>
  <c r="R264" i="10" s="1"/>
  <c r="Z252" i="10"/>
  <c r="Z253" i="10" s="1"/>
  <c r="Z257" i="10" s="1"/>
  <c r="Z261" i="10" s="1"/>
  <c r="AH84" i="10"/>
  <c r="AH98" i="10" s="1"/>
  <c r="K208" i="10"/>
  <c r="G89" i="10"/>
  <c r="G98" i="10" s="1"/>
  <c r="S131" i="10"/>
  <c r="G20" i="10"/>
  <c r="G17" i="10"/>
  <c r="N122" i="10"/>
  <c r="N126" i="10" s="1"/>
  <c r="T122" i="10"/>
  <c r="T126" i="10" s="1"/>
  <c r="V124" i="10"/>
  <c r="J198" i="10"/>
  <c r="H208" i="10"/>
  <c r="U208" i="10"/>
  <c r="AC208" i="10"/>
  <c r="P229" i="10"/>
  <c r="AI71" i="10"/>
  <c r="AG97" i="10"/>
  <c r="V27" i="10"/>
  <c r="O32" i="10"/>
  <c r="G51" i="10"/>
  <c r="G120" i="10"/>
  <c r="S120" i="10"/>
  <c r="AB121" i="10"/>
  <c r="T142" i="10"/>
  <c r="AB131" i="10"/>
  <c r="AB142" i="10" s="1"/>
  <c r="AE135" i="10"/>
  <c r="J145" i="10"/>
  <c r="J17" i="10"/>
  <c r="J18" i="10"/>
  <c r="J20" i="10"/>
  <c r="AH22" i="10"/>
  <c r="P56" i="10"/>
  <c r="AF70" i="10"/>
  <c r="AF80" i="10"/>
  <c r="J89" i="10"/>
  <c r="AC91" i="10"/>
  <c r="AC99" i="10" s="1"/>
  <c r="U125" i="10"/>
  <c r="V125" i="10" s="1"/>
  <c r="I122" i="10"/>
  <c r="I126" i="10" s="1"/>
  <c r="I87" i="10" s="1"/>
  <c r="O122" i="10"/>
  <c r="O126" i="10" s="1"/>
  <c r="O87" i="10" s="1"/>
  <c r="G121" i="10"/>
  <c r="M121" i="10"/>
  <c r="G123" i="10"/>
  <c r="M123" i="10"/>
  <c r="AH123" i="10"/>
  <c r="Y152" i="10"/>
  <c r="Y154" i="10" s="1"/>
  <c r="Y171" i="10" s="1"/>
  <c r="AK151" i="10"/>
  <c r="AK152" i="10" s="1"/>
  <c r="N168" i="10"/>
  <c r="W208" i="10"/>
  <c r="AB229" i="10"/>
  <c r="J22" i="10"/>
  <c r="AH43" i="10"/>
  <c r="AF78" i="10"/>
  <c r="AD88" i="10"/>
  <c r="AE88" i="10" s="1"/>
  <c r="AE97" i="10" s="1"/>
  <c r="AB113" i="10"/>
  <c r="L122" i="10"/>
  <c r="L126" i="10" s="1"/>
  <c r="L87" i="10" s="1"/>
  <c r="P125" i="10"/>
  <c r="P131" i="10"/>
  <c r="P142" i="10" s="1"/>
  <c r="AJ146" i="10"/>
  <c r="J167" i="10"/>
  <c r="X168" i="10"/>
  <c r="Y188" i="10"/>
  <c r="G198" i="10"/>
  <c r="X208" i="10"/>
  <c r="F208" i="10"/>
  <c r="F213" i="10" s="1"/>
  <c r="Z208" i="10"/>
  <c r="AB208" i="10" s="1"/>
  <c r="S218" i="10"/>
  <c r="Q218" i="10" s="1"/>
  <c r="S220" i="10"/>
  <c r="V220" i="10" s="1"/>
  <c r="P144" i="10"/>
  <c r="P207" i="10"/>
  <c r="W193" i="10"/>
  <c r="Y263" i="10"/>
  <c r="X20" i="10"/>
  <c r="X30" i="10" s="1"/>
  <c r="Y30" i="10" s="1"/>
  <c r="AI70" i="10"/>
  <c r="AI69" i="10"/>
  <c r="AI76" i="10"/>
  <c r="AI79" i="10"/>
  <c r="P104" i="10"/>
  <c r="Y121" i="10"/>
  <c r="Y123" i="10"/>
  <c r="J125" i="10"/>
  <c r="P206" i="10"/>
  <c r="N193" i="10"/>
  <c r="Q206" i="10"/>
  <c r="S196" i="10"/>
  <c r="S206" i="10" s="1"/>
  <c r="U167" i="10"/>
  <c r="R167" i="10"/>
  <c r="AJ13" i="10"/>
  <c r="AB18" i="10"/>
  <c r="J56" i="10"/>
  <c r="AE41" i="10"/>
  <c r="AI77" i="10"/>
  <c r="AI96" i="10"/>
  <c r="M120" i="10"/>
  <c r="S137" i="10"/>
  <c r="Q89" i="10"/>
  <c r="S89" i="10" s="1"/>
  <c r="G162" i="10"/>
  <c r="T181" i="10"/>
  <c r="F212" i="10"/>
  <c r="AB218" i="10"/>
  <c r="AE218" i="10" s="1"/>
  <c r="AH218" i="10" s="1"/>
  <c r="V218" i="10"/>
  <c r="T218" i="10" s="1"/>
  <c r="U218" i="10" s="1"/>
  <c r="Y243" i="10"/>
  <c r="Q29" i="10"/>
  <c r="S29" i="10" s="1"/>
  <c r="AE43" i="10"/>
  <c r="AC42" i="10"/>
  <c r="AC40" i="10" s="1"/>
  <c r="AC55" i="10" s="1"/>
  <c r="AC22" i="10"/>
  <c r="F68" i="10"/>
  <c r="F80" i="10" s="1"/>
  <c r="G64" i="10"/>
  <c r="H142" i="10" s="1"/>
  <c r="AG12" i="10"/>
  <c r="AG13" i="10"/>
  <c r="AB17" i="10"/>
  <c r="AD22" i="10"/>
  <c r="J27" i="10"/>
  <c r="I29" i="10"/>
  <c r="I31" i="10" s="1"/>
  <c r="I33" i="10" s="1"/>
  <c r="I35" i="10" s="1"/>
  <c r="V54" i="10"/>
  <c r="AI80" i="10"/>
  <c r="AK98" i="10"/>
  <c r="P123" i="10"/>
  <c r="J124" i="10"/>
  <c r="AB152" i="10"/>
  <c r="AB154" i="10" s="1"/>
  <c r="AB171" i="10" s="1"/>
  <c r="U182" i="10"/>
  <c r="V182" i="10" s="1"/>
  <c r="AL186" i="10"/>
  <c r="K193" i="10"/>
  <c r="H181" i="10"/>
  <c r="M188" i="10"/>
  <c r="P218" i="10"/>
  <c r="O218" i="10" s="1"/>
  <c r="S242" i="10"/>
  <c r="AE6" i="10"/>
  <c r="AK6" i="10"/>
  <c r="G18" i="10"/>
  <c r="M18" i="10"/>
  <c r="O244" i="10"/>
  <c r="P29" i="10"/>
  <c r="F122" i="10"/>
  <c r="F126" i="10" s="1"/>
  <c r="F87" i="10" s="1"/>
  <c r="M125" i="10"/>
  <c r="S125" i="10"/>
  <c r="L168" i="10"/>
  <c r="Z168" i="10"/>
  <c r="G206" i="10"/>
  <c r="AC188" i="10"/>
  <c r="AC181" i="10" s="1"/>
  <c r="O208" i="10"/>
  <c r="S243" i="10"/>
  <c r="S229" i="10"/>
  <c r="V240" i="10"/>
  <c r="V242" i="10" s="1"/>
  <c r="P251" i="10"/>
  <c r="V251" i="10"/>
  <c r="AB251" i="10"/>
  <c r="Y259" i="10"/>
  <c r="R56" i="10"/>
  <c r="R20" i="10"/>
  <c r="W145" i="10"/>
  <c r="W67" i="10"/>
  <c r="X145" i="10" s="1"/>
  <c r="O108" i="10"/>
  <c r="O85" i="10" s="1"/>
  <c r="P85" i="10" s="1"/>
  <c r="S113" i="10"/>
  <c r="R117" i="10"/>
  <c r="R86" i="10" s="1"/>
  <c r="S86" i="10" s="1"/>
  <c r="AA122" i="10"/>
  <c r="AA126" i="10" s="1"/>
  <c r="AA87" i="10" s="1"/>
  <c r="AB120" i="10"/>
  <c r="AE7" i="10"/>
  <c r="S17" i="10"/>
  <c r="H19" i="10"/>
  <c r="H21" i="10" s="1"/>
  <c r="H23" i="10" s="1"/>
  <c r="N236" i="10"/>
  <c r="P236" i="10" s="1"/>
  <c r="N32" i="10"/>
  <c r="I52" i="10"/>
  <c r="I42" i="10"/>
  <c r="I44" i="10" s="1"/>
  <c r="I6" i="10" s="1"/>
  <c r="I55" i="10"/>
  <c r="O42" i="10"/>
  <c r="AD40" i="10"/>
  <c r="AD52" i="10" s="1"/>
  <c r="AJ91" i="10"/>
  <c r="AJ99" i="10" s="1"/>
  <c r="AK87" i="10"/>
  <c r="AK90" i="10" s="1"/>
  <c r="AL84" i="10" s="1"/>
  <c r="AL98" i="10" s="1"/>
  <c r="K108" i="10"/>
  <c r="M104" i="10"/>
  <c r="V105" i="10"/>
  <c r="U123" i="10"/>
  <c r="V123" i="10" s="1"/>
  <c r="N117" i="10"/>
  <c r="P113" i="10"/>
  <c r="W122" i="10"/>
  <c r="W126" i="10" s="1"/>
  <c r="W87" i="10" s="1"/>
  <c r="Y120" i="10"/>
  <c r="AJ126" i="10"/>
  <c r="AK122" i="10"/>
  <c r="AK123" i="10"/>
  <c r="AL123" i="10"/>
  <c r="AN123" i="10" s="1"/>
  <c r="AD8" i="10"/>
  <c r="AD10" i="10" s="1"/>
  <c r="G50" i="10"/>
  <c r="G40" i="10"/>
  <c r="G42" i="10" s="1"/>
  <c r="G44" i="10" s="1"/>
  <c r="E52" i="10"/>
  <c r="E42" i="10"/>
  <c r="E58" i="10" s="1"/>
  <c r="AJ71" i="10"/>
  <c r="AK71" i="10" s="1"/>
  <c r="AJ69" i="10"/>
  <c r="AK68" i="10"/>
  <c r="AJ77" i="10"/>
  <c r="AJ76" i="10"/>
  <c r="AJ80" i="10"/>
  <c r="AJ79" i="10"/>
  <c r="AJ78" i="10"/>
  <c r="AJ70" i="10"/>
  <c r="AK70" i="10" s="1"/>
  <c r="V102" i="10"/>
  <c r="U120" i="10"/>
  <c r="AB89" i="10"/>
  <c r="F19" i="10"/>
  <c r="F21" i="10" s="1"/>
  <c r="F23" i="10" s="1"/>
  <c r="M17" i="10"/>
  <c r="Q19" i="10"/>
  <c r="U19" i="10"/>
  <c r="P18" i="10"/>
  <c r="V18" i="10"/>
  <c r="AF69" i="10"/>
  <c r="AF77" i="10"/>
  <c r="AF76" i="10"/>
  <c r="AF71" i="10"/>
  <c r="Z117" i="10"/>
  <c r="AB117" i="10" s="1"/>
  <c r="P137" i="10"/>
  <c r="N89" i="10"/>
  <c r="P89" i="10" s="1"/>
  <c r="T89" i="10"/>
  <c r="V89" i="10" s="1"/>
  <c r="V137" i="10"/>
  <c r="AJ12" i="10"/>
  <c r="E19" i="10"/>
  <c r="E21" i="10" s="1"/>
  <c r="E23" i="10" s="1"/>
  <c r="I19" i="10"/>
  <c r="I21" i="10" s="1"/>
  <c r="I23" i="10" s="1"/>
  <c r="O19" i="10"/>
  <c r="O21" i="10" s="1"/>
  <c r="O23" i="10" s="1"/>
  <c r="V17" i="10"/>
  <c r="Z19" i="10"/>
  <c r="M20" i="10"/>
  <c r="M22" i="10"/>
  <c r="AB26" i="10"/>
  <c r="Y50" i="10"/>
  <c r="Y51" i="10"/>
  <c r="V50" i="10"/>
  <c r="H52" i="10"/>
  <c r="AH68" i="10"/>
  <c r="AI146" i="10" s="1"/>
  <c r="AC69" i="10"/>
  <c r="H70" i="10"/>
  <c r="AK97" i="10"/>
  <c r="AB104" i="10"/>
  <c r="AB108" i="10" s="1"/>
  <c r="V107" i="10"/>
  <c r="P121" i="10"/>
  <c r="U121" i="10"/>
  <c r="V121" i="10" s="1"/>
  <c r="AB123" i="10"/>
  <c r="P124" i="10"/>
  <c r="Y124" i="10"/>
  <c r="M131" i="10"/>
  <c r="M142" i="10" s="1"/>
  <c r="AE143" i="10"/>
  <c r="AG146" i="10"/>
  <c r="AB137" i="10"/>
  <c r="X154" i="10"/>
  <c r="AA170" i="10" s="1"/>
  <c r="J182" i="10"/>
  <c r="Y182" i="10"/>
  <c r="J206" i="10"/>
  <c r="J211" i="10" s="1"/>
  <c r="R193" i="10"/>
  <c r="P191" i="10"/>
  <c r="AO191" i="10"/>
  <c r="P40" i="10"/>
  <c r="P52" i="10" s="1"/>
  <c r="AF42" i="10"/>
  <c r="AD58" i="10"/>
  <c r="AK43" i="10"/>
  <c r="J50" i="10"/>
  <c r="J54" i="10"/>
  <c r="Q55" i="10"/>
  <c r="AC70" i="10"/>
  <c r="Y104" i="10"/>
  <c r="Y108" i="10" s="1"/>
  <c r="G113" i="10"/>
  <c r="P120" i="10"/>
  <c r="Z122" i="10"/>
  <c r="AI126" i="10"/>
  <c r="S123" i="10"/>
  <c r="G124" i="10"/>
  <c r="AB124" i="10"/>
  <c r="AB125" i="10"/>
  <c r="J131" i="10"/>
  <c r="V132" i="10"/>
  <c r="V143" i="10" s="1"/>
  <c r="AH143" i="10"/>
  <c r="Y145" i="10"/>
  <c r="M167" i="10"/>
  <c r="G165" i="10"/>
  <c r="Y181" i="10"/>
  <c r="F182" i="10"/>
  <c r="G182" i="10" s="1"/>
  <c r="M182" i="10"/>
  <c r="AD186" i="10"/>
  <c r="AG186" i="10" s="1"/>
  <c r="M207" i="10"/>
  <c r="Y207" i="10"/>
  <c r="L193" i="10"/>
  <c r="Z193" i="10"/>
  <c r="AJ192" i="10"/>
  <c r="AC196" i="10"/>
  <c r="T208" i="10"/>
  <c r="V243" i="10"/>
  <c r="P245" i="10"/>
  <c r="AB245" i="10"/>
  <c r="Y251" i="10"/>
  <c r="P259" i="10"/>
  <c r="S263" i="10"/>
  <c r="L154" i="10"/>
  <c r="J169" i="10"/>
  <c r="P263" i="10"/>
  <c r="T29" i="10"/>
  <c r="V29" i="10" s="1"/>
  <c r="M56" i="10"/>
  <c r="H44" i="10"/>
  <c r="H6" i="10" s="1"/>
  <c r="H55" i="10"/>
  <c r="AG70" i="10"/>
  <c r="AH70" i="10" s="1"/>
  <c r="G86" i="10"/>
  <c r="G95" i="10" s="1"/>
  <c r="F108" i="10"/>
  <c r="F85" i="10" s="1"/>
  <c r="R122" i="10"/>
  <c r="R126" i="10" s="1"/>
  <c r="R87" i="10" s="1"/>
  <c r="X122" i="10"/>
  <c r="X126" i="10" s="1"/>
  <c r="M124" i="10"/>
  <c r="S140" i="10"/>
  <c r="S141" i="10"/>
  <c r="K142" i="10"/>
  <c r="G152" i="10"/>
  <c r="G164" i="10" s="1"/>
  <c r="M152" i="10"/>
  <c r="M154" i="10" s="1"/>
  <c r="M169" i="10"/>
  <c r="Y169" i="10"/>
  <c r="K181" i="10"/>
  <c r="M181" i="10" s="1"/>
  <c r="P182" i="10"/>
  <c r="AB186" i="10"/>
  <c r="AB191" i="10" s="1"/>
  <c r="P192" i="10"/>
  <c r="O193" i="10"/>
  <c r="Y198" i="10"/>
  <c r="Q223" i="10"/>
  <c r="R223" i="10" s="1"/>
  <c r="V250" i="10"/>
  <c r="L31" i="10"/>
  <c r="L33" i="10" s="1"/>
  <c r="L35" i="10" s="1"/>
  <c r="AH6" i="10"/>
  <c r="AF12" i="10"/>
  <c r="AF8" i="10"/>
  <c r="O30" i="10"/>
  <c r="O31" i="10" s="1"/>
  <c r="L52" i="10"/>
  <c r="L55" i="10"/>
  <c r="L42" i="10"/>
  <c r="P51" i="10"/>
  <c r="N140" i="10"/>
  <c r="P140" i="10"/>
  <c r="M86" i="10"/>
  <c r="S121" i="10"/>
  <c r="Q122" i="10"/>
  <c r="AI13" i="10"/>
  <c r="AK7" i="10"/>
  <c r="AI8" i="10"/>
  <c r="AJ9" i="10"/>
  <c r="AL9" i="10" s="1"/>
  <c r="P17" i="10"/>
  <c r="P20" i="10"/>
  <c r="W231" i="10"/>
  <c r="W233" i="10" s="1"/>
  <c r="AD26" i="10"/>
  <c r="AF26" i="10" s="1"/>
  <c r="H31" i="10"/>
  <c r="H58" i="10"/>
  <c r="W143" i="10"/>
  <c r="H144" i="10"/>
  <c r="X87" i="10"/>
  <c r="AC126" i="10"/>
  <c r="AD122" i="10"/>
  <c r="AD126" i="10" s="1"/>
  <c r="AD87" i="10" s="1"/>
  <c r="AE87" i="10" s="1"/>
  <c r="AM153" i="10"/>
  <c r="AK153" i="10"/>
  <c r="AJ8" i="10"/>
  <c r="K19" i="10"/>
  <c r="K21" i="10" s="1"/>
  <c r="K23" i="10" s="1"/>
  <c r="AA19" i="10"/>
  <c r="P22" i="10"/>
  <c r="AI22" i="10"/>
  <c r="G29" i="10"/>
  <c r="E31" i="10"/>
  <c r="X29" i="10"/>
  <c r="K30" i="10"/>
  <c r="M30" i="10" s="1"/>
  <c r="K32" i="10"/>
  <c r="M32" i="10" s="1"/>
  <c r="M54" i="10"/>
  <c r="M40" i="10"/>
  <c r="O55" i="10"/>
  <c r="S40" i="10"/>
  <c r="X252" i="10"/>
  <c r="X253" i="10" s="1"/>
  <c r="X42" i="10"/>
  <c r="AB40" i="10"/>
  <c r="AG52" i="10"/>
  <c r="AJ55" i="10"/>
  <c r="Y41" i="10"/>
  <c r="W42" i="10"/>
  <c r="AJ41" i="10"/>
  <c r="Y54" i="10"/>
  <c r="K145" i="10"/>
  <c r="AE89" i="10"/>
  <c r="AE98" i="10" s="1"/>
  <c r="AD98" i="10"/>
  <c r="AH135" i="10"/>
  <c r="Z140" i="10"/>
  <c r="AB140" i="10"/>
  <c r="P64" i="10"/>
  <c r="Q142" i="10" s="1"/>
  <c r="H117" i="10"/>
  <c r="J113" i="10"/>
  <c r="Z141" i="10"/>
  <c r="AJ58" i="10"/>
  <c r="AL58" i="10" s="1"/>
  <c r="AF52" i="10"/>
  <c r="AI143" i="10"/>
  <c r="T66" i="10"/>
  <c r="AF13" i="10"/>
  <c r="AH7" i="10"/>
  <c r="AI12" i="10"/>
  <c r="Y17" i="10"/>
  <c r="Y18" i="10"/>
  <c r="T19" i="10"/>
  <c r="AJ22" i="10"/>
  <c r="Y26" i="10"/>
  <c r="K29" i="10"/>
  <c r="M27" i="10"/>
  <c r="P27" i="10"/>
  <c r="K55" i="10"/>
  <c r="K52" i="10"/>
  <c r="T252" i="10"/>
  <c r="T253" i="10" s="1"/>
  <c r="T257" i="10" s="1"/>
  <c r="T55" i="10"/>
  <c r="Y40" i="10"/>
  <c r="Q56" i="10"/>
  <c r="S41" i="10"/>
  <c r="S56" i="10" s="1"/>
  <c r="Q20" i="10"/>
  <c r="K42" i="10"/>
  <c r="AI42" i="10"/>
  <c r="M47" i="10"/>
  <c r="P47" i="10"/>
  <c r="M50" i="10"/>
  <c r="X52" i="10"/>
  <c r="X55" i="10"/>
  <c r="AG96" i="10"/>
  <c r="AG91" i="10"/>
  <c r="AG99" i="10" s="1"/>
  <c r="AG90" i="10"/>
  <c r="AH87" i="10"/>
  <c r="AC8" i="10"/>
  <c r="AG8" i="10"/>
  <c r="P54" i="10"/>
  <c r="P50" i="10"/>
  <c r="AB54" i="10"/>
  <c r="U252" i="10"/>
  <c r="U253" i="10" s="1"/>
  <c r="U257" i="10" s="1"/>
  <c r="U261" i="10" s="1"/>
  <c r="U264" i="10" s="1"/>
  <c r="AI55" i="10"/>
  <c r="X244" i="10"/>
  <c r="Q42" i="10"/>
  <c r="AI52" i="10"/>
  <c r="Z143" i="10"/>
  <c r="AL132" i="10"/>
  <c r="N145" i="10"/>
  <c r="Y86" i="10"/>
  <c r="Q168" i="10"/>
  <c r="Q154" i="10"/>
  <c r="AB169" i="10"/>
  <c r="AH153" i="10"/>
  <c r="N244" i="10"/>
  <c r="P231" i="10"/>
  <c r="N233" i="10"/>
  <c r="N30" i="10"/>
  <c r="S54" i="10"/>
  <c r="S50" i="10"/>
  <c r="W252" i="10"/>
  <c r="W253" i="10" s="1"/>
  <c r="W257" i="10" s="1"/>
  <c r="W55" i="10"/>
  <c r="AA252" i="10"/>
  <c r="AA253" i="10" s="1"/>
  <c r="AA257" i="10" s="1"/>
  <c r="AA55" i="10"/>
  <c r="U55" i="10"/>
  <c r="K140" i="10"/>
  <c r="W140" i="10"/>
  <c r="K141" i="10"/>
  <c r="W141" i="10"/>
  <c r="AF142" i="10"/>
  <c r="AC96" i="10"/>
  <c r="N143" i="10"/>
  <c r="F42" i="10"/>
  <c r="N42" i="10"/>
  <c r="R42" i="10"/>
  <c r="AH47" i="10"/>
  <c r="N55" i="10"/>
  <c r="R55" i="10"/>
  <c r="Z55" i="10"/>
  <c r="AI142" i="10"/>
  <c r="J66" i="10"/>
  <c r="Z145" i="10"/>
  <c r="AD80" i="10"/>
  <c r="AD79" i="10"/>
  <c r="AD78" i="10"/>
  <c r="AD77" i="10"/>
  <c r="AD76" i="10"/>
  <c r="AD71" i="10"/>
  <c r="AE71" i="10" s="1"/>
  <c r="AD70" i="10"/>
  <c r="AE70" i="10" s="1"/>
  <c r="AJ90" i="10"/>
  <c r="AJ98" i="10"/>
  <c r="AJ97" i="10"/>
  <c r="M89" i="10"/>
  <c r="T117" i="10"/>
  <c r="J123" i="10"/>
  <c r="I65" i="10"/>
  <c r="J140" i="10"/>
  <c r="U140" i="10"/>
  <c r="U131" i="10"/>
  <c r="V129" i="10"/>
  <c r="V140" i="10" s="1"/>
  <c r="F142" i="10"/>
  <c r="Y131" i="10"/>
  <c r="X142" i="10"/>
  <c r="X135" i="10"/>
  <c r="AE142" i="10"/>
  <c r="J144" i="10"/>
  <c r="L135" i="10"/>
  <c r="L142" i="10"/>
  <c r="AA156" i="10"/>
  <c r="AD170" i="10"/>
  <c r="AA171" i="10"/>
  <c r="H201" i="10"/>
  <c r="H175" i="10"/>
  <c r="I211" i="10" s="1"/>
  <c r="H141" i="10"/>
  <c r="J141" i="10"/>
  <c r="E68" i="10"/>
  <c r="E76" i="10" s="1"/>
  <c r="V64" i="10"/>
  <c r="W142" i="10" s="1"/>
  <c r="H143" i="10"/>
  <c r="J143" i="10"/>
  <c r="N144" i="10"/>
  <c r="AE68" i="10"/>
  <c r="AE76" i="10" s="1"/>
  <c r="H71" i="10"/>
  <c r="H74" i="10"/>
  <c r="H75" i="10"/>
  <c r="H76" i="10"/>
  <c r="H77" i="10"/>
  <c r="H78" i="10"/>
  <c r="H79" i="10"/>
  <c r="Y85" i="10"/>
  <c r="U98" i="10"/>
  <c r="E108" i="10"/>
  <c r="G104" i="10"/>
  <c r="E122" i="10"/>
  <c r="M145" i="10"/>
  <c r="AM137" i="10"/>
  <c r="AN137" i="10" s="1"/>
  <c r="P152" i="10"/>
  <c r="P167" i="10"/>
  <c r="E164" i="10"/>
  <c r="E154" i="10"/>
  <c r="K171" i="10"/>
  <c r="K156" i="10"/>
  <c r="K170" i="10"/>
  <c r="O156" i="10"/>
  <c r="O171" i="10"/>
  <c r="W171" i="10"/>
  <c r="W156" i="10"/>
  <c r="W170" i="10"/>
  <c r="AC71" i="10"/>
  <c r="AG71" i="10"/>
  <c r="AH71" i="10" s="1"/>
  <c r="AC76" i="10"/>
  <c r="AG76" i="10"/>
  <c r="AC77" i="10"/>
  <c r="AG77" i="10"/>
  <c r="AC78" i="10"/>
  <c r="AG78" i="10"/>
  <c r="AC79" i="10"/>
  <c r="AG79" i="10"/>
  <c r="AG80" i="10"/>
  <c r="AI90" i="10"/>
  <c r="AF96" i="10"/>
  <c r="AJ96" i="10"/>
  <c r="U104" i="10"/>
  <c r="U113" i="10"/>
  <c r="U117" i="10" s="1"/>
  <c r="U86" i="10" s="1"/>
  <c r="U95" i="10" s="1"/>
  <c r="V111" i="10"/>
  <c r="G117" i="10"/>
  <c r="M117" i="10"/>
  <c r="Y117" i="10"/>
  <c r="J120" i="10"/>
  <c r="J121" i="10"/>
  <c r="AG126" i="10"/>
  <c r="AH122" i="10"/>
  <c r="S124" i="10"/>
  <c r="M140" i="10"/>
  <c r="Y140" i="10"/>
  <c r="M141" i="10"/>
  <c r="Y141" i="10"/>
  <c r="N142" i="10"/>
  <c r="R142" i="10"/>
  <c r="Z142" i="10"/>
  <c r="AH142" i="10"/>
  <c r="P143" i="10"/>
  <c r="Y143" i="10"/>
  <c r="AK143" i="10"/>
  <c r="P145" i="10"/>
  <c r="AB145" i="10"/>
  <c r="T135" i="10"/>
  <c r="AD146" i="10"/>
  <c r="V145" i="10"/>
  <c r="H168" i="10"/>
  <c r="T168" i="10"/>
  <c r="U169" i="10"/>
  <c r="S153" i="10"/>
  <c r="T171" i="10"/>
  <c r="T156" i="10"/>
  <c r="R169" i="10"/>
  <c r="AF90" i="10"/>
  <c r="H122" i="10"/>
  <c r="Q108" i="10"/>
  <c r="S104" i="10"/>
  <c r="G125" i="10"/>
  <c r="P141" i="10"/>
  <c r="AB141" i="10"/>
  <c r="I142" i="10"/>
  <c r="O142" i="10"/>
  <c r="AA142" i="10"/>
  <c r="AK142" i="10"/>
  <c r="S143" i="10"/>
  <c r="AB143" i="10"/>
  <c r="S145" i="10"/>
  <c r="Y167" i="10"/>
  <c r="I168" i="10"/>
  <c r="I164" i="10"/>
  <c r="I154" i="10"/>
  <c r="U154" i="10"/>
  <c r="H171" i="10"/>
  <c r="H156" i="10"/>
  <c r="G176" i="10"/>
  <c r="H212" i="10" s="1"/>
  <c r="F177" i="10"/>
  <c r="AB197" i="10"/>
  <c r="Q193" i="10"/>
  <c r="S188" i="10"/>
  <c r="Q181" i="10"/>
  <c r="S181" i="10" s="1"/>
  <c r="Q207" i="10"/>
  <c r="S197" i="10"/>
  <c r="S207" i="10" s="1"/>
  <c r="J104" i="10"/>
  <c r="H108" i="10"/>
  <c r="M113" i="10"/>
  <c r="Y113" i="10"/>
  <c r="AL122" i="10"/>
  <c r="AL64" i="10" s="1"/>
  <c r="E135" i="10"/>
  <c r="I135" i="10"/>
  <c r="J135" i="10" s="1"/>
  <c r="Q135" i="10"/>
  <c r="AK135" i="10"/>
  <c r="J152" i="10"/>
  <c r="R152" i="10"/>
  <c r="V152" i="10"/>
  <c r="AO153" i="10"/>
  <c r="AC171" i="10"/>
  <c r="H164" i="10"/>
  <c r="K168" i="10"/>
  <c r="O168" i="10"/>
  <c r="W168" i="10"/>
  <c r="AA168" i="10"/>
  <c r="AF187" i="10"/>
  <c r="AF188" i="10" s="1"/>
  <c r="H193" i="10"/>
  <c r="X193" i="10"/>
  <c r="AM192" i="10"/>
  <c r="AO192" i="10"/>
  <c r="AM122" i="10"/>
  <c r="V130" i="10"/>
  <c r="V141" i="10" s="1"/>
  <c r="F135" i="10"/>
  <c r="N135" i="10"/>
  <c r="R135" i="10"/>
  <c r="Z135" i="10"/>
  <c r="S150" i="10"/>
  <c r="F154" i="10"/>
  <c r="N154" i="10"/>
  <c r="Z154" i="10"/>
  <c r="AC170" i="10" s="1"/>
  <c r="AD171" i="10"/>
  <c r="AB167" i="10"/>
  <c r="P181" i="10"/>
  <c r="M206" i="10"/>
  <c r="M191" i="10"/>
  <c r="Y206" i="10"/>
  <c r="Y191" i="10"/>
  <c r="J207" i="10"/>
  <c r="J192" i="10"/>
  <c r="V207" i="10"/>
  <c r="V192" i="10"/>
  <c r="I193" i="10"/>
  <c r="I181" i="10"/>
  <c r="T193" i="10"/>
  <c r="M198" i="10"/>
  <c r="S241" i="10"/>
  <c r="T241" i="10"/>
  <c r="K135" i="10"/>
  <c r="O135" i="10"/>
  <c r="W135" i="10"/>
  <c r="AA135" i="10"/>
  <c r="AE155" i="10"/>
  <c r="AA198" i="10"/>
  <c r="AB196" i="10"/>
  <c r="G188" i="10"/>
  <c r="E181" i="10"/>
  <c r="U193" i="10"/>
  <c r="U181" i="10"/>
  <c r="AC197" i="10"/>
  <c r="AD187" i="10"/>
  <c r="J188" i="10"/>
  <c r="V188" i="10"/>
  <c r="M192" i="10"/>
  <c r="Y192" i="10"/>
  <c r="Q198" i="10"/>
  <c r="Y250" i="10"/>
  <c r="AA188" i="10"/>
  <c r="J191" i="10"/>
  <c r="AS202" i="10"/>
  <c r="R208" i="10"/>
  <c r="Y229" i="10"/>
  <c r="V206" i="10"/>
  <c r="G207" i="10"/>
  <c r="AB187" i="10"/>
  <c r="P188" i="10"/>
  <c r="S191" i="10"/>
  <c r="S192" i="10"/>
  <c r="J201" i="10"/>
  <c r="F203" i="10"/>
  <c r="P198" i="10"/>
  <c r="L208" i="10"/>
  <c r="Z218" i="10"/>
  <c r="AA218" i="10" s="1"/>
  <c r="S245" i="10"/>
  <c r="N208" i="10"/>
  <c r="H211" i="10"/>
  <c r="O233" i="10"/>
  <c r="O237" i="10" s="1"/>
  <c r="X233" i="10"/>
  <c r="W241" i="10"/>
  <c r="V241" i="10"/>
  <c r="V245" i="10"/>
  <c r="I208" i="10"/>
  <c r="P242" i="10"/>
  <c r="V229" i="10"/>
  <c r="P250" i="10"/>
  <c r="E208" i="10"/>
  <c r="P243" i="10"/>
  <c r="AB243" i="10"/>
  <c r="AA240" i="10"/>
  <c r="AB240" i="10" s="1"/>
  <c r="AB242" i="10" s="1"/>
  <c r="AB250" i="10"/>
  <c r="Y239" i="10"/>
  <c r="X240" i="10"/>
  <c r="Y240" i="10" s="1"/>
  <c r="Y242" i="10" s="1"/>
  <c r="AB19" i="18"/>
  <c r="AA14" i="18" s="1"/>
  <c r="P7" i="18"/>
  <c r="Q7" i="18" s="1"/>
  <c r="R7" i="18" s="1"/>
  <c r="P9" i="18"/>
  <c r="Q9" i="18" s="1"/>
  <c r="R9" i="18" s="1"/>
  <c r="AA43" i="21" l="1"/>
  <c r="BG498" i="1"/>
  <c r="DD498" i="1" s="1"/>
  <c r="BE539" i="1"/>
  <c r="V56" i="21"/>
  <c r="DA540" i="1"/>
  <c r="BD677" i="1"/>
  <c r="BD707" i="1"/>
  <c r="BE706" i="1"/>
  <c r="DC706" i="1" s="1"/>
  <c r="BE678" i="1"/>
  <c r="AY43" i="21"/>
  <c r="F16" i="22"/>
  <c r="S9" i="18"/>
  <c r="T8" i="18"/>
  <c r="F78" i="10"/>
  <c r="AG41" i="10"/>
  <c r="AG56" i="10" s="1"/>
  <c r="Y27" i="10"/>
  <c r="J52" i="10"/>
  <c r="DB707" i="1"/>
  <c r="AG58" i="10"/>
  <c r="G52" i="10"/>
  <c r="AG57" i="10"/>
  <c r="F77" i="10"/>
  <c r="AC218" i="10"/>
  <c r="AD218" i="10" s="1"/>
  <c r="V55" i="10"/>
  <c r="AO123" i="10"/>
  <c r="AR123" i="10" s="1"/>
  <c r="S221" i="10"/>
  <c r="Q221" i="10" s="1"/>
  <c r="R221" i="10" s="1"/>
  <c r="S117" i="10"/>
  <c r="T69" i="10"/>
  <c r="N21" i="10"/>
  <c r="N23" i="10" s="1"/>
  <c r="AH126" i="10"/>
  <c r="F79" i="10"/>
  <c r="T75" i="10"/>
  <c r="G68" i="10"/>
  <c r="G76" i="10" s="1"/>
  <c r="AB122" i="10"/>
  <c r="T77" i="10"/>
  <c r="F76" i="10"/>
  <c r="F74" i="10"/>
  <c r="T80" i="10"/>
  <c r="Y126" i="10"/>
  <c r="J6" i="10"/>
  <c r="DG574" i="1"/>
  <c r="BN574" i="1"/>
  <c r="BO574" i="1" s="1"/>
  <c r="DG577" i="1"/>
  <c r="BN577" i="1"/>
  <c r="BO577" i="1" s="1"/>
  <c r="DG573" i="1"/>
  <c r="BN573" i="1"/>
  <c r="BO573" i="1" s="1"/>
  <c r="DG681" i="1"/>
  <c r="BN681" i="1"/>
  <c r="BO681" i="1" s="1"/>
  <c r="DG682" i="1"/>
  <c r="BN682" i="1"/>
  <c r="BO682" i="1" s="1"/>
  <c r="DG603" i="1"/>
  <c r="BN603" i="1"/>
  <c r="BO603" i="1" s="1"/>
  <c r="DG601" i="1"/>
  <c r="BN601" i="1"/>
  <c r="BO601" i="1" s="1"/>
  <c r="DG606" i="1"/>
  <c r="BN606" i="1"/>
  <c r="BO606" i="1" s="1"/>
  <c r="DG600" i="1"/>
  <c r="BN600" i="1"/>
  <c r="BO600" i="1" s="1"/>
  <c r="DG566" i="1"/>
  <c r="BN566" i="1"/>
  <c r="BO566" i="1" s="1"/>
  <c r="DG554" i="1"/>
  <c r="BN554" i="1"/>
  <c r="BO554" i="1" s="1"/>
  <c r="DG151" i="1"/>
  <c r="DG575" i="1"/>
  <c r="BN575" i="1"/>
  <c r="BO575" i="1" s="1"/>
  <c r="I57" i="10"/>
  <c r="I58" i="10"/>
  <c r="J142" i="10"/>
  <c r="V19" i="10"/>
  <c r="S18" i="10"/>
  <c r="S19" i="10" s="1"/>
  <c r="G154" i="10"/>
  <c r="G156" i="10" s="1"/>
  <c r="O33" i="10"/>
  <c r="J29" i="10"/>
  <c r="Y20" i="10"/>
  <c r="M122" i="10"/>
  <c r="Z28" i="10"/>
  <c r="AA28" i="10" s="1"/>
  <c r="AB28" i="10" s="1"/>
  <c r="P32" i="10"/>
  <c r="G58" i="10"/>
  <c r="J55" i="10"/>
  <c r="AH77" i="10"/>
  <c r="AH90" i="10"/>
  <c r="AH97" i="10"/>
  <c r="AH80" i="10"/>
  <c r="P42" i="10"/>
  <c r="P44" i="10" s="1"/>
  <c r="BM561" i="1"/>
  <c r="DF435" i="1"/>
  <c r="BL435" i="1"/>
  <c r="DE433" i="1"/>
  <c r="BC425" i="1"/>
  <c r="BC460" i="1" s="1"/>
  <c r="BC489" i="1" s="1"/>
  <c r="BD413" i="1"/>
  <c r="BC517" i="1"/>
  <c r="DB517" i="1" s="1"/>
  <c r="CV826" i="1"/>
  <c r="CV825" i="1"/>
  <c r="CV821" i="1"/>
  <c r="CV820" i="1"/>
  <c r="CV827" i="1"/>
  <c r="CV819" i="1"/>
  <c r="BG60" i="1"/>
  <c r="BH35" i="1"/>
  <c r="DD35" i="1"/>
  <c r="DB413" i="1"/>
  <c r="DB425" i="1" s="1"/>
  <c r="DB460" i="1" s="1"/>
  <c r="DB489" i="1" s="1"/>
  <c r="BK433" i="1"/>
  <c r="BL433" i="1" s="1"/>
  <c r="BF59" i="1"/>
  <c r="BG34" i="1"/>
  <c r="DD34" i="1" s="1"/>
  <c r="N3" i="1"/>
  <c r="N2" i="1"/>
  <c r="O1" i="1"/>
  <c r="BC661" i="1"/>
  <c r="M5" i="1"/>
  <c r="AR123" i="1"/>
  <c r="AS123" i="1" s="1"/>
  <c r="AT123" i="1" s="1"/>
  <c r="AU123" i="1" s="1"/>
  <c r="AV123" i="1" s="1"/>
  <c r="AW123" i="1" s="1"/>
  <c r="AX123" i="1" s="1"/>
  <c r="AY123" i="1" s="1"/>
  <c r="AZ123" i="1" s="1"/>
  <c r="AQ827" i="1"/>
  <c r="AQ825" i="1"/>
  <c r="AQ821" i="1"/>
  <c r="AQ819" i="1"/>
  <c r="AQ826" i="1"/>
  <c r="AQ820" i="1"/>
  <c r="BD555" i="1"/>
  <c r="BC588" i="1"/>
  <c r="DB588" i="1" s="1"/>
  <c r="N82" i="7"/>
  <c r="BB735" i="1"/>
  <c r="BD522" i="1"/>
  <c r="BE499" i="1"/>
  <c r="BB540" i="1"/>
  <c r="BB576" i="1"/>
  <c r="BA556" i="1"/>
  <c r="DA556" i="1" s="1"/>
  <c r="DA562" i="1" s="1"/>
  <c r="BC536" i="1"/>
  <c r="BC507" i="1"/>
  <c r="DB507" i="1" s="1"/>
  <c r="BC520" i="1"/>
  <c r="DB520" i="1" s="1"/>
  <c r="BD505" i="1"/>
  <c r="AZ626" i="1"/>
  <c r="BD565" i="1"/>
  <c r="AP819" i="1"/>
  <c r="AP827" i="1"/>
  <c r="AP821" i="1"/>
  <c r="AP825" i="1"/>
  <c r="AP820" i="1"/>
  <c r="AP826" i="1"/>
  <c r="BD571" i="1"/>
  <c r="BC553" i="1"/>
  <c r="DB553" i="1" s="1"/>
  <c r="CM2" i="1"/>
  <c r="CM3" i="1"/>
  <c r="CN1" i="1"/>
  <c r="BC147" i="1"/>
  <c r="P244" i="10"/>
  <c r="AH78" i="10"/>
  <c r="AH76" i="10"/>
  <c r="AB206" i="10"/>
  <c r="AH79" i="10"/>
  <c r="Z126" i="10"/>
  <c r="AB126" i="10" s="1"/>
  <c r="H57" i="10"/>
  <c r="AE22" i="10"/>
  <c r="O252" i="10"/>
  <c r="O253" i="10" s="1"/>
  <c r="O257" i="10" s="1"/>
  <c r="O261" i="10" s="1"/>
  <c r="O264" i="10" s="1"/>
  <c r="Y208" i="10"/>
  <c r="P19" i="10"/>
  <c r="P21" i="10" s="1"/>
  <c r="P23" i="10" s="1"/>
  <c r="P193" i="10"/>
  <c r="Y193" i="10"/>
  <c r="AK146" i="10"/>
  <c r="AD97" i="10"/>
  <c r="P108" i="10"/>
  <c r="N237" i="10"/>
  <c r="P237" i="10" s="1"/>
  <c r="X255" i="10"/>
  <c r="Y255" i="10" s="1"/>
  <c r="F75" i="10"/>
  <c r="P55" i="10"/>
  <c r="X31" i="10"/>
  <c r="R218" i="10"/>
  <c r="T79" i="10"/>
  <c r="T74" i="10"/>
  <c r="G19" i="10"/>
  <c r="G21" i="10" s="1"/>
  <c r="G23" i="10" s="1"/>
  <c r="AE90" i="10"/>
  <c r="P30" i="10"/>
  <c r="AB19" i="10"/>
  <c r="AF57" i="10"/>
  <c r="J181" i="10"/>
  <c r="AB168" i="10"/>
  <c r="V208" i="10"/>
  <c r="X171" i="10"/>
  <c r="V113" i="10"/>
  <c r="AD55" i="10"/>
  <c r="Y19" i="10"/>
  <c r="E44" i="10"/>
  <c r="E6" i="10" s="1"/>
  <c r="H12" i="10" s="1"/>
  <c r="AH12" i="10"/>
  <c r="AK126" i="10"/>
  <c r="V181" i="10"/>
  <c r="AG55" i="10"/>
  <c r="AE122" i="10"/>
  <c r="M19" i="10"/>
  <c r="M21" i="10" s="1"/>
  <c r="M23" i="10" s="1"/>
  <c r="G208" i="10"/>
  <c r="P233" i="10"/>
  <c r="P246" i="10" s="1"/>
  <c r="X156" i="10"/>
  <c r="X7" i="10" s="1"/>
  <c r="X170" i="10"/>
  <c r="P122" i="10"/>
  <c r="AE126" i="10"/>
  <c r="X21" i="10"/>
  <c r="J19" i="10"/>
  <c r="J21" i="10" s="1"/>
  <c r="J23" i="10" s="1"/>
  <c r="AD188" i="10"/>
  <c r="AD193" i="10" s="1"/>
  <c r="AE186" i="10"/>
  <c r="AE191" i="10" s="1"/>
  <c r="AC193" i="10"/>
  <c r="AC58" i="10"/>
  <c r="AC52" i="10"/>
  <c r="AF55" i="10"/>
  <c r="AF58" i="10"/>
  <c r="S142" i="10"/>
  <c r="AF41" i="10"/>
  <c r="AF20" i="10" s="1"/>
  <c r="V193" i="10"/>
  <c r="Y122" i="10"/>
  <c r="AC38" i="10"/>
  <c r="AD38" i="10" s="1"/>
  <c r="AE38" i="10" s="1"/>
  <c r="AR191" i="10"/>
  <c r="AU191" i="10" s="1"/>
  <c r="AP191" i="10"/>
  <c r="Q252" i="10"/>
  <c r="Q253" i="10" s="1"/>
  <c r="Q257" i="10" s="1"/>
  <c r="S257" i="10" s="1"/>
  <c r="Q21" i="10"/>
  <c r="N86" i="10"/>
  <c r="P86" i="10" s="1"/>
  <c r="P117" i="10"/>
  <c r="M108" i="10"/>
  <c r="K85" i="10"/>
  <c r="M85" i="10" s="1"/>
  <c r="O58" i="10"/>
  <c r="O44" i="10"/>
  <c r="O6" i="10" s="1"/>
  <c r="O57" i="10"/>
  <c r="R231" i="10"/>
  <c r="R233" i="10" s="1"/>
  <c r="R236" i="10" s="1"/>
  <c r="R43" i="10" s="1"/>
  <c r="R44" i="10" s="1"/>
  <c r="R21" i="10"/>
  <c r="R30" i="10"/>
  <c r="R31" i="10" s="1"/>
  <c r="L171" i="10"/>
  <c r="O170" i="10"/>
  <c r="L156" i="10"/>
  <c r="L7" i="10" s="1"/>
  <c r="AK80" i="10"/>
  <c r="AK79" i="10"/>
  <c r="AK77" i="10"/>
  <c r="AK76" i="10"/>
  <c r="AK78" i="10"/>
  <c r="AO186" i="10"/>
  <c r="U122" i="10"/>
  <c r="V120" i="10"/>
  <c r="V252" i="10"/>
  <c r="V253" i="10" s="1"/>
  <c r="Y168" i="10"/>
  <c r="AH13" i="10"/>
  <c r="AK96" i="10"/>
  <c r="AK91" i="10"/>
  <c r="AK99" i="10" s="1"/>
  <c r="L170" i="10"/>
  <c r="Y142" i="10"/>
  <c r="X257" i="10"/>
  <c r="X261" i="10" s="1"/>
  <c r="X264" i="10" s="1"/>
  <c r="N246" i="10"/>
  <c r="S198" i="10"/>
  <c r="Q182" i="10"/>
  <c r="S182" i="10" s="1"/>
  <c r="Z88" i="10"/>
  <c r="AB135" i="10"/>
  <c r="T88" i="10"/>
  <c r="U108" i="10"/>
  <c r="U85" i="10" s="1"/>
  <c r="V104" i="10"/>
  <c r="V108" i="10" s="1"/>
  <c r="M208" i="10"/>
  <c r="AF193" i="10"/>
  <c r="AF181" i="10"/>
  <c r="W236" i="10"/>
  <c r="Y233" i="10"/>
  <c r="AB188" i="10"/>
  <c r="AB193" i="10" s="1"/>
  <c r="AA193" i="10"/>
  <c r="AA181" i="10"/>
  <c r="AB181" i="10" s="1"/>
  <c r="J193" i="10"/>
  <c r="M193" i="10"/>
  <c r="N171" i="10"/>
  <c r="N156" i="10"/>
  <c r="N170" i="10"/>
  <c r="Q208" i="10"/>
  <c r="T261" i="10"/>
  <c r="V257" i="10"/>
  <c r="J208" i="10"/>
  <c r="H202" i="10"/>
  <c r="H176" i="10"/>
  <c r="H177" i="10" s="1"/>
  <c r="I203" i="10" s="1"/>
  <c r="G177" i="10"/>
  <c r="J202" i="10"/>
  <c r="AA261" i="10"/>
  <c r="AA264" i="10" s="1"/>
  <c r="AB257" i="10"/>
  <c r="P208" i="10"/>
  <c r="AA182" i="10"/>
  <c r="AB182" i="10" s="1"/>
  <c r="AB198" i="10"/>
  <c r="Y135" i="10"/>
  <c r="W88" i="10"/>
  <c r="AI187" i="10"/>
  <c r="R154" i="10"/>
  <c r="U170" i="10" s="1"/>
  <c r="R168" i="10"/>
  <c r="U168" i="10"/>
  <c r="S135" i="10"/>
  <c r="Q88" i="10"/>
  <c r="H126" i="10"/>
  <c r="J122" i="10"/>
  <c r="W172" i="10"/>
  <c r="W7" i="10"/>
  <c r="O7" i="10"/>
  <c r="E171" i="10"/>
  <c r="E156" i="10"/>
  <c r="E7" i="10" s="1"/>
  <c r="E8" i="10" s="1"/>
  <c r="E10" i="10" s="1"/>
  <c r="E126" i="10"/>
  <c r="G122" i="10"/>
  <c r="AM131" i="10"/>
  <c r="I201" i="10"/>
  <c r="I175" i="10"/>
  <c r="U142" i="10"/>
  <c r="U135" i="10"/>
  <c r="V135" i="10" s="1"/>
  <c r="Z264" i="10"/>
  <c r="M126" i="10"/>
  <c r="K87" i="10"/>
  <c r="Q171" i="10"/>
  <c r="Q170" i="10"/>
  <c r="Q156" i="10"/>
  <c r="T172" i="10" s="1"/>
  <c r="AL135" i="10"/>
  <c r="Q57" i="10"/>
  <c r="AC10" i="10"/>
  <c r="AE8" i="10"/>
  <c r="K44" i="10"/>
  <c r="K58" i="10"/>
  <c r="K57" i="10"/>
  <c r="Y29" i="10"/>
  <c r="W31" i="10"/>
  <c r="J117" i="10"/>
  <c r="H86" i="10"/>
  <c r="S55" i="10"/>
  <c r="S42" i="10"/>
  <c r="S52" i="10"/>
  <c r="W244" i="10"/>
  <c r="Y231" i="10"/>
  <c r="Y244" i="10" s="1"/>
  <c r="AM9" i="10"/>
  <c r="AO9" i="10" s="1"/>
  <c r="Z241" i="10"/>
  <c r="Y241" i="10"/>
  <c r="Y245" i="10"/>
  <c r="AB241" i="10"/>
  <c r="W261" i="10"/>
  <c r="AG187" i="10"/>
  <c r="AG188" i="10" s="1"/>
  <c r="E183" i="10"/>
  <c r="F180" i="10" s="1"/>
  <c r="F183" i="10" s="1"/>
  <c r="H180" i="10" s="1"/>
  <c r="G181" i="10"/>
  <c r="G183" i="10" s="1"/>
  <c r="O88" i="10"/>
  <c r="AK218" i="10"/>
  <c r="AF218" i="10"/>
  <c r="AG218" i="10" s="1"/>
  <c r="AJ186" i="10"/>
  <c r="AH186" i="10"/>
  <c r="F171" i="10"/>
  <c r="F156" i="10"/>
  <c r="F7" i="10" s="1"/>
  <c r="R88" i="10"/>
  <c r="R91" i="10" s="1"/>
  <c r="AM126" i="10"/>
  <c r="AM87" i="10" s="1"/>
  <c r="AP122" i="10"/>
  <c r="J164" i="10"/>
  <c r="J154" i="10"/>
  <c r="M170" i="10" s="1"/>
  <c r="J168" i="10"/>
  <c r="I146" i="10"/>
  <c r="I88" i="10"/>
  <c r="I91" i="10" s="1"/>
  <c r="Y220" i="10"/>
  <c r="V221" i="10"/>
  <c r="S169" i="10"/>
  <c r="V169" i="10"/>
  <c r="M156" i="10"/>
  <c r="K144" i="10"/>
  <c r="R57" i="10"/>
  <c r="T87" i="10"/>
  <c r="AE91" i="10"/>
  <c r="AE99" i="10" s="1"/>
  <c r="AE96" i="10"/>
  <c r="Q231" i="10"/>
  <c r="Q30" i="10"/>
  <c r="S20" i="10"/>
  <c r="O246" i="10"/>
  <c r="AN84" i="10"/>
  <c r="AB252" i="10"/>
  <c r="AB253" i="10" s="1"/>
  <c r="AB55" i="10"/>
  <c r="E33" i="10"/>
  <c r="G31" i="10"/>
  <c r="AK12" i="10"/>
  <c r="J31" i="10"/>
  <c r="H33" i="10"/>
  <c r="AG26" i="10"/>
  <c r="AI26" i="10" s="1"/>
  <c r="AK9" i="10"/>
  <c r="X236" i="10"/>
  <c r="X43" i="10" s="1"/>
  <c r="X44" i="10" s="1"/>
  <c r="AB207" i="10"/>
  <c r="AB192" i="10"/>
  <c r="AU202" i="10"/>
  <c r="M171" i="10"/>
  <c r="M135" i="10"/>
  <c r="K88" i="10"/>
  <c r="P135" i="10"/>
  <c r="N88" i="10"/>
  <c r="AP192" i="10"/>
  <c r="AR192" i="10"/>
  <c r="AR153" i="10"/>
  <c r="G135" i="10"/>
  <c r="E88" i="10"/>
  <c r="H7" i="10"/>
  <c r="V131" i="10"/>
  <c r="V142" i="10" s="1"/>
  <c r="T170" i="10"/>
  <c r="K172" i="10"/>
  <c r="K7" i="10"/>
  <c r="P168" i="10"/>
  <c r="P154" i="10"/>
  <c r="M144" i="10"/>
  <c r="P126" i="10"/>
  <c r="N87" i="10"/>
  <c r="E85" i="10"/>
  <c r="G85" i="10" s="1"/>
  <c r="G94" i="10" s="1"/>
  <c r="G108" i="10"/>
  <c r="AE80" i="10"/>
  <c r="AE79" i="10"/>
  <c r="AE78" i="10"/>
  <c r="AE77" i="10"/>
  <c r="AD172" i="10"/>
  <c r="AA7" i="10"/>
  <c r="Y156" i="10"/>
  <c r="L88" i="10"/>
  <c r="T86" i="10"/>
  <c r="V117" i="10"/>
  <c r="N58" i="10"/>
  <c r="N57" i="10"/>
  <c r="N44" i="10"/>
  <c r="AB170" i="10"/>
  <c r="AB156" i="10"/>
  <c r="AL65" i="10"/>
  <c r="AH91" i="10"/>
  <c r="AH99" i="10" s="1"/>
  <c r="AH96" i="10"/>
  <c r="AI41" i="10"/>
  <c r="AI57" i="10"/>
  <c r="Y252" i="10"/>
  <c r="Y253" i="10" s="1"/>
  <c r="Y52" i="10"/>
  <c r="Y55" i="10"/>
  <c r="Y42" i="10"/>
  <c r="M29" i="10"/>
  <c r="K31" i="10"/>
  <c r="AI58" i="10"/>
  <c r="AF146" i="10"/>
  <c r="M52" i="10"/>
  <c r="M55" i="10"/>
  <c r="M42" i="10"/>
  <c r="AD35" i="10"/>
  <c r="BG11" i="10"/>
  <c r="AP153" i="10"/>
  <c r="AN153" i="10"/>
  <c r="AD91" i="10"/>
  <c r="AD99" i="10" s="1"/>
  <c r="AD90" i="10"/>
  <c r="AD96" i="10"/>
  <c r="X91" i="10"/>
  <c r="Y87" i="10"/>
  <c r="J57" i="10"/>
  <c r="J44" i="10"/>
  <c r="J59" i="10" s="1"/>
  <c r="AE26" i="10"/>
  <c r="AI14" i="10"/>
  <c r="AK8" i="10"/>
  <c r="AI10" i="10"/>
  <c r="AC198" i="10"/>
  <c r="AH8" i="10"/>
  <c r="AF10" i="10"/>
  <c r="AF14" i="10"/>
  <c r="AA88" i="10"/>
  <c r="J212" i="10"/>
  <c r="Z171" i="10"/>
  <c r="Z156" i="10"/>
  <c r="Z170" i="10"/>
  <c r="S152" i="10"/>
  <c r="S167" i="10"/>
  <c r="V167" i="10"/>
  <c r="F146" i="10"/>
  <c r="F88" i="10"/>
  <c r="AE187" i="10"/>
  <c r="V154" i="10"/>
  <c r="Y170" i="10" s="1"/>
  <c r="AN122" i="10"/>
  <c r="AO122" i="10"/>
  <c r="AL126" i="10"/>
  <c r="J108" i="10"/>
  <c r="H85" i="10"/>
  <c r="S193" i="10"/>
  <c r="H170" i="10"/>
  <c r="U171" i="10"/>
  <c r="U156" i="10"/>
  <c r="I170" i="10"/>
  <c r="I171" i="10"/>
  <c r="I156" i="10"/>
  <c r="Q85" i="10"/>
  <c r="S108" i="10"/>
  <c r="T7" i="10"/>
  <c r="M168" i="10"/>
  <c r="AO137" i="10"/>
  <c r="AM89" i="10"/>
  <c r="E80" i="10"/>
  <c r="E79" i="10"/>
  <c r="E78" i="10"/>
  <c r="E77" i="10"/>
  <c r="E75" i="10"/>
  <c r="E74" i="10"/>
  <c r="J65" i="10"/>
  <c r="F58" i="10"/>
  <c r="F44" i="10"/>
  <c r="AG10" i="10"/>
  <c r="AG14" i="10"/>
  <c r="N253" i="10"/>
  <c r="N257" i="10" s="1"/>
  <c r="N261" i="10" s="1"/>
  <c r="T70" i="10"/>
  <c r="U66" i="10"/>
  <c r="T78" i="10"/>
  <c r="T71" i="10"/>
  <c r="AM58" i="10"/>
  <c r="N31" i="10"/>
  <c r="AH146" i="10"/>
  <c r="AM41" i="10"/>
  <c r="AJ20" i="10"/>
  <c r="AK22" i="10"/>
  <c r="AJ10" i="10"/>
  <c r="AJ14" i="10"/>
  <c r="AK154" i="10"/>
  <c r="AK156" i="10" s="1"/>
  <c r="AK13" i="10"/>
  <c r="Q126" i="10"/>
  <c r="S122" i="10"/>
  <c r="L44" i="10"/>
  <c r="L58" i="10"/>
  <c r="L57" i="10"/>
  <c r="P10" i="18"/>
  <c r="Q10" i="18"/>
  <c r="R10" i="18"/>
  <c r="S7" i="18"/>
  <c r="AJ56" i="10" l="1"/>
  <c r="AG20" i="10"/>
  <c r="BE707" i="1"/>
  <c r="DC707" i="1" s="1"/>
  <c r="DB661" i="1"/>
  <c r="BF707" i="1"/>
  <c r="BF678" i="1"/>
  <c r="DC678" i="1"/>
  <c r="DC539" i="1"/>
  <c r="BF539" i="1"/>
  <c r="BE677" i="1"/>
  <c r="AZ43" i="21"/>
  <c r="DC499" i="1"/>
  <c r="BH498" i="1"/>
  <c r="AB43" i="21"/>
  <c r="W56" i="21"/>
  <c r="BF706" i="1"/>
  <c r="U8" i="18"/>
  <c r="T9" i="18"/>
  <c r="AQ123" i="10"/>
  <c r="P57" i="10"/>
  <c r="P58" i="10"/>
  <c r="H146" i="10"/>
  <c r="AX826" i="1"/>
  <c r="AX821" i="1"/>
  <c r="AX819" i="1"/>
  <c r="AX827" i="1"/>
  <c r="AX825" i="1"/>
  <c r="AX820" i="1"/>
  <c r="AW827" i="1"/>
  <c r="AW821" i="1"/>
  <c r="AW826" i="1"/>
  <c r="AW820" i="1"/>
  <c r="AW825" i="1"/>
  <c r="AW819" i="1"/>
  <c r="DH554" i="1"/>
  <c r="BP554" i="1"/>
  <c r="BQ554" i="1" s="1"/>
  <c r="DI554" i="1" s="1"/>
  <c r="DH606" i="1"/>
  <c r="BP606" i="1"/>
  <c r="BQ606" i="1" s="1"/>
  <c r="DI606" i="1" s="1"/>
  <c r="DH682" i="1"/>
  <c r="BP682" i="1"/>
  <c r="BQ682" i="1" s="1"/>
  <c r="DI682" i="1" s="1"/>
  <c r="DH577" i="1"/>
  <c r="BP577" i="1"/>
  <c r="BQ577" i="1" s="1"/>
  <c r="DI577" i="1" s="1"/>
  <c r="DH151" i="1"/>
  <c r="DH600" i="1"/>
  <c r="BP600" i="1"/>
  <c r="BQ600" i="1" s="1"/>
  <c r="DI600" i="1" s="1"/>
  <c r="DH603" i="1"/>
  <c r="BP603" i="1"/>
  <c r="BQ603" i="1" s="1"/>
  <c r="DI603" i="1" s="1"/>
  <c r="DH573" i="1"/>
  <c r="BP573" i="1"/>
  <c r="BQ573" i="1" s="1"/>
  <c r="DI573" i="1" s="1"/>
  <c r="DH575" i="1"/>
  <c r="BP575" i="1"/>
  <c r="BQ575" i="1" s="1"/>
  <c r="DI575" i="1" s="1"/>
  <c r="DH566" i="1"/>
  <c r="BP566" i="1"/>
  <c r="BQ566" i="1" s="1"/>
  <c r="DI566" i="1" s="1"/>
  <c r="DH601" i="1"/>
  <c r="BP601" i="1"/>
  <c r="BQ601" i="1" s="1"/>
  <c r="DI601" i="1" s="1"/>
  <c r="DH681" i="1"/>
  <c r="BP681" i="1"/>
  <c r="BQ681" i="1" s="1"/>
  <c r="DI681" i="1" s="1"/>
  <c r="DH574" i="1"/>
  <c r="BP574" i="1"/>
  <c r="BQ574" i="1" s="1"/>
  <c r="DI574" i="1" s="1"/>
  <c r="AV820" i="1"/>
  <c r="AV821" i="1"/>
  <c r="AV827" i="1"/>
  <c r="AV826" i="1"/>
  <c r="AV825" i="1"/>
  <c r="AV819" i="1"/>
  <c r="X172" i="10"/>
  <c r="G74" i="10"/>
  <c r="G75" i="10"/>
  <c r="G78" i="10"/>
  <c r="G77" i="10"/>
  <c r="G79" i="10"/>
  <c r="G80" i="10"/>
  <c r="AU827" i="1"/>
  <c r="AU821" i="1"/>
  <c r="AU826" i="1"/>
  <c r="AU819" i="1"/>
  <c r="AU820" i="1"/>
  <c r="AU825" i="1"/>
  <c r="G171" i="10"/>
  <c r="Q261" i="10"/>
  <c r="Q264" i="10" s="1"/>
  <c r="S264" i="10" s="1"/>
  <c r="J146" i="10"/>
  <c r="H59" i="10"/>
  <c r="S21" i="10"/>
  <c r="AA172" i="10"/>
  <c r="Y21" i="10"/>
  <c r="DG561" i="1"/>
  <c r="BN561" i="1"/>
  <c r="BO561" i="1" s="1"/>
  <c r="AT827" i="1"/>
  <c r="AT821" i="1"/>
  <c r="AT826" i="1"/>
  <c r="AT820" i="1"/>
  <c r="AT825" i="1"/>
  <c r="AT819" i="1"/>
  <c r="Z87" i="10"/>
  <c r="AB87" i="10" s="1"/>
  <c r="R22" i="10"/>
  <c r="R32" i="10" s="1"/>
  <c r="R33" i="10" s="1"/>
  <c r="R237" i="10"/>
  <c r="P252" i="10"/>
  <c r="P253" i="10" s="1"/>
  <c r="P257" i="10" s="1"/>
  <c r="AS819" i="1"/>
  <c r="AS820" i="1"/>
  <c r="AS825" i="1"/>
  <c r="AS821" i="1"/>
  <c r="AS827" i="1"/>
  <c r="AS826" i="1"/>
  <c r="AH41" i="10"/>
  <c r="AH56" i="10" s="1"/>
  <c r="O172" i="10"/>
  <c r="AD181" i="10"/>
  <c r="AE181" i="10" s="1"/>
  <c r="AE188" i="10"/>
  <c r="AE193" i="10" s="1"/>
  <c r="AR186" i="10"/>
  <c r="AU186" i="10" s="1"/>
  <c r="DF433" i="1"/>
  <c r="BM433" i="1"/>
  <c r="BM435" i="1"/>
  <c r="DB536" i="1"/>
  <c r="BD425" i="1"/>
  <c r="BD460" i="1" s="1"/>
  <c r="BD489" i="1" s="1"/>
  <c r="BE413" i="1"/>
  <c r="DC413" i="1" s="1"/>
  <c r="DC425" i="1" s="1"/>
  <c r="DC460" i="1" s="1"/>
  <c r="DC489" i="1" s="1"/>
  <c r="BD517" i="1"/>
  <c r="CW123" i="1"/>
  <c r="BG59" i="1"/>
  <c r="BH34" i="1"/>
  <c r="BI35" i="1"/>
  <c r="DE35" i="1" s="1"/>
  <c r="BH60" i="1"/>
  <c r="CW142" i="1"/>
  <c r="CW762" i="1" s="1"/>
  <c r="AR827" i="1"/>
  <c r="AR819" i="1"/>
  <c r="AR821" i="1"/>
  <c r="AR820" i="1"/>
  <c r="AR826" i="1"/>
  <c r="AR825" i="1"/>
  <c r="O3" i="1"/>
  <c r="O2" i="1"/>
  <c r="P1" i="1"/>
  <c r="BD588" i="1"/>
  <c r="BE555" i="1"/>
  <c r="DC555" i="1" s="1"/>
  <c r="BE565" i="1"/>
  <c r="DC565" i="1" s="1"/>
  <c r="BB556" i="1"/>
  <c r="BB626" i="1" s="1"/>
  <c r="BA562" i="1"/>
  <c r="BD536" i="1"/>
  <c r="BD507" i="1"/>
  <c r="BD147" i="1"/>
  <c r="BD553" i="1"/>
  <c r="CN2" i="1"/>
  <c r="CO1" i="1"/>
  <c r="CN3" i="1"/>
  <c r="BE571" i="1"/>
  <c r="DC571" i="1" s="1"/>
  <c r="BA626" i="1"/>
  <c r="DA626" i="1" s="1"/>
  <c r="BC540" i="1"/>
  <c r="BD520" i="1"/>
  <c r="BE505" i="1"/>
  <c r="DC505" i="1" s="1"/>
  <c r="BD661" i="1"/>
  <c r="BC576" i="1"/>
  <c r="DB576" i="1" s="1"/>
  <c r="BC735" i="1"/>
  <c r="BF499" i="1"/>
  <c r="BE522" i="1"/>
  <c r="DC522" i="1" s="1"/>
  <c r="AC39" i="10"/>
  <c r="AC51" i="10" s="1"/>
  <c r="R58" i="10"/>
  <c r="AS191" i="10"/>
  <c r="AF56" i="10"/>
  <c r="H172" i="10"/>
  <c r="Y257" i="10"/>
  <c r="BM12" i="10"/>
  <c r="AC54" i="10"/>
  <c r="AC50" i="10"/>
  <c r="S252" i="10"/>
  <c r="S253" i="10" s="1"/>
  <c r="BJ12" i="10"/>
  <c r="BG12" i="10"/>
  <c r="BI12" i="10"/>
  <c r="BF12" i="10"/>
  <c r="AH20" i="10"/>
  <c r="AN9" i="10"/>
  <c r="AB264" i="10"/>
  <c r="U126" i="10"/>
  <c r="V122" i="10"/>
  <c r="AE54" i="10"/>
  <c r="AE50" i="10"/>
  <c r="L59" i="10"/>
  <c r="L6" i="10"/>
  <c r="O12" i="10" s="1"/>
  <c r="N33" i="10"/>
  <c r="P31" i="10"/>
  <c r="I172" i="10"/>
  <c r="I7" i="10"/>
  <c r="J7" i="10" s="1"/>
  <c r="AN126" i="10"/>
  <c r="AL87" i="10"/>
  <c r="S154" i="10"/>
  <c r="S168" i="10"/>
  <c r="AS153" i="10"/>
  <c r="P170" i="10"/>
  <c r="P156" i="10"/>
  <c r="P172" i="10" s="1"/>
  <c r="P171" i="10"/>
  <c r="AH191" i="10"/>
  <c r="S208" i="10"/>
  <c r="Y236" i="10"/>
  <c r="Y246" i="10" s="1"/>
  <c r="W43" i="10"/>
  <c r="L172" i="10"/>
  <c r="AP41" i="10"/>
  <c r="AM20" i="10"/>
  <c r="AO58" i="10"/>
  <c r="V66" i="10"/>
  <c r="P261" i="10"/>
  <c r="N264" i="10"/>
  <c r="P264" i="10" s="1"/>
  <c r="AN89" i="10"/>
  <c r="AN98" i="10" s="1"/>
  <c r="AO126" i="10"/>
  <c r="AR122" i="10"/>
  <c r="AQ122" i="10"/>
  <c r="AC182" i="10"/>
  <c r="M57" i="10"/>
  <c r="M44" i="10"/>
  <c r="M59" i="10" s="1"/>
  <c r="M58" i="10"/>
  <c r="X6" i="10"/>
  <c r="AM132" i="10"/>
  <c r="AN132" i="10" s="1"/>
  <c r="AN143" i="10" s="1"/>
  <c r="N59" i="10"/>
  <c r="N6" i="10"/>
  <c r="V86" i="10"/>
  <c r="P87" i="10"/>
  <c r="N91" i="10"/>
  <c r="H13" i="10"/>
  <c r="H8" i="10"/>
  <c r="AU153" i="10"/>
  <c r="AJ26" i="10"/>
  <c r="AL26" i="10" s="1"/>
  <c r="E35" i="10"/>
  <c r="G35" i="10" s="1"/>
  <c r="G33" i="10"/>
  <c r="Q244" i="10"/>
  <c r="S231" i="10"/>
  <c r="S244" i="10" s="1"/>
  <c r="Q233" i="10"/>
  <c r="AG193" i="10"/>
  <c r="AG181" i="10"/>
  <c r="AH181" i="10" s="1"/>
  <c r="O91" i="10"/>
  <c r="AJ187" i="10"/>
  <c r="AJ188" i="10" s="1"/>
  <c r="Y261" i="10"/>
  <c r="W264" i="10"/>
  <c r="Y264" i="10" s="1"/>
  <c r="J86" i="10"/>
  <c r="O59" i="10"/>
  <c r="BF11" i="10"/>
  <c r="AC35" i="10"/>
  <c r="AL146" i="10"/>
  <c r="AL88" i="10"/>
  <c r="AB261" i="10"/>
  <c r="AU123" i="10"/>
  <c r="AT123" i="10"/>
  <c r="H87" i="10"/>
  <c r="J126" i="10"/>
  <c r="U94" i="10"/>
  <c r="V85" i="10"/>
  <c r="F6" i="10"/>
  <c r="I59" i="10"/>
  <c r="AU192" i="10"/>
  <c r="AS192" i="10"/>
  <c r="AN218" i="10"/>
  <c r="AI218" i="10"/>
  <c r="AJ218" i="10" s="1"/>
  <c r="O8" i="10"/>
  <c r="AE10" i="10"/>
  <c r="AN131" i="10"/>
  <c r="AN142" i="10" s="1"/>
  <c r="O13" i="10"/>
  <c r="R171" i="10"/>
  <c r="R156" i="10"/>
  <c r="U172" i="10" s="1"/>
  <c r="R170" i="10"/>
  <c r="AJ35" i="10"/>
  <c r="AJ15" i="10"/>
  <c r="BM11" i="10"/>
  <c r="K143" i="10"/>
  <c r="M143" i="10"/>
  <c r="AP137" i="10"/>
  <c r="AQ137" i="10" s="1"/>
  <c r="AO89" i="10"/>
  <c r="J85" i="10"/>
  <c r="AE192" i="10"/>
  <c r="Z172" i="10"/>
  <c r="AC172" i="10"/>
  <c r="Z7" i="10"/>
  <c r="AV191" i="10"/>
  <c r="AX191" i="10"/>
  <c r="AY191" i="10" s="1"/>
  <c r="AF35" i="10"/>
  <c r="AF15" i="10"/>
  <c r="BI11" i="10"/>
  <c r="AI35" i="10"/>
  <c r="AI15" i="10"/>
  <c r="BL11" i="10"/>
  <c r="AL41" i="10"/>
  <c r="AI56" i="10"/>
  <c r="AK41" i="10"/>
  <c r="AI20" i="10"/>
  <c r="AK20" i="10" s="1"/>
  <c r="AA13" i="10"/>
  <c r="AD13" i="10"/>
  <c r="P88" i="10"/>
  <c r="M88" i="10"/>
  <c r="AV202" i="10"/>
  <c r="X237" i="10"/>
  <c r="AH26" i="10"/>
  <c r="T221" i="10"/>
  <c r="U221" i="10" s="1"/>
  <c r="J156" i="10"/>
  <c r="J172" i="10" s="1"/>
  <c r="J170" i="10"/>
  <c r="J171" i="10"/>
  <c r="AS122" i="10"/>
  <c r="AP126" i="10"/>
  <c r="AP87" i="10" s="1"/>
  <c r="AM186" i="10"/>
  <c r="AK186" i="10"/>
  <c r="K91" i="10"/>
  <c r="M87" i="10"/>
  <c r="U146" i="10"/>
  <c r="U88" i="10"/>
  <c r="V88" i="10" s="1"/>
  <c r="G7" i="10"/>
  <c r="W13" i="10"/>
  <c r="Y7" i="10"/>
  <c r="AH187" i="10"/>
  <c r="H203" i="10"/>
  <c r="H213" i="10"/>
  <c r="J203" i="10"/>
  <c r="J213" i="10"/>
  <c r="W237" i="10"/>
  <c r="AH188" i="10"/>
  <c r="AB88" i="10"/>
  <c r="V156" i="10"/>
  <c r="V171" i="10"/>
  <c r="S30" i="10"/>
  <c r="Q31" i="10"/>
  <c r="R59" i="10"/>
  <c r="R6" i="10"/>
  <c r="J180" i="10"/>
  <c r="J183" i="10" s="1"/>
  <c r="H183" i="10"/>
  <c r="I180" i="10" s="1"/>
  <c r="I183" i="10" s="1"/>
  <c r="K180" i="10" s="1"/>
  <c r="J175" i="10"/>
  <c r="S126" i="10"/>
  <c r="Q87" i="10"/>
  <c r="AG15" i="10"/>
  <c r="BJ11" i="10"/>
  <c r="AG35" i="10"/>
  <c r="AD39" i="10"/>
  <c r="AD54" i="10"/>
  <c r="AD50" i="10"/>
  <c r="S85" i="10"/>
  <c r="U7" i="10"/>
  <c r="V7" i="10" s="1"/>
  <c r="V168" i="10"/>
  <c r="F91" i="10"/>
  <c r="AA91" i="10"/>
  <c r="AH14" i="10"/>
  <c r="AH10" i="10"/>
  <c r="AK10" i="10"/>
  <c r="AK14" i="10"/>
  <c r="M31" i="10"/>
  <c r="K33" i="10"/>
  <c r="AB172" i="10"/>
  <c r="L91" i="10"/>
  <c r="K13" i="10"/>
  <c r="M7" i="10"/>
  <c r="G88" i="10"/>
  <c r="G97" i="10" s="1"/>
  <c r="AQ153" i="10"/>
  <c r="X58" i="10"/>
  <c r="X22" i="10"/>
  <c r="J33" i="10"/>
  <c r="H35" i="10"/>
  <c r="J35" i="10" s="1"/>
  <c r="T91" i="10"/>
  <c r="Y221" i="10"/>
  <c r="AB220" i="10"/>
  <c r="J88" i="10"/>
  <c r="AP9" i="10"/>
  <c r="AR9" i="10" s="1"/>
  <c r="S57" i="10"/>
  <c r="Y31" i="10"/>
  <c r="K59" i="10"/>
  <c r="K6" i="10"/>
  <c r="Q172" i="10"/>
  <c r="Q7" i="10"/>
  <c r="T13" i="10" s="1"/>
  <c r="AM64" i="10"/>
  <c r="G126" i="10"/>
  <c r="E87" i="10"/>
  <c r="S88" i="10"/>
  <c r="AL187" i="10"/>
  <c r="AI188" i="10"/>
  <c r="Y88" i="10"/>
  <c r="W91" i="10"/>
  <c r="I176" i="10"/>
  <c r="J176" i="10" s="1"/>
  <c r="I202" i="10"/>
  <c r="I212" i="10"/>
  <c r="I213" i="10"/>
  <c r="T264" i="10"/>
  <c r="V264" i="10" s="1"/>
  <c r="V261" i="10"/>
  <c r="N172" i="10"/>
  <c r="N7" i="10"/>
  <c r="BL12" i="10"/>
  <c r="T7" i="18"/>
  <c r="S10" i="18"/>
  <c r="BG707" i="1" l="1"/>
  <c r="BG678" i="1"/>
  <c r="BG539" i="1"/>
  <c r="X56" i="21"/>
  <c r="BG706" i="1"/>
  <c r="BH707" i="1"/>
  <c r="G16" i="22"/>
  <c r="DB540" i="1"/>
  <c r="AC43" i="21"/>
  <c r="BI498" i="1"/>
  <c r="DE498" i="1" s="1"/>
  <c r="DC677" i="1"/>
  <c r="BF677" i="1"/>
  <c r="U9" i="18"/>
  <c r="V8" i="18"/>
  <c r="S261" i="10"/>
  <c r="R23" i="10"/>
  <c r="DD707" i="1"/>
  <c r="DH561" i="1"/>
  <c r="BP561" i="1"/>
  <c r="BQ561" i="1" s="1"/>
  <c r="DI561" i="1" s="1"/>
  <c r="AK56" i="10"/>
  <c r="Z91" i="10"/>
  <c r="DG433" i="1"/>
  <c r="BN433" i="1"/>
  <c r="DG435" i="1"/>
  <c r="BN435" i="1"/>
  <c r="AH193" i="10"/>
  <c r="AE39" i="10"/>
  <c r="AE51" i="10" s="1"/>
  <c r="BI60" i="1"/>
  <c r="BJ35" i="1"/>
  <c r="BI34" i="1"/>
  <c r="BH59" i="1"/>
  <c r="BE425" i="1"/>
  <c r="BE460" i="1" s="1"/>
  <c r="BE489" i="1" s="1"/>
  <c r="BE517" i="1"/>
  <c r="DC517" i="1" s="1"/>
  <c r="BF413" i="1"/>
  <c r="CX123" i="1"/>
  <c r="CX142" i="1"/>
  <c r="CX762" i="1" s="1"/>
  <c r="BE661" i="1"/>
  <c r="N5" i="1"/>
  <c r="O5" i="1"/>
  <c r="P3" i="1"/>
  <c r="P2" i="1"/>
  <c r="Q1" i="1"/>
  <c r="BE588" i="1"/>
  <c r="DC588" i="1" s="1"/>
  <c r="BF555" i="1"/>
  <c r="CO3" i="1"/>
  <c r="CP1" i="1"/>
  <c r="CO2" i="1"/>
  <c r="BC556" i="1"/>
  <c r="DB556" i="1" s="1"/>
  <c r="DB562" i="1" s="1"/>
  <c r="BB562" i="1"/>
  <c r="BD735" i="1"/>
  <c r="BD576" i="1"/>
  <c r="BF505" i="1"/>
  <c r="BE520" i="1"/>
  <c r="DC520" i="1" s="1"/>
  <c r="BE147" i="1"/>
  <c r="BF565" i="1"/>
  <c r="BE507" i="1"/>
  <c r="DC507" i="1" s="1"/>
  <c r="BE536" i="1"/>
  <c r="BF522" i="1"/>
  <c r="BG499" i="1"/>
  <c r="BF571" i="1"/>
  <c r="BE553" i="1"/>
  <c r="DC553" i="1" s="1"/>
  <c r="BD540" i="1"/>
  <c r="AM135" i="10"/>
  <c r="AN135" i="10" s="1"/>
  <c r="AN146" i="10" s="1"/>
  <c r="M13" i="10"/>
  <c r="Y237" i="10"/>
  <c r="P59" i="10"/>
  <c r="U87" i="10"/>
  <c r="V126" i="10"/>
  <c r="AQ9" i="10"/>
  <c r="AJ193" i="10"/>
  <c r="AJ181" i="10"/>
  <c r="G87" i="10"/>
  <c r="E90" i="10"/>
  <c r="F84" i="10" s="1"/>
  <c r="E91" i="10"/>
  <c r="X32" i="10"/>
  <c r="X33" i="10" s="1"/>
  <c r="X23" i="10"/>
  <c r="AH15" i="10"/>
  <c r="BK11" i="10"/>
  <c r="K175" i="10"/>
  <c r="K201" i="10"/>
  <c r="J177" i="10"/>
  <c r="M201" i="10"/>
  <c r="K211" i="10"/>
  <c r="M211" i="10"/>
  <c r="H91" i="10"/>
  <c r="J87" i="10"/>
  <c r="AS41" i="10"/>
  <c r="AP20" i="10"/>
  <c r="AV153" i="10"/>
  <c r="AW153" i="10" s="1"/>
  <c r="S156" i="10"/>
  <c r="S172" i="10" s="1"/>
  <c r="S170" i="10"/>
  <c r="S171" i="10"/>
  <c r="L12" i="10"/>
  <c r="L8" i="10"/>
  <c r="O14" i="10" s="1"/>
  <c r="N13" i="10"/>
  <c r="P7" i="10"/>
  <c r="P13" i="10" s="1"/>
  <c r="M6" i="10"/>
  <c r="M12" i="10" s="1"/>
  <c r="K12" i="10"/>
  <c r="K8" i="10"/>
  <c r="AB221" i="10"/>
  <c r="AE220" i="10"/>
  <c r="AD51" i="10"/>
  <c r="I177" i="10"/>
  <c r="R12" i="10"/>
  <c r="AH192" i="10"/>
  <c r="AN41" i="10"/>
  <c r="AN56" i="10" s="1"/>
  <c r="AL20" i="10"/>
  <c r="AN20" i="10" s="1"/>
  <c r="AO41" i="10"/>
  <c r="AK35" i="10"/>
  <c r="R172" i="10"/>
  <c r="R7" i="10"/>
  <c r="R13" i="10" s="1"/>
  <c r="O10" i="10"/>
  <c r="AX192" i="10"/>
  <c r="AY192" i="10" s="1"/>
  <c r="AV192" i="10"/>
  <c r="F8" i="10"/>
  <c r="F10" i="10" s="1"/>
  <c r="I12" i="10"/>
  <c r="G6" i="10"/>
  <c r="AL97" i="10"/>
  <c r="AK26" i="10"/>
  <c r="H10" i="10"/>
  <c r="H15" i="10" s="1"/>
  <c r="H14" i="10"/>
  <c r="N8" i="10"/>
  <c r="P6" i="10"/>
  <c r="N12" i="10"/>
  <c r="AR126" i="10"/>
  <c r="AU122" i="10"/>
  <c r="AT122" i="10"/>
  <c r="AN87" i="10"/>
  <c r="AL96" i="10"/>
  <c r="AL91" i="10"/>
  <c r="AL99" i="10" s="1"/>
  <c r="AL90" i="10"/>
  <c r="M91" i="10"/>
  <c r="AS126" i="10"/>
  <c r="AS87" i="10" s="1"/>
  <c r="AV122" i="10"/>
  <c r="AH35" i="10"/>
  <c r="AM187" i="10"/>
  <c r="AN187" i="10" s="1"/>
  <c r="AX153" i="10"/>
  <c r="W58" i="10"/>
  <c r="Y43" i="10"/>
  <c r="W22" i="10"/>
  <c r="W44" i="10"/>
  <c r="AK188" i="10"/>
  <c r="AK193" i="10" s="1"/>
  <c r="AI193" i="10"/>
  <c r="AI181" i="10"/>
  <c r="AN64" i="10"/>
  <c r="W221" i="10"/>
  <c r="X221" i="10" s="1"/>
  <c r="V170" i="10"/>
  <c r="U97" i="10"/>
  <c r="BH11" i="10"/>
  <c r="Y91" i="10"/>
  <c r="AW123" i="10"/>
  <c r="AX123" i="10"/>
  <c r="AZ123" i="10" s="1"/>
  <c r="M172" i="10"/>
  <c r="J13" i="10"/>
  <c r="P91" i="10"/>
  <c r="AQ126" i="10"/>
  <c r="AO87" i="10"/>
  <c r="AP58" i="10"/>
  <c r="N35" i="10"/>
  <c r="P33" i="10"/>
  <c r="AO187" i="10"/>
  <c r="AL188" i="10"/>
  <c r="S87" i="10"/>
  <c r="Q91" i="10"/>
  <c r="AP186" i="10"/>
  <c r="AN186" i="10"/>
  <c r="AL218" i="10"/>
  <c r="AM218" i="10" s="1"/>
  <c r="AQ218" i="10"/>
  <c r="AM26" i="10"/>
  <c r="AO26" i="10" s="1"/>
  <c r="X8" i="10"/>
  <c r="K202" i="10"/>
  <c r="K212" i="10"/>
  <c r="K176" i="10"/>
  <c r="M212" i="10"/>
  <c r="M202" i="10"/>
  <c r="AK187" i="10"/>
  <c r="Q13" i="10"/>
  <c r="AS9" i="10"/>
  <c r="AU9" i="10" s="1"/>
  <c r="AX186" i="10"/>
  <c r="M33" i="10"/>
  <c r="K35" i="10"/>
  <c r="M35" i="10" s="1"/>
  <c r="AK15" i="10"/>
  <c r="BN11" i="10"/>
  <c r="AB91" i="10"/>
  <c r="M180" i="10"/>
  <c r="M183" i="10" s="1"/>
  <c r="K183" i="10"/>
  <c r="K158" i="10" s="1"/>
  <c r="S31" i="10"/>
  <c r="Y13" i="10"/>
  <c r="AK191" i="10"/>
  <c r="AX202" i="10"/>
  <c r="AB7" i="10"/>
  <c r="Z13" i="10"/>
  <c r="AC13" i="10"/>
  <c r="AR137" i="10"/>
  <c r="AP89" i="10"/>
  <c r="AQ89" i="10" s="1"/>
  <c r="AE35" i="10"/>
  <c r="S233" i="10"/>
  <c r="Q236" i="10"/>
  <c r="AT153" i="10"/>
  <c r="AM65" i="10"/>
  <c r="W66" i="10"/>
  <c r="X13" i="10"/>
  <c r="Y172" i="10"/>
  <c r="I13" i="10"/>
  <c r="I8" i="10"/>
  <c r="L13" i="10"/>
  <c r="U7" i="18"/>
  <c r="T10" i="18"/>
  <c r="BI707" i="1" l="1"/>
  <c r="DE707" i="1" s="1"/>
  <c r="DD678" i="1"/>
  <c r="BH678" i="1"/>
  <c r="BH706" i="1"/>
  <c r="Y56" i="21"/>
  <c r="BA43" i="21"/>
  <c r="DC661" i="1"/>
  <c r="BJ498" i="1"/>
  <c r="AD43" i="21"/>
  <c r="DD499" i="1"/>
  <c r="BG677" i="1"/>
  <c r="DD706" i="1"/>
  <c r="BH539" i="1"/>
  <c r="DD539" i="1"/>
  <c r="W8" i="18"/>
  <c r="V9" i="18"/>
  <c r="AE40" i="10"/>
  <c r="AF38" i="10" s="1"/>
  <c r="BO435" i="1"/>
  <c r="BO433" i="1"/>
  <c r="BI59" i="1"/>
  <c r="BJ34" i="1"/>
  <c r="BK35" i="1"/>
  <c r="BJ60" i="1"/>
  <c r="BF425" i="1"/>
  <c r="BF460" i="1" s="1"/>
  <c r="BF489" i="1" s="1"/>
  <c r="BG413" i="1"/>
  <c r="BF517" i="1"/>
  <c r="DE34" i="1"/>
  <c r="CY123" i="1"/>
  <c r="DC536" i="1"/>
  <c r="CY142" i="1"/>
  <c r="CY762" i="1" s="1"/>
  <c r="Q3" i="1"/>
  <c r="P5" i="1" s="1"/>
  <c r="Q2" i="1"/>
  <c r="R1" i="1"/>
  <c r="BF588" i="1"/>
  <c r="BG555" i="1"/>
  <c r="DD555" i="1" s="1"/>
  <c r="BE540" i="1"/>
  <c r="BE735" i="1"/>
  <c r="BD556" i="1"/>
  <c r="BD626" i="1" s="1"/>
  <c r="BC562" i="1"/>
  <c r="BF553" i="1"/>
  <c r="BG571" i="1"/>
  <c r="DD571" i="1" s="1"/>
  <c r="BH499" i="1"/>
  <c r="BG522" i="1"/>
  <c r="DD522" i="1" s="1"/>
  <c r="BE576" i="1"/>
  <c r="DC576" i="1" s="1"/>
  <c r="BF507" i="1"/>
  <c r="BF536" i="1"/>
  <c r="BG565" i="1"/>
  <c r="DD565" i="1" s="1"/>
  <c r="BF147" i="1"/>
  <c r="BC626" i="1"/>
  <c r="DB626" i="1" s="1"/>
  <c r="CQ1" i="1"/>
  <c r="CP2" i="1"/>
  <c r="CP3" i="1"/>
  <c r="BF520" i="1"/>
  <c r="BG505" i="1"/>
  <c r="DD505" i="1" s="1"/>
  <c r="BF661" i="1"/>
  <c r="AM88" i="10"/>
  <c r="AN88" i="10" s="1"/>
  <c r="AN97" i="10" s="1"/>
  <c r="S7" i="10"/>
  <c r="V13" i="10" s="1"/>
  <c r="AK181" i="10"/>
  <c r="AT9" i="10"/>
  <c r="P12" i="10"/>
  <c r="V172" i="10"/>
  <c r="AM188" i="10"/>
  <c r="AM181" i="10" s="1"/>
  <c r="AN26" i="10"/>
  <c r="U96" i="10"/>
  <c r="V87" i="10"/>
  <c r="V91" i="10" s="1"/>
  <c r="U91" i="10"/>
  <c r="U99" i="10" s="1"/>
  <c r="U90" i="10"/>
  <c r="U68" i="10" s="1"/>
  <c r="AR58" i="10"/>
  <c r="AQ87" i="10"/>
  <c r="W6" i="10"/>
  <c r="K160" i="10"/>
  <c r="K159" i="10"/>
  <c r="K164" i="10"/>
  <c r="K162" i="10"/>
  <c r="K165" i="10"/>
  <c r="K163" i="10"/>
  <c r="AR87" i="10"/>
  <c r="AT126" i="10"/>
  <c r="G8" i="10"/>
  <c r="G10" i="10" s="1"/>
  <c r="J12" i="10"/>
  <c r="Z221" i="10"/>
  <c r="AA221" i="10" s="1"/>
  <c r="K213" i="10"/>
  <c r="K203" i="10"/>
  <c r="M203" i="10"/>
  <c r="M213" i="10"/>
  <c r="F90" i="10"/>
  <c r="F94" i="10"/>
  <c r="F98" i="10"/>
  <c r="F95" i="10"/>
  <c r="F96" i="10"/>
  <c r="F97" i="10"/>
  <c r="S236" i="10"/>
  <c r="S246" i="10" s="1"/>
  <c r="Q43" i="10"/>
  <c r="AB13" i="10"/>
  <c r="AE13" i="10"/>
  <c r="AY202" i="10"/>
  <c r="L180" i="10"/>
  <c r="L183" i="10" s="1"/>
  <c r="N180" i="10" s="1"/>
  <c r="AE55" i="10"/>
  <c r="AE52" i="10"/>
  <c r="AP26" i="10"/>
  <c r="AR26" i="10" s="1"/>
  <c r="AR187" i="10"/>
  <c r="AO188" i="10"/>
  <c r="Y22" i="10"/>
  <c r="Y23" i="10" s="1"/>
  <c r="W32" i="10"/>
  <c r="W23" i="10"/>
  <c r="O35" i="10"/>
  <c r="P35" i="10" s="1"/>
  <c r="AR41" i="10"/>
  <c r="AO20" i="10"/>
  <c r="AQ20" i="10" s="1"/>
  <c r="AQ41" i="10"/>
  <c r="AQ56" i="10" s="1"/>
  <c r="K14" i="10"/>
  <c r="M8" i="10"/>
  <c r="K10" i="10"/>
  <c r="K15" i="10" s="1"/>
  <c r="L10" i="10"/>
  <c r="L14" i="10"/>
  <c r="AS20" i="10"/>
  <c r="AV41" i="10"/>
  <c r="G91" i="10"/>
  <c r="G99" i="10" s="1"/>
  <c r="G96" i="10"/>
  <c r="G90" i="10"/>
  <c r="H84" i="10" s="1"/>
  <c r="H99" i="10" s="1"/>
  <c r="AL193" i="10"/>
  <c r="AL181" i="10"/>
  <c r="AS137" i="10"/>
  <c r="AR89" i="10"/>
  <c r="AK192" i="10"/>
  <c r="L202" i="10"/>
  <c r="L176" i="10"/>
  <c r="M176" i="10" s="1"/>
  <c r="L212" i="10"/>
  <c r="X10" i="10"/>
  <c r="AN191" i="10"/>
  <c r="AN192" i="10"/>
  <c r="F99" i="10"/>
  <c r="AO64" i="10"/>
  <c r="Y58" i="10"/>
  <c r="Y44" i="10"/>
  <c r="AN96" i="10"/>
  <c r="AY153" i="10"/>
  <c r="AZ153" i="10" s="1"/>
  <c r="J91" i="10"/>
  <c r="L201" i="10"/>
  <c r="L175" i="10"/>
  <c r="K177" i="10"/>
  <c r="L211" i="10"/>
  <c r="I10" i="10"/>
  <c r="I15" i="10" s="1"/>
  <c r="I14" i="10"/>
  <c r="AN65" i="10"/>
  <c r="Q237" i="10"/>
  <c r="S237" i="10" s="1"/>
  <c r="AV9" i="10"/>
  <c r="AX9" i="10" s="1"/>
  <c r="AO218" i="10"/>
  <c r="AP218" i="10" s="1"/>
  <c r="AT218" i="10"/>
  <c r="AS186" i="10"/>
  <c r="AQ186" i="10"/>
  <c r="S91" i="10"/>
  <c r="AP187" i="10"/>
  <c r="AV126" i="10"/>
  <c r="AV87" i="10" s="1"/>
  <c r="AY122" i="10"/>
  <c r="AY126" i="10" s="1"/>
  <c r="AY87" i="10" s="1"/>
  <c r="AL68" i="10"/>
  <c r="AM84" i="10"/>
  <c r="AU126" i="10"/>
  <c r="AX122" i="10"/>
  <c r="AW122" i="10"/>
  <c r="N14" i="10"/>
  <c r="N10" i="10"/>
  <c r="P8" i="10"/>
  <c r="J8" i="10"/>
  <c r="R8" i="10"/>
  <c r="U13" i="10"/>
  <c r="AE221" i="10"/>
  <c r="AH220" i="10"/>
  <c r="V7" i="18"/>
  <c r="U10" i="18"/>
  <c r="AE42" i="10" l="1"/>
  <c r="BJ707" i="1"/>
  <c r="DC540" i="1"/>
  <c r="BH677" i="1"/>
  <c r="DD677" i="1"/>
  <c r="AE43" i="21"/>
  <c r="BK498" i="1"/>
  <c r="DF498" i="1" s="1"/>
  <c r="BI706" i="1"/>
  <c r="DE706" i="1" s="1"/>
  <c r="BI678" i="1"/>
  <c r="BI539" i="1"/>
  <c r="AM97" i="10"/>
  <c r="Z56" i="21"/>
  <c r="W9" i="18"/>
  <c r="X8" i="18"/>
  <c r="DH433" i="1"/>
  <c r="BP433" i="1"/>
  <c r="DH435" i="1"/>
  <c r="BP435" i="1"/>
  <c r="S13" i="10"/>
  <c r="N15" i="10"/>
  <c r="AN90" i="10"/>
  <c r="AO84" i="10" s="1"/>
  <c r="AO96" i="10" s="1"/>
  <c r="AM91" i="10"/>
  <c r="AM99" i="10" s="1"/>
  <c r="AN91" i="10"/>
  <c r="AN99" i="10" s="1"/>
  <c r="BK60" i="1"/>
  <c r="BL35" i="1"/>
  <c r="BK34" i="1"/>
  <c r="DF34" i="1" s="1"/>
  <c r="BJ59" i="1"/>
  <c r="DF35" i="1"/>
  <c r="BH413" i="1"/>
  <c r="BG425" i="1"/>
  <c r="BG460" i="1" s="1"/>
  <c r="BG489" i="1" s="1"/>
  <c r="BG517" i="1"/>
  <c r="DD517" i="1" s="1"/>
  <c r="BA123" i="1"/>
  <c r="CZ123" i="1"/>
  <c r="DD413" i="1"/>
  <c r="DD425" i="1" s="1"/>
  <c r="DD460" i="1" s="1"/>
  <c r="DD489" i="1" s="1"/>
  <c r="BA142" i="1"/>
  <c r="CZ142" i="1"/>
  <c r="CZ762" i="1" s="1"/>
  <c r="BG661" i="1"/>
  <c r="Q5" i="1"/>
  <c r="R3" i="1"/>
  <c r="S1" i="1"/>
  <c r="R2" i="1"/>
  <c r="BH555" i="1"/>
  <c r="BG588" i="1"/>
  <c r="DD588" i="1" s="1"/>
  <c r="BG520" i="1"/>
  <c r="DD520" i="1" s="1"/>
  <c r="BH505" i="1"/>
  <c r="BG147" i="1"/>
  <c r="BH565" i="1"/>
  <c r="BG553" i="1"/>
  <c r="DD553" i="1" s="1"/>
  <c r="CQ2" i="1"/>
  <c r="CQ3" i="1"/>
  <c r="CR1" i="1"/>
  <c r="AN2" i="21" s="1"/>
  <c r="BF576" i="1"/>
  <c r="BG536" i="1"/>
  <c r="BG507" i="1"/>
  <c r="DD507" i="1" s="1"/>
  <c r="BF735" i="1"/>
  <c r="BI499" i="1"/>
  <c r="BH522" i="1"/>
  <c r="BH571" i="1"/>
  <c r="BE556" i="1"/>
  <c r="BD562" i="1"/>
  <c r="BF540" i="1"/>
  <c r="V90" i="10"/>
  <c r="W84" i="10" s="1"/>
  <c r="W98" i="10" s="1"/>
  <c r="AM193" i="10"/>
  <c r="L158" i="10"/>
  <c r="M158" i="10" s="1"/>
  <c r="M162" i="10" s="1"/>
  <c r="AN188" i="10"/>
  <c r="AN193" i="10" s="1"/>
  <c r="L15" i="10"/>
  <c r="AZ122" i="10"/>
  <c r="AX126" i="10"/>
  <c r="AV186" i="10"/>
  <c r="AT186" i="10"/>
  <c r="AP131" i="10"/>
  <c r="AP64" i="10" s="1"/>
  <c r="AU137" i="10"/>
  <c r="AS89" i="10"/>
  <c r="AT89" i="10" s="1"/>
  <c r="AU187" i="10"/>
  <c r="AR188" i="10"/>
  <c r="AF54" i="10"/>
  <c r="AF50" i="10"/>
  <c r="AG38" i="10"/>
  <c r="AH38" i="10" s="1"/>
  <c r="AF39" i="10"/>
  <c r="AS58" i="10"/>
  <c r="AK220" i="10"/>
  <c r="AH221" i="10"/>
  <c r="AW126" i="10"/>
  <c r="AU87" i="10"/>
  <c r="AY41" i="10"/>
  <c r="AY20" i="10" s="1"/>
  <c r="AV20" i="10"/>
  <c r="O15" i="10"/>
  <c r="AE44" i="10"/>
  <c r="AE58" i="10"/>
  <c r="AC221" i="10"/>
  <c r="AD221" i="10" s="1"/>
  <c r="R14" i="10"/>
  <c r="R10" i="10"/>
  <c r="J14" i="10"/>
  <c r="J10" i="10"/>
  <c r="J15" i="10" s="1"/>
  <c r="AQ191" i="10"/>
  <c r="AY9" i="10"/>
  <c r="AZ9" i="10" s="1"/>
  <c r="L203" i="10"/>
  <c r="L213" i="10"/>
  <c r="AQ84" i="10"/>
  <c r="AQ96" i="10" s="1"/>
  <c r="N202" i="10"/>
  <c r="N176" i="10"/>
  <c r="P202" i="10"/>
  <c r="N212" i="10"/>
  <c r="P212" i="10"/>
  <c r="H90" i="10"/>
  <c r="I84" i="10" s="1"/>
  <c r="J84" i="10"/>
  <c r="J99" i="10" s="1"/>
  <c r="H98" i="10"/>
  <c r="H97" i="10"/>
  <c r="H95" i="10"/>
  <c r="H94" i="10"/>
  <c r="H96" i="10"/>
  <c r="M10" i="10"/>
  <c r="M14" i="10"/>
  <c r="AO193" i="10"/>
  <c r="AO181" i="10"/>
  <c r="AS26" i="10"/>
  <c r="AU26" i="10" s="1"/>
  <c r="N183" i="10"/>
  <c r="P180" i="10"/>
  <c r="P183" i="10" s="1"/>
  <c r="AT87" i="10"/>
  <c r="Y6" i="10"/>
  <c r="W8" i="10"/>
  <c r="AL80" i="10"/>
  <c r="AL79" i="10"/>
  <c r="AL78" i="10"/>
  <c r="AL71" i="10"/>
  <c r="AL70" i="10"/>
  <c r="AL69" i="10"/>
  <c r="AL76" i="10"/>
  <c r="AL77" i="10"/>
  <c r="AM146" i="10"/>
  <c r="AS187" i="10"/>
  <c r="AS188" i="10" s="1"/>
  <c r="U69" i="10"/>
  <c r="U80" i="10"/>
  <c r="U79" i="10"/>
  <c r="U77" i="10"/>
  <c r="U75" i="10"/>
  <c r="U74" i="10"/>
  <c r="U71" i="10"/>
  <c r="U70" i="10"/>
  <c r="V70" i="10" s="1"/>
  <c r="V68" i="10"/>
  <c r="U76" i="10"/>
  <c r="U78" i="10"/>
  <c r="Y32" i="10"/>
  <c r="W33" i="10"/>
  <c r="Y33" i="10" s="1"/>
  <c r="P10" i="10"/>
  <c r="P14" i="10"/>
  <c r="AM90" i="10"/>
  <c r="AM68" i="10" s="1"/>
  <c r="AM98" i="10"/>
  <c r="AM96" i="10"/>
  <c r="AP188" i="10"/>
  <c r="AW218" i="10"/>
  <c r="AR218" i="10"/>
  <c r="AS218" i="10" s="1"/>
  <c r="AW9" i="10"/>
  <c r="AO132" i="10"/>
  <c r="AO65" i="10" s="1"/>
  <c r="L177" i="10"/>
  <c r="M175" i="10"/>
  <c r="X35" i="10"/>
  <c r="AT137" i="10"/>
  <c r="AN181" i="10"/>
  <c r="AT41" i="10"/>
  <c r="AT56" i="10" s="1"/>
  <c r="AR20" i="10"/>
  <c r="AT20" i="10" s="1"/>
  <c r="AU41" i="10"/>
  <c r="AQ187" i="10"/>
  <c r="AQ26" i="10"/>
  <c r="Q58" i="10"/>
  <c r="S43" i="10"/>
  <c r="Q22" i="10"/>
  <c r="Q44" i="10"/>
  <c r="V10" i="18"/>
  <c r="W7" i="18"/>
  <c r="BK707" i="1" l="1"/>
  <c r="BI677" i="1"/>
  <c r="AA56" i="21"/>
  <c r="BJ539" i="1"/>
  <c r="DE539" i="1"/>
  <c r="BJ678" i="1"/>
  <c r="DE678" i="1"/>
  <c r="BB43" i="21"/>
  <c r="AF43" i="21"/>
  <c r="BL498" i="1"/>
  <c r="DE499" i="1"/>
  <c r="BJ706" i="1"/>
  <c r="DD661" i="1"/>
  <c r="AO98" i="10"/>
  <c r="Y8" i="18"/>
  <c r="X9" i="18"/>
  <c r="BQ433" i="1"/>
  <c r="DI433" i="1" s="1"/>
  <c r="BQ435" i="1"/>
  <c r="DI435" i="1" s="1"/>
  <c r="W94" i="10"/>
  <c r="L160" i="10"/>
  <c r="W95" i="10"/>
  <c r="M165" i="10"/>
  <c r="Y84" i="10"/>
  <c r="Y98" i="10" s="1"/>
  <c r="W96" i="10"/>
  <c r="W99" i="10"/>
  <c r="W97" i="10"/>
  <c r="W90" i="10"/>
  <c r="W68" i="10" s="1"/>
  <c r="M159" i="10"/>
  <c r="L164" i="10"/>
  <c r="M164" i="10"/>
  <c r="L162" i="10"/>
  <c r="L163" i="10"/>
  <c r="L165" i="10"/>
  <c r="L159" i="10"/>
  <c r="M163" i="10"/>
  <c r="BH661" i="1"/>
  <c r="BL60" i="1"/>
  <c r="BM35" i="1"/>
  <c r="BK59" i="1"/>
  <c r="BL34" i="1"/>
  <c r="BI413" i="1"/>
  <c r="DE413" i="1" s="1"/>
  <c r="DE425" i="1" s="1"/>
  <c r="DE460" i="1" s="1"/>
  <c r="DE489" i="1" s="1"/>
  <c r="BH517" i="1"/>
  <c r="BH425" i="1"/>
  <c r="BH460" i="1" s="1"/>
  <c r="BH489" i="1" s="1"/>
  <c r="DD536" i="1"/>
  <c r="BE626" i="1"/>
  <c r="DC626" i="1" s="1"/>
  <c r="DC556" i="1"/>
  <c r="DC562" i="1" s="1"/>
  <c r="BB123" i="1"/>
  <c r="BC123" i="1" s="1"/>
  <c r="DA123" i="1"/>
  <c r="BB142" i="1"/>
  <c r="BC142" i="1" s="1"/>
  <c r="DA142" i="1"/>
  <c r="DA762" i="1" s="1"/>
  <c r="S3" i="1"/>
  <c r="R5" i="1" s="1"/>
  <c r="S2" i="1"/>
  <c r="T1" i="1"/>
  <c r="BI522" i="1"/>
  <c r="BI536" i="1" s="1"/>
  <c r="BJ499" i="1"/>
  <c r="BH588" i="1"/>
  <c r="BI555" i="1"/>
  <c r="DE555" i="1" s="1"/>
  <c r="BI565" i="1"/>
  <c r="BG540" i="1"/>
  <c r="BI571" i="1"/>
  <c r="BG735" i="1"/>
  <c r="CR2" i="1"/>
  <c r="CS1" i="1"/>
  <c r="AO2" i="21" s="1"/>
  <c r="CR3" i="1"/>
  <c r="AN3" i="21" s="1"/>
  <c r="BH553" i="1"/>
  <c r="BH147" i="1"/>
  <c r="BI505" i="1"/>
  <c r="DE505" i="1" s="1"/>
  <c r="BH520" i="1"/>
  <c r="BH536" i="1"/>
  <c r="BH507" i="1"/>
  <c r="BF556" i="1"/>
  <c r="BF626" i="1" s="1"/>
  <c r="BE562" i="1"/>
  <c r="BG576" i="1"/>
  <c r="DD576" i="1" s="1"/>
  <c r="P15" i="10"/>
  <c r="M15" i="10"/>
  <c r="AH54" i="10"/>
  <c r="AH50" i="10"/>
  <c r="BC50" i="10" s="1"/>
  <c r="AP132" i="10"/>
  <c r="AP135" i="10" s="1"/>
  <c r="AK221" i="10"/>
  <c r="AN220" i="10"/>
  <c r="AS193" i="10"/>
  <c r="AS181" i="10"/>
  <c r="Y90" i="10"/>
  <c r="Z84" i="10" s="1"/>
  <c r="AV187" i="10"/>
  <c r="AV188" i="10" s="1"/>
  <c r="AT26" i="10"/>
  <c r="AQ98" i="10"/>
  <c r="R35" i="10"/>
  <c r="R15" i="10"/>
  <c r="AW87" i="10"/>
  <c r="AT187" i="10"/>
  <c r="AQ131" i="10"/>
  <c r="AQ142" i="10" s="1"/>
  <c r="AY186" i="10"/>
  <c r="AW186" i="10"/>
  <c r="AX41" i="10"/>
  <c r="AW41" i="10"/>
  <c r="AW56" i="10" s="1"/>
  <c r="AU20" i="10"/>
  <c r="AW20" i="10" s="1"/>
  <c r="V80" i="10"/>
  <c r="V77" i="10"/>
  <c r="V74" i="10"/>
  <c r="V75" i="10"/>
  <c r="V79" i="10"/>
  <c r="W146" i="10"/>
  <c r="V76" i="10"/>
  <c r="Y146" i="10"/>
  <c r="V78" i="10"/>
  <c r="Y8" i="10"/>
  <c r="W10" i="10"/>
  <c r="AV26" i="10"/>
  <c r="AX26" i="10" s="1"/>
  <c r="AG54" i="10"/>
  <c r="AG50" i="10"/>
  <c r="AG17" i="10"/>
  <c r="AG39" i="10"/>
  <c r="AH39" i="10" s="1"/>
  <c r="AH51" i="10" s="1"/>
  <c r="BC51" i="10" s="1"/>
  <c r="AR193" i="10"/>
  <c r="AT188" i="10"/>
  <c r="AR181" i="10"/>
  <c r="Q59" i="10"/>
  <c r="Q6" i="10"/>
  <c r="N201" i="10"/>
  <c r="M177" i="10"/>
  <c r="P201" i="10"/>
  <c r="N175" i="10"/>
  <c r="N211" i="10"/>
  <c r="P211" i="10"/>
  <c r="AO135" i="10"/>
  <c r="AZ218" i="10"/>
  <c r="AU218" i="10"/>
  <c r="AV218" i="10" s="1"/>
  <c r="V71" i="10"/>
  <c r="U46" i="10"/>
  <c r="O180" i="10"/>
  <c r="O183" i="10" s="1"/>
  <c r="Q180" i="10" s="1"/>
  <c r="N158" i="10"/>
  <c r="O202" i="10"/>
  <c r="O212" i="10"/>
  <c r="O176" i="10"/>
  <c r="P176" i="10" s="1"/>
  <c r="AF51" i="10"/>
  <c r="AX187" i="10"/>
  <c r="AU188" i="10"/>
  <c r="AV137" i="10"/>
  <c r="AU89" i="10"/>
  <c r="S58" i="10"/>
  <c r="S44" i="10"/>
  <c r="S59" i="10" s="1"/>
  <c r="AM70" i="10"/>
  <c r="AN70" i="10" s="1"/>
  <c r="AM69" i="10"/>
  <c r="AN68" i="10"/>
  <c r="AM80" i="10"/>
  <c r="AM79" i="10"/>
  <c r="AM78" i="10"/>
  <c r="AM71" i="10"/>
  <c r="AN71" i="10" s="1"/>
  <c r="AM76" i="10"/>
  <c r="AM77" i="10"/>
  <c r="AL46" i="10"/>
  <c r="I98" i="10"/>
  <c r="I90" i="10"/>
  <c r="I68" i="10" s="1"/>
  <c r="I95" i="10"/>
  <c r="I94" i="10"/>
  <c r="I96" i="10"/>
  <c r="I97" i="10"/>
  <c r="I99" i="10"/>
  <c r="AU58" i="10"/>
  <c r="AQ64" i="10"/>
  <c r="Q32" i="10"/>
  <c r="S22" i="10"/>
  <c r="S23" i="10" s="1"/>
  <c r="Q23" i="10"/>
  <c r="AQ192" i="10"/>
  <c r="AP193" i="10"/>
  <c r="AP181" i="10"/>
  <c r="AQ181" i="10" s="1"/>
  <c r="AQ188" i="10"/>
  <c r="AQ193" i="10" s="1"/>
  <c r="J90" i="10"/>
  <c r="K84" i="10" s="1"/>
  <c r="J98" i="10"/>
  <c r="J94" i="10"/>
  <c r="J97" i="10"/>
  <c r="J95" i="10"/>
  <c r="J96" i="10"/>
  <c r="AF221" i="10"/>
  <c r="AG221" i="10" s="1"/>
  <c r="AT191" i="10"/>
  <c r="AZ126" i="10"/>
  <c r="AX87" i="10"/>
  <c r="X7" i="18"/>
  <c r="W10" i="18"/>
  <c r="DF707" i="1" l="1"/>
  <c r="BL707" i="1"/>
  <c r="AB56" i="21"/>
  <c r="AG43" i="21"/>
  <c r="BM498" i="1"/>
  <c r="BK539" i="1"/>
  <c r="BK706" i="1"/>
  <c r="DF706" i="1" s="1"/>
  <c r="BJ677" i="1"/>
  <c r="DE677" i="1"/>
  <c r="DD540" i="1"/>
  <c r="BK678" i="1"/>
  <c r="X84" i="10"/>
  <c r="X95" i="10" s="1"/>
  <c r="Y9" i="18"/>
  <c r="Z8" i="18"/>
  <c r="Y94" i="10"/>
  <c r="Y96" i="10"/>
  <c r="Y99" i="10"/>
  <c r="Y97" i="10"/>
  <c r="Y95" i="10"/>
  <c r="BM60" i="1"/>
  <c r="BN35" i="1"/>
  <c r="AW187" i="10"/>
  <c r="AW192" i="10" s="1"/>
  <c r="DG35" i="1"/>
  <c r="BM34" i="1"/>
  <c r="BL59" i="1"/>
  <c r="BD123" i="1"/>
  <c r="BE123" i="1" s="1"/>
  <c r="DB123" i="1"/>
  <c r="BJ571" i="1"/>
  <c r="BK571" i="1" s="1"/>
  <c r="DE571" i="1"/>
  <c r="DE536" i="1"/>
  <c r="BJ565" i="1"/>
  <c r="BK565" i="1" s="1"/>
  <c r="DE565" i="1"/>
  <c r="BJ413" i="1"/>
  <c r="BI425" i="1"/>
  <c r="BI460" i="1" s="1"/>
  <c r="BI489" i="1" s="1"/>
  <c r="BI517" i="1"/>
  <c r="DE517" i="1" s="1"/>
  <c r="DE522" i="1"/>
  <c r="BD142" i="1"/>
  <c r="BE142" i="1" s="1"/>
  <c r="DB142" i="1"/>
  <c r="DB762" i="1" s="1"/>
  <c r="BK499" i="1"/>
  <c r="BJ522" i="1"/>
  <c r="S5" i="1"/>
  <c r="T3" i="1"/>
  <c r="T2" i="1"/>
  <c r="U1" i="1"/>
  <c r="BI588" i="1"/>
  <c r="DE588" i="1" s="1"/>
  <c r="BJ555" i="1"/>
  <c r="BI520" i="1"/>
  <c r="DE520" i="1" s="1"/>
  <c r="BJ505" i="1"/>
  <c r="BI507" i="1"/>
  <c r="DE507" i="1" s="1"/>
  <c r="BG556" i="1"/>
  <c r="BF562" i="1"/>
  <c r="BH540" i="1"/>
  <c r="BI661" i="1"/>
  <c r="CS3" i="1"/>
  <c r="AO3" i="21" s="1"/>
  <c r="CT1" i="1"/>
  <c r="CS2" i="1"/>
  <c r="CT725" i="1" s="1"/>
  <c r="BH735" i="1"/>
  <c r="BH576" i="1"/>
  <c r="BI147" i="1"/>
  <c r="BJ147" i="1" s="1"/>
  <c r="BI553" i="1"/>
  <c r="DE553" i="1" s="1"/>
  <c r="AQ132" i="10"/>
  <c r="AQ143" i="10" s="1"/>
  <c r="AP65" i="10"/>
  <c r="AQ65" i="10" s="1"/>
  <c r="AM46" i="10"/>
  <c r="AM48" i="10" s="1"/>
  <c r="K90" i="10"/>
  <c r="M84" i="10"/>
  <c r="K94" i="10"/>
  <c r="K95" i="10"/>
  <c r="K98" i="10"/>
  <c r="K97" i="10"/>
  <c r="K96" i="10"/>
  <c r="K99" i="10"/>
  <c r="W70" i="10"/>
  <c r="W80" i="10"/>
  <c r="W77" i="10"/>
  <c r="W75" i="10"/>
  <c r="W74" i="10"/>
  <c r="W71" i="10"/>
  <c r="W69" i="10"/>
  <c r="W79" i="10"/>
  <c r="W76" i="10"/>
  <c r="X146" i="10"/>
  <c r="W78" i="10"/>
  <c r="S32" i="10"/>
  <c r="Q33" i="10"/>
  <c r="S33" i="10" s="1"/>
  <c r="I69" i="10"/>
  <c r="I80" i="10"/>
  <c r="I75" i="10"/>
  <c r="I74" i="10"/>
  <c r="I71" i="10"/>
  <c r="J71" i="10" s="1"/>
  <c r="J68" i="10"/>
  <c r="I70" i="10"/>
  <c r="J70" i="10" s="1"/>
  <c r="I76" i="10"/>
  <c r="I78" i="10"/>
  <c r="I79" i="10"/>
  <c r="I77" i="10"/>
  <c r="AV89" i="10"/>
  <c r="AW89" i="10" s="1"/>
  <c r="AX137" i="10"/>
  <c r="AX188" i="10"/>
  <c r="Q183" i="10"/>
  <c r="S180" i="10"/>
  <c r="S183" i="10" s="1"/>
  <c r="AG51" i="10"/>
  <c r="AG18" i="10"/>
  <c r="AG19" i="10" s="1"/>
  <c r="AG21" i="10" s="1"/>
  <c r="AG23" i="10" s="1"/>
  <c r="AT192" i="10"/>
  <c r="AZ87" i="10"/>
  <c r="AW137" i="10"/>
  <c r="Q176" i="10"/>
  <c r="Q202" i="10"/>
  <c r="Q212" i="10"/>
  <c r="S202" i="10"/>
  <c r="S212" i="10"/>
  <c r="N203" i="10"/>
  <c r="N213" i="10"/>
  <c r="P203" i="10"/>
  <c r="P213" i="10"/>
  <c r="AT181" i="10"/>
  <c r="AW26" i="10"/>
  <c r="AW191" i="10"/>
  <c r="AP88" i="10"/>
  <c r="AY26" i="10"/>
  <c r="AZ26" i="10" s="1"/>
  <c r="AX20" i="10"/>
  <c r="AZ20" i="10" s="1"/>
  <c r="AZ41" i="10"/>
  <c r="AZ56" i="10" s="1"/>
  <c r="AV58" i="10"/>
  <c r="AL48" i="10"/>
  <c r="AL47" i="10"/>
  <c r="AN80" i="10"/>
  <c r="AN79" i="10"/>
  <c r="AN78" i="10"/>
  <c r="AN76" i="10"/>
  <c r="AN77" i="10"/>
  <c r="AU181" i="10"/>
  <c r="AW188" i="10"/>
  <c r="AW193" i="10" s="1"/>
  <c r="AU193" i="10"/>
  <c r="N165" i="10"/>
  <c r="N163" i="10"/>
  <c r="N162" i="10"/>
  <c r="N160" i="10"/>
  <c r="N159" i="10"/>
  <c r="N164" i="10"/>
  <c r="U47" i="10"/>
  <c r="U50" i="10"/>
  <c r="W48" i="10"/>
  <c r="U51" i="10"/>
  <c r="X47" i="10"/>
  <c r="U41" i="10"/>
  <c r="U52" i="10"/>
  <c r="AX218" i="10"/>
  <c r="AY218" i="10" s="1"/>
  <c r="AT193" i="10"/>
  <c r="W35" i="10"/>
  <c r="Y35" i="10" s="1"/>
  <c r="AZ186" i="10"/>
  <c r="AY187" i="10"/>
  <c r="AZ187" i="10" s="1"/>
  <c r="Z90" i="10"/>
  <c r="AB84" i="10"/>
  <c r="Z98" i="10"/>
  <c r="Z97" i="10"/>
  <c r="Z96" i="10"/>
  <c r="Z99" i="10"/>
  <c r="AN221" i="10"/>
  <c r="AQ220" i="10"/>
  <c r="AR64" i="10"/>
  <c r="O158" i="10"/>
  <c r="AQ135" i="10"/>
  <c r="AQ146" i="10" s="1"/>
  <c r="AO146" i="10"/>
  <c r="AO88" i="10"/>
  <c r="O201" i="10"/>
  <c r="O175" i="10"/>
  <c r="N177" i="10"/>
  <c r="O211" i="10"/>
  <c r="Q12" i="10"/>
  <c r="Q8" i="10"/>
  <c r="S6" i="10"/>
  <c r="S12" i="10" s="1"/>
  <c r="Y10" i="10"/>
  <c r="AV193" i="10"/>
  <c r="AV181" i="10"/>
  <c r="AI221" i="10"/>
  <c r="AJ221" i="10" s="1"/>
  <c r="AH40" i="10"/>
  <c r="Y7" i="18"/>
  <c r="X10" i="18"/>
  <c r="BM707" i="1" l="1"/>
  <c r="DG707" i="1" s="1"/>
  <c r="X94" i="10"/>
  <c r="X97" i="10"/>
  <c r="X98" i="10"/>
  <c r="X99" i="10"/>
  <c r="X90" i="10"/>
  <c r="X68" i="10" s="1"/>
  <c r="X78" i="10" s="1"/>
  <c r="X96" i="10"/>
  <c r="AH43" i="21"/>
  <c r="BN498" i="1"/>
  <c r="DF678" i="1"/>
  <c r="BL678" i="1"/>
  <c r="BK677" i="1"/>
  <c r="DF539" i="1"/>
  <c r="BL539" i="1"/>
  <c r="BL706" i="1"/>
  <c r="AC56" i="21"/>
  <c r="AP2" i="21"/>
  <c r="DG498" i="1"/>
  <c r="AA8" i="18"/>
  <c r="Z9" i="18"/>
  <c r="BM59" i="1"/>
  <c r="BN34" i="1"/>
  <c r="BN60" i="1"/>
  <c r="BO35" i="1"/>
  <c r="DG34" i="1"/>
  <c r="DF571" i="1"/>
  <c r="BL571" i="1"/>
  <c r="BK522" i="1"/>
  <c r="DF522" i="1" s="1"/>
  <c r="BL499" i="1"/>
  <c r="DF565" i="1"/>
  <c r="BL565" i="1"/>
  <c r="BG626" i="1"/>
  <c r="DD626" i="1" s="1"/>
  <c r="DD556" i="1"/>
  <c r="DD562" i="1" s="1"/>
  <c r="DF499" i="1"/>
  <c r="BJ661" i="1"/>
  <c r="DE661" i="1"/>
  <c r="BK413" i="1"/>
  <c r="BL413" i="1" s="1"/>
  <c r="BJ517" i="1"/>
  <c r="BJ425" i="1"/>
  <c r="BJ460" i="1" s="1"/>
  <c r="BJ489" i="1" s="1"/>
  <c r="BF123" i="1"/>
  <c r="BG123" i="1" s="1"/>
  <c r="DC123" i="1"/>
  <c r="BF142" i="1"/>
  <c r="BG142" i="1" s="1"/>
  <c r="DC142" i="1"/>
  <c r="DC762" i="1" s="1"/>
  <c r="BK505" i="1"/>
  <c r="BJ520" i="1"/>
  <c r="BJ735" i="1"/>
  <c r="BJ553" i="1"/>
  <c r="BK555" i="1"/>
  <c r="BL555" i="1" s="1"/>
  <c r="BJ588" i="1"/>
  <c r="BK147" i="1"/>
  <c r="BL147" i="1" s="1"/>
  <c r="BJ507" i="1"/>
  <c r="BJ536" i="1"/>
  <c r="U3" i="1"/>
  <c r="V1" i="1"/>
  <c r="U2" i="1"/>
  <c r="BI576" i="1"/>
  <c r="BH556" i="1"/>
  <c r="BG562" i="1"/>
  <c r="BI540" i="1"/>
  <c r="BI735" i="1"/>
  <c r="CU1" i="1"/>
  <c r="CT2" i="1"/>
  <c r="CU725" i="1" s="1"/>
  <c r="CT3" i="1"/>
  <c r="AN46" i="10"/>
  <c r="AN47" i="10" s="1"/>
  <c r="AM47" i="10"/>
  <c r="AY188" i="10"/>
  <c r="AY193" i="10" s="1"/>
  <c r="AW181" i="10"/>
  <c r="AZ192" i="10"/>
  <c r="O160" i="10"/>
  <c r="O159" i="10"/>
  <c r="O165" i="10"/>
  <c r="O164" i="10"/>
  <c r="O163" i="10"/>
  <c r="O162" i="10"/>
  <c r="AS131" i="10"/>
  <c r="AS64" i="10" s="1"/>
  <c r="AB90" i="10"/>
  <c r="AB98" i="10"/>
  <c r="AB96" i="10"/>
  <c r="AB97" i="10"/>
  <c r="AB99" i="10"/>
  <c r="AX58" i="10"/>
  <c r="J80" i="10"/>
  <c r="J79" i="10"/>
  <c r="J74" i="10"/>
  <c r="J75" i="10"/>
  <c r="J76" i="10"/>
  <c r="J78" i="10"/>
  <c r="K146" i="10"/>
  <c r="J77" i="10"/>
  <c r="M146" i="10"/>
  <c r="AH52" i="10"/>
  <c r="BC52" i="10" s="1"/>
  <c r="AH55" i="10"/>
  <c r="AH42" i="10"/>
  <c r="AI38" i="10"/>
  <c r="Q10" i="10"/>
  <c r="Q14" i="10"/>
  <c r="S8" i="10"/>
  <c r="P175" i="10"/>
  <c r="O177" i="10"/>
  <c r="AL221" i="10"/>
  <c r="AM221" i="10" s="1"/>
  <c r="AO97" i="10"/>
  <c r="AQ88" i="10"/>
  <c r="AO91" i="10"/>
  <c r="AO99" i="10" s="1"/>
  <c r="AO90" i="10"/>
  <c r="AA84" i="10"/>
  <c r="Z68" i="10"/>
  <c r="P158" i="10"/>
  <c r="R202" i="10"/>
  <c r="R176" i="10"/>
  <c r="S176" i="10" s="1"/>
  <c r="R212" i="10"/>
  <c r="Y68" i="10"/>
  <c r="X80" i="10"/>
  <c r="X79" i="10"/>
  <c r="X75" i="10"/>
  <c r="X74" i="10"/>
  <c r="X71" i="10"/>
  <c r="Y71" i="10" s="1"/>
  <c r="R180" i="10"/>
  <c r="R183" i="10" s="1"/>
  <c r="T180" i="10" s="1"/>
  <c r="Q158" i="10"/>
  <c r="AY137" i="10"/>
  <c r="AY89" i="10" s="1"/>
  <c r="AX89" i="10"/>
  <c r="M90" i="10"/>
  <c r="N84" i="10" s="1"/>
  <c r="M94" i="10"/>
  <c r="M95" i="10"/>
  <c r="M98" i="10"/>
  <c r="M96" i="10"/>
  <c r="M97" i="10"/>
  <c r="M99" i="10"/>
  <c r="U56" i="10"/>
  <c r="U20" i="10"/>
  <c r="X56" i="10"/>
  <c r="U42" i="10"/>
  <c r="O203" i="10"/>
  <c r="O213" i="10"/>
  <c r="AQ221" i="10"/>
  <c r="AT220" i="10"/>
  <c r="AZ191" i="10"/>
  <c r="AP91" i="10"/>
  <c r="AR132" i="10"/>
  <c r="AR65" i="10" s="1"/>
  <c r="AX193" i="10"/>
  <c r="AX181" i="10"/>
  <c r="K68" i="10"/>
  <c r="L84" i="10"/>
  <c r="Z7" i="18"/>
  <c r="Y10" i="18"/>
  <c r="BN707" i="1" l="1"/>
  <c r="X76" i="10"/>
  <c r="X70" i="10"/>
  <c r="Y70" i="10" s="1"/>
  <c r="X77" i="10"/>
  <c r="X69" i="10"/>
  <c r="BL677" i="1"/>
  <c r="DF677" i="1"/>
  <c r="AP3" i="21"/>
  <c r="BM539" i="1"/>
  <c r="AI43" i="21"/>
  <c r="BO498" i="1"/>
  <c r="DH498" i="1" s="1"/>
  <c r="AQ2" i="21"/>
  <c r="BM706" i="1"/>
  <c r="DG706" i="1" s="1"/>
  <c r="AE56" i="21"/>
  <c r="BM678" i="1"/>
  <c r="AD56" i="21"/>
  <c r="BC43" i="21"/>
  <c r="BK661" i="1"/>
  <c r="AA9" i="18"/>
  <c r="CT33" i="1"/>
  <c r="CT32" i="1"/>
  <c r="CT31" i="1"/>
  <c r="CT45" i="1" s="1"/>
  <c r="CT30" i="1"/>
  <c r="CT44" i="1" s="1"/>
  <c r="CT29" i="1"/>
  <c r="CT43" i="1" s="1"/>
  <c r="CT19" i="1"/>
  <c r="CT18" i="1"/>
  <c r="CT132" i="1"/>
  <c r="CT40" i="1"/>
  <c r="CT39" i="1"/>
  <c r="CT38" i="1"/>
  <c r="CT20" i="1"/>
  <c r="CT17" i="1"/>
  <c r="BO60" i="1"/>
  <c r="BP35" i="1"/>
  <c r="AZ188" i="10"/>
  <c r="AZ193" i="10" s="1"/>
  <c r="AY181" i="10"/>
  <c r="AZ181" i="10" s="1"/>
  <c r="DH35" i="1"/>
  <c r="BN59" i="1"/>
  <c r="BO34" i="1"/>
  <c r="BK536" i="1"/>
  <c r="DF536" i="1" s="1"/>
  <c r="BK520" i="1"/>
  <c r="DF520" i="1" s="1"/>
  <c r="BL505" i="1"/>
  <c r="BL522" i="1"/>
  <c r="BM499" i="1"/>
  <c r="BM147" i="1"/>
  <c r="BN147" i="1" s="1"/>
  <c r="BM565" i="1"/>
  <c r="BN565" i="1" s="1"/>
  <c r="BM571" i="1"/>
  <c r="BN571" i="1" s="1"/>
  <c r="BK507" i="1"/>
  <c r="DF507" i="1" s="1"/>
  <c r="BL588" i="1"/>
  <c r="BM555" i="1"/>
  <c r="BN555" i="1" s="1"/>
  <c r="BL517" i="1"/>
  <c r="BM413" i="1"/>
  <c r="BL425" i="1"/>
  <c r="BL460" i="1" s="1"/>
  <c r="BL489" i="1" s="1"/>
  <c r="BJ576" i="1"/>
  <c r="BK576" i="1" s="1"/>
  <c r="DE576" i="1"/>
  <c r="BK588" i="1"/>
  <c r="DF588" i="1" s="1"/>
  <c r="DF555" i="1"/>
  <c r="BK425" i="1"/>
  <c r="BK460" i="1" s="1"/>
  <c r="BK489" i="1" s="1"/>
  <c r="BK517" i="1"/>
  <c r="DF517" i="1" s="1"/>
  <c r="BJ540" i="1"/>
  <c r="DE540" i="1"/>
  <c r="BH123" i="1"/>
  <c r="BI123" i="1" s="1"/>
  <c r="DD123" i="1"/>
  <c r="DF413" i="1"/>
  <c r="DF425" i="1" s="1"/>
  <c r="DF460" i="1" s="1"/>
  <c r="DF489" i="1" s="1"/>
  <c r="DF505" i="1"/>
  <c r="BH142" i="1"/>
  <c r="BI142" i="1" s="1"/>
  <c r="DD142" i="1"/>
  <c r="DD762" i="1" s="1"/>
  <c r="T5" i="1"/>
  <c r="U5" i="1"/>
  <c r="V3" i="1"/>
  <c r="V2" i="1"/>
  <c r="W1" i="1"/>
  <c r="BK553" i="1"/>
  <c r="BK735" i="1"/>
  <c r="CU2" i="1"/>
  <c r="CV725" i="1" s="1"/>
  <c r="CU3" i="1"/>
  <c r="CV1" i="1"/>
  <c r="BI556" i="1"/>
  <c r="DE556" i="1" s="1"/>
  <c r="DE562" i="1" s="1"/>
  <c r="BH562" i="1"/>
  <c r="BH626" i="1"/>
  <c r="K70" i="10"/>
  <c r="K69" i="10"/>
  <c r="K80" i="10"/>
  <c r="K74" i="10"/>
  <c r="K79" i="10"/>
  <c r="K71" i="10"/>
  <c r="K78" i="10"/>
  <c r="K77" i="10"/>
  <c r="K75" i="10"/>
  <c r="K76" i="10"/>
  <c r="L146" i="10"/>
  <c r="U231" i="10"/>
  <c r="U233" i="10" s="1"/>
  <c r="U30" i="10"/>
  <c r="U31" i="10" s="1"/>
  <c r="U21" i="10"/>
  <c r="V180" i="10"/>
  <c r="V183" i="10" s="1"/>
  <c r="T183" i="10"/>
  <c r="Z80" i="10"/>
  <c r="Z79" i="10"/>
  <c r="Z78" i="10"/>
  <c r="Z77" i="10"/>
  <c r="Z75" i="10"/>
  <c r="Z74" i="10"/>
  <c r="Z71" i="10"/>
  <c r="Z46" i="10" s="1"/>
  <c r="Z70" i="10"/>
  <c r="Z69" i="10"/>
  <c r="Z76" i="10"/>
  <c r="AA146" i="10"/>
  <c r="AW220" i="10"/>
  <c r="AT221" i="10"/>
  <c r="AZ137" i="10"/>
  <c r="T202" i="10"/>
  <c r="T176" i="10"/>
  <c r="V202" i="10"/>
  <c r="T212" i="10"/>
  <c r="V212" i="10"/>
  <c r="AA90" i="10"/>
  <c r="AA68" i="10" s="1"/>
  <c r="AA96" i="10"/>
  <c r="AA98" i="10"/>
  <c r="AA97" i="10"/>
  <c r="AA99" i="10"/>
  <c r="AP84" i="10"/>
  <c r="AO68" i="10"/>
  <c r="Q35" i="10"/>
  <c r="S35" i="10" s="1"/>
  <c r="Q15" i="10"/>
  <c r="AS132" i="10"/>
  <c r="AS65" i="10" s="1"/>
  <c r="AO221" i="10"/>
  <c r="AP221" i="10" s="1"/>
  <c r="U57" i="10"/>
  <c r="X57" i="10"/>
  <c r="P84" i="10"/>
  <c r="N95" i="10"/>
  <c r="N94" i="10"/>
  <c r="N98" i="10"/>
  <c r="N90" i="10"/>
  <c r="N97" i="10"/>
  <c r="N96" i="10"/>
  <c r="N99" i="10"/>
  <c r="Q159" i="10"/>
  <c r="Q165" i="10"/>
  <c r="Q163" i="10"/>
  <c r="Q162" i="10"/>
  <c r="Q160" i="10"/>
  <c r="Q164" i="10"/>
  <c r="Q201" i="10"/>
  <c r="P177" i="10"/>
  <c r="Q175" i="10"/>
  <c r="S201" i="10"/>
  <c r="Q211" i="10"/>
  <c r="S211" i="10"/>
  <c r="AI54" i="10"/>
  <c r="AI50" i="10"/>
  <c r="AI39" i="10"/>
  <c r="AJ38" i="10"/>
  <c r="AK38" i="10" s="1"/>
  <c r="AI17" i="10"/>
  <c r="AY58" i="10"/>
  <c r="AT64" i="10"/>
  <c r="L90" i="10"/>
  <c r="L68" i="10" s="1"/>
  <c r="L94" i="10"/>
  <c r="L98" i="10"/>
  <c r="L96" i="10"/>
  <c r="L95" i="10"/>
  <c r="L97" i="10"/>
  <c r="L99" i="10"/>
  <c r="AR135" i="10"/>
  <c r="AZ89" i="10"/>
  <c r="R158" i="10"/>
  <c r="Y80" i="10"/>
  <c r="Y74" i="10"/>
  <c r="Y75" i="10"/>
  <c r="Y79" i="10"/>
  <c r="Y77" i="10"/>
  <c r="Y78" i="10"/>
  <c r="Y76" i="10"/>
  <c r="Z146" i="10"/>
  <c r="AB146" i="10"/>
  <c r="P159" i="10"/>
  <c r="P165" i="10"/>
  <c r="P163" i="10"/>
  <c r="P162" i="10"/>
  <c r="P164" i="10"/>
  <c r="AQ97" i="10"/>
  <c r="AQ91" i="10"/>
  <c r="AQ99" i="10" s="1"/>
  <c r="AQ90" i="10"/>
  <c r="AR84" i="10" s="1"/>
  <c r="S14" i="10"/>
  <c r="S10" i="10"/>
  <c r="S15" i="10" s="1"/>
  <c r="AH57" i="10"/>
  <c r="AH44" i="10"/>
  <c r="AH59" i="10" s="1"/>
  <c r="AH58" i="10"/>
  <c r="AT131" i="10"/>
  <c r="AT142" i="10" s="1"/>
  <c r="Z10" i="18"/>
  <c r="AA7" i="18"/>
  <c r="BO707" i="1" l="1"/>
  <c r="DH707" i="1"/>
  <c r="BL661" i="1"/>
  <c r="DF661" i="1"/>
  <c r="BK540" i="1"/>
  <c r="BL540" i="1" s="1"/>
  <c r="CW1" i="1"/>
  <c r="CW3" i="1" s="1"/>
  <c r="AR2" i="21"/>
  <c r="BN706" i="1"/>
  <c r="AQ3" i="21"/>
  <c r="DG678" i="1"/>
  <c r="BN678" i="1"/>
  <c r="BD43" i="21"/>
  <c r="AJ43" i="21"/>
  <c r="BP498" i="1"/>
  <c r="BN539" i="1"/>
  <c r="DG539" i="1"/>
  <c r="BM677" i="1"/>
  <c r="AF56" i="21"/>
  <c r="AA10" i="18"/>
  <c r="AB10" i="18" s="1"/>
  <c r="CU18" i="1"/>
  <c r="CU32" i="1"/>
  <c r="CU132" i="1"/>
  <c r="CU19" i="1"/>
  <c r="CU25" i="1" s="1"/>
  <c r="CU31" i="1"/>
  <c r="CU45" i="1" s="1"/>
  <c r="CU29" i="1"/>
  <c r="CU43" i="1" s="1"/>
  <c r="CU40" i="1"/>
  <c r="CU39" i="1"/>
  <c r="CU38" i="1"/>
  <c r="CU20" i="1"/>
  <c r="CU17" i="1"/>
  <c r="CU23" i="1" s="1"/>
  <c r="CU33" i="1"/>
  <c r="CU30" i="1"/>
  <c r="CU44" i="1" s="1"/>
  <c r="BQ35" i="1"/>
  <c r="BQ60" i="1" s="1"/>
  <c r="BP60" i="1"/>
  <c r="BO59" i="1"/>
  <c r="BP34" i="1"/>
  <c r="DH34" i="1"/>
  <c r="BN588" i="1"/>
  <c r="BO555" i="1"/>
  <c r="BP555" i="1" s="1"/>
  <c r="BO147" i="1"/>
  <c r="BP147" i="1" s="1"/>
  <c r="BM522" i="1"/>
  <c r="BM536" i="1" s="1"/>
  <c r="BN499" i="1"/>
  <c r="BO571" i="1"/>
  <c r="DG413" i="1"/>
  <c r="DG425" i="1" s="1"/>
  <c r="DG460" i="1" s="1"/>
  <c r="DG489" i="1" s="1"/>
  <c r="BN413" i="1"/>
  <c r="BO565" i="1"/>
  <c r="DG499" i="1"/>
  <c r="DF576" i="1"/>
  <c r="BL576" i="1"/>
  <c r="BM425" i="1"/>
  <c r="BM460" i="1" s="1"/>
  <c r="BM489" i="1" s="1"/>
  <c r="BM517" i="1"/>
  <c r="DG517" i="1" s="1"/>
  <c r="DG571" i="1"/>
  <c r="DF553" i="1"/>
  <c r="BL553" i="1"/>
  <c r="BL536" i="1"/>
  <c r="BL507" i="1"/>
  <c r="DG565" i="1"/>
  <c r="BL520" i="1"/>
  <c r="BM505" i="1"/>
  <c r="DG555" i="1"/>
  <c r="BM588" i="1"/>
  <c r="DG588" i="1" s="1"/>
  <c r="BM661" i="1"/>
  <c r="BJ123" i="1"/>
  <c r="BK123" i="1" s="1"/>
  <c r="DE123" i="1"/>
  <c r="BJ142" i="1"/>
  <c r="DE142" i="1"/>
  <c r="DE762" i="1" s="1"/>
  <c r="W3" i="1"/>
  <c r="V5" i="1" s="1"/>
  <c r="X1" i="1"/>
  <c r="W2" i="1"/>
  <c r="BI562" i="1"/>
  <c r="BJ556" i="1"/>
  <c r="CT26" i="1"/>
  <c r="BI626" i="1"/>
  <c r="DE626" i="1" s="1"/>
  <c r="CT23" i="1"/>
  <c r="CT60" i="1"/>
  <c r="CT49" i="1" s="1"/>
  <c r="CT59" i="1"/>
  <c r="CT48" i="1" s="1"/>
  <c r="CT24" i="1"/>
  <c r="CV2" i="1"/>
  <c r="CW725" i="1" s="1"/>
  <c r="CV3" i="1"/>
  <c r="CT57" i="1"/>
  <c r="CT47" i="1" s="1"/>
  <c r="CT56" i="1"/>
  <c r="CT46" i="1" s="1"/>
  <c r="CT25" i="1"/>
  <c r="AT65" i="10"/>
  <c r="AK54" i="10"/>
  <c r="AK50" i="10"/>
  <c r="BD50" i="10" s="1"/>
  <c r="Q203" i="10"/>
  <c r="Q213" i="10"/>
  <c r="S203" i="10"/>
  <c r="S213" i="10"/>
  <c r="O84" i="10"/>
  <c r="N68" i="10"/>
  <c r="P90" i="10"/>
  <c r="Q84" i="10" s="1"/>
  <c r="P94" i="10"/>
  <c r="P98" i="10"/>
  <c r="P95" i="10"/>
  <c r="P97" i="10"/>
  <c r="P96" i="10"/>
  <c r="P99" i="10"/>
  <c r="AP90" i="10"/>
  <c r="AP68" i="10" s="1"/>
  <c r="AP96" i="10"/>
  <c r="AP98" i="10"/>
  <c r="AP97" i="10"/>
  <c r="AR221" i="10"/>
  <c r="AS221" i="10" s="1"/>
  <c r="AP99" i="10"/>
  <c r="AT84" i="10"/>
  <c r="AR96" i="10"/>
  <c r="AR98" i="10"/>
  <c r="Z51" i="10"/>
  <c r="Z48" i="10"/>
  <c r="Z47" i="10"/>
  <c r="Z41" i="10"/>
  <c r="Z50" i="10"/>
  <c r="AC47" i="10"/>
  <c r="Z52" i="10"/>
  <c r="AR88" i="10"/>
  <c r="AR90" i="10" s="1"/>
  <c r="M68" i="10"/>
  <c r="L69" i="10"/>
  <c r="L70" i="10"/>
  <c r="M70" i="10" s="1"/>
  <c r="L79" i="10"/>
  <c r="L71" i="10"/>
  <c r="M71" i="10" s="1"/>
  <c r="L78" i="10"/>
  <c r="L75" i="10"/>
  <c r="L80" i="10"/>
  <c r="L77" i="10"/>
  <c r="L74" i="10"/>
  <c r="L76" i="10"/>
  <c r="AI51" i="10"/>
  <c r="AI18" i="10"/>
  <c r="AA70" i="10"/>
  <c r="AB70" i="10" s="1"/>
  <c r="AA69" i="10"/>
  <c r="AB68" i="10"/>
  <c r="AA80" i="10"/>
  <c r="AA74" i="10"/>
  <c r="AA79" i="10"/>
  <c r="AA71" i="10"/>
  <c r="AB71" i="10" s="1"/>
  <c r="AA78" i="10"/>
  <c r="AA77" i="10"/>
  <c r="AA75" i="10"/>
  <c r="AA76" i="10"/>
  <c r="U202" i="10"/>
  <c r="U176" i="10"/>
  <c r="V176" i="10" s="1"/>
  <c r="U212" i="10"/>
  <c r="AW221" i="10"/>
  <c r="AZ220" i="10"/>
  <c r="AZ221" i="10" s="1"/>
  <c r="R160" i="10"/>
  <c r="R159" i="10"/>
  <c r="R162" i="10"/>
  <c r="R165" i="10"/>
  <c r="R163" i="10"/>
  <c r="R164" i="10"/>
  <c r="AT132" i="10"/>
  <c r="AT143" i="10" s="1"/>
  <c r="U180" i="10"/>
  <c r="U183" i="10" s="1"/>
  <c r="W180" i="10" s="1"/>
  <c r="T158" i="10"/>
  <c r="AS135" i="10"/>
  <c r="AU64" i="10"/>
  <c r="AJ54" i="10"/>
  <c r="AJ50" i="10"/>
  <c r="AL50" i="10" s="1"/>
  <c r="AJ39" i="10"/>
  <c r="AK39" i="10" s="1"/>
  <c r="AJ17" i="10"/>
  <c r="R201" i="10"/>
  <c r="Q177" i="10"/>
  <c r="R175" i="10"/>
  <c r="R211" i="10"/>
  <c r="S158" i="10"/>
  <c r="AO80" i="10"/>
  <c r="AO79" i="10"/>
  <c r="AO78" i="10"/>
  <c r="AO71" i="10"/>
  <c r="AO70" i="10"/>
  <c r="AO69" i="10"/>
  <c r="AO76" i="10"/>
  <c r="AO77" i="10"/>
  <c r="AP146" i="10"/>
  <c r="U236" i="10"/>
  <c r="U43" i="10" s="1"/>
  <c r="DF540" i="1" l="1"/>
  <c r="BP707" i="1"/>
  <c r="CW2" i="1"/>
  <c r="BO678" i="1"/>
  <c r="DG677" i="1"/>
  <c r="BN677" i="1"/>
  <c r="AK43" i="21"/>
  <c r="BQ498" i="1"/>
  <c r="CX1" i="1"/>
  <c r="AS2" i="21"/>
  <c r="BO706" i="1"/>
  <c r="AR3" i="21"/>
  <c r="AS3" i="21"/>
  <c r="BM540" i="1"/>
  <c r="BO539" i="1"/>
  <c r="CW40" i="1"/>
  <c r="CW39" i="1"/>
  <c r="CW38" i="1"/>
  <c r="CW20" i="1"/>
  <c r="CW19" i="1"/>
  <c r="CW18" i="1"/>
  <c r="CW17" i="1"/>
  <c r="CW33" i="1"/>
  <c r="CW32" i="1"/>
  <c r="CW31" i="1"/>
  <c r="CW30" i="1"/>
  <c r="CW29" i="1"/>
  <c r="CV19" i="1"/>
  <c r="CV25" i="1" s="1"/>
  <c r="CV32" i="1"/>
  <c r="CV29" i="1"/>
  <c r="CV43" i="1" s="1"/>
  <c r="CV40" i="1"/>
  <c r="CV39" i="1"/>
  <c r="CV38" i="1"/>
  <c r="CV17" i="1"/>
  <c r="CV23" i="1" s="1"/>
  <c r="CV33" i="1"/>
  <c r="CV30" i="1"/>
  <c r="CV44" i="1" s="1"/>
  <c r="CV20" i="1"/>
  <c r="CV26" i="1" s="1"/>
  <c r="CV18" i="1"/>
  <c r="CV24" i="1" s="1"/>
  <c r="CV31" i="1"/>
  <c r="CV45" i="1" s="1"/>
  <c r="DI35" i="1"/>
  <c r="BQ147" i="1"/>
  <c r="DH565" i="1"/>
  <c r="BP565" i="1"/>
  <c r="BP59" i="1"/>
  <c r="BQ34" i="1"/>
  <c r="BQ59" i="1" s="1"/>
  <c r="BP588" i="1"/>
  <c r="BQ555" i="1"/>
  <c r="DI555" i="1" s="1"/>
  <c r="DH571" i="1"/>
  <c r="BP571" i="1"/>
  <c r="BO588" i="1"/>
  <c r="DH588" i="1" s="1"/>
  <c r="DH555" i="1"/>
  <c r="DG522" i="1"/>
  <c r="BM520" i="1"/>
  <c r="DG520" i="1" s="1"/>
  <c r="BN505" i="1"/>
  <c r="DG661" i="1"/>
  <c r="BN661" i="1"/>
  <c r="BN517" i="1"/>
  <c r="BN425" i="1"/>
  <c r="BN460" i="1" s="1"/>
  <c r="BN489" i="1" s="1"/>
  <c r="BO413" i="1"/>
  <c r="BN522" i="1"/>
  <c r="BO499" i="1"/>
  <c r="BM507" i="1"/>
  <c r="DG507" i="1" s="1"/>
  <c r="DF123" i="1"/>
  <c r="BL123" i="1"/>
  <c r="BM123" i="1" s="1"/>
  <c r="DG505" i="1"/>
  <c r="DG536" i="1"/>
  <c r="BM576" i="1"/>
  <c r="BN576" i="1" s="1"/>
  <c r="BM553" i="1"/>
  <c r="BK142" i="1"/>
  <c r="BL142" i="1" s="1"/>
  <c r="BJ762" i="1"/>
  <c r="BK556" i="1"/>
  <c r="BJ626" i="1"/>
  <c r="BJ562" i="1"/>
  <c r="W5" i="1"/>
  <c r="X3" i="1"/>
  <c r="Y1" i="1"/>
  <c r="X2" i="1"/>
  <c r="CU60" i="1"/>
  <c r="CU49" i="1" s="1"/>
  <c r="CU59" i="1"/>
  <c r="CU48" i="1" s="1"/>
  <c r="CU24" i="1"/>
  <c r="CU57" i="1"/>
  <c r="CU47" i="1" s="1"/>
  <c r="CU56" i="1"/>
  <c r="CU46" i="1" s="1"/>
  <c r="CU26" i="1"/>
  <c r="AA46" i="10"/>
  <c r="AD47" i="10" s="1"/>
  <c r="U158" i="10"/>
  <c r="U159" i="10" s="1"/>
  <c r="AK51" i="10"/>
  <c r="BD51" i="10" s="1"/>
  <c r="AK40" i="10"/>
  <c r="S175" i="10"/>
  <c r="R177" i="10"/>
  <c r="U58" i="10"/>
  <c r="U22" i="10"/>
  <c r="U44" i="10"/>
  <c r="R203" i="10"/>
  <c r="R213" i="10"/>
  <c r="AM50" i="10"/>
  <c r="AL38" i="10"/>
  <c r="AS88" i="10"/>
  <c r="AT88" i="10" s="1"/>
  <c r="Y180" i="10"/>
  <c r="Y183" i="10" s="1"/>
  <c r="W183" i="10"/>
  <c r="AU221" i="10"/>
  <c r="AV221" i="10" s="1"/>
  <c r="AB79" i="10"/>
  <c r="AB78" i="10"/>
  <c r="AB75" i="10"/>
  <c r="AB74" i="10"/>
  <c r="AB80" i="10"/>
  <c r="AB77" i="10"/>
  <c r="AB76" i="10"/>
  <c r="AC146" i="10"/>
  <c r="AE146" i="10"/>
  <c r="AT135" i="10"/>
  <c r="Z56" i="10"/>
  <c r="Z20" i="10"/>
  <c r="AC56" i="10"/>
  <c r="Z42" i="10"/>
  <c r="AS84" i="10"/>
  <c r="AR68" i="10"/>
  <c r="AS146" i="10" s="1"/>
  <c r="O90" i="10"/>
  <c r="O68" i="10" s="1"/>
  <c r="O94" i="10"/>
  <c r="O96" i="10"/>
  <c r="O95" i="10"/>
  <c r="O98" i="10"/>
  <c r="O97" i="10"/>
  <c r="O99" i="10"/>
  <c r="AJ18" i="10"/>
  <c r="AJ19" i="10" s="1"/>
  <c r="AJ21" i="10" s="1"/>
  <c r="AJ23" i="10" s="1"/>
  <c r="AJ51" i="10"/>
  <c r="AL51" i="10" s="1"/>
  <c r="AX221" i="10"/>
  <c r="AY221" i="10" s="1"/>
  <c r="AT98" i="10"/>
  <c r="AT96" i="10"/>
  <c r="AP80" i="10"/>
  <c r="AP79" i="10"/>
  <c r="AP78" i="10"/>
  <c r="AP71" i="10"/>
  <c r="AQ71" i="10" s="1"/>
  <c r="AP70" i="10"/>
  <c r="AQ70" i="10" s="1"/>
  <c r="AP69" i="10"/>
  <c r="AQ68" i="10"/>
  <c r="AP76" i="10"/>
  <c r="AP77" i="10"/>
  <c r="N80" i="10"/>
  <c r="N79" i="10"/>
  <c r="N78" i="10"/>
  <c r="N77" i="10"/>
  <c r="N75" i="10"/>
  <c r="N74" i="10"/>
  <c r="N71" i="10"/>
  <c r="N70" i="10"/>
  <c r="N69" i="10"/>
  <c r="N76" i="10"/>
  <c r="O146" i="10"/>
  <c r="U237" i="10"/>
  <c r="AO46" i="10"/>
  <c r="S159" i="10"/>
  <c r="S163" i="10"/>
  <c r="S165" i="10"/>
  <c r="S162" i="10"/>
  <c r="S164" i="10"/>
  <c r="AI19" i="10"/>
  <c r="AI21" i="10" s="1"/>
  <c r="AI23" i="10" s="1"/>
  <c r="M80" i="10"/>
  <c r="M74" i="10"/>
  <c r="M77" i="10"/>
  <c r="M79" i="10"/>
  <c r="M78" i="10"/>
  <c r="M75" i="10"/>
  <c r="M76" i="10"/>
  <c r="N146" i="10"/>
  <c r="P146" i="10"/>
  <c r="AU132" i="10"/>
  <c r="AU65" i="10" s="1"/>
  <c r="AV131" i="10"/>
  <c r="AV64" i="10" s="1"/>
  <c r="T159" i="10"/>
  <c r="T165" i="10"/>
  <c r="T163" i="10"/>
  <c r="T162" i="10"/>
  <c r="T160" i="10"/>
  <c r="T164" i="10"/>
  <c r="AK17" i="10"/>
  <c r="W202" i="10"/>
  <c r="W212" i="10"/>
  <c r="W176" i="10"/>
  <c r="Y202" i="10"/>
  <c r="Y212" i="10"/>
  <c r="AR97" i="10"/>
  <c r="AR91" i="10"/>
  <c r="AR99" i="10" s="1"/>
  <c r="S84" i="10"/>
  <c r="Q90" i="10"/>
  <c r="Q95" i="10"/>
  <c r="Q98" i="10"/>
  <c r="Q97" i="10"/>
  <c r="Q94" i="10"/>
  <c r="Q96" i="10"/>
  <c r="Q99" i="10"/>
  <c r="BQ707" i="1" l="1"/>
  <c r="CY1" i="1"/>
  <c r="AT2" i="21"/>
  <c r="CX2" i="1"/>
  <c r="CX3" i="1"/>
  <c r="BP539" i="1"/>
  <c r="DH539" i="1"/>
  <c r="DI498" i="1"/>
  <c r="AL43" i="21"/>
  <c r="BP706" i="1"/>
  <c r="BN540" i="1"/>
  <c r="BO540" i="1" s="1"/>
  <c r="DG540" i="1"/>
  <c r="BO661" i="1"/>
  <c r="DH706" i="1"/>
  <c r="BO677" i="1"/>
  <c r="BP678" i="1"/>
  <c r="DH678" i="1"/>
  <c r="DI34" i="1"/>
  <c r="BQ588" i="1"/>
  <c r="DI588" i="1" s="1"/>
  <c r="DH413" i="1"/>
  <c r="DH425" i="1" s="1"/>
  <c r="DH460" i="1" s="1"/>
  <c r="DH489" i="1" s="1"/>
  <c r="BP413" i="1"/>
  <c r="BQ571" i="1"/>
  <c r="DI571" i="1" s="1"/>
  <c r="BQ565" i="1"/>
  <c r="DI565" i="1" s="1"/>
  <c r="BO522" i="1"/>
  <c r="BO536" i="1" s="1"/>
  <c r="BP499" i="1"/>
  <c r="DH499" i="1"/>
  <c r="BO576" i="1"/>
  <c r="BN536" i="1"/>
  <c r="BN507" i="1"/>
  <c r="BO505" i="1"/>
  <c r="BN520" i="1"/>
  <c r="DG553" i="1"/>
  <c r="BN553" i="1"/>
  <c r="DG123" i="1"/>
  <c r="BN123" i="1"/>
  <c r="BO123" i="1" s="1"/>
  <c r="BO517" i="1"/>
  <c r="DH517" i="1" s="1"/>
  <c r="BO425" i="1"/>
  <c r="BO460" i="1" s="1"/>
  <c r="BO489" i="1" s="1"/>
  <c r="AB46" i="10"/>
  <c r="AB51" i="10" s="1"/>
  <c r="BB51" i="10" s="1"/>
  <c r="AA50" i="10"/>
  <c r="AA47" i="10"/>
  <c r="AA41" i="10"/>
  <c r="AB41" i="10" s="1"/>
  <c r="AE56" i="10" s="1"/>
  <c r="AA48" i="10"/>
  <c r="AA51" i="10"/>
  <c r="AC48" i="10"/>
  <c r="AA52" i="10"/>
  <c r="CW23" i="1"/>
  <c r="CW26" i="1"/>
  <c r="CW24" i="1"/>
  <c r="CW25" i="1"/>
  <c r="DF556" i="1"/>
  <c r="DF562" i="1" s="1"/>
  <c r="BL556" i="1"/>
  <c r="BM142" i="1"/>
  <c r="BN142" i="1" s="1"/>
  <c r="BL762" i="1"/>
  <c r="DG576" i="1"/>
  <c r="DF142" i="1"/>
  <c r="DF762" i="1" s="1"/>
  <c r="BK762" i="1"/>
  <c r="Y3" i="1"/>
  <c r="X5" i="1" s="1"/>
  <c r="Y2" i="1"/>
  <c r="Z1" i="1"/>
  <c r="BK626" i="1"/>
  <c r="DF626" i="1" s="1"/>
  <c r="BK562" i="1"/>
  <c r="CV57" i="1"/>
  <c r="CV47" i="1" s="1"/>
  <c r="CV56" i="1"/>
  <c r="CV46" i="1" s="1"/>
  <c r="CV60" i="1"/>
  <c r="CV49" i="1" s="1"/>
  <c r="CV59" i="1"/>
  <c r="CV48" i="1" s="1"/>
  <c r="AK18" i="10"/>
  <c r="AK19" i="10" s="1"/>
  <c r="AK21" i="10" s="1"/>
  <c r="AK23" i="10" s="1"/>
  <c r="U162" i="10"/>
  <c r="AP46" i="10"/>
  <c r="AQ46" i="10" s="1"/>
  <c r="AQ47" i="10" s="1"/>
  <c r="V158" i="10"/>
  <c r="V165" i="10" s="1"/>
  <c r="U163" i="10"/>
  <c r="U164" i="10"/>
  <c r="U165" i="10"/>
  <c r="U160" i="10"/>
  <c r="AT146" i="10"/>
  <c r="AW64" i="10"/>
  <c r="AO47" i="10"/>
  <c r="AO48" i="10"/>
  <c r="Z57" i="10"/>
  <c r="AC57" i="10"/>
  <c r="S90" i="10"/>
  <c r="T84" i="10" s="1"/>
  <c r="S95" i="10"/>
  <c r="S98" i="10"/>
  <c r="S97" i="10"/>
  <c r="S94" i="10"/>
  <c r="S96" i="10"/>
  <c r="S99" i="10"/>
  <c r="AV132" i="10"/>
  <c r="AV65" i="10" s="1"/>
  <c r="AM51" i="10"/>
  <c r="AL39" i="10"/>
  <c r="AL40" i="10" s="1"/>
  <c r="O70" i="10"/>
  <c r="P70" i="10" s="1"/>
  <c r="O69" i="10"/>
  <c r="P68" i="10"/>
  <c r="O80" i="10"/>
  <c r="O79" i="10"/>
  <c r="O78" i="10"/>
  <c r="O77" i="10"/>
  <c r="O75" i="10"/>
  <c r="O74" i="10"/>
  <c r="O71" i="10"/>
  <c r="P71" i="10" s="1"/>
  <c r="O76" i="10"/>
  <c r="X180" i="10"/>
  <c r="X183" i="10" s="1"/>
  <c r="Z180" i="10" s="1"/>
  <c r="W158" i="10"/>
  <c r="AL54" i="10"/>
  <c r="U59" i="10"/>
  <c r="U6" i="10"/>
  <c r="X59" i="10"/>
  <c r="AQ79" i="10"/>
  <c r="AQ78" i="10"/>
  <c r="AQ80" i="10"/>
  <c r="AQ76" i="10"/>
  <c r="AQ77" i="10"/>
  <c r="AR146" i="10"/>
  <c r="AR69" i="10"/>
  <c r="AR70" i="10"/>
  <c r="AR78" i="10"/>
  <c r="AR80" i="10"/>
  <c r="AR71" i="10"/>
  <c r="AR46" i="10" s="1"/>
  <c r="AR79" i="10"/>
  <c r="AR76" i="10"/>
  <c r="AR77" i="10"/>
  <c r="AO50" i="10"/>
  <c r="AP50" i="10" s="1"/>
  <c r="AR50" i="10" s="1"/>
  <c r="AS50" i="10" s="1"/>
  <c r="AU50" i="10" s="1"/>
  <c r="AV50" i="10" s="1"/>
  <c r="AX50" i="10" s="1"/>
  <c r="AY50" i="10" s="1"/>
  <c r="AM38" i="10"/>
  <c r="AN38" i="10" s="1"/>
  <c r="U32" i="10"/>
  <c r="U33" i="10" s="1"/>
  <c r="U23" i="10"/>
  <c r="AK52" i="10"/>
  <c r="BD52" i="10" s="1"/>
  <c r="AK55" i="10"/>
  <c r="AK42" i="10"/>
  <c r="Q68" i="10"/>
  <c r="R84" i="10"/>
  <c r="AT97" i="10"/>
  <c r="AT91" i="10"/>
  <c r="AT99" i="10" s="1"/>
  <c r="T201" i="10"/>
  <c r="T175" i="10"/>
  <c r="S177" i="10"/>
  <c r="V201" i="10"/>
  <c r="T211" i="10"/>
  <c r="V211" i="10"/>
  <c r="X202" i="10"/>
  <c r="X176" i="10"/>
  <c r="Y176" i="10" s="1"/>
  <c r="X212" i="10"/>
  <c r="AW131" i="10"/>
  <c r="AW142" i="10" s="1"/>
  <c r="AU135" i="10"/>
  <c r="AT90" i="10"/>
  <c r="AU84" i="10" s="1"/>
  <c r="AS90" i="10"/>
  <c r="AS68" i="10" s="1"/>
  <c r="AS96" i="10"/>
  <c r="AS98" i="10"/>
  <c r="Z231" i="10"/>
  <c r="Z30" i="10"/>
  <c r="Z21" i="10"/>
  <c r="AS97" i="10"/>
  <c r="AS91" i="10"/>
  <c r="AS99" i="10" s="1"/>
  <c r="DH522" i="1" l="1"/>
  <c r="DI707" i="1"/>
  <c r="BQ678" i="1"/>
  <c r="AT3" i="21"/>
  <c r="CX20" i="1"/>
  <c r="CX32" i="1"/>
  <c r="CX19" i="1"/>
  <c r="CX31" i="1"/>
  <c r="CX17" i="1"/>
  <c r="CX29" i="1"/>
  <c r="CX40" i="1"/>
  <c r="CX39" i="1"/>
  <c r="CX33" i="1"/>
  <c r="CX38" i="1"/>
  <c r="CX18" i="1"/>
  <c r="CX30" i="1"/>
  <c r="BP661" i="1"/>
  <c r="DH661" i="1"/>
  <c r="BE43" i="21"/>
  <c r="BP677" i="1"/>
  <c r="DH677" i="1"/>
  <c r="BQ706" i="1"/>
  <c r="BQ539" i="1"/>
  <c r="CZ1" i="1"/>
  <c r="AU2" i="21"/>
  <c r="CY3" i="1"/>
  <c r="CY2" i="1"/>
  <c r="AA42" i="10"/>
  <c r="AA57" i="10" s="1"/>
  <c r="AD56" i="10"/>
  <c r="AB56" i="10"/>
  <c r="AA20" i="10"/>
  <c r="AB20" i="10" s="1"/>
  <c r="AB21" i="10" s="1"/>
  <c r="AA56" i="10"/>
  <c r="BO520" i="1"/>
  <c r="DH520" i="1" s="1"/>
  <c r="BP505" i="1"/>
  <c r="DH576" i="1"/>
  <c r="BP576" i="1"/>
  <c r="DH123" i="1"/>
  <c r="BP123" i="1"/>
  <c r="BQ123" i="1" s="1"/>
  <c r="DI123" i="1" s="1"/>
  <c r="BP522" i="1"/>
  <c r="BQ499" i="1"/>
  <c r="DI499" i="1" s="1"/>
  <c r="BP517" i="1"/>
  <c r="BQ413" i="1"/>
  <c r="DI413" i="1" s="1"/>
  <c r="DI425" i="1" s="1"/>
  <c r="DI460" i="1" s="1"/>
  <c r="DI489" i="1" s="1"/>
  <c r="BP425" i="1"/>
  <c r="BP460" i="1" s="1"/>
  <c r="BP489" i="1" s="1"/>
  <c r="DH540" i="1"/>
  <c r="BP540" i="1"/>
  <c r="AB50" i="10"/>
  <c r="BB50" i="10" s="1"/>
  <c r="AB47" i="10"/>
  <c r="AB52" i="10"/>
  <c r="BB52" i="10" s="1"/>
  <c r="AE47" i="10"/>
  <c r="DH536" i="1"/>
  <c r="DH505" i="1"/>
  <c r="BO507" i="1"/>
  <c r="DH507" i="1" s="1"/>
  <c r="BO142" i="1"/>
  <c r="BN762" i="1"/>
  <c r="BO553" i="1"/>
  <c r="AB42" i="10"/>
  <c r="AE57" i="10" s="1"/>
  <c r="AP47" i="10"/>
  <c r="AP48" i="10"/>
  <c r="V164" i="10"/>
  <c r="V159" i="10"/>
  <c r="BM556" i="1"/>
  <c r="BN556" i="1" s="1"/>
  <c r="BL626" i="1"/>
  <c r="BL562" i="1"/>
  <c r="DG142" i="1"/>
  <c r="BM762" i="1"/>
  <c r="Z3" i="1"/>
  <c r="AA1" i="1"/>
  <c r="Z2" i="1"/>
  <c r="Y5" i="1"/>
  <c r="V162" i="10"/>
  <c r="V163" i="10"/>
  <c r="AV135" i="10"/>
  <c r="AV88" i="10" s="1"/>
  <c r="AP38" i="10"/>
  <c r="AP54" i="10" s="1"/>
  <c r="AO38" i="10"/>
  <c r="AO54" i="10" s="1"/>
  <c r="AW65" i="10"/>
  <c r="AR48" i="10"/>
  <c r="AR38" i="10"/>
  <c r="AR47" i="10"/>
  <c r="AL52" i="10"/>
  <c r="AL55" i="10"/>
  <c r="AL42" i="10"/>
  <c r="Q80" i="10"/>
  <c r="Q79" i="10"/>
  <c r="Q78" i="10"/>
  <c r="Q77" i="10"/>
  <c r="Q75" i="10"/>
  <c r="Q74" i="10"/>
  <c r="Q71" i="10"/>
  <c r="Q70" i="10"/>
  <c r="Q69" i="10"/>
  <c r="Q76" i="10"/>
  <c r="R146" i="10"/>
  <c r="AN54" i="10"/>
  <c r="AN50" i="10"/>
  <c r="BE50" i="10" s="1"/>
  <c r="P80" i="10"/>
  <c r="P75" i="10"/>
  <c r="P74" i="10"/>
  <c r="P78" i="10"/>
  <c r="P79" i="10"/>
  <c r="P77" i="10"/>
  <c r="P76" i="10"/>
  <c r="Q146" i="10"/>
  <c r="S146" i="10"/>
  <c r="AO51" i="10"/>
  <c r="AM39" i="10"/>
  <c r="V84" i="10"/>
  <c r="T94" i="10"/>
  <c r="T98" i="10"/>
  <c r="T96" i="10"/>
  <c r="T97" i="10"/>
  <c r="T95" i="10"/>
  <c r="T99" i="10"/>
  <c r="AW132" i="10"/>
  <c r="AW143" i="10" s="1"/>
  <c r="T203" i="10"/>
  <c r="T213" i="10"/>
  <c r="V203" i="10"/>
  <c r="V213" i="10"/>
  <c r="AM54" i="10"/>
  <c r="W160" i="10"/>
  <c r="W159" i="10"/>
  <c r="W163" i="10"/>
  <c r="W164" i="10"/>
  <c r="W165" i="10"/>
  <c r="W162" i="10"/>
  <c r="AS69" i="10"/>
  <c r="AS80" i="10"/>
  <c r="AS79" i="10"/>
  <c r="AS78" i="10"/>
  <c r="AS71" i="10"/>
  <c r="AT71" i="10" s="1"/>
  <c r="AS70" i="10"/>
  <c r="AT70" i="10" s="1"/>
  <c r="AT68" i="10"/>
  <c r="AU146" i="10" s="1"/>
  <c r="AS76" i="10"/>
  <c r="AS77" i="10"/>
  <c r="U12" i="10"/>
  <c r="U8" i="10"/>
  <c r="X12" i="10"/>
  <c r="Z183" i="10"/>
  <c r="AB180" i="10"/>
  <c r="AB183" i="10" s="1"/>
  <c r="Z244" i="10"/>
  <c r="Z233" i="10"/>
  <c r="AW84" i="10"/>
  <c r="AU96" i="10"/>
  <c r="AU98" i="10"/>
  <c r="AK57" i="10"/>
  <c r="AK44" i="10"/>
  <c r="AK59" i="10" s="1"/>
  <c r="AK58" i="10"/>
  <c r="AU88" i="10"/>
  <c r="AU90" i="10" s="1"/>
  <c r="Z202" i="10"/>
  <c r="Z176" i="10"/>
  <c r="Z212" i="10"/>
  <c r="AB202" i="10"/>
  <c r="AB212" i="10"/>
  <c r="U201" i="10"/>
  <c r="T177" i="10"/>
  <c r="U175" i="10"/>
  <c r="U211" i="10"/>
  <c r="R94" i="10"/>
  <c r="R90" i="10"/>
  <c r="R68" i="10" s="1"/>
  <c r="R98" i="10"/>
  <c r="R95" i="10"/>
  <c r="R96" i="10"/>
  <c r="R97" i="10"/>
  <c r="R99" i="10"/>
  <c r="X158" i="10"/>
  <c r="Y158" i="10" s="1"/>
  <c r="AX64" i="10"/>
  <c r="AA30" i="10" l="1"/>
  <c r="CX26" i="1"/>
  <c r="AD57" i="10"/>
  <c r="CX24" i="1"/>
  <c r="DI706" i="1"/>
  <c r="CX25" i="1"/>
  <c r="DI678" i="1"/>
  <c r="BQ661" i="1"/>
  <c r="BQ522" i="1"/>
  <c r="DI522" i="1" s="1"/>
  <c r="AV2" i="21"/>
  <c r="DI539" i="1"/>
  <c r="BQ677" i="1"/>
  <c r="AU3" i="21"/>
  <c r="CY20" i="1"/>
  <c r="CY26" i="1" s="1"/>
  <c r="CY32" i="1"/>
  <c r="CY38" i="1"/>
  <c r="CY39" i="1"/>
  <c r="CY33" i="1"/>
  <c r="CY40" i="1"/>
  <c r="CY19" i="1"/>
  <c r="CY25" i="1" s="1"/>
  <c r="CY31" i="1"/>
  <c r="CY18" i="1"/>
  <c r="CY24" i="1" s="1"/>
  <c r="CY30" i="1"/>
  <c r="CY17" i="1"/>
  <c r="CY23" i="1" s="1"/>
  <c r="CY29" i="1"/>
  <c r="CX23" i="1"/>
  <c r="AB57" i="10"/>
  <c r="AA21" i="10"/>
  <c r="AA231" i="10"/>
  <c r="AB231" i="10" s="1"/>
  <c r="AB244" i="10" s="1"/>
  <c r="BQ517" i="1"/>
  <c r="DI517" i="1" s="1"/>
  <c r="BQ425" i="1"/>
  <c r="BQ460" i="1" s="1"/>
  <c r="BQ489" i="1" s="1"/>
  <c r="BQ576" i="1"/>
  <c r="DI576" i="1" s="1"/>
  <c r="DH142" i="1"/>
  <c r="DH762" i="1" s="1"/>
  <c r="BP142" i="1"/>
  <c r="BQ540" i="1"/>
  <c r="DH553" i="1"/>
  <c r="BP553" i="1"/>
  <c r="BQ536" i="1"/>
  <c r="BP520" i="1"/>
  <c r="BQ505" i="1"/>
  <c r="BQ520" i="1" s="1"/>
  <c r="BP536" i="1"/>
  <c r="BP507" i="1"/>
  <c r="BO556" i="1"/>
  <c r="BP556" i="1" s="1"/>
  <c r="BN626" i="1"/>
  <c r="BN562" i="1"/>
  <c r="BO762" i="1"/>
  <c r="DG762" i="1"/>
  <c r="BM562" i="1"/>
  <c r="DG556" i="1"/>
  <c r="DG562" i="1" s="1"/>
  <c r="BM626" i="1"/>
  <c r="DG626" i="1" s="1"/>
  <c r="AA3" i="1"/>
  <c r="Z5" i="1" s="1"/>
  <c r="AA2" i="1"/>
  <c r="AB1" i="1"/>
  <c r="CZ2" i="1"/>
  <c r="DA1" i="1"/>
  <c r="CZ3" i="1"/>
  <c r="AW135" i="10"/>
  <c r="AW146" i="10" s="1"/>
  <c r="AQ38" i="10"/>
  <c r="AQ54" i="10" s="1"/>
  <c r="R80" i="10"/>
  <c r="R79" i="10"/>
  <c r="R78" i="10"/>
  <c r="R77" i="10"/>
  <c r="R75" i="10"/>
  <c r="R74" i="10"/>
  <c r="R71" i="10"/>
  <c r="S71" i="10" s="1"/>
  <c r="T46" i="10" s="1"/>
  <c r="R70" i="10"/>
  <c r="S70" i="10" s="1"/>
  <c r="S68" i="10"/>
  <c r="R69" i="10"/>
  <c r="R76" i="10"/>
  <c r="U203" i="10"/>
  <c r="U213" i="10"/>
  <c r="AU68" i="10"/>
  <c r="AV84" i="10"/>
  <c r="U10" i="10"/>
  <c r="U14" i="10"/>
  <c r="X14" i="10"/>
  <c r="Y159" i="10"/>
  <c r="Y164" i="10"/>
  <c r="Y163" i="10"/>
  <c r="Y162" i="10"/>
  <c r="Y165" i="10"/>
  <c r="AR54" i="10"/>
  <c r="AY131" i="10"/>
  <c r="AY64" i="10" s="1"/>
  <c r="AA212" i="10"/>
  <c r="AA176" i="10"/>
  <c r="AB176" i="10" s="1"/>
  <c r="AA202" i="10"/>
  <c r="AB30" i="10"/>
  <c r="Z236" i="10"/>
  <c r="Z237" i="10" s="1"/>
  <c r="V98" i="10"/>
  <c r="V97" i="10"/>
  <c r="V95" i="10"/>
  <c r="V94" i="10"/>
  <c r="V96" i="10"/>
  <c r="V99" i="10"/>
  <c r="X160" i="10"/>
  <c r="X159" i="10"/>
  <c r="X165" i="10"/>
  <c r="X163" i="10"/>
  <c r="X162" i="10"/>
  <c r="X164" i="10"/>
  <c r="AA180" i="10"/>
  <c r="AA183" i="10" s="1"/>
  <c r="AC180" i="10" s="1"/>
  <c r="Z158" i="10"/>
  <c r="AS46" i="10"/>
  <c r="AL57" i="10"/>
  <c r="AL43" i="10"/>
  <c r="AX132" i="10"/>
  <c r="U177" i="10"/>
  <c r="V175" i="10"/>
  <c r="AU97" i="10"/>
  <c r="AW88" i="10"/>
  <c r="AW90" i="10" s="1"/>
  <c r="AX84" i="10" s="1"/>
  <c r="AU91" i="10"/>
  <c r="AU99" i="10" s="1"/>
  <c r="AW96" i="10"/>
  <c r="AW98" i="10"/>
  <c r="AN39" i="10"/>
  <c r="AV91" i="10"/>
  <c r="AT80" i="10"/>
  <c r="AT79" i="10"/>
  <c r="AT78" i="10"/>
  <c r="AT76" i="10"/>
  <c r="AT77" i="10"/>
  <c r="AM40" i="10"/>
  <c r="AP51" i="10"/>
  <c r="AO39" i="10"/>
  <c r="AA233" i="10" l="1"/>
  <c r="AB233" i="10" s="1"/>
  <c r="AA244" i="10"/>
  <c r="AV3" i="21"/>
  <c r="DI677" i="1"/>
  <c r="AW2" i="21"/>
  <c r="DI540" i="1"/>
  <c r="DI661" i="1"/>
  <c r="AQ50" i="10"/>
  <c r="BF50" i="10" s="1"/>
  <c r="DI536" i="1"/>
  <c r="DI520" i="1"/>
  <c r="DI505" i="1"/>
  <c r="BQ556" i="1"/>
  <c r="DI556" i="1" s="1"/>
  <c r="BQ553" i="1"/>
  <c r="DI553" i="1" s="1"/>
  <c r="BP562" i="1"/>
  <c r="BP626" i="1"/>
  <c r="BQ142" i="1"/>
  <c r="DI142" i="1" s="1"/>
  <c r="BP762" i="1"/>
  <c r="BQ507" i="1"/>
  <c r="DI507" i="1" s="1"/>
  <c r="BO626" i="1"/>
  <c r="DH626" i="1" s="1"/>
  <c r="DH556" i="1"/>
  <c r="DH562" i="1" s="1"/>
  <c r="BO562" i="1"/>
  <c r="AA5" i="1"/>
  <c r="AB3" i="1"/>
  <c r="AB2" i="1"/>
  <c r="AC1" i="1"/>
  <c r="DA3" i="1"/>
  <c r="DB1" i="1"/>
  <c r="DA2" i="1"/>
  <c r="AP158" i="1"/>
  <c r="AA158" i="10"/>
  <c r="AA159" i="10" s="1"/>
  <c r="AN51" i="10"/>
  <c r="BE51" i="10" s="1"/>
  <c r="AN40" i="10"/>
  <c r="AV90" i="10"/>
  <c r="AV68" i="10" s="1"/>
  <c r="AV96" i="10"/>
  <c r="AV98" i="10"/>
  <c r="W201" i="10"/>
  <c r="W175" i="10"/>
  <c r="V177" i="10"/>
  <c r="W211" i="10"/>
  <c r="Y201" i="10"/>
  <c r="Y211" i="10"/>
  <c r="AX135" i="10"/>
  <c r="AC183" i="10"/>
  <c r="AE180" i="10"/>
  <c r="AZ64" i="10"/>
  <c r="AU70" i="10"/>
  <c r="AU80" i="10"/>
  <c r="AU79" i="10"/>
  <c r="AU78" i="10"/>
  <c r="AU71" i="10"/>
  <c r="AU69" i="10"/>
  <c r="AU76" i="10"/>
  <c r="AU77" i="10"/>
  <c r="AV146" i="10"/>
  <c r="T50" i="10"/>
  <c r="W47" i="10"/>
  <c r="T48" i="10"/>
  <c r="T51" i="10"/>
  <c r="T41" i="10"/>
  <c r="T47" i="10"/>
  <c r="T52" i="10"/>
  <c r="U48" i="10"/>
  <c r="AM55" i="10"/>
  <c r="AM42" i="10"/>
  <c r="AM52" i="10"/>
  <c r="AA236" i="10"/>
  <c r="AA43" i="10" s="1"/>
  <c r="AV99" i="10"/>
  <c r="AS48" i="10"/>
  <c r="AS38" i="10"/>
  <c r="AS47" i="10"/>
  <c r="AT46" i="10"/>
  <c r="AT47" i="10" s="1"/>
  <c r="AZ131" i="10"/>
  <c r="AZ142" i="10" s="1"/>
  <c r="AR51" i="10"/>
  <c r="AP39" i="10"/>
  <c r="AQ39" i="10" s="1"/>
  <c r="AO40" i="10"/>
  <c r="AV97" i="10"/>
  <c r="AZ84" i="10"/>
  <c r="AX96" i="10"/>
  <c r="AX98" i="10"/>
  <c r="AW97" i="10"/>
  <c r="AW91" i="10"/>
  <c r="AW99" i="10" s="1"/>
  <c r="AX65" i="10"/>
  <c r="AL44" i="10"/>
  <c r="Z165" i="10"/>
  <c r="Z163" i="10"/>
  <c r="Z162" i="10"/>
  <c r="Z160" i="10"/>
  <c r="Z159" i="10"/>
  <c r="Z164" i="10"/>
  <c r="Z43" i="10"/>
  <c r="AC176" i="10"/>
  <c r="AC212" i="10"/>
  <c r="AC202" i="10"/>
  <c r="U35" i="10"/>
  <c r="U15" i="10"/>
  <c r="X15" i="10"/>
  <c r="S75" i="10"/>
  <c r="S77" i="10"/>
  <c r="S74" i="10"/>
  <c r="S80" i="10"/>
  <c r="S79" i="10"/>
  <c r="S76" i="10"/>
  <c r="S78" i="10"/>
  <c r="T146" i="10"/>
  <c r="V146" i="10"/>
  <c r="AX2" i="21" l="1"/>
  <c r="AW3" i="21"/>
  <c r="DI562" i="1"/>
  <c r="DI762" i="1"/>
  <c r="BQ626" i="1"/>
  <c r="DI626" i="1" s="1"/>
  <c r="BQ562" i="1"/>
  <c r="BQ762" i="1"/>
  <c r="AB158" i="10"/>
  <c r="AB163" i="10" s="1"/>
  <c r="AA160" i="10"/>
  <c r="AA164" i="10"/>
  <c r="AA162" i="10"/>
  <c r="AA165" i="10"/>
  <c r="AA163" i="10"/>
  <c r="AP53" i="1"/>
  <c r="AQ216" i="1"/>
  <c r="AP216" i="1"/>
  <c r="AQ53" i="1"/>
  <c r="AC3" i="1"/>
  <c r="AC2" i="1"/>
  <c r="AD1" i="1"/>
  <c r="DC1" i="1"/>
  <c r="DB2" i="1"/>
  <c r="DB3" i="1"/>
  <c r="AA237" i="10"/>
  <c r="AB237" i="10" s="1"/>
  <c r="AB236" i="10"/>
  <c r="AB246" i="10" s="1"/>
  <c r="V41" i="10"/>
  <c r="T56" i="10"/>
  <c r="T20" i="10"/>
  <c r="T42" i="10"/>
  <c r="W56" i="10"/>
  <c r="X175" i="10"/>
  <c r="W177" i="10"/>
  <c r="X201" i="10"/>
  <c r="X211" i="10"/>
  <c r="AW68" i="10"/>
  <c r="AX146" i="10" s="1"/>
  <c r="AV80" i="10"/>
  <c r="AV79" i="10"/>
  <c r="AV78" i="10"/>
  <c r="AV71" i="10"/>
  <c r="AW71" i="10" s="1"/>
  <c r="AV69" i="10"/>
  <c r="AV70" i="10"/>
  <c r="AW70" i="10" s="1"/>
  <c r="AV76" i="10"/>
  <c r="AV77" i="10"/>
  <c r="Z58" i="10"/>
  <c r="Z22" i="10"/>
  <c r="AB43" i="10"/>
  <c r="Z44" i="10"/>
  <c r="AQ51" i="10"/>
  <c r="BF51" i="10" s="1"/>
  <c r="AQ40" i="10"/>
  <c r="AA22" i="10"/>
  <c r="AA23" i="10" s="1"/>
  <c r="AA58" i="10"/>
  <c r="AA44" i="10"/>
  <c r="AU46" i="10"/>
  <c r="AD180" i="10"/>
  <c r="AC158" i="10"/>
  <c r="AB159" i="10"/>
  <c r="AL6" i="10"/>
  <c r="AL59" i="10"/>
  <c r="AD197" i="10"/>
  <c r="AD176" i="10" s="1"/>
  <c r="AE176" i="10" s="1"/>
  <c r="AZ96" i="10"/>
  <c r="AZ98" i="10"/>
  <c r="AS51" i="10"/>
  <c r="AR39" i="10"/>
  <c r="AY132" i="10"/>
  <c r="AY65" i="10" s="1"/>
  <c r="AO52" i="10"/>
  <c r="AO42" i="10"/>
  <c r="AO55" i="10"/>
  <c r="AP40" i="10"/>
  <c r="AS54" i="10"/>
  <c r="AT38" i="10"/>
  <c r="AM57" i="10"/>
  <c r="AM43" i="10"/>
  <c r="AX88" i="10"/>
  <c r="W213" i="10"/>
  <c r="W203" i="10"/>
  <c r="Y203" i="10"/>
  <c r="Y213" i="10"/>
  <c r="AN55" i="10"/>
  <c r="AN52" i="10"/>
  <c r="BE52" i="10" s="1"/>
  <c r="AN42" i="10"/>
  <c r="AX3" i="21" l="1"/>
  <c r="AY2" i="21"/>
  <c r="AB164" i="10"/>
  <c r="AB162" i="10"/>
  <c r="AB165" i="10"/>
  <c r="AB5" i="1"/>
  <c r="AC5" i="1"/>
  <c r="AD3" i="1"/>
  <c r="AE1" i="1"/>
  <c r="AD2" i="1"/>
  <c r="DC2" i="1"/>
  <c r="DC3" i="1"/>
  <c r="DD1" i="1"/>
  <c r="AV46" i="10"/>
  <c r="AV47" i="10" s="1"/>
  <c r="T57" i="10"/>
  <c r="W57" i="10"/>
  <c r="AX97" i="10"/>
  <c r="AX91" i="10"/>
  <c r="AX99" i="10" s="1"/>
  <c r="AX90" i="10"/>
  <c r="AN43" i="10"/>
  <c r="AN58" i="10" s="1"/>
  <c r="AZ65" i="10"/>
  <c r="AU51" i="10"/>
  <c r="AV51" i="10" s="1"/>
  <c r="AX51" i="10" s="1"/>
  <c r="AY51" i="10" s="1"/>
  <c r="AS39" i="10"/>
  <c r="AT39" i="10" s="1"/>
  <c r="AT51" i="10" s="1"/>
  <c r="AF197" i="10"/>
  <c r="AF176" i="10" s="1"/>
  <c r="AU47" i="10"/>
  <c r="AU48" i="10"/>
  <c r="AU38" i="10"/>
  <c r="AB58" i="10"/>
  <c r="AB44" i="10"/>
  <c r="AW80" i="10"/>
  <c r="AW79" i="10"/>
  <c r="AW78" i="10"/>
  <c r="AW76" i="10"/>
  <c r="AW77" i="10"/>
  <c r="X177" i="10"/>
  <c r="Y175" i="10"/>
  <c r="T231" i="10"/>
  <c r="V20" i="10"/>
  <c r="V21" i="10" s="1"/>
  <c r="T30" i="10"/>
  <c r="T21" i="10"/>
  <c r="AT50" i="10"/>
  <c r="AT54" i="10"/>
  <c r="AP52" i="10"/>
  <c r="AP55" i="10"/>
  <c r="AP42" i="10"/>
  <c r="AR40" i="10"/>
  <c r="AL12" i="10"/>
  <c r="AC59" i="10"/>
  <c r="Z6" i="10"/>
  <c r="Z59" i="10"/>
  <c r="X203" i="10"/>
  <c r="X213" i="10"/>
  <c r="AN57" i="10"/>
  <c r="AM44" i="10"/>
  <c r="AD207" i="10"/>
  <c r="AD212" i="10" s="1"/>
  <c r="AE197" i="10"/>
  <c r="AC159" i="10"/>
  <c r="AC160" i="10"/>
  <c r="AC153" i="10"/>
  <c r="AQ55" i="10"/>
  <c r="AQ52" i="10"/>
  <c r="BF52" i="10" s="1"/>
  <c r="AQ42" i="10"/>
  <c r="AB22" i="10"/>
  <c r="AB23" i="10" s="1"/>
  <c r="Z23" i="10"/>
  <c r="AO57" i="10"/>
  <c r="AO43" i="10"/>
  <c r="AZ132" i="10"/>
  <c r="AZ143" i="10" s="1"/>
  <c r="AY135" i="10"/>
  <c r="AA59" i="10"/>
  <c r="AA6" i="10"/>
  <c r="AD59" i="10"/>
  <c r="V56" i="10"/>
  <c r="V42" i="10"/>
  <c r="Y56" i="10"/>
  <c r="AZ2" i="21" l="1"/>
  <c r="AY3" i="21"/>
  <c r="AE3" i="1"/>
  <c r="AD5" i="1" s="1"/>
  <c r="AF1" i="1"/>
  <c r="AE2" i="1"/>
  <c r="DD2" i="1"/>
  <c r="DE1" i="1"/>
  <c r="DD3" i="1"/>
  <c r="AV38" i="10"/>
  <c r="AW38" i="10" s="1"/>
  <c r="AV48" i="10"/>
  <c r="AW46" i="10"/>
  <c r="AW47" i="10" s="1"/>
  <c r="AV39" i="10"/>
  <c r="AN44" i="10"/>
  <c r="AN59" i="10" s="1"/>
  <c r="AT40" i="10"/>
  <c r="AT42" i="10" s="1"/>
  <c r="AM59" i="10"/>
  <c r="AM6" i="10"/>
  <c r="AR52" i="10"/>
  <c r="AR42" i="10"/>
  <c r="AR55" i="10"/>
  <c r="V231" i="10"/>
  <c r="V244" i="10" s="1"/>
  <c r="T244" i="10"/>
  <c r="U244" i="10" s="1"/>
  <c r="T233" i="10"/>
  <c r="AG197" i="10"/>
  <c r="AG207" i="10" s="1"/>
  <c r="AG212" i="10" s="1"/>
  <c r="AY84" i="10"/>
  <c r="AX68" i="10"/>
  <c r="AY146" i="10" s="1"/>
  <c r="AA12" i="10"/>
  <c r="AA8" i="10"/>
  <c r="AD12" i="10"/>
  <c r="Z201" i="10"/>
  <c r="Y177" i="10"/>
  <c r="Z175" i="10"/>
  <c r="Z211" i="10"/>
  <c r="AB211" i="10"/>
  <c r="AB201" i="10"/>
  <c r="AB59" i="10"/>
  <c r="AE59" i="10"/>
  <c r="AF207" i="10"/>
  <c r="AF212" i="10" s="1"/>
  <c r="V57" i="10"/>
  <c r="Y57" i="10"/>
  <c r="AO44" i="10"/>
  <c r="AE202" i="10"/>
  <c r="AE207" i="10"/>
  <c r="AE212" i="10" s="1"/>
  <c r="Z8" i="10"/>
  <c r="Z12" i="10"/>
  <c r="AB6" i="10"/>
  <c r="AC12" i="10"/>
  <c r="V30" i="10"/>
  <c r="T31" i="10"/>
  <c r="AU39" i="10"/>
  <c r="AS40" i="10"/>
  <c r="AY88" i="10"/>
  <c r="AZ135" i="10"/>
  <c r="AZ146" i="10" s="1"/>
  <c r="AQ57" i="10"/>
  <c r="AC169" i="10"/>
  <c r="AC165" i="10"/>
  <c r="AC152" i="10"/>
  <c r="AC20" i="10"/>
  <c r="AP57" i="10"/>
  <c r="AP43" i="10"/>
  <c r="AU54" i="10"/>
  <c r="AZ3" i="21" l="1"/>
  <c r="BA2" i="21"/>
  <c r="AV54" i="10"/>
  <c r="AF3" i="1"/>
  <c r="AF2" i="1"/>
  <c r="AG1" i="1"/>
  <c r="AE5" i="1"/>
  <c r="DE3" i="1"/>
  <c r="DF1" i="1"/>
  <c r="DE2" i="1"/>
  <c r="AV40" i="10"/>
  <c r="AV55" i="10" s="1"/>
  <c r="AG176" i="10"/>
  <c r="AH176" i="10" s="1"/>
  <c r="AI197" i="10" s="1"/>
  <c r="AT55" i="10"/>
  <c r="AH197" i="10"/>
  <c r="AH202" i="10" s="1"/>
  <c r="AT52" i="10"/>
  <c r="AO59" i="10"/>
  <c r="AO6" i="10"/>
  <c r="AA211" i="10"/>
  <c r="AA175" i="10"/>
  <c r="Z177" i="10"/>
  <c r="AA201" i="10"/>
  <c r="AA14" i="10"/>
  <c r="AA10" i="10"/>
  <c r="AD14" i="10"/>
  <c r="AY90" i="10"/>
  <c r="AY68" i="10" s="1"/>
  <c r="AY96" i="10"/>
  <c r="AY98" i="10"/>
  <c r="T236" i="10"/>
  <c r="T237" i="10" s="1"/>
  <c r="V237" i="10" s="1"/>
  <c r="V233" i="10"/>
  <c r="AC30" i="10"/>
  <c r="AY97" i="10"/>
  <c r="AY91" i="10"/>
  <c r="AY99" i="10" s="1"/>
  <c r="AZ88" i="10"/>
  <c r="AW39" i="10"/>
  <c r="AW51" i="10" s="1"/>
  <c r="AB12" i="10"/>
  <c r="AE12" i="10"/>
  <c r="Z213" i="10"/>
  <c r="Z203" i="10"/>
  <c r="AB213" i="10"/>
  <c r="AB203" i="10"/>
  <c r="AM12" i="10"/>
  <c r="AN6" i="10"/>
  <c r="AN12" i="10" s="1"/>
  <c r="AW54" i="10"/>
  <c r="AW50" i="10"/>
  <c r="AC168" i="10"/>
  <c r="AC164" i="10"/>
  <c r="AC150" i="10"/>
  <c r="V31" i="10"/>
  <c r="AQ43" i="10"/>
  <c r="AU40" i="10"/>
  <c r="AP44" i="10"/>
  <c r="AS52" i="10"/>
  <c r="AS55" i="10"/>
  <c r="AS42" i="10"/>
  <c r="Z14" i="10"/>
  <c r="Z10" i="10"/>
  <c r="AB8" i="10"/>
  <c r="AC14" i="10"/>
  <c r="AV42" i="10"/>
  <c r="AX80" i="10"/>
  <c r="AX79" i="10"/>
  <c r="AX78" i="10"/>
  <c r="AX71" i="10"/>
  <c r="AX70" i="10"/>
  <c r="AX69" i="10"/>
  <c r="AX76" i="10"/>
  <c r="AX77" i="10"/>
  <c r="AT57" i="10"/>
  <c r="AR57" i="10"/>
  <c r="AR43" i="10"/>
  <c r="DG1" i="1" l="1"/>
  <c r="DG3" i="1" s="1"/>
  <c r="BB2" i="21"/>
  <c r="BA3" i="21"/>
  <c r="AV52" i="10"/>
  <c r="AH207" i="10"/>
  <c r="AH212" i="10" s="1"/>
  <c r="AG3" i="1"/>
  <c r="AF5" i="1" s="1"/>
  <c r="AH1" i="1"/>
  <c r="C2" i="21" s="1"/>
  <c r="AG2" i="1"/>
  <c r="DF2" i="1"/>
  <c r="DF3" i="1"/>
  <c r="AW40" i="10"/>
  <c r="AW55" i="10" s="1"/>
  <c r="AS57" i="10"/>
  <c r="AS43" i="10"/>
  <c r="AS44" i="10" s="1"/>
  <c r="AU55" i="10"/>
  <c r="AU52" i="10"/>
  <c r="AU42" i="10"/>
  <c r="AI207" i="10"/>
  <c r="AI212" i="10" s="1"/>
  <c r="AA35" i="10"/>
  <c r="AA15" i="10"/>
  <c r="BD11" i="10"/>
  <c r="AD15" i="10"/>
  <c r="BD12" i="10"/>
  <c r="AZ97" i="10"/>
  <c r="AZ91" i="10"/>
  <c r="AZ99" i="10" s="1"/>
  <c r="AZ90" i="10"/>
  <c r="AB175" i="10"/>
  <c r="AA177" i="10"/>
  <c r="AX46" i="10"/>
  <c r="AB10" i="10"/>
  <c r="AB14" i="10"/>
  <c r="AE14" i="10"/>
  <c r="AQ58" i="10"/>
  <c r="AQ44" i="10"/>
  <c r="AQ59" i="10" s="1"/>
  <c r="AR44" i="10"/>
  <c r="Z35" i="10"/>
  <c r="Z15" i="10"/>
  <c r="BC11" i="10"/>
  <c r="BC12" i="10"/>
  <c r="AC15" i="10"/>
  <c r="AC167" i="10"/>
  <c r="AC162" i="10"/>
  <c r="AC17" i="10"/>
  <c r="AY70" i="10"/>
  <c r="AZ70" i="10" s="1"/>
  <c r="AY69" i="10"/>
  <c r="AZ68" i="10"/>
  <c r="AY80" i="10"/>
  <c r="AY79" i="10"/>
  <c r="AY78" i="10"/>
  <c r="AY71" i="10"/>
  <c r="AZ71" i="10" s="1"/>
  <c r="AY76" i="10"/>
  <c r="AY77" i="10"/>
  <c r="AO12" i="10"/>
  <c r="AV57" i="10"/>
  <c r="AV43" i="10"/>
  <c r="AV44" i="10" s="1"/>
  <c r="AP59" i="10"/>
  <c r="AP6" i="10"/>
  <c r="AI176" i="10"/>
  <c r="AC151" i="10"/>
  <c r="AW42" i="10"/>
  <c r="T43" i="10"/>
  <c r="V236" i="10"/>
  <c r="V246" i="10" s="1"/>
  <c r="AA213" i="10"/>
  <c r="AA203" i="10"/>
  <c r="BB3" i="21" l="1"/>
  <c r="BC3" i="21"/>
  <c r="DH1" i="1"/>
  <c r="BC2" i="21"/>
  <c r="DG2" i="1"/>
  <c r="AG5" i="1"/>
  <c r="AH3" i="1"/>
  <c r="C3" i="21" s="1"/>
  <c r="AI1" i="1"/>
  <c r="D2" i="21" s="1"/>
  <c r="AH2" i="1"/>
  <c r="AW52" i="10"/>
  <c r="V43" i="10"/>
  <c r="T58" i="10"/>
  <c r="T22" i="10"/>
  <c r="T44" i="10"/>
  <c r="AW57" i="10"/>
  <c r="AP12" i="10"/>
  <c r="AV59" i="10"/>
  <c r="AV6" i="10"/>
  <c r="AU57" i="10"/>
  <c r="AU43" i="10"/>
  <c r="AU44" i="10" s="1"/>
  <c r="AS59" i="10"/>
  <c r="AS6" i="10"/>
  <c r="AB15" i="10"/>
  <c r="BE11" i="10"/>
  <c r="AE15" i="10"/>
  <c r="AC211" i="10"/>
  <c r="AB177" i="10"/>
  <c r="AC175" i="10"/>
  <c r="AC201" i="10"/>
  <c r="AC163" i="10"/>
  <c r="AC18" i="10"/>
  <c r="AQ6" i="10"/>
  <c r="AQ12" i="10" s="1"/>
  <c r="AB35" i="10"/>
  <c r="Z33" i="10"/>
  <c r="AX48" i="10"/>
  <c r="AX47" i="10"/>
  <c r="AX39" i="10"/>
  <c r="AX38" i="10"/>
  <c r="AJ197" i="10"/>
  <c r="AJ176" i="10" s="1"/>
  <c r="AK176" i="10" s="1"/>
  <c r="AZ80" i="10"/>
  <c r="AZ79" i="10"/>
  <c r="AZ78" i="10"/>
  <c r="AZ76" i="10"/>
  <c r="AZ77" i="10"/>
  <c r="AR59" i="10"/>
  <c r="AR6" i="10"/>
  <c r="AY46" i="10"/>
  <c r="AZ46" i="10" s="1"/>
  <c r="AZ47" i="10" s="1"/>
  <c r="AT43" i="10"/>
  <c r="DI1" i="1" l="1"/>
  <c r="BD2" i="21"/>
  <c r="DH2" i="1"/>
  <c r="DH3" i="1"/>
  <c r="AI3" i="1"/>
  <c r="D3" i="21" s="1"/>
  <c r="AI2" i="1"/>
  <c r="AJ1" i="1"/>
  <c r="E2" i="21" s="1"/>
  <c r="AT58" i="10"/>
  <c r="AT44" i="10"/>
  <c r="AT59" i="10" s="1"/>
  <c r="AX40" i="10"/>
  <c r="AX54" i="10"/>
  <c r="AC177" i="10"/>
  <c r="AU59" i="10"/>
  <c r="AU6" i="10"/>
  <c r="T59" i="10"/>
  <c r="T6" i="10"/>
  <c r="W59" i="10"/>
  <c r="Z31" i="10"/>
  <c r="Z32" i="10" s="1"/>
  <c r="AA33" i="10"/>
  <c r="AB33" i="10" s="1"/>
  <c r="AC213" i="10"/>
  <c r="AC203" i="10"/>
  <c r="AS12" i="10"/>
  <c r="V22" i="10"/>
  <c r="V23" i="10" s="1"/>
  <c r="T32" i="10"/>
  <c r="T23" i="10"/>
  <c r="AY48" i="10"/>
  <c r="AY47" i="10"/>
  <c r="AY38" i="10"/>
  <c r="AY39" i="10"/>
  <c r="AZ39" i="10" s="1"/>
  <c r="AZ51" i="10" s="1"/>
  <c r="AL197" i="10"/>
  <c r="AL176" i="10" s="1"/>
  <c r="AV12" i="10"/>
  <c r="AT6" i="10"/>
  <c r="AT12" i="10" s="1"/>
  <c r="AR12" i="10"/>
  <c r="AJ207" i="10"/>
  <c r="AJ212" i="10" s="1"/>
  <c r="AK197" i="10"/>
  <c r="Z34" i="10"/>
  <c r="AD201" i="10"/>
  <c r="AF201" i="10"/>
  <c r="AC19" i="10"/>
  <c r="AW43" i="10"/>
  <c r="V58" i="10"/>
  <c r="V44" i="10"/>
  <c r="BD3" i="21" l="1"/>
  <c r="C10" i="2"/>
  <c r="BE2" i="21"/>
  <c r="DI2" i="1"/>
  <c r="DI3" i="1"/>
  <c r="G3" i="2" s="1"/>
  <c r="AH5" i="1"/>
  <c r="C4" i="21" s="1"/>
  <c r="AI5" i="1"/>
  <c r="D4" i="21" s="1"/>
  <c r="AJ3" i="1"/>
  <c r="E3" i="21" s="1"/>
  <c r="AJ2" i="1"/>
  <c r="AK1" i="1"/>
  <c r="F2" i="21" s="1"/>
  <c r="AM197" i="10"/>
  <c r="AM207" i="10" s="1"/>
  <c r="AM212" i="10" s="1"/>
  <c r="AG201" i="10"/>
  <c r="AD196" i="10"/>
  <c r="AY54" i="10"/>
  <c r="AY40" i="10"/>
  <c r="V6" i="10"/>
  <c r="T12" i="10"/>
  <c r="T8" i="10"/>
  <c r="W12" i="10"/>
  <c r="AX52" i="10"/>
  <c r="AX55" i="10"/>
  <c r="AX42" i="10"/>
  <c r="AW58" i="10"/>
  <c r="AW44" i="10"/>
  <c r="AW59" i="10" s="1"/>
  <c r="V32" i="10"/>
  <c r="T33" i="10"/>
  <c r="V33" i="10" s="1"/>
  <c r="AC33" i="10"/>
  <c r="AA31" i="10"/>
  <c r="AA29" i="10" s="1"/>
  <c r="AA27" i="10" s="1"/>
  <c r="AA34" i="10"/>
  <c r="AB34" i="10" s="1"/>
  <c r="AZ38" i="10"/>
  <c r="V59" i="10"/>
  <c r="Y59" i="10"/>
  <c r="AC21" i="10"/>
  <c r="AC23" i="10" s="1"/>
  <c r="AC28" i="10"/>
  <c r="AK202" i="10"/>
  <c r="AK207" i="10"/>
  <c r="AK212" i="10" s="1"/>
  <c r="AL207" i="10"/>
  <c r="AL212" i="10" s="1"/>
  <c r="AW6" i="10"/>
  <c r="AW12" i="10" s="1"/>
  <c r="AU12" i="10"/>
  <c r="AI201" i="10"/>
  <c r="Z29" i="10"/>
  <c r="U4" i="18" l="1"/>
  <c r="DI643" i="1"/>
  <c r="J7" i="7"/>
  <c r="BE3" i="21"/>
  <c r="E14" i="2"/>
  <c r="C121" i="2"/>
  <c r="DI647" i="1"/>
  <c r="AK3" i="1"/>
  <c r="F3" i="21" s="1"/>
  <c r="AL1" i="1"/>
  <c r="G2" i="21" s="1"/>
  <c r="AK2" i="1"/>
  <c r="AN197" i="10"/>
  <c r="AN202" i="10" s="1"/>
  <c r="AB31" i="10"/>
  <c r="AA32" i="10"/>
  <c r="AB32" i="10" s="1"/>
  <c r="AD198" i="10"/>
  <c r="AD206" i="10"/>
  <c r="AE196" i="10"/>
  <c r="AD175" i="10"/>
  <c r="AL201" i="10"/>
  <c r="V8" i="10"/>
  <c r="T10" i="10"/>
  <c r="T14" i="10"/>
  <c r="W14" i="10"/>
  <c r="AJ201" i="10"/>
  <c r="Z27" i="10"/>
  <c r="AB27" i="10" s="1"/>
  <c r="AB29" i="10"/>
  <c r="AX57" i="10"/>
  <c r="AX43" i="10"/>
  <c r="AX44" i="10" s="1"/>
  <c r="AY55" i="10"/>
  <c r="AY52" i="10"/>
  <c r="AY42" i="10"/>
  <c r="AZ54" i="10"/>
  <c r="AZ50" i="10"/>
  <c r="AZ40" i="10"/>
  <c r="AC31" i="10"/>
  <c r="AC32" i="10" s="1"/>
  <c r="AD33" i="10"/>
  <c r="AE33" i="10" s="1"/>
  <c r="AC34" i="10"/>
  <c r="V12" i="10"/>
  <c r="Y12" i="10"/>
  <c r="AM176" i="10"/>
  <c r="AN176" i="10" s="1"/>
  <c r="E79" i="2" l="1"/>
  <c r="E127" i="2"/>
  <c r="E143" i="2" s="1"/>
  <c r="E30" i="2"/>
  <c r="D14" i="2"/>
  <c r="F14" i="2"/>
  <c r="E59" i="2"/>
  <c r="D121" i="2"/>
  <c r="C120" i="2"/>
  <c r="D120" i="2" s="1"/>
  <c r="AJ5" i="1"/>
  <c r="E4" i="21" s="1"/>
  <c r="AN207" i="10"/>
  <c r="AN212" i="10" s="1"/>
  <c r="AK5" i="1"/>
  <c r="F4" i="21" s="1"/>
  <c r="AL3" i="1"/>
  <c r="G3" i="21" s="1"/>
  <c r="AL2" i="1"/>
  <c r="AM1" i="1"/>
  <c r="AY57" i="10"/>
  <c r="AY43" i="10"/>
  <c r="AY44" i="10" s="1"/>
  <c r="AE175" i="10"/>
  <c r="AD177" i="10"/>
  <c r="AO197" i="10"/>
  <c r="AO176" i="10" s="1"/>
  <c r="AZ52" i="10"/>
  <c r="AZ55" i="10"/>
  <c r="AZ42" i="10"/>
  <c r="T35" i="10"/>
  <c r="V35" i="10" s="1"/>
  <c r="T15" i="10"/>
  <c r="W15" i="10"/>
  <c r="AE201" i="10"/>
  <c r="AE206" i="10"/>
  <c r="AE211" i="10" s="1"/>
  <c r="AD31" i="10"/>
  <c r="AD32" i="10" s="1"/>
  <c r="AE32" i="10" s="1"/>
  <c r="AF33" i="10"/>
  <c r="AD34" i="10"/>
  <c r="AE34" i="10" s="1"/>
  <c r="AM201" i="10"/>
  <c r="V14" i="10"/>
  <c r="V10" i="10"/>
  <c r="Y14" i="10"/>
  <c r="AO201" i="10"/>
  <c r="AD211" i="10"/>
  <c r="AD208" i="10"/>
  <c r="AC29" i="10"/>
  <c r="AX6" i="10"/>
  <c r="AX59" i="10"/>
  <c r="AD203" i="10"/>
  <c r="AD182" i="10"/>
  <c r="AE198" i="10"/>
  <c r="AE203" i="10" s="1"/>
  <c r="H2" i="21" l="1"/>
  <c r="F30" i="2"/>
  <c r="F127" i="2"/>
  <c r="F143" i="2" s="1"/>
  <c r="F59" i="2"/>
  <c r="G14" i="2"/>
  <c r="F79" i="2"/>
  <c r="C14" i="2"/>
  <c r="D59" i="2"/>
  <c r="D79" i="2"/>
  <c r="D30" i="2"/>
  <c r="D127" i="2"/>
  <c r="D143" i="2" s="1"/>
  <c r="AM3" i="1"/>
  <c r="H3" i="21" s="1"/>
  <c r="AM2" i="1"/>
  <c r="AN1" i="1"/>
  <c r="I2" i="21" s="1"/>
  <c r="S2" i="18"/>
  <c r="S3" i="18" s="1"/>
  <c r="AE31" i="10"/>
  <c r="AZ43" i="10"/>
  <c r="AZ44" i="10" s="1"/>
  <c r="AZ59" i="10" s="1"/>
  <c r="AR201" i="10"/>
  <c r="AZ57" i="10"/>
  <c r="AP197" i="10"/>
  <c r="AP207" i="10" s="1"/>
  <c r="AP212" i="10" s="1"/>
  <c r="AD213" i="10"/>
  <c r="AE208" i="10"/>
  <c r="AE213" i="10" s="1"/>
  <c r="AP201" i="10"/>
  <c r="AY59" i="10"/>
  <c r="AY6" i="10"/>
  <c r="AX12" i="10"/>
  <c r="AC27" i="10"/>
  <c r="V15" i="10"/>
  <c r="Y15" i="10"/>
  <c r="AG33" i="10"/>
  <c r="AF31" i="10"/>
  <c r="AF32" i="10" s="1"/>
  <c r="AF34" i="10"/>
  <c r="AE177" i="10"/>
  <c r="AF196" i="10"/>
  <c r="AF175" i="10" s="1"/>
  <c r="AE182" i="10"/>
  <c r="AE183" i="10" s="1"/>
  <c r="AD183" i="10"/>
  <c r="AO207" i="10"/>
  <c r="AO212" i="10" s="1"/>
  <c r="G79" i="2" l="1"/>
  <c r="G59" i="2"/>
  <c r="G127" i="2"/>
  <c r="G143" i="2" s="1"/>
  <c r="G30" i="2"/>
  <c r="C79" i="2"/>
  <c r="C59" i="2"/>
  <c r="C30" i="2"/>
  <c r="C127" i="2"/>
  <c r="C143" i="2" s="1"/>
  <c r="A14" i="2"/>
  <c r="AQ197" i="10"/>
  <c r="AQ202" i="10" s="1"/>
  <c r="AN3" i="1"/>
  <c r="I3" i="21" s="1"/>
  <c r="AN2" i="1"/>
  <c r="AO1" i="1"/>
  <c r="AL5" i="1"/>
  <c r="G4" i="21" s="1"/>
  <c r="AM5" i="1"/>
  <c r="H4" i="21" s="1"/>
  <c r="AZ58" i="10"/>
  <c r="G2" i="7"/>
  <c r="AP176" i="10"/>
  <c r="AQ176" i="10" s="1"/>
  <c r="AR197" i="10" s="1"/>
  <c r="AF177" i="10"/>
  <c r="AG196" i="10"/>
  <c r="AH196" i="10" s="1"/>
  <c r="AG31" i="10"/>
  <c r="AH31" i="10" s="1"/>
  <c r="AI33" i="10"/>
  <c r="AG34" i="10"/>
  <c r="AH34" i="10" s="1"/>
  <c r="AY12" i="10"/>
  <c r="AF180" i="10"/>
  <c r="AD158" i="10"/>
  <c r="AH33" i="10"/>
  <c r="AZ6" i="10"/>
  <c r="AZ12" i="10" s="1"/>
  <c r="AU201" i="10"/>
  <c r="AF198" i="10"/>
  <c r="AF206" i="10"/>
  <c r="AS201" i="10"/>
  <c r="J2" i="21" l="1"/>
  <c r="AQ207" i="10"/>
  <c r="AQ212" i="10" s="1"/>
  <c r="AO3" i="1"/>
  <c r="J3" i="21" s="1"/>
  <c r="AO2" i="1"/>
  <c r="AP725" i="1" s="1"/>
  <c r="AP1" i="1"/>
  <c r="F2" i="7"/>
  <c r="F1" i="7" s="1"/>
  <c r="AV201" i="10"/>
  <c r="AH201" i="10"/>
  <c r="AH206" i="10"/>
  <c r="AH211" i="10" s="1"/>
  <c r="AF203" i="10"/>
  <c r="AF182" i="10"/>
  <c r="AF183" i="10" s="1"/>
  <c r="AR207" i="10"/>
  <c r="AR212" i="10" s="1"/>
  <c r="AD160" i="10"/>
  <c r="AD153" i="10"/>
  <c r="AD159" i="10"/>
  <c r="AE158" i="10"/>
  <c r="AE159" i="10" s="1"/>
  <c r="AG32" i="10"/>
  <c r="AH32" i="10" s="1"/>
  <c r="AG198" i="10"/>
  <c r="AH198" i="10" s="1"/>
  <c r="AH203" i="10" s="1"/>
  <c r="AG206" i="10"/>
  <c r="AX201" i="10"/>
  <c r="AR176" i="10"/>
  <c r="AH180" i="10"/>
  <c r="AG175" i="10"/>
  <c r="AF208" i="10"/>
  <c r="AF211" i="10"/>
  <c r="AJ33" i="10"/>
  <c r="AI31" i="10"/>
  <c r="AI32" i="10" s="1"/>
  <c r="AI34" i="10"/>
  <c r="K2" i="21" l="1"/>
  <c r="AQ1" i="1"/>
  <c r="AN5" i="1"/>
  <c r="I4" i="21" s="1"/>
  <c r="AO5" i="1"/>
  <c r="J4" i="21" s="1"/>
  <c r="AP3" i="1"/>
  <c r="AP2" i="1"/>
  <c r="AQ725" i="1" s="1"/>
  <c r="I2" i="7"/>
  <c r="AJ31" i="10"/>
  <c r="AK31" i="10" s="1"/>
  <c r="AJ34" i="10"/>
  <c r="AK34" i="10" s="1"/>
  <c r="AF213" i="10"/>
  <c r="AS197" i="10"/>
  <c r="AS176" i="10" s="1"/>
  <c r="AT176" i="10" s="1"/>
  <c r="AK33" i="10"/>
  <c r="AG177" i="10"/>
  <c r="AH175" i="10"/>
  <c r="AG208" i="10"/>
  <c r="AG213" i="10" s="1"/>
  <c r="AG211" i="10"/>
  <c r="AY201" i="10"/>
  <c r="AG180" i="10"/>
  <c r="AF158" i="10"/>
  <c r="AG203" i="10"/>
  <c r="AG182" i="10"/>
  <c r="AH182" i="10" s="1"/>
  <c r="AH183" i="10" s="1"/>
  <c r="AD165" i="10"/>
  <c r="AD152" i="10"/>
  <c r="AD20" i="10"/>
  <c r="AD169" i="10"/>
  <c r="AE153" i="10"/>
  <c r="L2" i="21" l="1"/>
  <c r="K3" i="21"/>
  <c r="AP38" i="1"/>
  <c r="AP20" i="1"/>
  <c r="AP26" i="1" s="1"/>
  <c r="AP33" i="1"/>
  <c r="AP19" i="1"/>
  <c r="AP17" i="1"/>
  <c r="AP23" i="1" s="1"/>
  <c r="AP40" i="1"/>
  <c r="AP30" i="1"/>
  <c r="AP44" i="1" s="1"/>
  <c r="AP29" i="1"/>
  <c r="AP43" i="1" s="1"/>
  <c r="AP32" i="1"/>
  <c r="AP18" i="1"/>
  <c r="AP132" i="1"/>
  <c r="AP31" i="1"/>
  <c r="AP45" i="1" s="1"/>
  <c r="AP39" i="1"/>
  <c r="AR1" i="1"/>
  <c r="AQ3" i="1"/>
  <c r="AQ2" i="1"/>
  <c r="AR725" i="1" s="1"/>
  <c r="M5" i="7"/>
  <c r="M32" i="7" s="1"/>
  <c r="F47" i="7"/>
  <c r="F38" i="7"/>
  <c r="F14" i="7"/>
  <c r="J2" i="7"/>
  <c r="AE169" i="10"/>
  <c r="AE165" i="10"/>
  <c r="AG183" i="10"/>
  <c r="AS207" i="10"/>
  <c r="AS212" i="10" s="1"/>
  <c r="AT197" i="10"/>
  <c r="AU197" i="10"/>
  <c r="AU176" i="10" s="1"/>
  <c r="G1" i="7"/>
  <c r="AE20" i="10"/>
  <c r="AD30" i="10"/>
  <c r="AF159" i="10"/>
  <c r="AF164" i="10"/>
  <c r="AF160" i="10"/>
  <c r="AF165" i="10"/>
  <c r="AH177" i="10"/>
  <c r="AI196" i="10"/>
  <c r="AH208" i="10"/>
  <c r="AH213" i="10" s="1"/>
  <c r="AD164" i="10"/>
  <c r="AD168" i="10"/>
  <c r="AD150" i="10"/>
  <c r="AJ32" i="10"/>
  <c r="AK32" i="10" s="1"/>
  <c r="M2" i="21" l="1"/>
  <c r="L3" i="21"/>
  <c r="AQ33" i="1"/>
  <c r="AQ19" i="1"/>
  <c r="AQ39" i="1"/>
  <c r="AQ29" i="1"/>
  <c r="AQ43" i="1" s="1"/>
  <c r="AQ20" i="1"/>
  <c r="AQ32" i="1"/>
  <c r="AQ18" i="1"/>
  <c r="AQ38" i="1"/>
  <c r="AQ132" i="1"/>
  <c r="AQ636" i="1" s="1"/>
  <c r="AQ637" i="1" s="1"/>
  <c r="AQ739" i="1" s="1"/>
  <c r="AQ31" i="1"/>
  <c r="AQ45" i="1" s="1"/>
  <c r="AQ17" i="1"/>
  <c r="AQ23" i="1" s="1"/>
  <c r="AQ40" i="1"/>
  <c r="AQ30" i="1"/>
  <c r="AQ44" i="1" s="1"/>
  <c r="AS1" i="1"/>
  <c r="AQ5" i="1"/>
  <c r="L4" i="21" s="1"/>
  <c r="AP260" i="1"/>
  <c r="AP636" i="1"/>
  <c r="AP637" i="1" s="1"/>
  <c r="AP739" i="1" s="1"/>
  <c r="AP25" i="1"/>
  <c r="AP57" i="1"/>
  <c r="AP47" i="1" s="1"/>
  <c r="AP56" i="1"/>
  <c r="AP46" i="1" s="1"/>
  <c r="AR3" i="1"/>
  <c r="AR2" i="1"/>
  <c r="AS725" i="1" s="1"/>
  <c r="AP24" i="1"/>
  <c r="AP59" i="1"/>
  <c r="AP48" i="1" s="1"/>
  <c r="AP60" i="1"/>
  <c r="AP49" i="1" s="1"/>
  <c r="AP5" i="1"/>
  <c r="K4" i="21" s="1"/>
  <c r="G47" i="7"/>
  <c r="G38" i="7"/>
  <c r="G14" i="7"/>
  <c r="N5" i="7"/>
  <c r="N32" i="7" s="1"/>
  <c r="AQ434" i="1"/>
  <c r="AD162" i="10"/>
  <c r="AD167" i="10"/>
  <c r="AD17" i="10"/>
  <c r="AE150" i="10"/>
  <c r="AI198" i="10"/>
  <c r="AI206" i="10"/>
  <c r="H1" i="7"/>
  <c r="AD151" i="10"/>
  <c r="AI175" i="10"/>
  <c r="AF30" i="10"/>
  <c r="AE30" i="10"/>
  <c r="AD29" i="10"/>
  <c r="AU207" i="10"/>
  <c r="AU212" i="10" s="1"/>
  <c r="AT202" i="10"/>
  <c r="AT207" i="10"/>
  <c r="AT212" i="10" s="1"/>
  <c r="AV197" i="10"/>
  <c r="AV207" i="10" s="1"/>
  <c r="AV212" i="10" s="1"/>
  <c r="AI180" i="10"/>
  <c r="AG158" i="10"/>
  <c r="M3" i="21" l="1"/>
  <c r="N2" i="21"/>
  <c r="AP296" i="1"/>
  <c r="AP323" i="1"/>
  <c r="K70" i="21" s="1"/>
  <c r="AR32" i="1"/>
  <c r="AR18" i="1"/>
  <c r="AR132" i="1"/>
  <c r="AR636" i="1" s="1"/>
  <c r="AR31" i="1"/>
  <c r="AR17" i="1"/>
  <c r="AR29" i="1"/>
  <c r="AR20" i="1"/>
  <c r="AR19" i="1"/>
  <c r="AR40" i="1"/>
  <c r="AR30" i="1"/>
  <c r="AR39" i="1"/>
  <c r="AR38" i="1"/>
  <c r="AR33" i="1"/>
  <c r="AQ111" i="1"/>
  <c r="AQ323" i="1"/>
  <c r="L70" i="21" s="1"/>
  <c r="AQ296" i="1"/>
  <c r="AQ808" i="1"/>
  <c r="AQ118" i="1"/>
  <c r="AT1" i="1"/>
  <c r="AS2" i="1"/>
  <c r="AT725" i="1" s="1"/>
  <c r="AS3" i="1"/>
  <c r="AQ787" i="1"/>
  <c r="AQ97" i="1"/>
  <c r="CV739" i="1"/>
  <c r="AQ87" i="1"/>
  <c r="AQ789" i="1"/>
  <c r="AQ86" i="1"/>
  <c r="AQ93" i="1"/>
  <c r="AQ782" i="1"/>
  <c r="AQ85" i="1"/>
  <c r="AQ790" i="1"/>
  <c r="AQ783" i="1"/>
  <c r="L73" i="21" s="1"/>
  <c r="AQ84" i="1"/>
  <c r="AQ810" i="1"/>
  <c r="AQ88" i="1"/>
  <c r="AQ788" i="1"/>
  <c r="L72" i="21" s="1"/>
  <c r="AQ113" i="1"/>
  <c r="AQ89" i="1"/>
  <c r="AQ112" i="1"/>
  <c r="AQ109" i="1"/>
  <c r="AQ785" i="1"/>
  <c r="AQ841" i="1" s="1"/>
  <c r="AQ811" i="1"/>
  <c r="AQ809" i="1"/>
  <c r="AQ117" i="1"/>
  <c r="AQ110" i="1"/>
  <c r="AP699" i="1"/>
  <c r="AP261" i="1"/>
  <c r="CV434" i="1"/>
  <c r="CV128" i="1"/>
  <c r="CV544" i="1"/>
  <c r="CV545" i="1"/>
  <c r="CV132" i="1"/>
  <c r="AQ26" i="1"/>
  <c r="AQ791" i="1"/>
  <c r="AP111" i="1"/>
  <c r="AP93" i="1"/>
  <c r="AP109" i="1"/>
  <c r="AP88" i="1"/>
  <c r="AP97" i="1"/>
  <c r="AP110" i="1"/>
  <c r="CV368" i="1"/>
  <c r="AP112" i="1"/>
  <c r="AP117" i="1"/>
  <c r="AP113" i="1"/>
  <c r="AP85" i="1"/>
  <c r="AP118" i="1"/>
  <c r="AP89" i="1"/>
  <c r="AP86" i="1"/>
  <c r="AP84" i="1"/>
  <c r="AP87" i="1"/>
  <c r="AP790" i="1"/>
  <c r="AP783" i="1"/>
  <c r="K73" i="21" s="1"/>
  <c r="AP808" i="1"/>
  <c r="AP811" i="1"/>
  <c r="AP782" i="1"/>
  <c r="AP787" i="1"/>
  <c r="AP791" i="1"/>
  <c r="AP788" i="1"/>
  <c r="K72" i="21" s="1"/>
  <c r="AP785" i="1"/>
  <c r="AP841" i="1" s="1"/>
  <c r="AP810" i="1"/>
  <c r="AP789" i="1"/>
  <c r="AP809" i="1"/>
  <c r="AQ56" i="1"/>
  <c r="AQ46" i="1" s="1"/>
  <c r="AQ57" i="1"/>
  <c r="AQ47" i="1" s="1"/>
  <c r="AQ25" i="1"/>
  <c r="AQ60" i="1"/>
  <c r="AQ49" i="1" s="1"/>
  <c r="AQ59" i="1"/>
  <c r="AQ48" i="1" s="1"/>
  <c r="AQ24" i="1"/>
  <c r="AQ440" i="1"/>
  <c r="H38" i="7"/>
  <c r="H14" i="7"/>
  <c r="O5" i="7"/>
  <c r="O32" i="7" s="1"/>
  <c r="H47" i="7"/>
  <c r="AV176" i="10"/>
  <c r="AW176" i="10" s="1"/>
  <c r="AX197" i="10" s="1"/>
  <c r="AX176" i="10" s="1"/>
  <c r="AK180" i="10"/>
  <c r="AW197" i="10"/>
  <c r="AE29" i="10"/>
  <c r="I1" i="7"/>
  <c r="AI211" i="10"/>
  <c r="AI208" i="10"/>
  <c r="AE17" i="10"/>
  <c r="AG159" i="10"/>
  <c r="AG164" i="10"/>
  <c r="AG162" i="10"/>
  <c r="AG160" i="10"/>
  <c r="AG163" i="10"/>
  <c r="AG165" i="10"/>
  <c r="AH158" i="10"/>
  <c r="AI177" i="10"/>
  <c r="AJ196" i="10"/>
  <c r="AJ175" i="10" s="1"/>
  <c r="AD163" i="10"/>
  <c r="AD18" i="10"/>
  <c r="AE18" i="10" s="1"/>
  <c r="AE151" i="10"/>
  <c r="AE163" i="10" s="1"/>
  <c r="AG30" i="10"/>
  <c r="AH30" i="10" s="1"/>
  <c r="AF29" i="10"/>
  <c r="AI203" i="10"/>
  <c r="AI182" i="10"/>
  <c r="AI183" i="10" s="1"/>
  <c r="AE167" i="10"/>
  <c r="AE162" i="10"/>
  <c r="L74" i="21" l="1"/>
  <c r="K74" i="21"/>
  <c r="N3" i="21"/>
  <c r="O2" i="21"/>
  <c r="AS132" i="1"/>
  <c r="AS636" i="1" s="1"/>
  <c r="AS637" i="1" s="1"/>
  <c r="AS739" i="1" s="1"/>
  <c r="AS765" i="1" s="1"/>
  <c r="AS31" i="1"/>
  <c r="AS17" i="1"/>
  <c r="AS19" i="1"/>
  <c r="AS25" i="1" s="1"/>
  <c r="AS32" i="1"/>
  <c r="AS40" i="1"/>
  <c r="AS30" i="1"/>
  <c r="AS39" i="1"/>
  <c r="AS29" i="1"/>
  <c r="AS38" i="1"/>
  <c r="AS20" i="1"/>
  <c r="AS26" i="1" s="1"/>
  <c r="AS33" i="1"/>
  <c r="AS18" i="1"/>
  <c r="AS24" i="1" s="1"/>
  <c r="AQ379" i="1"/>
  <c r="AQ354" i="1"/>
  <c r="AP354" i="1"/>
  <c r="AP379" i="1"/>
  <c r="AP321" i="1"/>
  <c r="CV296" i="1"/>
  <c r="CV319" i="1" s="1"/>
  <c r="AQ321" i="1"/>
  <c r="CV362" i="1"/>
  <c r="AS701" i="1"/>
  <c r="AS702" i="1" s="1"/>
  <c r="AU1" i="1"/>
  <c r="AS697" i="1"/>
  <c r="AS698" i="1" s="1"/>
  <c r="CV357" i="1"/>
  <c r="AS260" i="1"/>
  <c r="AS244" i="1"/>
  <c r="CV363" i="1"/>
  <c r="CV376" i="1"/>
  <c r="AT2" i="1"/>
  <c r="AU725" i="1" s="1"/>
  <c r="AT3" i="1"/>
  <c r="AS5" i="1"/>
  <c r="N4" i="21" s="1"/>
  <c r="CV791" i="1"/>
  <c r="CV367" i="1"/>
  <c r="AR26" i="1"/>
  <c r="CV369" i="1"/>
  <c r="CV740" i="1"/>
  <c r="CV738" i="1"/>
  <c r="CV741" i="1"/>
  <c r="CV730" i="1"/>
  <c r="CV728" i="1"/>
  <c r="CV734" i="1"/>
  <c r="CV729" i="1"/>
  <c r="CV732" i="1"/>
  <c r="AR55" i="21" s="1"/>
  <c r="CV636" i="1"/>
  <c r="CV637" i="1" s="1"/>
  <c r="AR96" i="1"/>
  <c r="CV440" i="1"/>
  <c r="AR43" i="1"/>
  <c r="AR44" i="1"/>
  <c r="AR45" i="1"/>
  <c r="AR57" i="1"/>
  <c r="AR47" i="1" s="1"/>
  <c r="AR56" i="1"/>
  <c r="AR46" i="1" s="1"/>
  <c r="AR60" i="1"/>
  <c r="AR49" i="1" s="1"/>
  <c r="AR59" i="1"/>
  <c r="AR48" i="1" s="1"/>
  <c r="AR5" i="1"/>
  <c r="AR25" i="1"/>
  <c r="AR23" i="1"/>
  <c r="AR24" i="1"/>
  <c r="T4" i="18"/>
  <c r="S4" i="18" s="1"/>
  <c r="P5" i="7"/>
  <c r="P32" i="7" s="1"/>
  <c r="I38" i="7"/>
  <c r="I47" i="7"/>
  <c r="I14" i="7"/>
  <c r="U6" i="18"/>
  <c r="U57" i="18"/>
  <c r="V4" i="18"/>
  <c r="AE152" i="10"/>
  <c r="AF150" i="10" s="1"/>
  <c r="AH150" i="10" s="1"/>
  <c r="AJ180" i="10"/>
  <c r="AI158" i="10"/>
  <c r="AI30" i="10"/>
  <c r="AG29" i="10"/>
  <c r="AH29" i="10" s="1"/>
  <c r="AJ198" i="10"/>
  <c r="AJ206" i="10"/>
  <c r="AK196" i="10"/>
  <c r="AI213" i="10"/>
  <c r="J1" i="7"/>
  <c r="AW202" i="10"/>
  <c r="AW207" i="10"/>
  <c r="AW212" i="10" s="1"/>
  <c r="AX207" i="10"/>
  <c r="AX212" i="10" s="1"/>
  <c r="AJ177" i="10"/>
  <c r="AK175" i="10"/>
  <c r="AE19" i="10"/>
  <c r="AE21" i="10" s="1"/>
  <c r="AE23" i="10" s="1"/>
  <c r="AY197" i="10"/>
  <c r="AY207" i="10" s="1"/>
  <c r="AY212" i="10" s="1"/>
  <c r="AH159" i="10"/>
  <c r="AH165" i="10"/>
  <c r="AD19" i="10"/>
  <c r="O3" i="21" l="1"/>
  <c r="AQ380" i="1"/>
  <c r="L7" i="21" s="1"/>
  <c r="L6" i="21"/>
  <c r="AR54" i="21"/>
  <c r="P2" i="21"/>
  <c r="AP380" i="1"/>
  <c r="K7" i="21" s="1"/>
  <c r="K6" i="21"/>
  <c r="AR296" i="1"/>
  <c r="AR379" i="1" s="1"/>
  <c r="M4" i="21"/>
  <c r="CV354" i="1"/>
  <c r="AT40" i="1"/>
  <c r="AT30" i="1"/>
  <c r="AT44" i="1" s="1"/>
  <c r="AT17" i="1"/>
  <c r="AT39" i="1"/>
  <c r="AT29" i="1"/>
  <c r="AT43" i="1" s="1"/>
  <c r="AT19" i="1"/>
  <c r="AT32" i="1"/>
  <c r="AT31" i="1"/>
  <c r="AT45" i="1" s="1"/>
  <c r="AT38" i="1"/>
  <c r="AT20" i="1"/>
  <c r="AT26" i="1" s="1"/>
  <c r="AT33" i="1"/>
  <c r="AT18" i="1"/>
  <c r="AT132" i="1"/>
  <c r="AT636" i="1" s="1"/>
  <c r="AT637" i="1" s="1"/>
  <c r="AT739" i="1" s="1"/>
  <c r="AT765" i="1" s="1"/>
  <c r="AR354" i="1"/>
  <c r="AS785" i="1"/>
  <c r="AS841" i="1" s="1"/>
  <c r="AS296" i="1"/>
  <c r="V6" i="18"/>
  <c r="AS259" i="1"/>
  <c r="AS85" i="1" s="1"/>
  <c r="AU2" i="1"/>
  <c r="AV725" i="1" s="1"/>
  <c r="AV1" i="1"/>
  <c r="AU3" i="1"/>
  <c r="AS696" i="1"/>
  <c r="AS700" i="1"/>
  <c r="CV358" i="1"/>
  <c r="CV364" i="1"/>
  <c r="AE154" i="10"/>
  <c r="AE156" i="10" s="1"/>
  <c r="AE172" i="10" s="1"/>
  <c r="AS782" i="1"/>
  <c r="AS243" i="1"/>
  <c r="AS783" i="1"/>
  <c r="N73" i="21" s="1"/>
  <c r="AS789" i="1"/>
  <c r="AS97" i="1"/>
  <c r="AS117" i="1"/>
  <c r="AS111" i="1"/>
  <c r="AS811" i="1"/>
  <c r="AS110" i="1"/>
  <c r="AS118" i="1"/>
  <c r="AS84" i="1"/>
  <c r="AS86" i="1"/>
  <c r="AS790" i="1"/>
  <c r="AS791" i="1"/>
  <c r="AS809" i="1"/>
  <c r="AS109" i="1"/>
  <c r="AS88" i="1"/>
  <c r="AS112" i="1"/>
  <c r="AS787" i="1"/>
  <c r="AS808" i="1"/>
  <c r="AS87" i="1"/>
  <c r="AS93" i="1"/>
  <c r="AS810" i="1"/>
  <c r="AS113" i="1"/>
  <c r="AS23" i="1"/>
  <c r="AF151" i="10"/>
  <c r="AF163" i="10" s="1"/>
  <c r="AS788" i="1"/>
  <c r="N72" i="21" s="1"/>
  <c r="CV372" i="1"/>
  <c r="CV840" i="1"/>
  <c r="CW132" i="1"/>
  <c r="CV373" i="1"/>
  <c r="CW737" i="1"/>
  <c r="CW128" i="1"/>
  <c r="AR637" i="1"/>
  <c r="AR739" i="1" s="1"/>
  <c r="AR765" i="1" s="1"/>
  <c r="T6" i="18"/>
  <c r="AR109" i="1"/>
  <c r="AR97" i="1"/>
  <c r="AR111" i="1"/>
  <c r="AR88" i="1"/>
  <c r="AR93" i="1"/>
  <c r="AR790" i="1"/>
  <c r="AR110" i="1"/>
  <c r="AR84" i="1"/>
  <c r="AR118" i="1"/>
  <c r="AR113" i="1"/>
  <c r="AR86" i="1"/>
  <c r="AR112" i="1"/>
  <c r="AR810" i="1"/>
  <c r="AR788" i="1"/>
  <c r="M72" i="21" s="1"/>
  <c r="AR89" i="1"/>
  <c r="AR789" i="1"/>
  <c r="AR783" i="1"/>
  <c r="M73" i="21" s="1"/>
  <c r="AR809" i="1"/>
  <c r="AR811" i="1"/>
  <c r="AR785" i="1"/>
  <c r="AR841" i="1" s="1"/>
  <c r="AR787" i="1"/>
  <c r="AR85" i="1"/>
  <c r="AR808" i="1"/>
  <c r="AR117" i="1"/>
  <c r="AR782" i="1"/>
  <c r="AR87" i="1"/>
  <c r="Q5" i="7"/>
  <c r="Q32" i="7" s="1"/>
  <c r="J47" i="7"/>
  <c r="J38" i="7"/>
  <c r="J14" i="7"/>
  <c r="W4" i="18"/>
  <c r="AQ154" i="1"/>
  <c r="V57" i="18"/>
  <c r="S6" i="18"/>
  <c r="R4" i="18"/>
  <c r="AF17" i="10"/>
  <c r="AH17" i="10" s="1"/>
  <c r="AF162" i="10"/>
  <c r="AE164" i="10"/>
  <c r="AE168" i="10"/>
  <c r="AZ197" i="10"/>
  <c r="AZ202" i="10" s="1"/>
  <c r="AY176" i="10"/>
  <c r="AZ176" i="10" s="1"/>
  <c r="AK177" i="10"/>
  <c r="AL196" i="10"/>
  <c r="AH162" i="10"/>
  <c r="AK201" i="10"/>
  <c r="AK206" i="10"/>
  <c r="AK211" i="10" s="1"/>
  <c r="AJ30" i="10"/>
  <c r="AI29" i="10"/>
  <c r="AI160" i="10"/>
  <c r="AI159" i="10"/>
  <c r="AI165" i="10"/>
  <c r="AI164" i="10"/>
  <c r="AI163" i="10"/>
  <c r="AI162" i="10"/>
  <c r="AL162" i="10" s="1"/>
  <c r="AO162" i="10" s="1"/>
  <c r="AR162" i="10" s="1"/>
  <c r="AU162" i="10" s="1"/>
  <c r="AX162" i="10" s="1"/>
  <c r="AD21" i="10"/>
  <c r="AD23" i="10" s="1"/>
  <c r="AD28" i="10"/>
  <c r="AJ208" i="10"/>
  <c r="AJ211" i="10"/>
  <c r="AJ203" i="10"/>
  <c r="AJ182" i="10"/>
  <c r="AK182" i="10" s="1"/>
  <c r="AK183" i="10" s="1"/>
  <c r="AK198" i="10"/>
  <c r="AK203" i="10" s="1"/>
  <c r="M74" i="21" l="1"/>
  <c r="AR380" i="1"/>
  <c r="M7" i="21" s="1"/>
  <c r="M6" i="21"/>
  <c r="N74" i="21"/>
  <c r="P3" i="21"/>
  <c r="AW1" i="1"/>
  <c r="AW3" i="1" s="1"/>
  <c r="Q2" i="21"/>
  <c r="AS261" i="1"/>
  <c r="AS699" i="1"/>
  <c r="AS89" i="1"/>
  <c r="AS258" i="1"/>
  <c r="AT5" i="1"/>
  <c r="AU39" i="1"/>
  <c r="AU29" i="1"/>
  <c r="AU18" i="1"/>
  <c r="AU24" i="1" s="1"/>
  <c r="AU132" i="1"/>
  <c r="AU636" i="1" s="1"/>
  <c r="AU637" i="1" s="1"/>
  <c r="AU739" i="1" s="1"/>
  <c r="AU765" i="1" s="1"/>
  <c r="AU31" i="1"/>
  <c r="AU38" i="1"/>
  <c r="AU20" i="1"/>
  <c r="AU26" i="1" s="1"/>
  <c r="AU17" i="1"/>
  <c r="AU23" i="1" s="1"/>
  <c r="AU40" i="1"/>
  <c r="AU33" i="1"/>
  <c r="AU19" i="1"/>
  <c r="AU25" i="1" s="1"/>
  <c r="AU32" i="1"/>
  <c r="AU30" i="1"/>
  <c r="AS379" i="1"/>
  <c r="AS354" i="1"/>
  <c r="CW354" i="1" s="1"/>
  <c r="AS321" i="1"/>
  <c r="W6" i="18"/>
  <c r="AR321" i="1"/>
  <c r="CW296" i="1"/>
  <c r="AU5" i="1"/>
  <c r="AV2" i="1"/>
  <c r="AW725" i="1" s="1"/>
  <c r="AV3" i="1"/>
  <c r="AF18" i="10"/>
  <c r="AH18" i="10" s="1"/>
  <c r="AH19" i="10" s="1"/>
  <c r="AH21" i="10" s="1"/>
  <c r="AH23" i="10" s="1"/>
  <c r="CW363" i="1"/>
  <c r="AE171" i="10"/>
  <c r="AH151" i="10"/>
  <c r="AH163" i="10" s="1"/>
  <c r="AE170" i="10"/>
  <c r="CW368" i="1"/>
  <c r="CV359" i="1"/>
  <c r="AT25" i="1"/>
  <c r="AT23" i="1"/>
  <c r="CW367" i="1"/>
  <c r="AT60" i="1"/>
  <c r="AT49" i="1" s="1"/>
  <c r="AT59" i="1"/>
  <c r="AT48" i="1" s="1"/>
  <c r="AT56" i="1"/>
  <c r="AT46" i="1" s="1"/>
  <c r="AT57" i="1"/>
  <c r="AT47" i="1" s="1"/>
  <c r="AT24" i="1"/>
  <c r="X4" i="18"/>
  <c r="CW362" i="1"/>
  <c r="CW763" i="1"/>
  <c r="W57" i="18"/>
  <c r="W58" i="18" s="1"/>
  <c r="AR154" i="1"/>
  <c r="Q4" i="18"/>
  <c r="R6" i="18"/>
  <c r="AZ207" i="10"/>
  <c r="AZ212" i="10" s="1"/>
  <c r="AJ183" i="10"/>
  <c r="AL180" i="10" s="1"/>
  <c r="AE28" i="10"/>
  <c r="AD27" i="10"/>
  <c r="AE27" i="10" s="1"/>
  <c r="AL198" i="10"/>
  <c r="AL206" i="10"/>
  <c r="AL30" i="10"/>
  <c r="AJ29" i="10"/>
  <c r="AK29" i="10" s="1"/>
  <c r="AL175" i="10"/>
  <c r="AJ213" i="10"/>
  <c r="AK208" i="10"/>
  <c r="AK213" i="10" s="1"/>
  <c r="AK30" i="10"/>
  <c r="R3" i="21" l="1"/>
  <c r="AX1" i="1"/>
  <c r="R2" i="21"/>
  <c r="AU296" i="1"/>
  <c r="P4" i="21"/>
  <c r="AT296" i="1"/>
  <c r="AT321" i="1" s="1"/>
  <c r="O4" i="21"/>
  <c r="AW2" i="1"/>
  <c r="AX725" i="1" s="1"/>
  <c r="AT112" i="1"/>
  <c r="Q3" i="21"/>
  <c r="AS380" i="1"/>
  <c r="N7" i="21" s="1"/>
  <c r="N6" i="21"/>
  <c r="AT111" i="1"/>
  <c r="AT790" i="1"/>
  <c r="AT86" i="1"/>
  <c r="AT113" i="1"/>
  <c r="AT810" i="1"/>
  <c r="AT88" i="1"/>
  <c r="AT809" i="1"/>
  <c r="AT109" i="1"/>
  <c r="AT808" i="1"/>
  <c r="AT97" i="1"/>
  <c r="AT87" i="1"/>
  <c r="AT118" i="1"/>
  <c r="AT811" i="1"/>
  <c r="AT84" i="1"/>
  <c r="AT117" i="1"/>
  <c r="AT787" i="1"/>
  <c r="AT791" i="1"/>
  <c r="AT110" i="1"/>
  <c r="AT93" i="1"/>
  <c r="AV38" i="1"/>
  <c r="AV20" i="1"/>
  <c r="AV26" i="1" s="1"/>
  <c r="AV29" i="1"/>
  <c r="AV33" i="1"/>
  <c r="AV19" i="1"/>
  <c r="AV25" i="1" s="1"/>
  <c r="AV39" i="1"/>
  <c r="AV32" i="1"/>
  <c r="AV18" i="1"/>
  <c r="AV132" i="1"/>
  <c r="AV636" i="1" s="1"/>
  <c r="AV637" i="1" s="1"/>
  <c r="AV739" i="1" s="1"/>
  <c r="AV765" i="1" s="1"/>
  <c r="AV31" i="1"/>
  <c r="AV17" i="1"/>
  <c r="AV23" i="1" s="1"/>
  <c r="AV40" i="1"/>
  <c r="AV30" i="1"/>
  <c r="AU354" i="1"/>
  <c r="AU379" i="1"/>
  <c r="AT379" i="1"/>
  <c r="AT354" i="1"/>
  <c r="X57" i="18"/>
  <c r="X58" i="18" s="1"/>
  <c r="AW132" i="1"/>
  <c r="AW636" i="1" s="1"/>
  <c r="AW637" i="1" s="1"/>
  <c r="AW739" i="1" s="1"/>
  <c r="AW765" i="1" s="1"/>
  <c r="AW38" i="1"/>
  <c r="AW31" i="1"/>
  <c r="AW45" i="1" s="1"/>
  <c r="AW20" i="1"/>
  <c r="AW17" i="1"/>
  <c r="AW33" i="1"/>
  <c r="AW40" i="1"/>
  <c r="AW30" i="1"/>
  <c r="AW44" i="1" s="1"/>
  <c r="AW19" i="1"/>
  <c r="AW39" i="1"/>
  <c r="AW32" i="1"/>
  <c r="AW29" i="1"/>
  <c r="AW43" i="1" s="1"/>
  <c r="AW18" i="1"/>
  <c r="AF19" i="10"/>
  <c r="AF21" i="10" s="1"/>
  <c r="AF23" i="10" s="1"/>
  <c r="AU97" i="1"/>
  <c r="AU791" i="1"/>
  <c r="AW5" i="1"/>
  <c r="AV24" i="1"/>
  <c r="AU788" i="1"/>
  <c r="P72" i="21" s="1"/>
  <c r="AH152" i="10"/>
  <c r="AH164" i="10" s="1"/>
  <c r="AU808" i="1"/>
  <c r="AU790" i="1"/>
  <c r="AU787" i="1"/>
  <c r="AU809" i="1"/>
  <c r="AU782" i="1"/>
  <c r="AU789" i="1"/>
  <c r="CX363" i="1"/>
  <c r="AU785" i="1"/>
  <c r="AU810" i="1"/>
  <c r="AU783" i="1"/>
  <c r="P73" i="21" s="1"/>
  <c r="AU811" i="1"/>
  <c r="CX367" i="1"/>
  <c r="CV374" i="1"/>
  <c r="AU321" i="1"/>
  <c r="CW372" i="1"/>
  <c r="CV375" i="1"/>
  <c r="X6" i="18"/>
  <c r="Y4" i="18"/>
  <c r="CW432" i="1"/>
  <c r="CX132" i="1"/>
  <c r="CX737" i="1"/>
  <c r="CX128" i="1"/>
  <c r="AV5" i="1"/>
  <c r="AQ212" i="1"/>
  <c r="P4" i="18"/>
  <c r="Q57" i="18"/>
  <c r="R57" i="18" s="1"/>
  <c r="S57" i="18" s="1"/>
  <c r="Q6" i="18"/>
  <c r="AJ158" i="10"/>
  <c r="AJ164" i="10" s="1"/>
  <c r="AL177" i="10"/>
  <c r="AM196" i="10"/>
  <c r="AM175" i="10" s="1"/>
  <c r="AL211" i="10"/>
  <c r="AL208" i="10"/>
  <c r="AL203" i="10"/>
  <c r="AL182" i="10"/>
  <c r="AL183" i="10" s="1"/>
  <c r="AN180" i="10"/>
  <c r="AM30" i="10"/>
  <c r="AO30" i="10" s="1"/>
  <c r="P74" i="21" l="1"/>
  <c r="AY1" i="1"/>
  <c r="AZ1" i="1" s="1"/>
  <c r="S2" i="21"/>
  <c r="AX2" i="1"/>
  <c r="AX3" i="1"/>
  <c r="AV296" i="1"/>
  <c r="AV379" i="1" s="1"/>
  <c r="Q4" i="21"/>
  <c r="AU380" i="1"/>
  <c r="P7" i="21" s="1"/>
  <c r="P6" i="21"/>
  <c r="AT380" i="1"/>
  <c r="O7" i="21" s="1"/>
  <c r="O6" i="21"/>
  <c r="AW296" i="1"/>
  <c r="AW354" i="1" s="1"/>
  <c r="R4" i="21"/>
  <c r="CX354" i="1"/>
  <c r="AF28" i="10"/>
  <c r="AF27" i="10" s="1"/>
  <c r="AH154" i="10"/>
  <c r="AH156" i="10" s="1"/>
  <c r="Y57" i="18"/>
  <c r="Y58" i="18" s="1"/>
  <c r="CX296" i="1"/>
  <c r="CY128" i="1"/>
  <c r="AW23" i="1"/>
  <c r="AW57" i="1"/>
  <c r="AW47" i="1" s="1"/>
  <c r="AW56" i="1"/>
  <c r="AW46" i="1" s="1"/>
  <c r="CY267" i="1"/>
  <c r="CY87" i="1" s="1"/>
  <c r="AW24" i="1"/>
  <c r="AW59" i="1"/>
  <c r="AW48" i="1" s="1"/>
  <c r="AW60" i="1"/>
  <c r="AW49" i="1" s="1"/>
  <c r="CY265" i="1"/>
  <c r="CY88" i="1" s="1"/>
  <c r="AW111" i="1"/>
  <c r="AW93" i="1"/>
  <c r="AW109" i="1"/>
  <c r="AW88" i="1"/>
  <c r="AW791" i="1"/>
  <c r="AW808" i="1"/>
  <c r="AW112" i="1"/>
  <c r="AW810" i="1"/>
  <c r="AW790" i="1"/>
  <c r="AW809" i="1"/>
  <c r="AW97" i="1"/>
  <c r="AW117" i="1"/>
  <c r="AW811" i="1"/>
  <c r="AW84" i="1"/>
  <c r="AW86" i="1"/>
  <c r="AW118" i="1"/>
  <c r="AW110" i="1"/>
  <c r="AW113" i="1"/>
  <c r="AW85" i="1"/>
  <c r="AW783" i="1"/>
  <c r="R73" i="21" s="1"/>
  <c r="AW89" i="1"/>
  <c r="AW785" i="1"/>
  <c r="AW841" i="1" s="1"/>
  <c r="AW782" i="1"/>
  <c r="AW788" i="1"/>
  <c r="R72" i="21" s="1"/>
  <c r="AW789" i="1"/>
  <c r="AW787" i="1"/>
  <c r="AW87" i="1"/>
  <c r="CY266" i="1"/>
  <c r="AW25" i="1"/>
  <c r="CX362" i="1"/>
  <c r="AW26" i="1"/>
  <c r="CX372" i="1"/>
  <c r="CX368" i="1"/>
  <c r="CY367" i="1"/>
  <c r="AV788" i="1"/>
  <c r="Q72" i="21" s="1"/>
  <c r="AV790" i="1"/>
  <c r="AV789" i="1"/>
  <c r="AV809" i="1"/>
  <c r="AV783" i="1"/>
  <c r="Q73" i="21" s="1"/>
  <c r="AV791" i="1"/>
  <c r="AV811" i="1"/>
  <c r="AV782" i="1"/>
  <c r="AV787" i="1"/>
  <c r="AV810" i="1"/>
  <c r="AV785" i="1"/>
  <c r="AV808" i="1"/>
  <c r="AV97" i="1"/>
  <c r="AG28" i="10"/>
  <c r="AH28" i="10" s="1"/>
  <c r="CV380" i="1"/>
  <c r="AJ165" i="10"/>
  <c r="Y6" i="18"/>
  <c r="Z4" i="18"/>
  <c r="T57" i="18"/>
  <c r="V58" i="18" s="1"/>
  <c r="AJ159" i="10"/>
  <c r="CW708" i="1"/>
  <c r="CW373" i="1"/>
  <c r="CW93" i="1"/>
  <c r="AJ163" i="10"/>
  <c r="AJ160" i="10"/>
  <c r="AJ162" i="10"/>
  <c r="AM162" i="10" s="1"/>
  <c r="AP162" i="10" s="1"/>
  <c r="AS162" i="10" s="1"/>
  <c r="AV162" i="10" s="1"/>
  <c r="AY162" i="10" s="1"/>
  <c r="AK158" i="10"/>
  <c r="AK162" i="10" s="1"/>
  <c r="CV321" i="1"/>
  <c r="CV379" i="1"/>
  <c r="AR6" i="21" s="1"/>
  <c r="CX763" i="1"/>
  <c r="O4" i="18"/>
  <c r="P6" i="18"/>
  <c r="P57" i="18"/>
  <c r="AN30" i="10"/>
  <c r="AN175" i="10"/>
  <c r="AM177" i="10"/>
  <c r="AL213" i="10"/>
  <c r="AP30" i="10"/>
  <c r="AR30" i="10" s="1"/>
  <c r="AM180" i="10"/>
  <c r="AL158" i="10"/>
  <c r="AM198" i="10"/>
  <c r="AM206" i="10"/>
  <c r="AN196" i="10"/>
  <c r="AW379" i="1" l="1"/>
  <c r="R6" i="21" s="1"/>
  <c r="AV354" i="1"/>
  <c r="AW321" i="1"/>
  <c r="R74" i="21"/>
  <c r="AV380" i="1"/>
  <c r="Q7" i="21" s="1"/>
  <c r="Q6" i="21"/>
  <c r="AW380" i="1"/>
  <c r="R7" i="21" s="1"/>
  <c r="Q74" i="21"/>
  <c r="S3" i="21"/>
  <c r="AX38" i="1"/>
  <c r="AX31" i="1"/>
  <c r="AX45" i="1" s="1"/>
  <c r="AX18" i="1"/>
  <c r="AX40" i="1"/>
  <c r="AX17" i="1"/>
  <c r="AX23" i="1" s="1"/>
  <c r="AX29" i="1"/>
  <c r="AX43" i="1" s="1"/>
  <c r="AX132" i="1"/>
  <c r="AX636" i="1" s="1"/>
  <c r="AX637" i="1" s="1"/>
  <c r="AX39" i="1"/>
  <c r="AX30" i="1"/>
  <c r="AX44" i="1" s="1"/>
  <c r="AX32" i="1"/>
  <c r="AX20" i="1"/>
  <c r="AX26" i="1" s="1"/>
  <c r="AX33" i="1"/>
  <c r="AX19" i="1"/>
  <c r="AR7" i="21"/>
  <c r="T2" i="21"/>
  <c r="CY354" i="1"/>
  <c r="Z57" i="18"/>
  <c r="Z58" i="18" s="1"/>
  <c r="AV321" i="1"/>
  <c r="CY296" i="1"/>
  <c r="CY368" i="1"/>
  <c r="CY362" i="1"/>
  <c r="CY363" i="1"/>
  <c r="AI28" i="10"/>
  <c r="AJ28" i="10" s="1"/>
  <c r="AK28" i="10" s="1"/>
  <c r="AK165" i="10"/>
  <c r="AG27" i="10"/>
  <c r="AH27" i="10" s="1"/>
  <c r="AK159" i="10"/>
  <c r="CY372" i="1"/>
  <c r="Z6" i="18"/>
  <c r="AA4" i="18"/>
  <c r="AA57" i="18" s="1"/>
  <c r="U58" i="18"/>
  <c r="AK163" i="10"/>
  <c r="AL163" i="10" s="1"/>
  <c r="AM163" i="10" s="1"/>
  <c r="AK164" i="10"/>
  <c r="CY132" i="1"/>
  <c r="CY737" i="1"/>
  <c r="AY3" i="1"/>
  <c r="AY2" i="1"/>
  <c r="AR212" i="1"/>
  <c r="N4" i="18"/>
  <c r="P58" i="18"/>
  <c r="Q58" i="18"/>
  <c r="R58" i="18" s="1"/>
  <c r="S58" i="18" s="1"/>
  <c r="T58" i="18" s="1"/>
  <c r="AQ30" i="10"/>
  <c r="AL150" i="10"/>
  <c r="AL159" i="10"/>
  <c r="AL160" i="10"/>
  <c r="AL165" i="10"/>
  <c r="AM211" i="10"/>
  <c r="AM208" i="10"/>
  <c r="AM203" i="10"/>
  <c r="AM182" i="10"/>
  <c r="AN182" i="10" s="1"/>
  <c r="AN183" i="10" s="1"/>
  <c r="AN198" i="10"/>
  <c r="AN203" i="10" s="1"/>
  <c r="AS30" i="10"/>
  <c r="AU30" i="10" s="1"/>
  <c r="AN201" i="10"/>
  <c r="AN206" i="10"/>
  <c r="AN211" i="10" s="1"/>
  <c r="AN177" i="10"/>
  <c r="AO196" i="10"/>
  <c r="AO175" i="10" s="1"/>
  <c r="U2" i="21" l="1"/>
  <c r="T3" i="21"/>
  <c r="AX56" i="1"/>
  <c r="AX46" i="1" s="1"/>
  <c r="AX25" i="1"/>
  <c r="AX57" i="1"/>
  <c r="AX47" i="1" s="1"/>
  <c r="AX59" i="1"/>
  <c r="AX48" i="1" s="1"/>
  <c r="AX60" i="1"/>
  <c r="AX49" i="1" s="1"/>
  <c r="AX24" i="1"/>
  <c r="AI27" i="10"/>
  <c r="AA58" i="18"/>
  <c r="CY321" i="1"/>
  <c r="AX5" i="1"/>
  <c r="CZ80" i="1"/>
  <c r="AY39" i="1"/>
  <c r="AY32" i="1"/>
  <c r="AY56" i="1" s="1"/>
  <c r="AY29" i="1"/>
  <c r="AY18" i="1"/>
  <c r="CZ18" i="1" s="1"/>
  <c r="AY31" i="1"/>
  <c r="AY20" i="1"/>
  <c r="CZ20" i="1" s="1"/>
  <c r="AY40" i="1"/>
  <c r="AY33" i="1"/>
  <c r="AY57" i="1" s="1"/>
  <c r="AY30" i="1"/>
  <c r="AY19" i="1"/>
  <c r="AY132" i="1"/>
  <c r="AY38" i="1"/>
  <c r="CZ38" i="1" s="1"/>
  <c r="AY17" i="1"/>
  <c r="CZ17" i="1" s="1"/>
  <c r="CZ363" i="1"/>
  <c r="CZ362" i="1"/>
  <c r="CZ367" i="1"/>
  <c r="CZ368" i="1"/>
  <c r="CY373" i="1"/>
  <c r="AA6" i="18"/>
  <c r="AB6" i="18" s="1"/>
  <c r="AD4" i="18"/>
  <c r="AL151" i="10"/>
  <c r="AL18" i="10" s="1"/>
  <c r="CZ253" i="1"/>
  <c r="CZ229" i="1"/>
  <c r="CZ254" i="1"/>
  <c r="CZ235" i="1"/>
  <c r="AY5" i="1"/>
  <c r="T4" i="21" s="1"/>
  <c r="CZ236" i="1"/>
  <c r="CZ222" i="1"/>
  <c r="CZ247" i="1"/>
  <c r="CZ223" i="1"/>
  <c r="CZ248" i="1"/>
  <c r="CZ224" i="1"/>
  <c r="CZ249" i="1"/>
  <c r="CZ227" i="1"/>
  <c r="CZ252" i="1"/>
  <c r="CZ228" i="1"/>
  <c r="CY763" i="1"/>
  <c r="AZ3" i="1"/>
  <c r="AZ132" i="1" s="1"/>
  <c r="BA1" i="1"/>
  <c r="AZ2" i="1"/>
  <c r="M4" i="18"/>
  <c r="AO198" i="10"/>
  <c r="AO206" i="10"/>
  <c r="AJ27" i="10"/>
  <c r="AK27" i="10" s="1"/>
  <c r="AM213" i="10"/>
  <c r="AN208" i="10"/>
  <c r="AN213" i="10" s="1"/>
  <c r="AO177" i="10"/>
  <c r="AP196" i="10"/>
  <c r="AL17" i="10"/>
  <c r="AV30" i="10"/>
  <c r="AX30" i="10" s="1"/>
  <c r="AT30" i="10"/>
  <c r="AM183" i="10"/>
  <c r="U3" i="21" l="1"/>
  <c r="AX84" i="1"/>
  <c r="S4" i="21"/>
  <c r="V2" i="21"/>
  <c r="AY109" i="1"/>
  <c r="AY111" i="1"/>
  <c r="AY296" i="1"/>
  <c r="AY110" i="1"/>
  <c r="AY85" i="1"/>
  <c r="AY84" i="1"/>
  <c r="AY86" i="1"/>
  <c r="AX787" i="1"/>
  <c r="AX97" i="1"/>
  <c r="AX112" i="1"/>
  <c r="AX93" i="1"/>
  <c r="AX783" i="1"/>
  <c r="S73" i="21" s="1"/>
  <c r="AX87" i="1"/>
  <c r="AX88" i="1"/>
  <c r="AX113" i="1"/>
  <c r="AX86" i="1"/>
  <c r="AX110" i="1"/>
  <c r="AX782" i="1"/>
  <c r="AX89" i="1"/>
  <c r="AX810" i="1"/>
  <c r="AX809" i="1"/>
  <c r="AX109" i="1"/>
  <c r="AX788" i="1"/>
  <c r="S72" i="21" s="1"/>
  <c r="AX785" i="1"/>
  <c r="AX841" i="1" s="1"/>
  <c r="AX811" i="1"/>
  <c r="AX85" i="1"/>
  <c r="AX808" i="1"/>
  <c r="AX118" i="1"/>
  <c r="AX117" i="1"/>
  <c r="AX789" i="1"/>
  <c r="AX791" i="1"/>
  <c r="AX111" i="1"/>
  <c r="AX296" i="1"/>
  <c r="AX321" i="1" s="1"/>
  <c r="AZ40" i="1"/>
  <c r="AZ33" i="1"/>
  <c r="AZ30" i="1"/>
  <c r="AZ19" i="1"/>
  <c r="AZ39" i="1"/>
  <c r="AZ38" i="1"/>
  <c r="AZ31" i="1"/>
  <c r="AZ20" i="1"/>
  <c r="AZ26" i="1" s="1"/>
  <c r="AZ17" i="1"/>
  <c r="AZ23" i="1" s="1"/>
  <c r="AZ32" i="1"/>
  <c r="AZ29" i="1"/>
  <c r="AZ18" i="1"/>
  <c r="AZ24" i="1" s="1"/>
  <c r="BB111" i="1"/>
  <c r="BC111" i="1" s="1"/>
  <c r="BD111" i="1" s="1"/>
  <c r="BE111" i="1" s="1"/>
  <c r="BF111" i="1" s="1"/>
  <c r="BG111" i="1" s="1"/>
  <c r="BH111" i="1" s="1"/>
  <c r="BI111" i="1" s="1"/>
  <c r="BJ111" i="1" s="1"/>
  <c r="BK111" i="1" s="1"/>
  <c r="BL111" i="1" s="1"/>
  <c r="BM111" i="1" s="1"/>
  <c r="BN111" i="1" s="1"/>
  <c r="BO111" i="1" s="1"/>
  <c r="BP111" i="1" s="1"/>
  <c r="BQ111" i="1" s="1"/>
  <c r="CZ372" i="1"/>
  <c r="AY737" i="1"/>
  <c r="CZ737" i="1" s="1"/>
  <c r="AL152" i="10"/>
  <c r="AL154" i="10" s="1"/>
  <c r="AY26" i="1"/>
  <c r="CZ26" i="1" s="1"/>
  <c r="CZ132" i="1"/>
  <c r="AY25" i="1"/>
  <c r="CZ25" i="1" s="1"/>
  <c r="CZ19" i="1"/>
  <c r="CZ30" i="1"/>
  <c r="CZ33" i="1"/>
  <c r="CZ31" i="1"/>
  <c r="CZ29" i="1"/>
  <c r="CZ40" i="1"/>
  <c r="CZ128" i="1"/>
  <c r="CZ32" i="1"/>
  <c r="CZ39" i="1"/>
  <c r="BA3" i="1"/>
  <c r="BA2" i="1"/>
  <c r="C9" i="2" s="1"/>
  <c r="BB1" i="1"/>
  <c r="AY23" i="1"/>
  <c r="CZ23" i="1" s="1"/>
  <c r="AY64" i="1"/>
  <c r="AY24" i="1"/>
  <c r="CZ24" i="1" s="1"/>
  <c r="L4" i="18"/>
  <c r="AW30" i="10"/>
  <c r="AY30" i="10"/>
  <c r="AZ30" i="10" s="1"/>
  <c r="AL19" i="10"/>
  <c r="AP198" i="10"/>
  <c r="AQ198" i="10" s="1"/>
  <c r="AQ203" i="10" s="1"/>
  <c r="AP206" i="10"/>
  <c r="AO208" i="10"/>
  <c r="AO211" i="10"/>
  <c r="AO180" i="10"/>
  <c r="AM158" i="10"/>
  <c r="AP175" i="10"/>
  <c r="AO203" i="10"/>
  <c r="AO182" i="10"/>
  <c r="AQ196" i="10"/>
  <c r="L14" i="2" l="1"/>
  <c r="L71" i="2" s="1"/>
  <c r="W2" i="21"/>
  <c r="V3" i="21"/>
  <c r="S74" i="21"/>
  <c r="L39" i="2"/>
  <c r="L37" i="2"/>
  <c r="L79" i="2"/>
  <c r="L22" i="2"/>
  <c r="L59" i="2"/>
  <c r="L54" i="2"/>
  <c r="L68" i="2"/>
  <c r="L38" i="2"/>
  <c r="L47" i="2"/>
  <c r="L48" i="2"/>
  <c r="L20" i="2"/>
  <c r="AX379" i="1"/>
  <c r="AX354" i="1"/>
  <c r="BA128" i="1"/>
  <c r="BA737" i="1" s="1"/>
  <c r="BA40" i="1"/>
  <c r="DA40" i="1" s="1"/>
  <c r="BA33" i="1"/>
  <c r="BA57" i="1" s="1"/>
  <c r="BA30" i="1"/>
  <c r="BA44" i="1" s="1"/>
  <c r="BA19" i="1"/>
  <c r="DA19" i="1" s="1"/>
  <c r="BA32" i="1"/>
  <c r="BA56" i="1" s="1"/>
  <c r="BA80" i="1"/>
  <c r="DA80" i="1" s="1"/>
  <c r="BA29" i="1"/>
  <c r="BA132" i="1"/>
  <c r="BA38" i="1"/>
  <c r="DA38" i="1" s="1"/>
  <c r="BA31" i="1"/>
  <c r="BA54" i="1" s="1"/>
  <c r="BA20" i="1"/>
  <c r="BA17" i="1"/>
  <c r="DA17" i="1" s="1"/>
  <c r="BA18" i="1"/>
  <c r="DA18" i="1" s="1"/>
  <c r="BA39" i="1"/>
  <c r="DA39" i="1" s="1"/>
  <c r="AL164" i="10"/>
  <c r="CZ373" i="1"/>
  <c r="DA224" i="1"/>
  <c r="BA5" i="1"/>
  <c r="V4" i="21" s="1"/>
  <c r="DA228" i="1"/>
  <c r="DA229" i="1"/>
  <c r="DA254" i="1"/>
  <c r="DA253" i="1"/>
  <c r="DA235" i="1"/>
  <c r="DA236" i="1"/>
  <c r="DA223" i="1"/>
  <c r="DA248" i="1"/>
  <c r="DA247" i="1"/>
  <c r="DA222" i="1"/>
  <c r="DA227" i="1"/>
  <c r="DA252" i="1"/>
  <c r="DA249" i="1"/>
  <c r="AZ737" i="1"/>
  <c r="CZ763" i="1"/>
  <c r="AZ56" i="1"/>
  <c r="AZ57" i="1"/>
  <c r="BB3" i="1"/>
  <c r="BC1" i="1"/>
  <c r="BB2" i="1"/>
  <c r="AZ25" i="1"/>
  <c r="AZ64" i="1"/>
  <c r="AZ5" i="1"/>
  <c r="K4" i="18"/>
  <c r="AQ201" i="10"/>
  <c r="AQ206" i="10"/>
  <c r="AQ211" i="10" s="1"/>
  <c r="AQ175" i="10"/>
  <c r="AP177" i="10"/>
  <c r="AO183" i="10"/>
  <c r="AQ180" i="10"/>
  <c r="AL155" i="10"/>
  <c r="AL156" i="10" s="1"/>
  <c r="AL7" i="10" s="1"/>
  <c r="AO213" i="10"/>
  <c r="AL21" i="10"/>
  <c r="AL28" i="10"/>
  <c r="AP211" i="10"/>
  <c r="AP208" i="10"/>
  <c r="AP213" i="10" s="1"/>
  <c r="AM151" i="10"/>
  <c r="AM160" i="10"/>
  <c r="AM159" i="10"/>
  <c r="AM150" i="10"/>
  <c r="AM165" i="10"/>
  <c r="AN158" i="10"/>
  <c r="AP203" i="10"/>
  <c r="AP182" i="10"/>
  <c r="AQ182" i="10" s="1"/>
  <c r="L30" i="2" l="1"/>
  <c r="K14" i="2"/>
  <c r="K71" i="2" s="1"/>
  <c r="U4" i="21"/>
  <c r="AZ109" i="1"/>
  <c r="AZ111" i="1"/>
  <c r="AZ296" i="1"/>
  <c r="AZ110" i="1"/>
  <c r="BA110" i="1" s="1"/>
  <c r="BB110" i="1" s="1"/>
  <c r="BC110" i="1" s="1"/>
  <c r="BD110" i="1" s="1"/>
  <c r="BE110" i="1" s="1"/>
  <c r="BF110" i="1" s="1"/>
  <c r="BG110" i="1" s="1"/>
  <c r="BH110" i="1" s="1"/>
  <c r="BI110" i="1" s="1"/>
  <c r="BJ110" i="1" s="1"/>
  <c r="BK110" i="1" s="1"/>
  <c r="BL110" i="1" s="1"/>
  <c r="BM110" i="1" s="1"/>
  <c r="BN110" i="1" s="1"/>
  <c r="BO110" i="1" s="1"/>
  <c r="BP110" i="1" s="1"/>
  <c r="BQ110" i="1" s="1"/>
  <c r="AZ85" i="1"/>
  <c r="AZ117" i="1"/>
  <c r="AZ118" i="1"/>
  <c r="AZ84" i="1"/>
  <c r="AZ112" i="1"/>
  <c r="AZ89" i="1"/>
  <c r="AZ86" i="1"/>
  <c r="AZ113" i="1"/>
  <c r="K54" i="2"/>
  <c r="K30" i="2"/>
  <c r="X2" i="21"/>
  <c r="W3" i="21"/>
  <c r="AX380" i="1"/>
  <c r="S7" i="21" s="1"/>
  <c r="S6" i="21"/>
  <c r="K47" i="2"/>
  <c r="BA52" i="1"/>
  <c r="BA53" i="1"/>
  <c r="BB80" i="1"/>
  <c r="BB132" i="1"/>
  <c r="BB38" i="1"/>
  <c r="BB31" i="1"/>
  <c r="BB20" i="1"/>
  <c r="BB26" i="1" s="1"/>
  <c r="BB17" i="1"/>
  <c r="BB23" i="1" s="1"/>
  <c r="BB30" i="1"/>
  <c r="BB44" i="1" s="1"/>
  <c r="BB19" i="1"/>
  <c r="BB33" i="1"/>
  <c r="BB39" i="1"/>
  <c r="BB32" i="1"/>
  <c r="BB29" i="1"/>
  <c r="BB43" i="1" s="1"/>
  <c r="BB18" i="1"/>
  <c r="BB24" i="1" s="1"/>
  <c r="BB128" i="1"/>
  <c r="BB40" i="1"/>
  <c r="DA132" i="1"/>
  <c r="DA737" i="1"/>
  <c r="DA30" i="1"/>
  <c r="BA26" i="1"/>
  <c r="DA26" i="1" s="1"/>
  <c r="DA20" i="1"/>
  <c r="DA32" i="1"/>
  <c r="DA29" i="1"/>
  <c r="DA31" i="1"/>
  <c r="DA33" i="1"/>
  <c r="DA128" i="1"/>
  <c r="BA25" i="1"/>
  <c r="DA25" i="1" s="1"/>
  <c r="BC3" i="1"/>
  <c r="BC2" i="1"/>
  <c r="BD1" i="1"/>
  <c r="BA23" i="1"/>
  <c r="DA23" i="1" s="1"/>
  <c r="BA24" i="1"/>
  <c r="DA24" i="1" s="1"/>
  <c r="BA64" i="1"/>
  <c r="J4" i="18"/>
  <c r="AM152" i="10"/>
  <c r="AM17" i="10"/>
  <c r="AN150" i="10"/>
  <c r="AL13" i="10"/>
  <c r="AL8" i="10"/>
  <c r="AL22" i="10"/>
  <c r="AQ177" i="10"/>
  <c r="AR196" i="10"/>
  <c r="AN159" i="10"/>
  <c r="AN165" i="10"/>
  <c r="AQ208" i="10"/>
  <c r="AQ213" i="10" s="1"/>
  <c r="AQ183" i="10"/>
  <c r="AM18" i="10"/>
  <c r="AN18" i="10" s="1"/>
  <c r="AN151" i="10"/>
  <c r="AN163" i="10" s="1"/>
  <c r="AO163" i="10" s="1"/>
  <c r="AP163" i="10" s="1"/>
  <c r="AP180" i="10"/>
  <c r="AP183" i="10" s="1"/>
  <c r="AR180" i="10" s="1"/>
  <c r="AO158" i="10"/>
  <c r="K79" i="2" l="1"/>
  <c r="K22" i="2"/>
  <c r="K59" i="2"/>
  <c r="K20" i="2"/>
  <c r="K21" i="2" s="1"/>
  <c r="K39" i="2"/>
  <c r="K37" i="2"/>
  <c r="J14" i="2"/>
  <c r="K68" i="2"/>
  <c r="K48" i="2"/>
  <c r="K38" i="2"/>
  <c r="AZ321" i="1"/>
  <c r="AZ319" i="1"/>
  <c r="AZ322" i="1" s="1"/>
  <c r="X3" i="21"/>
  <c r="Y2" i="21"/>
  <c r="BC132" i="1"/>
  <c r="BC38" i="1"/>
  <c r="DB38" i="1" s="1"/>
  <c r="BC31" i="1"/>
  <c r="BC54" i="1" s="1"/>
  <c r="BC20" i="1"/>
  <c r="BC17" i="1"/>
  <c r="BC18" i="1"/>
  <c r="DB18" i="1" s="1"/>
  <c r="BC40" i="1"/>
  <c r="DB40" i="1" s="1"/>
  <c r="BC80" i="1"/>
  <c r="DB80" i="1" s="1"/>
  <c r="BC33" i="1"/>
  <c r="BC57" i="1" s="1"/>
  <c r="BC39" i="1"/>
  <c r="DB39" i="1" s="1"/>
  <c r="BC32" i="1"/>
  <c r="BC56" i="1" s="1"/>
  <c r="BC29" i="1"/>
  <c r="BC19" i="1"/>
  <c r="DB19" i="1" s="1"/>
  <c r="BC128" i="1"/>
  <c r="BC737" i="1" s="1"/>
  <c r="BC30" i="1"/>
  <c r="DB236" i="1"/>
  <c r="DB254" i="1"/>
  <c r="DB224" i="1"/>
  <c r="DB249" i="1"/>
  <c r="DB229" i="1"/>
  <c r="DB228" i="1"/>
  <c r="DB253" i="1"/>
  <c r="DB235" i="1"/>
  <c r="DB223" i="1"/>
  <c r="DB248" i="1"/>
  <c r="DB222" i="1"/>
  <c r="DB247" i="1"/>
  <c r="DB227" i="1"/>
  <c r="DB252" i="1"/>
  <c r="BB54" i="1"/>
  <c r="BB52" i="1"/>
  <c r="BB53" i="1"/>
  <c r="BB56" i="1"/>
  <c r="BB57" i="1"/>
  <c r="BB737" i="1"/>
  <c r="DA763" i="1"/>
  <c r="BB5" i="1"/>
  <c r="BD3" i="1"/>
  <c r="BE1" i="1"/>
  <c r="BD2" i="1"/>
  <c r="BB64" i="1"/>
  <c r="BC5" i="1"/>
  <c r="X4" i="21" s="1"/>
  <c r="BB25" i="1"/>
  <c r="I4" i="18"/>
  <c r="AP158" i="10"/>
  <c r="AP160" i="10" s="1"/>
  <c r="AL14" i="10"/>
  <c r="AL10" i="10"/>
  <c r="AT180" i="10"/>
  <c r="AR198" i="10"/>
  <c r="AR206" i="10"/>
  <c r="AN152" i="10"/>
  <c r="AN162" i="10"/>
  <c r="AL23" i="10"/>
  <c r="AM19" i="10"/>
  <c r="AN17" i="10"/>
  <c r="AN19" i="10" s="1"/>
  <c r="AN21" i="10" s="1"/>
  <c r="AO159" i="10"/>
  <c r="AO150" i="10"/>
  <c r="AO160" i="10"/>
  <c r="AO151" i="10"/>
  <c r="AO165" i="10"/>
  <c r="AR175" i="10"/>
  <c r="AM154" i="10"/>
  <c r="AM164" i="10"/>
  <c r="J22" i="2" l="1"/>
  <c r="J20" i="2"/>
  <c r="J21" i="2" s="1"/>
  <c r="I14" i="2"/>
  <c r="J38" i="2"/>
  <c r="J48" i="2"/>
  <c r="J54" i="2"/>
  <c r="J30" i="2"/>
  <c r="J39" i="2"/>
  <c r="J47" i="2"/>
  <c r="J71" i="2"/>
  <c r="J59" i="2"/>
  <c r="J68" i="2"/>
  <c r="J79" i="2"/>
  <c r="J37" i="2"/>
  <c r="W4" i="21"/>
  <c r="L21" i="2"/>
  <c r="Z2" i="21"/>
  <c r="Y3" i="21"/>
  <c r="BC44" i="1"/>
  <c r="BC53" i="1" s="1"/>
  <c r="BC43" i="1"/>
  <c r="BC52" i="1" s="1"/>
  <c r="BD18" i="1"/>
  <c r="BD24" i="1" s="1"/>
  <c r="BD132" i="1"/>
  <c r="BD39" i="1"/>
  <c r="BD32" i="1"/>
  <c r="BD29" i="1"/>
  <c r="BD31" i="1"/>
  <c r="BD128" i="1"/>
  <c r="BD40" i="1"/>
  <c r="BD33" i="1"/>
  <c r="BD30" i="1"/>
  <c r="BD44" i="1" s="1"/>
  <c r="BD19" i="1"/>
  <c r="BD25" i="1" s="1"/>
  <c r="BD80" i="1"/>
  <c r="BD38" i="1"/>
  <c r="BD20" i="1"/>
  <c r="BD17" i="1"/>
  <c r="AP150" i="10"/>
  <c r="AP17" i="10" s="1"/>
  <c r="AP159" i="10"/>
  <c r="AP151" i="10"/>
  <c r="AP18" i="10" s="1"/>
  <c r="AQ158" i="10"/>
  <c r="AQ159" i="10" s="1"/>
  <c r="AP165" i="10"/>
  <c r="DB132" i="1"/>
  <c r="DB737" i="1"/>
  <c r="BC25" i="1"/>
  <c r="DB25" i="1" s="1"/>
  <c r="BC23" i="1"/>
  <c r="DB23" i="1" s="1"/>
  <c r="DB17" i="1"/>
  <c r="DB128" i="1"/>
  <c r="DB32" i="1"/>
  <c r="BC26" i="1"/>
  <c r="DB26" i="1" s="1"/>
  <c r="DB20" i="1"/>
  <c r="DB30" i="1"/>
  <c r="DB33" i="1"/>
  <c r="DB29" i="1"/>
  <c r="DB31" i="1"/>
  <c r="BE3" i="1"/>
  <c r="BE2" i="1"/>
  <c r="BF1" i="1"/>
  <c r="BC64" i="1"/>
  <c r="BC24" i="1"/>
  <c r="DB24" i="1" s="1"/>
  <c r="H4" i="18"/>
  <c r="AR177" i="10"/>
  <c r="AS196" i="10"/>
  <c r="AM21" i="10"/>
  <c r="AM28" i="10"/>
  <c r="AR203" i="10"/>
  <c r="AR182" i="10"/>
  <c r="AQ150" i="10"/>
  <c r="AO152" i="10"/>
  <c r="AO17" i="10"/>
  <c r="AN164" i="10"/>
  <c r="AN154" i="10"/>
  <c r="AL35" i="10"/>
  <c r="AL15" i="10"/>
  <c r="BO11" i="10"/>
  <c r="BO12" i="10"/>
  <c r="AO18" i="10"/>
  <c r="AR208" i="10"/>
  <c r="AR211" i="10"/>
  <c r="AM155" i="10"/>
  <c r="I38" i="2" l="1"/>
  <c r="I35" i="2"/>
  <c r="I22" i="2"/>
  <c r="I62" i="2"/>
  <c r="I39" i="2"/>
  <c r="I74" i="2"/>
  <c r="I60" i="2"/>
  <c r="I72" i="2"/>
  <c r="I47" i="2"/>
  <c r="I65" i="2"/>
  <c r="H14" i="2"/>
  <c r="I30" i="2"/>
  <c r="I68" i="2"/>
  <c r="I46" i="2"/>
  <c r="I66" i="2"/>
  <c r="I36" i="2"/>
  <c r="I37" i="2"/>
  <c r="I59" i="2"/>
  <c r="I51" i="2"/>
  <c r="I24" i="2"/>
  <c r="I79" i="2"/>
  <c r="I20" i="2"/>
  <c r="I21" i="2" s="1"/>
  <c r="I69" i="2"/>
  <c r="I70" i="2" s="1"/>
  <c r="I71" i="2"/>
  <c r="I54" i="2"/>
  <c r="I48" i="2"/>
  <c r="I34" i="2"/>
  <c r="Z3" i="21"/>
  <c r="AA2" i="21"/>
  <c r="BE39" i="1"/>
  <c r="DC39" i="1" s="1"/>
  <c r="BE32" i="1"/>
  <c r="BE56" i="1" s="1"/>
  <c r="BE29" i="1"/>
  <c r="BE52" i="1" s="1"/>
  <c r="BE18" i="1"/>
  <c r="BE20" i="1"/>
  <c r="DC20" i="1" s="1"/>
  <c r="BE38" i="1"/>
  <c r="DC38" i="1" s="1"/>
  <c r="BE128" i="1"/>
  <c r="BE737" i="1" s="1"/>
  <c r="BE40" i="1"/>
  <c r="DC40" i="1" s="1"/>
  <c r="BE33" i="1"/>
  <c r="BE57" i="1" s="1"/>
  <c r="BE30" i="1"/>
  <c r="BE19" i="1"/>
  <c r="DC19" i="1" s="1"/>
  <c r="BE80" i="1"/>
  <c r="DC80" i="1" s="1"/>
  <c r="BE132" i="1"/>
  <c r="BE31" i="1"/>
  <c r="BE54" i="1" s="1"/>
  <c r="BE17" i="1"/>
  <c r="DC17" i="1" s="1"/>
  <c r="AQ18" i="10"/>
  <c r="AQ151" i="10"/>
  <c r="AQ163" i="10" s="1"/>
  <c r="AR163" i="10" s="1"/>
  <c r="AS163" i="10" s="1"/>
  <c r="AP19" i="10"/>
  <c r="AP21" i="10" s="1"/>
  <c r="AP152" i="10"/>
  <c r="AP164" i="10" s="1"/>
  <c r="DC227" i="1"/>
  <c r="AQ165" i="10"/>
  <c r="DC236" i="1"/>
  <c r="DC228" i="1"/>
  <c r="DC253" i="1"/>
  <c r="DC248" i="1"/>
  <c r="DB763" i="1"/>
  <c r="DC252" i="1"/>
  <c r="DC235" i="1"/>
  <c r="DC223" i="1"/>
  <c r="DC254" i="1"/>
  <c r="DC222" i="1"/>
  <c r="DC247" i="1"/>
  <c r="DC224" i="1"/>
  <c r="DC249" i="1"/>
  <c r="DC229" i="1"/>
  <c r="BD57" i="1"/>
  <c r="BD56" i="1"/>
  <c r="BD54" i="1"/>
  <c r="BD53" i="1"/>
  <c r="BD737" i="1"/>
  <c r="BD52" i="1"/>
  <c r="BF3" i="1"/>
  <c r="BF2" i="1"/>
  <c r="BG1" i="1"/>
  <c r="BD26" i="1"/>
  <c r="BD5" i="1"/>
  <c r="Y4" i="21" s="1"/>
  <c r="BE5" i="1"/>
  <c r="Z4" i="21" s="1"/>
  <c r="BD23" i="1"/>
  <c r="BD64" i="1"/>
  <c r="G4" i="18"/>
  <c r="AM22" i="10"/>
  <c r="AN22" i="10" s="1"/>
  <c r="AN23" i="10" s="1"/>
  <c r="AN155" i="10"/>
  <c r="AN156" i="10" s="1"/>
  <c r="AR183" i="10"/>
  <c r="AO19" i="10"/>
  <c r="AO21" i="10" s="1"/>
  <c r="AQ17" i="10"/>
  <c r="AS198" i="10"/>
  <c r="AS206" i="10"/>
  <c r="AT196" i="10"/>
  <c r="AR213" i="10"/>
  <c r="AL33" i="10"/>
  <c r="AL34" i="10" s="1"/>
  <c r="AO164" i="10"/>
  <c r="AO154" i="10"/>
  <c r="AS175" i="10"/>
  <c r="AM156" i="10"/>
  <c r="AM7" i="10" s="1"/>
  <c r="AQ162" i="10"/>
  <c r="AN28" i="10"/>
  <c r="I67" i="2" l="1"/>
  <c r="I63" i="2"/>
  <c r="I73" i="2"/>
  <c r="AP154" i="10"/>
  <c r="AA3" i="21"/>
  <c r="AB2" i="21"/>
  <c r="AQ152" i="10"/>
  <c r="AQ154" i="10" s="1"/>
  <c r="AQ19" i="10"/>
  <c r="AQ21" i="10" s="1"/>
  <c r="BE44" i="1"/>
  <c r="BE53" i="1" s="1"/>
  <c r="BF19" i="1"/>
  <c r="BF25" i="1" s="1"/>
  <c r="BF29" i="1"/>
  <c r="BF128" i="1"/>
  <c r="BF40" i="1"/>
  <c r="BF33" i="1"/>
  <c r="BF30" i="1"/>
  <c r="BF44" i="1" s="1"/>
  <c r="BF80" i="1"/>
  <c r="BF32" i="1"/>
  <c r="BF132" i="1"/>
  <c r="BF38" i="1"/>
  <c r="BF31" i="1"/>
  <c r="BF20" i="1"/>
  <c r="BF26" i="1" s="1"/>
  <c r="BF17" i="1"/>
  <c r="BF39" i="1"/>
  <c r="BF18" i="1"/>
  <c r="DC132" i="1"/>
  <c r="DC737" i="1"/>
  <c r="BE23" i="1"/>
  <c r="DC23" i="1" s="1"/>
  <c r="DC29" i="1"/>
  <c r="DC30" i="1"/>
  <c r="DC31" i="1"/>
  <c r="DC33" i="1"/>
  <c r="BE24" i="1"/>
  <c r="DC24" i="1" s="1"/>
  <c r="DC18" i="1"/>
  <c r="DC128" i="1"/>
  <c r="DC32" i="1"/>
  <c r="BE25" i="1"/>
  <c r="DC25" i="1" s="1"/>
  <c r="BG3" i="1"/>
  <c r="BG2" i="1"/>
  <c r="BH1" i="1"/>
  <c r="BE64" i="1"/>
  <c r="BE26" i="1"/>
  <c r="DC26" i="1" s="1"/>
  <c r="F4" i="18"/>
  <c r="AM23" i="10"/>
  <c r="AO155" i="10"/>
  <c r="AS180" i="10"/>
  <c r="AR158" i="10"/>
  <c r="AP155" i="10"/>
  <c r="AP22" i="10" s="1"/>
  <c r="AP23" i="10" s="1"/>
  <c r="AT201" i="10"/>
  <c r="AT206" i="10"/>
  <c r="AT211" i="10" s="1"/>
  <c r="AO28" i="10"/>
  <c r="AM13" i="10"/>
  <c r="AM8" i="10"/>
  <c r="AN7" i="10"/>
  <c r="AN13" i="10" s="1"/>
  <c r="AL31" i="10"/>
  <c r="AS208" i="10"/>
  <c r="AS211" i="10"/>
  <c r="AS177" i="10"/>
  <c r="AT175" i="10"/>
  <c r="AS203" i="10"/>
  <c r="AS182" i="10"/>
  <c r="AT182" i="10" s="1"/>
  <c r="AT183" i="10" s="1"/>
  <c r="AT198" i="10"/>
  <c r="AT203" i="10" s="1"/>
  <c r="I61" i="2" l="1"/>
  <c r="I64" i="2"/>
  <c r="AB3" i="21"/>
  <c r="AC2" i="21"/>
  <c r="AQ164" i="10"/>
  <c r="BG128" i="1"/>
  <c r="BG737" i="1" s="1"/>
  <c r="BG40" i="1"/>
  <c r="DD40" i="1" s="1"/>
  <c r="BG33" i="1"/>
  <c r="BG57" i="1" s="1"/>
  <c r="BG30" i="1"/>
  <c r="BG19" i="1"/>
  <c r="BG29" i="1"/>
  <c r="BG52" i="1" s="1"/>
  <c r="BG80" i="1"/>
  <c r="DD80" i="1" s="1"/>
  <c r="BG17" i="1"/>
  <c r="BG132" i="1"/>
  <c r="BG38" i="1"/>
  <c r="DD38" i="1" s="1"/>
  <c r="BG31" i="1"/>
  <c r="BG54" i="1" s="1"/>
  <c r="BG20" i="1"/>
  <c r="DD20" i="1" s="1"/>
  <c r="BG39" i="1"/>
  <c r="DD39" i="1" s="1"/>
  <c r="BG32" i="1"/>
  <c r="BG56" i="1" s="1"/>
  <c r="BG18" i="1"/>
  <c r="DD18" i="1" s="1"/>
  <c r="DD254" i="1"/>
  <c r="BG5" i="1"/>
  <c r="AB4" i="21" s="1"/>
  <c r="DD235" i="1"/>
  <c r="DD229" i="1"/>
  <c r="DC763" i="1"/>
  <c r="DD236" i="1"/>
  <c r="DD222" i="1"/>
  <c r="DD247" i="1"/>
  <c r="DD223" i="1"/>
  <c r="DD248" i="1"/>
  <c r="DD224" i="1"/>
  <c r="DD249" i="1"/>
  <c r="DD227" i="1"/>
  <c r="DD252" i="1"/>
  <c r="DD228" i="1"/>
  <c r="DD253" i="1"/>
  <c r="BF53" i="1"/>
  <c r="BF52" i="1"/>
  <c r="BF737" i="1"/>
  <c r="BF56" i="1"/>
  <c r="BF57" i="1"/>
  <c r="BF54" i="1"/>
  <c r="BF64" i="1"/>
  <c r="BF5" i="1"/>
  <c r="AA4" i="21" s="1"/>
  <c r="BF23" i="1"/>
  <c r="BF24" i="1"/>
  <c r="BH3" i="1"/>
  <c r="BH2" i="1"/>
  <c r="BI1" i="1"/>
  <c r="E4" i="18"/>
  <c r="D4" i="18" s="1"/>
  <c r="AC4" i="18" s="1"/>
  <c r="AP156" i="10"/>
  <c r="AP7" i="10" s="1"/>
  <c r="AP8" i="10" s="1"/>
  <c r="AQ155" i="10"/>
  <c r="AQ156" i="10" s="1"/>
  <c r="AO22" i="10"/>
  <c r="AS213" i="10"/>
  <c r="AT208" i="10"/>
  <c r="AT213" i="10" s="1"/>
  <c r="AL29" i="10"/>
  <c r="AP28" i="10"/>
  <c r="AQ28" i="10" s="1"/>
  <c r="AS183" i="10"/>
  <c r="AO156" i="10"/>
  <c r="AO7" i="10" s="1"/>
  <c r="AT177" i="10"/>
  <c r="AU196" i="10"/>
  <c r="AL32" i="10"/>
  <c r="AM14" i="10"/>
  <c r="AM10" i="10"/>
  <c r="AN8" i="10"/>
  <c r="AR151" i="10"/>
  <c r="AR159" i="10"/>
  <c r="AR150" i="10"/>
  <c r="AR160" i="10"/>
  <c r="AR165" i="10"/>
  <c r="AC3" i="21" l="1"/>
  <c r="AD2" i="21"/>
  <c r="BG44" i="1"/>
  <c r="BG53" i="1" s="1"/>
  <c r="BH80" i="1"/>
  <c r="BH20" i="1"/>
  <c r="BH26" i="1" s="1"/>
  <c r="BH17" i="1"/>
  <c r="BH128" i="1"/>
  <c r="BH40" i="1"/>
  <c r="BH33" i="1"/>
  <c r="BH132" i="1"/>
  <c r="BH38" i="1"/>
  <c r="BH31" i="1"/>
  <c r="BH30" i="1"/>
  <c r="BH44" i="1" s="1"/>
  <c r="BH19" i="1"/>
  <c r="BH39" i="1"/>
  <c r="BH32" i="1"/>
  <c r="BH29" i="1"/>
  <c r="BH18" i="1"/>
  <c r="DD132" i="1"/>
  <c r="DD737" i="1"/>
  <c r="DD32" i="1"/>
  <c r="DD29" i="1"/>
  <c r="BG23" i="1"/>
  <c r="DD23" i="1" s="1"/>
  <c r="DD17" i="1"/>
  <c r="DD31" i="1"/>
  <c r="DD33" i="1"/>
  <c r="DD128" i="1"/>
  <c r="DD30" i="1"/>
  <c r="BG25" i="1"/>
  <c r="DD25" i="1" s="1"/>
  <c r="DD19" i="1"/>
  <c r="BJ1" i="1"/>
  <c r="BI3" i="1"/>
  <c r="BI2" i="1"/>
  <c r="BG24" i="1"/>
  <c r="DD24" i="1" s="1"/>
  <c r="BG26" i="1"/>
  <c r="DD26" i="1" s="1"/>
  <c r="BG64" i="1"/>
  <c r="AP13" i="10"/>
  <c r="AR152" i="10"/>
  <c r="AR17" i="10"/>
  <c r="AN10" i="10"/>
  <c r="AN14" i="10"/>
  <c r="AU198" i="10"/>
  <c r="AU206" i="10"/>
  <c r="AU180" i="10"/>
  <c r="AS158" i="10"/>
  <c r="BP11" i="10"/>
  <c r="AM35" i="10"/>
  <c r="AM15" i="10"/>
  <c r="BP12" i="10"/>
  <c r="AP14" i="10"/>
  <c r="AP10" i="10"/>
  <c r="AQ22" i="10"/>
  <c r="AQ23" i="10" s="1"/>
  <c r="AO23" i="10"/>
  <c r="AR18" i="10"/>
  <c r="AU175" i="10"/>
  <c r="AL27" i="10"/>
  <c r="AQ7" i="10"/>
  <c r="AQ13" i="10" s="1"/>
  <c r="AO13" i="10"/>
  <c r="AO8" i="10"/>
  <c r="AD3" i="21" l="1"/>
  <c r="AE2" i="21"/>
  <c r="BI132" i="1"/>
  <c r="BI38" i="1"/>
  <c r="DE38" i="1" s="1"/>
  <c r="BI31" i="1"/>
  <c r="BI54" i="1" s="1"/>
  <c r="BI20" i="1"/>
  <c r="DE20" i="1" s="1"/>
  <c r="BI17" i="1"/>
  <c r="DE17" i="1" s="1"/>
  <c r="BI19" i="1"/>
  <c r="BI39" i="1"/>
  <c r="DE39" i="1" s="1"/>
  <c r="BI32" i="1"/>
  <c r="BI56" i="1" s="1"/>
  <c r="BI29" i="1"/>
  <c r="BI52" i="1" s="1"/>
  <c r="BI18" i="1"/>
  <c r="DE18" i="1" s="1"/>
  <c r="BI30" i="1"/>
  <c r="BI80" i="1"/>
  <c r="DE80" i="1" s="1"/>
  <c r="BI128" i="1"/>
  <c r="BI737" i="1" s="1"/>
  <c r="BI40" i="1"/>
  <c r="DE40" i="1" s="1"/>
  <c r="BI33" i="1"/>
  <c r="BI57" i="1" s="1"/>
  <c r="DE253" i="1"/>
  <c r="DE254" i="1"/>
  <c r="DE247" i="1"/>
  <c r="DE224" i="1"/>
  <c r="DE229" i="1"/>
  <c r="BH52" i="1"/>
  <c r="DE249" i="1"/>
  <c r="DE236" i="1"/>
  <c r="DE222" i="1"/>
  <c r="BH56" i="1"/>
  <c r="BI5" i="1"/>
  <c r="AD4" i="21" s="1"/>
  <c r="DE223" i="1"/>
  <c r="DE248" i="1"/>
  <c r="DE228" i="1"/>
  <c r="BH57" i="1"/>
  <c r="BH53" i="1"/>
  <c r="DD763" i="1"/>
  <c r="DE227" i="1"/>
  <c r="DE252" i="1"/>
  <c r="DE235" i="1"/>
  <c r="BH54" i="1"/>
  <c r="BH737" i="1"/>
  <c r="BH23" i="1"/>
  <c r="BH24" i="1"/>
  <c r="BH25" i="1"/>
  <c r="BH64" i="1"/>
  <c r="BH5" i="1"/>
  <c r="AC4" i="21" s="1"/>
  <c r="BJ2" i="1"/>
  <c r="BJ3" i="1"/>
  <c r="BK1" i="1"/>
  <c r="AP35" i="10"/>
  <c r="AP15" i="10"/>
  <c r="AN35" i="10"/>
  <c r="AM33" i="10"/>
  <c r="AM34" i="10" s="1"/>
  <c r="AN34" i="10" s="1"/>
  <c r="AU211" i="10"/>
  <c r="AU208" i="10"/>
  <c r="AN15" i="10"/>
  <c r="BQ11" i="10"/>
  <c r="AO10" i="10"/>
  <c r="AO14" i="10"/>
  <c r="AQ8" i="10"/>
  <c r="AR19" i="10"/>
  <c r="AS159" i="10"/>
  <c r="AS150" i="10"/>
  <c r="AS160" i="10"/>
  <c r="AS151" i="10"/>
  <c r="AS165" i="10"/>
  <c r="AT158" i="10"/>
  <c r="AU203" i="10"/>
  <c r="AU182" i="10"/>
  <c r="AU183" i="10" s="1"/>
  <c r="AU177" i="10"/>
  <c r="AV196" i="10"/>
  <c r="AW180" i="10"/>
  <c r="AR164" i="10"/>
  <c r="AR154" i="10"/>
  <c r="AE3" i="21" l="1"/>
  <c r="AF2" i="21"/>
  <c r="BI44" i="1"/>
  <c r="BI53" i="1" s="1"/>
  <c r="BJ38" i="1"/>
  <c r="BJ39" i="1"/>
  <c r="BJ32" i="1"/>
  <c r="BJ29" i="1"/>
  <c r="BJ18" i="1"/>
  <c r="BJ24" i="1" s="1"/>
  <c r="BJ132" i="1"/>
  <c r="BJ31" i="1"/>
  <c r="BJ128" i="1"/>
  <c r="BJ40" i="1"/>
  <c r="BJ33" i="1"/>
  <c r="BJ30" i="1"/>
  <c r="BJ44" i="1" s="1"/>
  <c r="BJ19" i="1"/>
  <c r="BJ25" i="1" s="1"/>
  <c r="BJ80" i="1"/>
  <c r="BJ20" i="1"/>
  <c r="BJ17" i="1"/>
  <c r="BJ23" i="1" s="1"/>
  <c r="BL1" i="1"/>
  <c r="DE31" i="1"/>
  <c r="DE33" i="1"/>
  <c r="DE32" i="1"/>
  <c r="DE132" i="1"/>
  <c r="DE30" i="1"/>
  <c r="DE29" i="1"/>
  <c r="DE737" i="1"/>
  <c r="DE128" i="1"/>
  <c r="BI25" i="1"/>
  <c r="DE25" i="1" s="1"/>
  <c r="DE19" i="1"/>
  <c r="BK2" i="1"/>
  <c r="BK3" i="1"/>
  <c r="BI23" i="1"/>
  <c r="DE23" i="1" s="1"/>
  <c r="BI24" i="1"/>
  <c r="DE24" i="1" s="1"/>
  <c r="BI64" i="1"/>
  <c r="BI26" i="1"/>
  <c r="DE26" i="1" s="1"/>
  <c r="AR155" i="10"/>
  <c r="AR156" i="10" s="1"/>
  <c r="AR7" i="10" s="1"/>
  <c r="AV198" i="10"/>
  <c r="AV206" i="10"/>
  <c r="AW196" i="10"/>
  <c r="AS18" i="10"/>
  <c r="AT18" i="10" s="1"/>
  <c r="AT151" i="10"/>
  <c r="AT163" i="10" s="1"/>
  <c r="AU163" i="10" s="1"/>
  <c r="AV163" i="10" s="1"/>
  <c r="AU213" i="10"/>
  <c r="AR21" i="10"/>
  <c r="AR28" i="10"/>
  <c r="AO35" i="10"/>
  <c r="AO33" i="10" s="1"/>
  <c r="AO15" i="10"/>
  <c r="AV180" i="10"/>
  <c r="AU158" i="10"/>
  <c r="AV175" i="10"/>
  <c r="AT159" i="10"/>
  <c r="AT165" i="10"/>
  <c r="AS152" i="10"/>
  <c r="AS17" i="10"/>
  <c r="AT150" i="10"/>
  <c r="AM31" i="10"/>
  <c r="AM32" i="10" s="1"/>
  <c r="AN32" i="10" s="1"/>
  <c r="AN33" i="10"/>
  <c r="AQ14" i="10"/>
  <c r="AQ10" i="10"/>
  <c r="AQ15" i="10" s="1"/>
  <c r="AF3" i="21" l="1"/>
  <c r="AG2" i="21"/>
  <c r="BK39" i="1"/>
  <c r="DF39" i="1" s="1"/>
  <c r="BK32" i="1"/>
  <c r="BK56" i="1" s="1"/>
  <c r="BK29" i="1"/>
  <c r="BK52" i="1" s="1"/>
  <c r="BK18" i="1"/>
  <c r="BK17" i="1"/>
  <c r="BK31" i="1"/>
  <c r="BK54" i="1" s="1"/>
  <c r="BK128" i="1"/>
  <c r="BK737" i="1" s="1"/>
  <c r="BK763" i="1" s="1"/>
  <c r="BK40" i="1"/>
  <c r="DF40" i="1" s="1"/>
  <c r="BK33" i="1"/>
  <c r="BK57" i="1" s="1"/>
  <c r="BK30" i="1"/>
  <c r="BK19" i="1"/>
  <c r="BK38" i="1"/>
  <c r="BK64" i="1" s="1"/>
  <c r="BK20" i="1"/>
  <c r="BK80" i="1"/>
  <c r="DF80" i="1" s="1"/>
  <c r="BK132" i="1"/>
  <c r="BM1" i="1"/>
  <c r="BL3" i="1"/>
  <c r="BL2" i="1"/>
  <c r="BJ53" i="1"/>
  <c r="BJ57" i="1"/>
  <c r="BJ54" i="1"/>
  <c r="DF229" i="1"/>
  <c r="BJ56" i="1"/>
  <c r="BJ52" i="1"/>
  <c r="DF254" i="1"/>
  <c r="DF224" i="1"/>
  <c r="DF249" i="1"/>
  <c r="DF222" i="1"/>
  <c r="DF247" i="1"/>
  <c r="DF227" i="1"/>
  <c r="DF252" i="1"/>
  <c r="DF228" i="1"/>
  <c r="DF253" i="1"/>
  <c r="DF236" i="1"/>
  <c r="DE763" i="1"/>
  <c r="DF235" i="1"/>
  <c r="DF223" i="1"/>
  <c r="DF248" i="1"/>
  <c r="BJ737" i="1"/>
  <c r="BJ26" i="1"/>
  <c r="BJ5" i="1"/>
  <c r="AE4" i="21" s="1"/>
  <c r="BJ64" i="1"/>
  <c r="BK5" i="1"/>
  <c r="AF4" i="21" s="1"/>
  <c r="AS164" i="10"/>
  <c r="AS154" i="10"/>
  <c r="AU160" i="10"/>
  <c r="AU151" i="10"/>
  <c r="AU159" i="10"/>
  <c r="AU150" i="10"/>
  <c r="AU165" i="10"/>
  <c r="AQ35" i="10"/>
  <c r="AO34" i="10"/>
  <c r="AV208" i="10"/>
  <c r="AV211" i="10"/>
  <c r="AO31" i="10"/>
  <c r="AP33" i="10"/>
  <c r="AQ33" i="10" s="1"/>
  <c r="AV203" i="10"/>
  <c r="AV182" i="10"/>
  <c r="AW182" i="10" s="1"/>
  <c r="AW183" i="10" s="1"/>
  <c r="AW198" i="10"/>
  <c r="AW203" i="10" s="1"/>
  <c r="AT162" i="10"/>
  <c r="AT152" i="10"/>
  <c r="AR22" i="10"/>
  <c r="AM29" i="10"/>
  <c r="AN31" i="10"/>
  <c r="AS19" i="10"/>
  <c r="AS21" i="10" s="1"/>
  <c r="AT17" i="10"/>
  <c r="AT19" i="10" s="1"/>
  <c r="AT21" i="10" s="1"/>
  <c r="AV177" i="10"/>
  <c r="AW175" i="10"/>
  <c r="AW201" i="10"/>
  <c r="AW206" i="10"/>
  <c r="AW211" i="10" s="1"/>
  <c r="AR13" i="10"/>
  <c r="AR8" i="10"/>
  <c r="AG3" i="21" l="1"/>
  <c r="BM2" i="1"/>
  <c r="AH2" i="21"/>
  <c r="BK44" i="1"/>
  <c r="BK53" i="1" s="1"/>
  <c r="BL19" i="1"/>
  <c r="BL25" i="1" s="1"/>
  <c r="BL39" i="1"/>
  <c r="BL128" i="1"/>
  <c r="BL737" i="1" s="1"/>
  <c r="BL40" i="1"/>
  <c r="BL33" i="1"/>
  <c r="BL57" i="1" s="1"/>
  <c r="BL30" i="1"/>
  <c r="BL32" i="1"/>
  <c r="BL56" i="1" s="1"/>
  <c r="BL80" i="1"/>
  <c r="BL132" i="1"/>
  <c r="BL38" i="1"/>
  <c r="BL64" i="1" s="1"/>
  <c r="BL31" i="1"/>
  <c r="BL54" i="1" s="1"/>
  <c r="BL20" i="1"/>
  <c r="BL26" i="1" s="1"/>
  <c r="BL17" i="1"/>
  <c r="BL23" i="1" s="1"/>
  <c r="BL29" i="1"/>
  <c r="BL52" i="1" s="1"/>
  <c r="BL18" i="1"/>
  <c r="BL24" i="1" s="1"/>
  <c r="BM3" i="1"/>
  <c r="BN1" i="1"/>
  <c r="DF32" i="1"/>
  <c r="DF29" i="1"/>
  <c r="DF19" i="1"/>
  <c r="DF17" i="1"/>
  <c r="DF33" i="1"/>
  <c r="DF31" i="1"/>
  <c r="DF30" i="1"/>
  <c r="DF132" i="1"/>
  <c r="BJ763" i="1"/>
  <c r="DF737" i="1"/>
  <c r="BK23" i="1"/>
  <c r="DF23" i="1" s="1"/>
  <c r="BK26" i="1"/>
  <c r="DF26" i="1" s="1"/>
  <c r="DF20" i="1"/>
  <c r="DF38" i="1"/>
  <c r="BK24" i="1"/>
  <c r="DF24" i="1" s="1"/>
  <c r="DF18" i="1"/>
  <c r="DF128" i="1"/>
  <c r="BK25" i="1"/>
  <c r="DF25" i="1" s="1"/>
  <c r="AV183" i="10"/>
  <c r="AX180" i="10" s="1"/>
  <c r="AM27" i="10"/>
  <c r="AN27" i="10" s="1"/>
  <c r="AN29" i="10"/>
  <c r="AT164" i="10"/>
  <c r="AT154" i="10"/>
  <c r="AP31" i="10"/>
  <c r="AP29" i="10" s="1"/>
  <c r="AP27" i="10" s="1"/>
  <c r="AP34" i="10"/>
  <c r="AQ34" i="10" s="1"/>
  <c r="AV213" i="10"/>
  <c r="AW208" i="10"/>
  <c r="AW213" i="10" s="1"/>
  <c r="AU152" i="10"/>
  <c r="AU17" i="10"/>
  <c r="AR10" i="10"/>
  <c r="AR14" i="10"/>
  <c r="AS28" i="10"/>
  <c r="AO29" i="10"/>
  <c r="AS155" i="10"/>
  <c r="AS156" i="10" s="1"/>
  <c r="AS7" i="10" s="1"/>
  <c r="AW177" i="10"/>
  <c r="AX196" i="10"/>
  <c r="AX175" i="10" s="1"/>
  <c r="AR23" i="10"/>
  <c r="AO32" i="10"/>
  <c r="AU18" i="10"/>
  <c r="AI2" i="21" l="1"/>
  <c r="AH3" i="21"/>
  <c r="BL44" i="1"/>
  <c r="BL53" i="1" s="1"/>
  <c r="BM5" i="1"/>
  <c r="AH4" i="21" s="1"/>
  <c r="BM128" i="1"/>
  <c r="BM737" i="1" s="1"/>
  <c r="BM763" i="1" s="1"/>
  <c r="BM40" i="1"/>
  <c r="DG40" i="1" s="1"/>
  <c r="BM33" i="1"/>
  <c r="BM57" i="1" s="1"/>
  <c r="BM30" i="1"/>
  <c r="BM19" i="1"/>
  <c r="BM25" i="1" s="1"/>
  <c r="BM17" i="1"/>
  <c r="BM23" i="1" s="1"/>
  <c r="BM18" i="1"/>
  <c r="BM24" i="1" s="1"/>
  <c r="BM80" i="1"/>
  <c r="DG80" i="1" s="1"/>
  <c r="BM132" i="1"/>
  <c r="BM38" i="1"/>
  <c r="BM64" i="1" s="1"/>
  <c r="BM31" i="1"/>
  <c r="BM54" i="1" s="1"/>
  <c r="BM20" i="1"/>
  <c r="DG20" i="1" s="1"/>
  <c r="BM39" i="1"/>
  <c r="DG39" i="1" s="1"/>
  <c r="BM32" i="1"/>
  <c r="BM56" i="1" s="1"/>
  <c r="BM29" i="1"/>
  <c r="BM52" i="1" s="1"/>
  <c r="BL5" i="1"/>
  <c r="AG4" i="21" s="1"/>
  <c r="DG248" i="1"/>
  <c r="DG249" i="1"/>
  <c r="DG224" i="1"/>
  <c r="DG229" i="1"/>
  <c r="DG254" i="1"/>
  <c r="DG247" i="1"/>
  <c r="DG236" i="1"/>
  <c r="DG222" i="1"/>
  <c r="DG253" i="1"/>
  <c r="DG252" i="1"/>
  <c r="DG235" i="1"/>
  <c r="DG223" i="1"/>
  <c r="DG227" i="1"/>
  <c r="DG228" i="1"/>
  <c r="BN3" i="1"/>
  <c r="BN2" i="1"/>
  <c r="BO1" i="1"/>
  <c r="AV158" i="10"/>
  <c r="AV160" i="10" s="1"/>
  <c r="DF763" i="1"/>
  <c r="BL763" i="1"/>
  <c r="AQ31" i="10"/>
  <c r="AS13" i="10"/>
  <c r="AS8" i="10"/>
  <c r="AT7" i="10"/>
  <c r="AT13" i="10" s="1"/>
  <c r="AX177" i="10"/>
  <c r="AY196" i="10"/>
  <c r="AZ196" i="10" s="1"/>
  <c r="AT28" i="10"/>
  <c r="AU19" i="10"/>
  <c r="AU21" i="10" s="1"/>
  <c r="AZ180" i="10"/>
  <c r="AU154" i="10"/>
  <c r="AU164" i="10"/>
  <c r="AX198" i="10"/>
  <c r="AX206" i="10"/>
  <c r="AS22" i="10"/>
  <c r="AT155" i="10"/>
  <c r="AT156" i="10" s="1"/>
  <c r="AQ29" i="10"/>
  <c r="AO27" i="10"/>
  <c r="AQ27" i="10" s="1"/>
  <c r="AR15" i="10"/>
  <c r="AR35" i="10"/>
  <c r="AP32" i="10"/>
  <c r="AQ32" i="10" s="1"/>
  <c r="BP1" i="1" l="1"/>
  <c r="AJ2" i="21"/>
  <c r="AI3" i="21"/>
  <c r="DG25" i="1"/>
  <c r="DG132" i="1"/>
  <c r="BM44" i="1"/>
  <c r="BM53" i="1" s="1"/>
  <c r="DG17" i="1"/>
  <c r="DG23" i="1"/>
  <c r="BN80" i="1"/>
  <c r="BN30" i="1"/>
  <c r="BN132" i="1"/>
  <c r="BN38" i="1"/>
  <c r="BN64" i="1" s="1"/>
  <c r="BN31" i="1"/>
  <c r="BN54" i="1" s="1"/>
  <c r="BN20" i="1"/>
  <c r="BN26" i="1" s="1"/>
  <c r="BN17" i="1"/>
  <c r="BN23" i="1" s="1"/>
  <c r="BN19" i="1"/>
  <c r="BN25" i="1" s="1"/>
  <c r="BN39" i="1"/>
  <c r="BN32" i="1"/>
  <c r="BN56" i="1" s="1"/>
  <c r="BN29" i="1"/>
  <c r="BN52" i="1" s="1"/>
  <c r="BN18" i="1"/>
  <c r="BN24" i="1" s="1"/>
  <c r="BN128" i="1"/>
  <c r="BN737" i="1" s="1"/>
  <c r="BN763" i="1" s="1"/>
  <c r="BN40" i="1"/>
  <c r="BN33" i="1"/>
  <c r="BN57" i="1" s="1"/>
  <c r="DG24" i="1"/>
  <c r="DG19" i="1"/>
  <c r="DG38" i="1"/>
  <c r="DG32" i="1"/>
  <c r="DG30" i="1"/>
  <c r="DG29" i="1"/>
  <c r="DG18" i="1"/>
  <c r="BM26" i="1"/>
  <c r="DG26" i="1" s="1"/>
  <c r="DG33" i="1"/>
  <c r="DG737" i="1"/>
  <c r="DG763" i="1" s="1"/>
  <c r="DG128" i="1"/>
  <c r="DG31" i="1"/>
  <c r="BP2" i="1"/>
  <c r="BQ1" i="1"/>
  <c r="BP3" i="1"/>
  <c r="BO3" i="1"/>
  <c r="BO2" i="1"/>
  <c r="AV159" i="10"/>
  <c r="AV165" i="10"/>
  <c r="AW158" i="10"/>
  <c r="AW159" i="10" s="1"/>
  <c r="AV150" i="10"/>
  <c r="AW150" i="10" s="1"/>
  <c r="AV151" i="10"/>
  <c r="AW151" i="10" s="1"/>
  <c r="AY175" i="10"/>
  <c r="AZ175" i="10" s="1"/>
  <c r="AZ177" i="10" s="1"/>
  <c r="AX203" i="10"/>
  <c r="AX182" i="10"/>
  <c r="AU28" i="10"/>
  <c r="AX211" i="10"/>
  <c r="AX208" i="10"/>
  <c r="AR33" i="10"/>
  <c r="AZ201" i="10"/>
  <c r="AZ206" i="10"/>
  <c r="AZ211" i="10" s="1"/>
  <c r="AY198" i="10"/>
  <c r="AZ198" i="10" s="1"/>
  <c r="AZ203" i="10" s="1"/>
  <c r="AY206" i="10"/>
  <c r="AS10" i="10"/>
  <c r="AS14" i="10"/>
  <c r="AT8" i="10"/>
  <c r="AU155" i="10"/>
  <c r="AU156" i="10" s="1"/>
  <c r="AU7" i="10" s="1"/>
  <c r="AS23" i="10"/>
  <c r="AT22" i="10"/>
  <c r="AT23" i="10" s="1"/>
  <c r="AJ3" i="21" l="1"/>
  <c r="AK3" i="21"/>
  <c r="AL2" i="21"/>
  <c r="AK2" i="21"/>
  <c r="Q53" i="18"/>
  <c r="F38" i="2"/>
  <c r="V53" i="18"/>
  <c r="X53" i="18"/>
  <c r="W53" i="18"/>
  <c r="BN44" i="1"/>
  <c r="BN53" i="1" s="1"/>
  <c r="BO132" i="1"/>
  <c r="BO38" i="1"/>
  <c r="BO64" i="1" s="1"/>
  <c r="BO31" i="1"/>
  <c r="BO20" i="1"/>
  <c r="BO17" i="1"/>
  <c r="BO33" i="1"/>
  <c r="BO57" i="1" s="1"/>
  <c r="BO30" i="1"/>
  <c r="BO44" i="1" s="1"/>
  <c r="BO80" i="1"/>
  <c r="DH80" i="1" s="1"/>
  <c r="BO39" i="1"/>
  <c r="DH39" i="1" s="1"/>
  <c r="BO32" i="1"/>
  <c r="BO29" i="1"/>
  <c r="BO18" i="1"/>
  <c r="BO128" i="1"/>
  <c r="BO737" i="1" s="1"/>
  <c r="BO40" i="1"/>
  <c r="DH40" i="1" s="1"/>
  <c r="BO19" i="1"/>
  <c r="BP18" i="1"/>
  <c r="BP31" i="1"/>
  <c r="BP39" i="1"/>
  <c r="BP32" i="1"/>
  <c r="BP29" i="1"/>
  <c r="BP132" i="1"/>
  <c r="BP38" i="1"/>
  <c r="BP20" i="1"/>
  <c r="BP128" i="1"/>
  <c r="BP40" i="1"/>
  <c r="BP33" i="1"/>
  <c r="BP30" i="1"/>
  <c r="BP44" i="1" s="1"/>
  <c r="BP19" i="1"/>
  <c r="BP80" i="1"/>
  <c r="BP17" i="1"/>
  <c r="F39" i="2"/>
  <c r="C68" i="2"/>
  <c r="E47" i="2"/>
  <c r="D71" i="2"/>
  <c r="C37" i="2"/>
  <c r="D47" i="2"/>
  <c r="G39" i="2"/>
  <c r="O42" i="7"/>
  <c r="M23" i="7"/>
  <c r="F47" i="2"/>
  <c r="F68" i="2"/>
  <c r="F54" i="2"/>
  <c r="P13" i="7"/>
  <c r="N13" i="7"/>
  <c r="N42" i="7"/>
  <c r="M25" i="7"/>
  <c r="N12" i="7"/>
  <c r="D48" i="2"/>
  <c r="E22" i="2"/>
  <c r="G28" i="7"/>
  <c r="G43" i="7" s="1"/>
  <c r="E20" i="2"/>
  <c r="E21" i="2" s="1"/>
  <c r="M57" i="7"/>
  <c r="D39" i="2"/>
  <c r="M22" i="7"/>
  <c r="G38" i="2"/>
  <c r="O12" i="7"/>
  <c r="F20" i="2"/>
  <c r="F21" i="2" s="1"/>
  <c r="D22" i="2"/>
  <c r="O26" i="7"/>
  <c r="N25" i="7"/>
  <c r="I30" i="7"/>
  <c r="O23" i="7"/>
  <c r="C38" i="2"/>
  <c r="M42" i="7"/>
  <c r="G47" i="2"/>
  <c r="E68" i="2"/>
  <c r="N22" i="7"/>
  <c r="F71" i="2"/>
  <c r="O25" i="7"/>
  <c r="G48" i="2"/>
  <c r="G22" i="2"/>
  <c r="D37" i="2"/>
  <c r="D54" i="2"/>
  <c r="P25" i="7"/>
  <c r="C71" i="2"/>
  <c r="Q12" i="7"/>
  <c r="P42" i="7"/>
  <c r="M12" i="7"/>
  <c r="C48" i="2"/>
  <c r="G54" i="2"/>
  <c r="I28" i="7"/>
  <c r="G71" i="2"/>
  <c r="H30" i="7"/>
  <c r="H28" i="7"/>
  <c r="H43" i="7" s="1"/>
  <c r="C20" i="2"/>
  <c r="C21" i="2" s="1"/>
  <c r="J28" i="7"/>
  <c r="J43" i="7" s="1"/>
  <c r="F37" i="2"/>
  <c r="O22" i="7"/>
  <c r="Q22" i="7"/>
  <c r="F48" i="2"/>
  <c r="P12" i="7"/>
  <c r="E71" i="2"/>
  <c r="M59" i="7"/>
  <c r="G20" i="2"/>
  <c r="G21" i="2" s="1"/>
  <c r="N26" i="7"/>
  <c r="E48" i="2"/>
  <c r="Q23" i="7"/>
  <c r="P22" i="7"/>
  <c r="P26" i="7"/>
  <c r="M13" i="7"/>
  <c r="M26" i="7"/>
  <c r="E37" i="2"/>
  <c r="D38" i="2"/>
  <c r="C22" i="2"/>
  <c r="F30" i="7"/>
  <c r="Q25" i="7"/>
  <c r="F22" i="2"/>
  <c r="G68" i="2"/>
  <c r="O13" i="7"/>
  <c r="F28" i="7"/>
  <c r="F43" i="7" s="1"/>
  <c r="J30" i="7"/>
  <c r="E38" i="2"/>
  <c r="G37" i="2"/>
  <c r="C39" i="2"/>
  <c r="C47" i="2"/>
  <c r="Q42" i="7"/>
  <c r="Q13" i="7"/>
  <c r="Q26" i="7"/>
  <c r="E54" i="2"/>
  <c r="N23" i="7"/>
  <c r="C54" i="2"/>
  <c r="E39" i="2"/>
  <c r="M55" i="7"/>
  <c r="G30" i="7"/>
  <c r="D20" i="2"/>
  <c r="D68" i="2"/>
  <c r="P23" i="7"/>
  <c r="BQ2" i="1"/>
  <c r="BQ3" i="1"/>
  <c r="DH252" i="1"/>
  <c r="DH229" i="1"/>
  <c r="DH248" i="1"/>
  <c r="DH223" i="1"/>
  <c r="BN5" i="1"/>
  <c r="AI4" i="21" s="1"/>
  <c r="DH227" i="1"/>
  <c r="DH236" i="1"/>
  <c r="DH224" i="1"/>
  <c r="DH254" i="1"/>
  <c r="DH235" i="1"/>
  <c r="DH222" i="1"/>
  <c r="DH249" i="1"/>
  <c r="DH228" i="1"/>
  <c r="DH247" i="1"/>
  <c r="DH253" i="1"/>
  <c r="BO5" i="1"/>
  <c r="AJ4" i="21" s="1"/>
  <c r="AV18" i="10"/>
  <c r="AW18" i="10" s="1"/>
  <c r="AW165" i="10"/>
  <c r="AW163" i="10"/>
  <c r="AX163" i="10" s="1"/>
  <c r="AY163" i="10" s="1"/>
  <c r="AV17" i="10"/>
  <c r="AW17" i="10" s="1"/>
  <c r="AV152" i="10"/>
  <c r="AV164" i="10" s="1"/>
  <c r="N20" i="18"/>
  <c r="N22" i="18" s="1"/>
  <c r="O20" i="18"/>
  <c r="O22" i="18" s="1"/>
  <c r="K20" i="18"/>
  <c r="K22" i="18" s="1"/>
  <c r="M20" i="18"/>
  <c r="M22" i="18" s="1"/>
  <c r="L20" i="18"/>
  <c r="L22" i="18" s="1"/>
  <c r="I20" i="18"/>
  <c r="I22" i="18" s="1"/>
  <c r="J20" i="18"/>
  <c r="J22" i="18" s="1"/>
  <c r="G20" i="18"/>
  <c r="G22" i="18" s="1"/>
  <c r="H20" i="18"/>
  <c r="H22" i="18" s="1"/>
  <c r="F20" i="18"/>
  <c r="F22" i="18" s="1"/>
  <c r="U53" i="18"/>
  <c r="J32" i="18"/>
  <c r="P53" i="18"/>
  <c r="R53" i="18"/>
  <c r="D13" i="18"/>
  <c r="H16" i="18"/>
  <c r="M32" i="18"/>
  <c r="H13" i="18"/>
  <c r="F13" i="18"/>
  <c r="I13" i="18"/>
  <c r="F18" i="18"/>
  <c r="G32" i="18"/>
  <c r="I18" i="18"/>
  <c r="E16" i="18"/>
  <c r="J18" i="18"/>
  <c r="J16" i="18"/>
  <c r="G16" i="18"/>
  <c r="K18" i="18"/>
  <c r="M13" i="18"/>
  <c r="H59" i="18"/>
  <c r="D59" i="18"/>
  <c r="J59" i="18"/>
  <c r="E32" i="18"/>
  <c r="G13" i="18"/>
  <c r="M16" i="18"/>
  <c r="T53" i="18"/>
  <c r="D16" i="18"/>
  <c r="L18" i="18"/>
  <c r="I16" i="18"/>
  <c r="I32" i="18"/>
  <c r="K13" i="18"/>
  <c r="S53" i="18"/>
  <c r="H32" i="18"/>
  <c r="L32" i="18"/>
  <c r="K59" i="18"/>
  <c r="D32" i="18"/>
  <c r="I59" i="18"/>
  <c r="M59" i="18"/>
  <c r="F32" i="18"/>
  <c r="L13" i="18"/>
  <c r="F16" i="18"/>
  <c r="J13" i="18"/>
  <c r="D18" i="18"/>
  <c r="G59" i="18"/>
  <c r="K32" i="18"/>
  <c r="M18" i="18"/>
  <c r="K16" i="18"/>
  <c r="G18" i="18"/>
  <c r="H18" i="18"/>
  <c r="F59" i="18"/>
  <c r="D20" i="18"/>
  <c r="L16" i="18"/>
  <c r="E59" i="18"/>
  <c r="E20" i="18"/>
  <c r="E13" i="18"/>
  <c r="L59" i="18"/>
  <c r="E18" i="18"/>
  <c r="AY177" i="10"/>
  <c r="AU13" i="10"/>
  <c r="AU8" i="10"/>
  <c r="AS15" i="10"/>
  <c r="AS35" i="10"/>
  <c r="AS33" i="10" s="1"/>
  <c r="AT33" i="10" s="1"/>
  <c r="AX213" i="10"/>
  <c r="AX183" i="10"/>
  <c r="AW162" i="10"/>
  <c r="AW152" i="10"/>
  <c r="AU22" i="10"/>
  <c r="AY211" i="10"/>
  <c r="AY208" i="10"/>
  <c r="AY213" i="10" s="1"/>
  <c r="AR31" i="10"/>
  <c r="AR32" i="10" s="1"/>
  <c r="AT14" i="10"/>
  <c r="AT10" i="10"/>
  <c r="AT15" i="10" s="1"/>
  <c r="AY203" i="10"/>
  <c r="AY182" i="10"/>
  <c r="AZ182" i="10" s="1"/>
  <c r="AZ183" i="10" s="1"/>
  <c r="AR34" i="10"/>
  <c r="DI227" i="1" l="1"/>
  <c r="AL3" i="21"/>
  <c r="D21" i="2"/>
  <c r="DI254" i="1"/>
  <c r="BQ39" i="1"/>
  <c r="DI39" i="1" s="1"/>
  <c r="BQ32" i="1"/>
  <c r="DI32" i="1" s="1"/>
  <c r="BQ29" i="1"/>
  <c r="DI29" i="1" s="1"/>
  <c r="BQ18" i="1"/>
  <c r="DI18" i="1" s="1"/>
  <c r="BQ17" i="1"/>
  <c r="DI17" i="1" s="1"/>
  <c r="BQ128" i="1"/>
  <c r="BQ737" i="1" s="1"/>
  <c r="BQ763" i="1" s="1"/>
  <c r="BQ40" i="1"/>
  <c r="DI40" i="1" s="1"/>
  <c r="BQ33" i="1"/>
  <c r="BQ57" i="1" s="1"/>
  <c r="BQ30" i="1"/>
  <c r="BQ19" i="1"/>
  <c r="DI19" i="1" s="1"/>
  <c r="BQ31" i="1"/>
  <c r="DI31" i="1" s="1"/>
  <c r="BQ80" i="1"/>
  <c r="DI80" i="1" s="1"/>
  <c r="BQ132" i="1"/>
  <c r="BQ38" i="1"/>
  <c r="BQ64" i="1" s="1"/>
  <c r="BQ20" i="1"/>
  <c r="DI20" i="1" s="1"/>
  <c r="DI236" i="1"/>
  <c r="DI252" i="1"/>
  <c r="DI223" i="1"/>
  <c r="DI229" i="1"/>
  <c r="DI253" i="1"/>
  <c r="DI248" i="1"/>
  <c r="DI247" i="1"/>
  <c r="DI235" i="1"/>
  <c r="DI249" i="1"/>
  <c r="DI224" i="1"/>
  <c r="DI222" i="1"/>
  <c r="DI228" i="1"/>
  <c r="H29" i="7"/>
  <c r="G29" i="7"/>
  <c r="I29" i="7"/>
  <c r="I43" i="7"/>
  <c r="J29" i="7"/>
  <c r="BQ5" i="1"/>
  <c r="AL4" i="21" s="1"/>
  <c r="BP24" i="1"/>
  <c r="BP57" i="1"/>
  <c r="BP53" i="1"/>
  <c r="BP64" i="1"/>
  <c r="BP737" i="1"/>
  <c r="BP52" i="1"/>
  <c r="BP23" i="1"/>
  <c r="BP56" i="1"/>
  <c r="BP54" i="1"/>
  <c r="DH19" i="1"/>
  <c r="BP25" i="1"/>
  <c r="DH20" i="1"/>
  <c r="BP26" i="1"/>
  <c r="BP5" i="1"/>
  <c r="AK4" i="21" s="1"/>
  <c r="BO26" i="1"/>
  <c r="DH26" i="1" s="1"/>
  <c r="AW19" i="10"/>
  <c r="AW21" i="10" s="1"/>
  <c r="BO25" i="1"/>
  <c r="DH25" i="1" s="1"/>
  <c r="BO763" i="1"/>
  <c r="DH737" i="1"/>
  <c r="DH763" i="1" s="1"/>
  <c r="DH38" i="1"/>
  <c r="DH18" i="1"/>
  <c r="BO24" i="1"/>
  <c r="DH24" i="1" s="1"/>
  <c r="BO54" i="1"/>
  <c r="DH31" i="1"/>
  <c r="DH128" i="1"/>
  <c r="DH132" i="1"/>
  <c r="Y53" i="18" s="1"/>
  <c r="BO52" i="1"/>
  <c r="DH29" i="1"/>
  <c r="BO56" i="1"/>
  <c r="DH32" i="1"/>
  <c r="DH17" i="1"/>
  <c r="BO23" i="1"/>
  <c r="DH23" i="1" s="1"/>
  <c r="BO53" i="1"/>
  <c r="DH30" i="1"/>
  <c r="DH33" i="1"/>
  <c r="AV154" i="10"/>
  <c r="AV155" i="10" s="1"/>
  <c r="AV156" i="10" s="1"/>
  <c r="AV7" i="10" s="1"/>
  <c r="AV19" i="10"/>
  <c r="AV21" i="10" s="1"/>
  <c r="E22" i="18"/>
  <c r="M21" i="18"/>
  <c r="M19" i="18"/>
  <c r="L21" i="18"/>
  <c r="L19" i="18"/>
  <c r="K21" i="18"/>
  <c r="D22" i="18"/>
  <c r="M33" i="18"/>
  <c r="AU23" i="10"/>
  <c r="AY180" i="10"/>
  <c r="AY183" i="10" s="1"/>
  <c r="AY158" i="10" s="1"/>
  <c r="AX158" i="10"/>
  <c r="AS34" i="10"/>
  <c r="AT34" i="10" s="1"/>
  <c r="AT35" i="10"/>
  <c r="AS31" i="10"/>
  <c r="AS29" i="10" s="1"/>
  <c r="AS27" i="10" s="1"/>
  <c r="AR29" i="10"/>
  <c r="AW164" i="10"/>
  <c r="AW154" i="10"/>
  <c r="AZ208" i="10"/>
  <c r="AZ213" i="10" s="1"/>
  <c r="AU14" i="10"/>
  <c r="AU10" i="10"/>
  <c r="BQ44" i="1" l="1"/>
  <c r="BQ53" i="1" s="1"/>
  <c r="BQ56" i="1"/>
  <c r="DI38" i="1"/>
  <c r="DI30" i="1"/>
  <c r="DI128" i="1"/>
  <c r="DI33" i="1"/>
  <c r="BQ52" i="1"/>
  <c r="BQ54" i="1"/>
  <c r="DI132" i="1"/>
  <c r="Z53" i="18" s="1"/>
  <c r="AA53" i="18" s="1"/>
  <c r="AB53" i="18" s="1"/>
  <c r="DI737" i="1"/>
  <c r="DI763" i="1" s="1"/>
  <c r="BP763" i="1"/>
  <c r="BQ26" i="1"/>
  <c r="DI26" i="1" s="1"/>
  <c r="BQ24" i="1"/>
  <c r="DI24" i="1" s="1"/>
  <c r="BQ23" i="1"/>
  <c r="DI23" i="1" s="1"/>
  <c r="BQ25" i="1"/>
  <c r="DI25" i="1" s="1"/>
  <c r="AV28" i="10"/>
  <c r="AW28" i="10" s="1"/>
  <c r="AT31" i="10"/>
  <c r="AS32" i="10"/>
  <c r="AT32" i="10" s="1"/>
  <c r="AY151" i="10"/>
  <c r="AY18" i="10" s="1"/>
  <c r="AY160" i="10"/>
  <c r="AY159" i="10"/>
  <c r="AY150" i="10"/>
  <c r="AY165" i="10"/>
  <c r="AV13" i="10"/>
  <c r="AV8" i="10"/>
  <c r="AW7" i="10"/>
  <c r="AW13" i="10" s="1"/>
  <c r="AZ158" i="10"/>
  <c r="AX151" i="10"/>
  <c r="AX160" i="10"/>
  <c r="AX150" i="10"/>
  <c r="AX159" i="10"/>
  <c r="AX165" i="10"/>
  <c r="AT29" i="10"/>
  <c r="AR27" i="10"/>
  <c r="AT27" i="10" s="1"/>
  <c r="AV22" i="10"/>
  <c r="AW155" i="10"/>
  <c r="AW156" i="10" s="1"/>
  <c r="AU35" i="10"/>
  <c r="AU15" i="10"/>
  <c r="AY152" i="10" l="1"/>
  <c r="AY17" i="10"/>
  <c r="AY19" i="10" s="1"/>
  <c r="AY21" i="10" s="1"/>
  <c r="AU33" i="10"/>
  <c r="AU34" i="10" s="1"/>
  <c r="AV10" i="10"/>
  <c r="AV14" i="10"/>
  <c r="AW8" i="10"/>
  <c r="AZ150" i="10"/>
  <c r="AX152" i="10"/>
  <c r="AX17" i="10"/>
  <c r="AZ151" i="10"/>
  <c r="AZ163" i="10" s="1"/>
  <c r="AX18" i="10"/>
  <c r="AZ18" i="10" s="1"/>
  <c r="AW22" i="10"/>
  <c r="AW23" i="10" s="1"/>
  <c r="AV23" i="10"/>
  <c r="AZ159" i="10"/>
  <c r="AZ165" i="10"/>
  <c r="AX19" i="10" l="1"/>
  <c r="AZ17" i="10"/>
  <c r="AZ19" i="10" s="1"/>
  <c r="AZ21" i="10" s="1"/>
  <c r="AW10" i="10"/>
  <c r="AW15" i="10" s="1"/>
  <c r="AW14" i="10"/>
  <c r="AX164" i="10"/>
  <c r="AX154" i="10"/>
  <c r="AV35" i="10"/>
  <c r="AV15" i="10"/>
  <c r="AZ152" i="10"/>
  <c r="AZ162" i="10"/>
  <c r="AU31" i="10"/>
  <c r="AU32" i="10" s="1"/>
  <c r="AY154" i="10"/>
  <c r="AY164" i="10"/>
  <c r="AW35" i="10" l="1"/>
  <c r="AU29" i="10"/>
  <c r="AZ164" i="10"/>
  <c r="AZ154" i="10"/>
  <c r="AX155" i="10"/>
  <c r="AV33" i="10"/>
  <c r="AY155" i="10"/>
  <c r="AY22" i="10" s="1"/>
  <c r="AY23" i="10" s="1"/>
  <c r="AX21" i="10"/>
  <c r="AX28" i="10"/>
  <c r="AZ155" i="10" l="1"/>
  <c r="AZ156" i="10" s="1"/>
  <c r="AX22" i="10"/>
  <c r="AZ22" i="10" s="1"/>
  <c r="AZ23" i="10" s="1"/>
  <c r="AY28" i="10"/>
  <c r="AZ28" i="10" s="1"/>
  <c r="AV31" i="10"/>
  <c r="AW33" i="10"/>
  <c r="AV34" i="10"/>
  <c r="AW34" i="10" s="1"/>
  <c r="AU27" i="10"/>
  <c r="AY156" i="10"/>
  <c r="AY7" i="10" s="1"/>
  <c r="AX156" i="10"/>
  <c r="AX7" i="10" s="1"/>
  <c r="AX23" i="10" l="1"/>
  <c r="AV29" i="10"/>
  <c r="AW31" i="10"/>
  <c r="AZ7" i="10"/>
  <c r="AZ13" i="10" s="1"/>
  <c r="AX13" i="10"/>
  <c r="AX8" i="10"/>
  <c r="AV32" i="10"/>
  <c r="AW32" i="10" s="1"/>
  <c r="AY13" i="10"/>
  <c r="AY8" i="10"/>
  <c r="AY14" i="10" l="1"/>
  <c r="AY10" i="10"/>
  <c r="AX14" i="10"/>
  <c r="AX10" i="10"/>
  <c r="AZ8" i="10"/>
  <c r="AV27" i="10"/>
  <c r="AW27" i="10" s="1"/>
  <c r="AW29" i="10"/>
  <c r="AX35" i="10" l="1"/>
  <c r="AX15" i="10"/>
  <c r="AY35" i="10"/>
  <c r="AY15" i="10"/>
  <c r="AZ10" i="10"/>
  <c r="AZ15" i="10" s="1"/>
  <c r="AZ14" i="10"/>
  <c r="AZ35" i="10" l="1"/>
  <c r="AX33" i="10"/>
  <c r="AX31" i="10" l="1"/>
  <c r="AX32" i="10" s="1"/>
  <c r="AY33" i="10"/>
  <c r="AX34" i="10"/>
  <c r="AY31" i="10" l="1"/>
  <c r="AY29" i="10" s="1"/>
  <c r="AY27" i="10" s="1"/>
  <c r="AY34" i="10"/>
  <c r="AZ34" i="10" s="1"/>
  <c r="AZ33" i="10"/>
  <c r="AX29" i="10"/>
  <c r="AZ31" i="10" l="1"/>
  <c r="AY32" i="10"/>
  <c r="AZ32" i="10" s="1"/>
  <c r="AX27" i="10"/>
  <c r="AZ27" i="10" s="1"/>
  <c r="AZ29" i="10"/>
  <c r="D23" i="18" l="1"/>
  <c r="D36" i="18" l="1"/>
  <c r="E23" i="18" l="1"/>
  <c r="E25" i="18" l="1"/>
  <c r="E26" i="18" s="1"/>
  <c r="E36" i="18" l="1"/>
  <c r="F23" i="18" l="1"/>
  <c r="F25" i="18" l="1"/>
  <c r="F26" i="18" s="1"/>
  <c r="F36" i="18" l="1"/>
  <c r="G23" i="18" l="1"/>
  <c r="G25" i="18" l="1"/>
  <c r="G26" i="18" s="1"/>
  <c r="G36" i="18" l="1"/>
  <c r="H23" i="18" l="1"/>
  <c r="H25" i="18" l="1"/>
  <c r="H26" i="18" s="1"/>
  <c r="H36" i="18" l="1"/>
  <c r="I23" i="18" l="1"/>
  <c r="I25" i="18" l="1"/>
  <c r="I26" i="18" s="1"/>
  <c r="I36" i="18" l="1"/>
  <c r="AP622" i="1" l="1"/>
  <c r="AP624" i="1" s="1"/>
  <c r="J23" i="18"/>
  <c r="AP743" i="1" l="1"/>
  <c r="AP742" i="1"/>
  <c r="AP531" i="1"/>
  <c r="AQ533" i="1"/>
  <c r="AQ527" i="1" s="1"/>
  <c r="J25" i="18"/>
  <c r="J26" i="18" s="1"/>
  <c r="AQ622" i="1" l="1"/>
  <c r="AQ624" i="1" s="1"/>
  <c r="CV527" i="1"/>
  <c r="AQ529" i="1"/>
  <c r="CV622" i="1" l="1"/>
  <c r="CV624" i="1" s="1"/>
  <c r="CV529" i="1"/>
  <c r="AP628" i="1"/>
  <c r="AP629" i="1" s="1"/>
  <c r="J36" i="18"/>
  <c r="AP836" i="1" l="1"/>
  <c r="AP837" i="1"/>
  <c r="K78" i="21" s="1"/>
  <c r="AP834" i="1" l="1"/>
  <c r="AP548" i="1"/>
  <c r="CW584" i="1"/>
  <c r="K23" i="18"/>
  <c r="K77" i="21" l="1"/>
  <c r="AP784" i="1"/>
  <c r="AP786" i="1"/>
  <c r="AP744" i="1"/>
  <c r="AP630" i="1"/>
  <c r="AP631" i="1" s="1"/>
  <c r="K25" i="18"/>
  <c r="K26" i="18" s="1"/>
  <c r="CX584" i="1" l="1"/>
  <c r="AP835" i="1"/>
  <c r="AP618" i="1"/>
  <c r="AR434" i="1" l="1"/>
  <c r="CY584" i="1"/>
  <c r="AR440" i="1" l="1"/>
  <c r="AR791" i="1"/>
  <c r="AQ430" i="1"/>
  <c r="K36" i="18"/>
  <c r="AS96" i="1" l="1"/>
  <c r="AQ793" i="1"/>
  <c r="L71" i="21" s="1"/>
  <c r="AQ794" i="1"/>
  <c r="CZ584" i="1"/>
  <c r="L23" i="18" l="1"/>
  <c r="AQ495" i="1" l="1"/>
  <c r="BA584" i="1"/>
  <c r="DA584" i="1" s="1"/>
  <c r="L25" i="18"/>
  <c r="L26" i="18" s="1"/>
  <c r="L27" i="18" s="1"/>
  <c r="BB584" i="1" l="1"/>
  <c r="L36" i="18"/>
  <c r="BC584" i="1" l="1"/>
  <c r="DB584" i="1" s="1"/>
  <c r="AQ534" i="1" l="1"/>
  <c r="AQ538" i="1" s="1"/>
  <c r="L63" i="21" s="1"/>
  <c r="BD584" i="1"/>
  <c r="CV538" i="1" l="1"/>
  <c r="AQ742" i="1"/>
  <c r="AQ743" i="1"/>
  <c r="AQ541" i="1"/>
  <c r="AQ531" i="1"/>
  <c r="AR533" i="1"/>
  <c r="AR527" i="1" s="1"/>
  <c r="BE584" i="1"/>
  <c r="DC584" i="1" s="1"/>
  <c r="M23" i="18" l="1"/>
  <c r="M30" i="18" s="1"/>
  <c r="AR63" i="21"/>
  <c r="CW533" i="1"/>
  <c r="AR622" i="1"/>
  <c r="AQ674" i="1"/>
  <c r="AQ550" i="1"/>
  <c r="AQ564" i="1" s="1"/>
  <c r="AQ568" i="1" s="1"/>
  <c r="AR529" i="1"/>
  <c r="CV531" i="1"/>
  <c r="CV743" i="1"/>
  <c r="CV742" i="1"/>
  <c r="CV541" i="1"/>
  <c r="BF584" i="1"/>
  <c r="M25" i="18" l="1"/>
  <c r="M26" i="18" s="1"/>
  <c r="M27" i="18" s="1"/>
  <c r="M37" i="18"/>
  <c r="M34" i="18"/>
  <c r="CV674" i="1"/>
  <c r="AR624" i="1"/>
  <c r="AQ585" i="1"/>
  <c r="AQ583" i="1" s="1"/>
  <c r="CV550" i="1"/>
  <c r="CV564" i="1" s="1"/>
  <c r="CV568" i="1" s="1"/>
  <c r="BG584" i="1"/>
  <c r="DD584" i="1" s="1"/>
  <c r="AQ587" i="1" l="1"/>
  <c r="AQ607" i="1" s="1"/>
  <c r="AQ628" i="1"/>
  <c r="AQ629" i="1" s="1"/>
  <c r="CV583" i="1"/>
  <c r="CV585" i="1" s="1"/>
  <c r="CV702" i="1"/>
  <c r="CV700" i="1"/>
  <c r="CV783" i="1"/>
  <c r="AR73" i="21" s="1"/>
  <c r="AR74" i="21" s="1"/>
  <c r="CV782" i="1"/>
  <c r="BH584" i="1"/>
  <c r="AQ590" i="1" l="1"/>
  <c r="AQ548" i="1" s="1"/>
  <c r="AQ837" i="1"/>
  <c r="L78" i="21" s="1"/>
  <c r="AQ836" i="1"/>
  <c r="AQ834" i="1"/>
  <c r="AQ150" i="1"/>
  <c r="AQ593" i="1"/>
  <c r="AQ595" i="1"/>
  <c r="CV785" i="1"/>
  <c r="CV587" i="1"/>
  <c r="CV628" i="1"/>
  <c r="CV629" i="1" s="1"/>
  <c r="CV699" i="1"/>
  <c r="BI584" i="1"/>
  <c r="DE584" i="1" s="1"/>
  <c r="L77" i="21" l="1"/>
  <c r="CV841" i="1"/>
  <c r="CV590" i="1"/>
  <c r="CV548" i="1" s="1"/>
  <c r="AQ784" i="1"/>
  <c r="AQ786" i="1"/>
  <c r="AQ630" i="1"/>
  <c r="AQ631" i="1" s="1"/>
  <c r="AQ744" i="1"/>
  <c r="BJ584" i="1"/>
  <c r="BK584" i="1" s="1"/>
  <c r="AQ835" i="1"/>
  <c r="AQ591" i="1"/>
  <c r="AQ592" i="1" s="1"/>
  <c r="CV607" i="1"/>
  <c r="CV836" i="1"/>
  <c r="M36" i="18" s="1"/>
  <c r="M38" i="18" s="1"/>
  <c r="CV837" i="1" l="1"/>
  <c r="CV834" i="1"/>
  <c r="CV595" i="1"/>
  <c r="CV784" i="1" s="1"/>
  <c r="DF584" i="1"/>
  <c r="BL584" i="1"/>
  <c r="BM584" i="1" s="1"/>
  <c r="CV150" i="1"/>
  <c r="CV591" i="1"/>
  <c r="CX591" i="1"/>
  <c r="CV592" i="1"/>
  <c r="CX592" i="1"/>
  <c r="AQ639" i="1"/>
  <c r="AQ618" i="1"/>
  <c r="AR78" i="21" l="1"/>
  <c r="AR77" i="21"/>
  <c r="DG584" i="1"/>
  <c r="BN584" i="1"/>
  <c r="BO584" i="1" s="1"/>
  <c r="CV786" i="1"/>
  <c r="CV630" i="1"/>
  <c r="CV631" i="1" s="1"/>
  <c r="CV593" i="1"/>
  <c r="CV835" i="1" s="1"/>
  <c r="DH584" i="1" l="1"/>
  <c r="BP584" i="1"/>
  <c r="BQ584" i="1" s="1"/>
  <c r="DI584" i="1" s="1"/>
  <c r="CV618" i="1"/>
  <c r="AB45" i="18"/>
  <c r="P71" i="7" l="1"/>
  <c r="P72" i="7"/>
  <c r="CW535" i="1" l="1"/>
  <c r="CW633" i="1"/>
  <c r="CW636" i="1" l="1"/>
  <c r="CW543" i="1" l="1"/>
  <c r="CW537" i="1"/>
  <c r="CW680" i="1"/>
  <c r="CW652" i="1" l="1"/>
  <c r="CW141" i="1"/>
  <c r="CW634" i="1"/>
  <c r="CW635" i="1" s="1"/>
  <c r="AY762" i="1"/>
  <c r="AY763" i="1"/>
  <c r="N59" i="18" l="1"/>
  <c r="CW738" i="1"/>
  <c r="CW764" i="1" s="1"/>
  <c r="CW637" i="1"/>
  <c r="CW739" i="1" s="1"/>
  <c r="CW765" i="1" s="1"/>
  <c r="AZ762" i="1"/>
  <c r="AZ763" i="1"/>
  <c r="CW102" i="1" l="1"/>
  <c r="CW96" i="1" s="1"/>
  <c r="AR430" i="1"/>
  <c r="BA762" i="1"/>
  <c r="BA763" i="1"/>
  <c r="AS794" i="1" l="1"/>
  <c r="CW572" i="1"/>
  <c r="CW106" i="1"/>
  <c r="CW103" i="1"/>
  <c r="AR793" i="1"/>
  <c r="M71" i="21" s="1"/>
  <c r="AR794" i="1"/>
  <c r="BB762" i="1"/>
  <c r="BB763" i="1"/>
  <c r="CW627" i="1" l="1"/>
  <c r="CW434" i="1"/>
  <c r="CX101" i="1"/>
  <c r="CW97" i="1"/>
  <c r="CW790" i="1"/>
  <c r="BC762" i="1"/>
  <c r="BC763" i="1"/>
  <c r="AR495" i="1" l="1"/>
  <c r="BD762" i="1"/>
  <c r="BD763" i="1"/>
  <c r="AR534" i="1" l="1"/>
  <c r="AR538" i="1" s="1"/>
  <c r="BE762" i="1"/>
  <c r="BE763" i="1"/>
  <c r="AS533" i="1" l="1"/>
  <c r="AS527" i="1" s="1"/>
  <c r="AS622" i="1" s="1"/>
  <c r="M63" i="21"/>
  <c r="AR541" i="1"/>
  <c r="AR743" i="1"/>
  <c r="AR742" i="1"/>
  <c r="BF762" i="1"/>
  <c r="BF763" i="1"/>
  <c r="AR531" i="1"/>
  <c r="CW526" i="1"/>
  <c r="CW527" i="1" l="1"/>
  <c r="AS529" i="1"/>
  <c r="AS534" i="1" s="1"/>
  <c r="AS538" i="1" s="1"/>
  <c r="AT533" i="1" s="1"/>
  <c r="AT527" i="1" s="1"/>
  <c r="AT622" i="1" s="1"/>
  <c r="AT624" i="1" s="1"/>
  <c r="N63" i="21"/>
  <c r="AS531" i="1"/>
  <c r="AR769" i="1"/>
  <c r="AS541" i="1"/>
  <c r="AS624" i="1"/>
  <c r="CW622" i="1"/>
  <c r="AR768" i="1"/>
  <c r="AR674" i="1"/>
  <c r="AR550" i="1"/>
  <c r="AR564" i="1" s="1"/>
  <c r="AR568" i="1" s="1"/>
  <c r="AR585" i="1" s="1"/>
  <c r="CW621" i="1"/>
  <c r="BG762" i="1"/>
  <c r="BG763" i="1"/>
  <c r="AS742" i="1" l="1"/>
  <c r="AS743" i="1"/>
  <c r="AS769" i="1" s="1"/>
  <c r="AT529" i="1"/>
  <c r="AT534" i="1" s="1"/>
  <c r="AT538" i="1" s="1"/>
  <c r="AU533" i="1" s="1"/>
  <c r="AU527" i="1" s="1"/>
  <c r="AS768" i="1"/>
  <c r="AT742" i="1"/>
  <c r="AT541" i="1"/>
  <c r="AS674" i="1"/>
  <c r="AS550" i="1"/>
  <c r="AS564" i="1" s="1"/>
  <c r="AS568" i="1" s="1"/>
  <c r="AS585" i="1" s="1"/>
  <c r="CW675" i="1"/>
  <c r="AR583" i="1"/>
  <c r="BH762" i="1"/>
  <c r="BH763" i="1"/>
  <c r="AT743" i="1" l="1"/>
  <c r="AT769" i="1" s="1"/>
  <c r="AU622" i="1"/>
  <c r="AU624" i="1" s="1"/>
  <c r="AU529" i="1"/>
  <c r="AU534" i="1" s="1"/>
  <c r="AU538" i="1" s="1"/>
  <c r="P63" i="21" s="1"/>
  <c r="CX527" i="1"/>
  <c r="AT531" i="1"/>
  <c r="O63" i="21"/>
  <c r="AT674" i="1"/>
  <c r="AT550" i="1"/>
  <c r="AT564" i="1" s="1"/>
  <c r="AT568" i="1" s="1"/>
  <c r="AT768" i="1"/>
  <c r="AS583" i="1"/>
  <c r="AR587" i="1"/>
  <c r="AR628" i="1"/>
  <c r="AR629" i="1" s="1"/>
  <c r="BI762" i="1"/>
  <c r="BI763" i="1"/>
  <c r="AU531" i="1" l="1"/>
  <c r="AU541" i="1"/>
  <c r="AU550" i="1" s="1"/>
  <c r="AU564" i="1" s="1"/>
  <c r="AU568" i="1" s="1"/>
  <c r="AU585" i="1" s="1"/>
  <c r="CX622" i="1"/>
  <c r="AV533" i="1"/>
  <c r="AV527" i="1" s="1"/>
  <c r="AV622" i="1" s="1"/>
  <c r="AV624" i="1" s="1"/>
  <c r="AU743" i="1"/>
  <c r="AU769" i="1" s="1"/>
  <c r="AU742" i="1"/>
  <c r="AU768" i="1" s="1"/>
  <c r="AU674" i="1"/>
  <c r="AT585" i="1"/>
  <c r="AT583" i="1" s="1"/>
  <c r="AS628" i="1"/>
  <c r="AS629" i="1" s="1"/>
  <c r="AR590" i="1"/>
  <c r="AR607" i="1"/>
  <c r="CW583" i="1"/>
  <c r="AR836" i="1"/>
  <c r="AS587" i="1"/>
  <c r="AV529" i="1" l="1"/>
  <c r="AV534" i="1" s="1"/>
  <c r="AV538" i="1" s="1"/>
  <c r="AV743" i="1"/>
  <c r="AV769" i="1" s="1"/>
  <c r="AV742" i="1"/>
  <c r="AV768" i="1" s="1"/>
  <c r="Q63" i="21"/>
  <c r="AV541" i="1"/>
  <c r="AV674" i="1" s="1"/>
  <c r="AR548" i="1"/>
  <c r="AU583" i="1"/>
  <c r="AT628" i="1"/>
  <c r="AT629" i="1" s="1"/>
  <c r="AT587" i="1"/>
  <c r="AT607" i="1" s="1"/>
  <c r="AT837" i="1" s="1"/>
  <c r="O78" i="21" s="1"/>
  <c r="AR837" i="1"/>
  <c r="M78" i="21" s="1"/>
  <c r="AR593" i="1"/>
  <c r="AR835" i="1" s="1"/>
  <c r="AR595" i="1"/>
  <c r="AR744" i="1" s="1"/>
  <c r="AR834" i="1"/>
  <c r="AR150" i="1"/>
  <c r="AS590" i="1"/>
  <c r="AS607" i="1"/>
  <c r="AS837" i="1" s="1"/>
  <c r="N78" i="21" s="1"/>
  <c r="AS836" i="1"/>
  <c r="AW533" i="1" l="1"/>
  <c r="AW527" i="1" s="1"/>
  <c r="AV531" i="1"/>
  <c r="AV550" i="1"/>
  <c r="AV564" i="1" s="1"/>
  <c r="AV568" i="1" s="1"/>
  <c r="AV585" i="1" s="1"/>
  <c r="AV583" i="1" s="1"/>
  <c r="M77" i="21"/>
  <c r="AU628" i="1"/>
  <c r="AU629" i="1" s="1"/>
  <c r="AT590" i="1"/>
  <c r="AU587" i="1"/>
  <c r="AU590" i="1" s="1"/>
  <c r="AT836" i="1"/>
  <c r="AR786" i="1"/>
  <c r="AR630" i="1"/>
  <c r="AR631" i="1" s="1"/>
  <c r="AR639" i="1" s="1"/>
  <c r="CX583" i="1"/>
  <c r="AR784" i="1"/>
  <c r="AR591" i="1"/>
  <c r="AR592" i="1" s="1"/>
  <c r="AS593" i="1"/>
  <c r="AS834" i="1"/>
  <c r="AS595" i="1"/>
  <c r="AS150" i="1"/>
  <c r="AS548" i="1"/>
  <c r="AW529" i="1" l="1"/>
  <c r="AW534" i="1" s="1"/>
  <c r="AW538" i="1" s="1"/>
  <c r="CY527" i="1"/>
  <c r="AW622" i="1"/>
  <c r="AV587" i="1"/>
  <c r="AV836" i="1" s="1"/>
  <c r="N77" i="21"/>
  <c r="AV628" i="1"/>
  <c r="AV629" i="1" s="1"/>
  <c r="AT150" i="1"/>
  <c r="AT834" i="1"/>
  <c r="AT593" i="1"/>
  <c r="AT835" i="1" s="1"/>
  <c r="AV607" i="1"/>
  <c r="AV837" i="1" s="1"/>
  <c r="Q78" i="21" s="1"/>
  <c r="AV590" i="1"/>
  <c r="AT595" i="1"/>
  <c r="AT744" i="1" s="1"/>
  <c r="AT548" i="1"/>
  <c r="AU836" i="1"/>
  <c r="AU607" i="1"/>
  <c r="AU837" i="1" s="1"/>
  <c r="P78" i="21" s="1"/>
  <c r="AU150" i="1"/>
  <c r="AU548" i="1"/>
  <c r="AU595" i="1"/>
  <c r="AU593" i="1"/>
  <c r="AU834" i="1"/>
  <c r="AR618" i="1"/>
  <c r="AS786" i="1"/>
  <c r="AS784" i="1"/>
  <c r="AS744" i="1"/>
  <c r="AS630" i="1"/>
  <c r="AS631" i="1" s="1"/>
  <c r="AS835" i="1"/>
  <c r="AS591" i="1"/>
  <c r="AS592" i="1" s="1"/>
  <c r="AW624" i="1" l="1"/>
  <c r="CY622" i="1"/>
  <c r="R63" i="21"/>
  <c r="AW743" i="1"/>
  <c r="AW769" i="1" s="1"/>
  <c r="AX533" i="1"/>
  <c r="AX527" i="1" s="1"/>
  <c r="AW742" i="1"/>
  <c r="AW768" i="1" s="1"/>
  <c r="AW541" i="1"/>
  <c r="P77" i="21"/>
  <c r="O77" i="21"/>
  <c r="AT630" i="1"/>
  <c r="AT631" i="1" s="1"/>
  <c r="AT618" i="1" s="1"/>
  <c r="AT591" i="1"/>
  <c r="AT592" i="1" s="1"/>
  <c r="AV150" i="1"/>
  <c r="AV593" i="1"/>
  <c r="AV595" i="1"/>
  <c r="AV834" i="1"/>
  <c r="AV548" i="1"/>
  <c r="AU744" i="1"/>
  <c r="AU835" i="1"/>
  <c r="AU591" i="1"/>
  <c r="AU592" i="1" s="1"/>
  <c r="AU630" i="1"/>
  <c r="AU631" i="1" s="1"/>
  <c r="AU618" i="1" s="1"/>
  <c r="CY592" i="1"/>
  <c r="AS618" i="1"/>
  <c r="AS639" i="1"/>
  <c r="AX622" i="1" l="1"/>
  <c r="AX624" i="1" s="1"/>
  <c r="AX529" i="1"/>
  <c r="AX534" i="1" s="1"/>
  <c r="AX538" i="1" s="1"/>
  <c r="AW550" i="1"/>
  <c r="AW564" i="1" s="1"/>
  <c r="AW568" i="1" s="1"/>
  <c r="AW674" i="1"/>
  <c r="Q77" i="21"/>
  <c r="AT639" i="1"/>
  <c r="AV835" i="1"/>
  <c r="AV591" i="1"/>
  <c r="AV592" i="1" s="1"/>
  <c r="AV630" i="1"/>
  <c r="AV631" i="1" s="1"/>
  <c r="AV618" i="1" s="1"/>
  <c r="AU639" i="1"/>
  <c r="CZ592" i="1"/>
  <c r="S63" i="21" l="1"/>
  <c r="AX743" i="1"/>
  <c r="AX769" i="1" s="1"/>
  <c r="AX531" i="1"/>
  <c r="AX742" i="1"/>
  <c r="AX768" i="1" s="1"/>
  <c r="AX541" i="1"/>
  <c r="AW585" i="1"/>
  <c r="AW583" i="1" s="1"/>
  <c r="AV639" i="1"/>
  <c r="CY583" i="1" l="1"/>
  <c r="AW628" i="1"/>
  <c r="AW629" i="1" s="1"/>
  <c r="AX550" i="1"/>
  <c r="AX564" i="1" s="1"/>
  <c r="AX568" i="1" s="1"/>
  <c r="AX674" i="1"/>
  <c r="AW587" i="1"/>
  <c r="AW607" i="1" l="1"/>
  <c r="AW837" i="1" s="1"/>
  <c r="R78" i="21" s="1"/>
  <c r="AW590" i="1"/>
  <c r="AW836" i="1"/>
  <c r="AX585" i="1"/>
  <c r="AX583" i="1" s="1"/>
  <c r="AX628" i="1" s="1"/>
  <c r="AX629" i="1" s="1"/>
  <c r="AX587" i="1"/>
  <c r="AX607" i="1" l="1"/>
  <c r="AX837" i="1" s="1"/>
  <c r="S78" i="21" s="1"/>
  <c r="AX836" i="1"/>
  <c r="AX590" i="1"/>
  <c r="AW834" i="1"/>
  <c r="AW150" i="1"/>
  <c r="AW593" i="1"/>
  <c r="AW595" i="1"/>
  <c r="AW591" i="1" l="1"/>
  <c r="AW592" i="1" s="1"/>
  <c r="AW835" i="1"/>
  <c r="R77" i="21"/>
  <c r="AX150" i="1"/>
  <c r="AX595" i="1"/>
  <c r="AX834" i="1"/>
  <c r="AX593" i="1"/>
  <c r="AX548" i="1"/>
  <c r="AW630" i="1"/>
  <c r="AW631" i="1" s="1"/>
  <c r="AW786" i="1"/>
  <c r="AW784" i="1"/>
  <c r="AX784" i="1" l="1"/>
  <c r="AX786" i="1"/>
  <c r="AW618" i="1"/>
  <c r="AW639" i="1"/>
  <c r="AX835" i="1"/>
  <c r="AX591" i="1"/>
  <c r="AX592" i="1" s="1"/>
  <c r="AY592" i="1" s="1"/>
  <c r="AZ592" i="1" s="1"/>
  <c r="BA592" i="1" s="1"/>
  <c r="AX630" i="1"/>
  <c r="AX631" i="1" s="1"/>
  <c r="S77" i="21"/>
  <c r="AX618" i="1" l="1"/>
  <c r="AX639" i="1"/>
  <c r="DA592" i="1"/>
  <c r="BB592" i="1"/>
  <c r="BC592" i="1" s="1"/>
  <c r="DB592" i="1" l="1"/>
  <c r="BD592" i="1"/>
  <c r="BE592" i="1" s="1"/>
  <c r="BF592" i="1" l="1"/>
  <c r="BG592" i="1" s="1"/>
  <c r="DC592" i="1"/>
  <c r="BH592" i="1" l="1"/>
  <c r="BI592" i="1" s="1"/>
  <c r="DD592" i="1"/>
  <c r="BJ592" i="1" l="1"/>
  <c r="BK592" i="1" s="1"/>
  <c r="DE592" i="1"/>
  <c r="CX725" i="1"/>
  <c r="BL592" i="1" l="1"/>
  <c r="BM592" i="1" s="1"/>
  <c r="DF592" i="1"/>
  <c r="CV97" i="1"/>
  <c r="CV790" i="1"/>
  <c r="DG592" i="1" l="1"/>
  <c r="BN592" i="1"/>
  <c r="BO592" i="1" s="1"/>
  <c r="CW364" i="1"/>
  <c r="CW369" i="1"/>
  <c r="CW160" i="1"/>
  <c r="CW266" i="1"/>
  <c r="AS55" i="1"/>
  <c r="CW209" i="1"/>
  <c r="CW64" i="1" s="1"/>
  <c r="CW178" i="1"/>
  <c r="AS59" i="21" s="1"/>
  <c r="AS60" i="21" s="1"/>
  <c r="CW208" i="1"/>
  <c r="CW63" i="1" s="1"/>
  <c r="CW265" i="1"/>
  <c r="CW88" i="1" s="1"/>
  <c r="CW171" i="1"/>
  <c r="CW187" i="1"/>
  <c r="CW679" i="1"/>
  <c r="CW397" i="1"/>
  <c r="AS12" i="21" s="1"/>
  <c r="CW210" i="1"/>
  <c r="CW267" i="1"/>
  <c r="CW87" i="1" s="1"/>
  <c r="CW165" i="1"/>
  <c r="CW204" i="1"/>
  <c r="AS61" i="21" s="1"/>
  <c r="CW173" i="1"/>
  <c r="CW205" i="1"/>
  <c r="CW663" i="1"/>
  <c r="CW180" i="1"/>
  <c r="CW666" i="1"/>
  <c r="CW669" i="1"/>
  <c r="CW166" i="1"/>
  <c r="CW57" i="1" s="1"/>
  <c r="CW47" i="1" s="1"/>
  <c r="CW578" i="1"/>
  <c r="CW585" i="1" s="1"/>
  <c r="CW395" i="1"/>
  <c r="CW203" i="1"/>
  <c r="CW468" i="1"/>
  <c r="CW161" i="1"/>
  <c r="CW55" i="1" s="1"/>
  <c r="CW668" i="1"/>
  <c r="CW405" i="1"/>
  <c r="CW478" i="1"/>
  <c r="CW480" i="1" s="1"/>
  <c r="CW471" i="1"/>
  <c r="CW167" i="1"/>
  <c r="CW159" i="1"/>
  <c r="CW54" i="1" s="1"/>
  <c r="CW45" i="1" s="1"/>
  <c r="CW179" i="1"/>
  <c r="CW358" i="1"/>
  <c r="CW157" i="1"/>
  <c r="CW164" i="1"/>
  <c r="CW56" i="1" s="1"/>
  <c r="CW46" i="1" s="1"/>
  <c r="CW120" i="1"/>
  <c r="CW177" i="1"/>
  <c r="AS61" i="1"/>
  <c r="CW467" i="1"/>
  <c r="CW357" i="1"/>
  <c r="CW664" i="1"/>
  <c r="CW380" i="1"/>
  <c r="CW172" i="1"/>
  <c r="CW60" i="1" s="1"/>
  <c r="CW49" i="1" s="1"/>
  <c r="CW406" i="1"/>
  <c r="AS15" i="21" s="1"/>
  <c r="AS64" i="1"/>
  <c r="CW670" i="1"/>
  <c r="CW181" i="1"/>
  <c r="CW685" i="1"/>
  <c r="CW158" i="1"/>
  <c r="AS58" i="1"/>
  <c r="CW396" i="1"/>
  <c r="CW469" i="1"/>
  <c r="AS63" i="1"/>
  <c r="CW170" i="1"/>
  <c r="CW59" i="1" s="1"/>
  <c r="CW48" i="1" s="1"/>
  <c r="CW611" i="1"/>
  <c r="CW660" i="1"/>
  <c r="CW124" i="1"/>
  <c r="CW202" i="1"/>
  <c r="CW125" i="1"/>
  <c r="CW667" i="1"/>
  <c r="CY614" i="1"/>
  <c r="CW470" i="1"/>
  <c r="CW612" i="1"/>
  <c r="CW379" i="1"/>
  <c r="CW662" i="1"/>
  <c r="CW121" i="1"/>
  <c r="CW665" i="1"/>
  <c r="CW610" i="1"/>
  <c r="CW176" i="1"/>
  <c r="AS60" i="1"/>
  <c r="AS49" i="1" s="1"/>
  <c r="AS59" i="1"/>
  <c r="AS48" i="1" s="1"/>
  <c r="CW628" i="1"/>
  <c r="CW414" i="1"/>
  <c r="CW684" i="1"/>
  <c r="CW374" i="1"/>
  <c r="CW359" i="1"/>
  <c r="CW625" i="1"/>
  <c r="CW375" i="1"/>
  <c r="CW472" i="1"/>
  <c r="CW136" i="1"/>
  <c r="CW441" i="1"/>
  <c r="AS26" i="21" s="1"/>
  <c r="AS29" i="21" s="1"/>
  <c r="CW376" i="1"/>
  <c r="AS57" i="1"/>
  <c r="AS47" i="1" s="1"/>
  <c r="CW440" i="1"/>
  <c r="CW387" i="1"/>
  <c r="CW389" i="1" s="1"/>
  <c r="CW630" i="1"/>
  <c r="CW529" i="1"/>
  <c r="CW676" i="1"/>
  <c r="CW521" i="1"/>
  <c r="CW449" i="1"/>
  <c r="CW451" i="1" s="1"/>
  <c r="CW567" i="1"/>
  <c r="CW497" i="1"/>
  <c r="AS40" i="21" s="1"/>
  <c r="CW673" i="1"/>
  <c r="CW137" i="1"/>
  <c r="CW506" i="1"/>
  <c r="CW509" i="1" s="1"/>
  <c r="CW672" i="1"/>
  <c r="CW598" i="1"/>
  <c r="CW443" i="1"/>
  <c r="CW500" i="1"/>
  <c r="CW495" i="1" s="1"/>
  <c r="CY591" i="1"/>
  <c r="CW408" i="1"/>
  <c r="CW525" i="1"/>
  <c r="AS53" i="1"/>
  <c r="AS44" i="1" s="1"/>
  <c r="AS54" i="1"/>
  <c r="AS45" i="1" s="1"/>
  <c r="CW674" i="1"/>
  <c r="CW589" i="1"/>
  <c r="CW671" i="1"/>
  <c r="CW599" i="1"/>
  <c r="DH592" i="1" l="1"/>
  <c r="BP592" i="1"/>
  <c r="BQ592" i="1" s="1"/>
  <c r="DI592" i="1" s="1"/>
  <c r="AS11" i="21"/>
  <c r="CW89" i="1"/>
  <c r="AS14" i="21"/>
  <c r="AS6" i="21"/>
  <c r="AS7" i="21"/>
  <c r="AS28" i="21"/>
  <c r="AS30" i="21" s="1"/>
  <c r="CW465" i="1"/>
  <c r="AS35" i="21"/>
  <c r="AS36" i="21" s="1"/>
  <c r="AS51" i="21"/>
  <c r="CW416" i="1"/>
  <c r="CW393" i="1"/>
  <c r="AS17" i="21"/>
  <c r="N13" i="18"/>
  <c r="N14" i="18" s="1"/>
  <c r="CW146" i="1"/>
  <c r="CW604" i="1"/>
  <c r="CW809" i="1"/>
  <c r="CW839" i="1"/>
  <c r="CW53" i="1"/>
  <c r="CW44" i="1" s="1"/>
  <c r="CW216" i="1"/>
  <c r="CW52" i="1"/>
  <c r="CW43" i="1" s="1"/>
  <c r="CW215" i="1"/>
  <c r="CW58" i="1"/>
  <c r="CW61" i="1"/>
  <c r="CW111" i="1"/>
  <c r="CW117" i="1"/>
  <c r="CW816" i="1"/>
  <c r="CW729" i="1"/>
  <c r="CW728" i="1"/>
  <c r="CW791" i="1"/>
  <c r="CW98" i="1"/>
  <c r="CW130" i="1"/>
  <c r="CW430" i="1"/>
  <c r="CW212" i="1"/>
  <c r="CW811" i="1"/>
  <c r="CW145" i="1"/>
  <c r="CW613" i="1"/>
  <c r="AS62" i="21" s="1"/>
  <c r="CW825" i="1"/>
  <c r="CW822" i="1"/>
  <c r="CW819" i="1"/>
  <c r="CW85" i="1"/>
  <c r="CW154" i="1"/>
  <c r="CW112" i="1"/>
  <c r="CW114" i="1"/>
  <c r="CW147" i="1"/>
  <c r="CW813" i="1"/>
  <c r="CW115" i="1"/>
  <c r="CW122" i="1"/>
  <c r="CW815" i="1"/>
  <c r="CW812" i="1"/>
  <c r="CW795" i="1"/>
  <c r="CW712" i="1" l="1"/>
  <c r="N32" i="18"/>
  <c r="N33" i="18" s="1"/>
  <c r="CW116" i="1"/>
  <c r="CW232" i="1"/>
  <c r="CW218" i="1"/>
  <c r="CW217" i="1"/>
  <c r="CW817" i="1"/>
  <c r="CW821" i="1"/>
  <c r="CW703" i="1"/>
  <c r="CW824" i="1"/>
  <c r="CW823" i="1"/>
  <c r="CW827" i="1"/>
  <c r="CW818" i="1"/>
  <c r="CW826" i="1"/>
  <c r="CW820" i="1"/>
  <c r="CX369" i="1"/>
  <c r="CW616" i="1"/>
  <c r="CW814" i="1"/>
  <c r="CW758" i="1"/>
  <c r="CX364" i="1"/>
  <c r="CW757" i="1"/>
  <c r="CW233" i="1" l="1"/>
  <c r="CW109" i="1"/>
  <c r="CW808" i="1"/>
  <c r="CW810" i="1"/>
  <c r="CW110" i="1"/>
  <c r="CW321" i="1"/>
  <c r="CW84" i="1" l="1"/>
  <c r="CW118" i="1"/>
  <c r="CW113" i="1"/>
  <c r="CW86" i="1"/>
  <c r="CY364" i="1"/>
  <c r="CY369" i="1"/>
  <c r="CW381" i="1"/>
  <c r="AS56" i="1"/>
  <c r="AS46" i="1" s="1"/>
  <c r="CW534" i="1"/>
  <c r="CW538" i="1" s="1"/>
  <c r="AS52" i="1"/>
  <c r="AS43" i="1" s="1"/>
  <c r="N23" i="18" l="1"/>
  <c r="N34" i="18" s="1"/>
  <c r="AS63" i="21"/>
  <c r="CW515" i="1"/>
  <c r="CW788" i="1" s="1"/>
  <c r="AS72" i="21" s="1"/>
  <c r="AS8" i="21"/>
  <c r="AS9" i="21" s="1"/>
  <c r="CX533" i="1"/>
  <c r="CW531" i="1"/>
  <c r="CW743" i="1"/>
  <c r="CW742" i="1"/>
  <c r="CW541" i="1"/>
  <c r="CW740" i="1"/>
  <c r="CW766" i="1" s="1"/>
  <c r="CW730" i="1"/>
  <c r="CW419" i="1"/>
  <c r="CW327" i="1"/>
  <c r="CW99" i="1"/>
  <c r="CW513" i="1" l="1"/>
  <c r="N18" i="18" s="1"/>
  <c r="N30" i="18" s="1"/>
  <c r="CW783" i="1"/>
  <c r="AS73" i="21" s="1"/>
  <c r="CW732" i="1"/>
  <c r="AS55" i="21" s="1"/>
  <c r="N25" i="18"/>
  <c r="N37" i="18"/>
  <c r="AS54" i="21"/>
  <c r="CW787" i="1"/>
  <c r="AS74" i="21"/>
  <c r="AS44" i="21"/>
  <c r="AS47" i="21" s="1"/>
  <c r="CW620" i="1"/>
  <c r="CW624" i="1" s="1"/>
  <c r="CW629" i="1" s="1"/>
  <c r="CW631" i="1" s="1"/>
  <c r="CW618" i="1" s="1"/>
  <c r="CW789" i="1"/>
  <c r="CW741" i="1"/>
  <c r="CW767" i="1" s="1"/>
  <c r="N16" i="18"/>
  <c r="CW702" i="1"/>
  <c r="CW785" i="1" s="1"/>
  <c r="CW700" i="1"/>
  <c r="CW782" i="1"/>
  <c r="CZ364" i="1"/>
  <c r="CW731" i="1"/>
  <c r="CW759" i="1"/>
  <c r="CW840" i="1"/>
  <c r="CW838" i="1"/>
  <c r="CW768" i="1"/>
  <c r="CW794" i="1"/>
  <c r="CW426" i="1"/>
  <c r="CW454" i="1"/>
  <c r="CW792" i="1"/>
  <c r="CW793" i="1"/>
  <c r="AS71" i="21" s="1"/>
  <c r="CZ369" i="1"/>
  <c r="CW733" i="1"/>
  <c r="CW760" i="1"/>
  <c r="CW769" i="1"/>
  <c r="CW550" i="1"/>
  <c r="CW564" i="1" s="1"/>
  <c r="CW568" i="1" s="1"/>
  <c r="CW587" i="1" s="1"/>
  <c r="N21" i="18" l="1"/>
  <c r="N19" i="18"/>
  <c r="N26" i="18"/>
  <c r="N27" i="18" s="1"/>
  <c r="CW639" i="1"/>
  <c r="AS50" i="21"/>
  <c r="AS48" i="21"/>
  <c r="CW428" i="1"/>
  <c r="AS19" i="21"/>
  <c r="AS20" i="21" s="1"/>
  <c r="CW699" i="1"/>
  <c r="CW734" i="1"/>
  <c r="CW461" i="1"/>
  <c r="CW483" i="1"/>
  <c r="CW841" i="1"/>
  <c r="CW607" i="1"/>
  <c r="CW590" i="1"/>
  <c r="CW836" i="1"/>
  <c r="CW463" i="1" l="1"/>
  <c r="AS32" i="21"/>
  <c r="AS33" i="21" s="1"/>
  <c r="N36" i="18"/>
  <c r="N38" i="18" s="1"/>
  <c r="CW129" i="1"/>
  <c r="CW761" i="1"/>
  <c r="CW490" i="1"/>
  <c r="CW548" i="1"/>
  <c r="CW150" i="1"/>
  <c r="CW595" i="1"/>
  <c r="CW744" i="1" s="1"/>
  <c r="CW834" i="1"/>
  <c r="CW593" i="1"/>
  <c r="CW835" i="1" s="1"/>
  <c r="CW837" i="1"/>
  <c r="AS78" i="21" s="1"/>
  <c r="DA369" i="1"/>
  <c r="DA364" i="1"/>
  <c r="CW493" i="1" l="1"/>
  <c r="CW510" i="1" s="1"/>
  <c r="AS38" i="21"/>
  <c r="AS41" i="21" s="1"/>
  <c r="AS77" i="21"/>
  <c r="CW784" i="1"/>
  <c r="CW786" i="1"/>
  <c r="DB364" i="1" l="1"/>
  <c r="DB369" i="1"/>
  <c r="DC364" i="1" l="1"/>
  <c r="DC369" i="1"/>
  <c r="DD364" i="1" l="1"/>
  <c r="DD369" i="1"/>
  <c r="DE369" i="1" l="1"/>
  <c r="DE364" i="1"/>
  <c r="DF364" i="1" l="1"/>
  <c r="DF369" i="1"/>
  <c r="DG369" i="1" l="1"/>
  <c r="DG364" i="1"/>
  <c r="CX92" i="1" l="1"/>
  <c r="DH364" i="1" l="1"/>
  <c r="DH369" i="1"/>
  <c r="DI369" i="1" l="1"/>
  <c r="DI364" i="1"/>
  <c r="CX139" i="1"/>
  <c r="CX535" i="1"/>
  <c r="CX636" i="1" l="1"/>
  <c r="CX633" i="1"/>
  <c r="CX526" i="1" l="1"/>
  <c r="CX621" i="1"/>
  <c r="CX675" i="1"/>
  <c r="CX143" i="1" l="1"/>
  <c r="AV143" i="1"/>
  <c r="AW143" i="1" s="1"/>
  <c r="CX102" i="1"/>
  <c r="CX96" i="1" s="1"/>
  <c r="AW744" i="1" l="1"/>
  <c r="AX143" i="1"/>
  <c r="AX744" i="1" s="1"/>
  <c r="AV744" i="1"/>
  <c r="CX103" i="1"/>
  <c r="AY143" i="1" l="1"/>
  <c r="CY143" i="1"/>
  <c r="CX106" i="1"/>
  <c r="CY101" i="1" s="1"/>
  <c r="CZ143" i="1" l="1"/>
  <c r="AZ143" i="1"/>
  <c r="AZ141" i="1" s="1"/>
  <c r="CX790" i="1"/>
  <c r="CX97" i="1"/>
  <c r="CX627" i="1"/>
  <c r="CX572" i="1"/>
  <c r="BA143" i="1" l="1"/>
  <c r="BB143" i="1" s="1"/>
  <c r="BC143" i="1" s="1"/>
  <c r="BD143" i="1" s="1"/>
  <c r="BE143" i="1" s="1"/>
  <c r="DB143" i="1" l="1"/>
  <c r="DA143" i="1"/>
  <c r="DC143" i="1"/>
  <c r="BF143" i="1"/>
  <c r="BG143" i="1" s="1"/>
  <c r="DD143" i="1" l="1"/>
  <c r="BH143" i="1"/>
  <c r="BI143" i="1" l="1"/>
  <c r="BJ143" i="1" s="1"/>
  <c r="DE143" i="1" l="1"/>
  <c r="BK143" i="1"/>
  <c r="BL143" i="1" s="1"/>
  <c r="BM143" i="1" s="1"/>
  <c r="DG143" i="1" l="1"/>
  <c r="BN143" i="1"/>
  <c r="DF143" i="1"/>
  <c r="BO143" i="1" l="1"/>
  <c r="DH143" i="1" l="1"/>
  <c r="BP143" i="1"/>
  <c r="AT89" i="1"/>
  <c r="AT85" i="1"/>
  <c r="CX373" i="1"/>
  <c r="BQ143" i="1" l="1"/>
  <c r="DI143" i="1" s="1"/>
  <c r="AT782" i="1"/>
  <c r="AT784" i="1"/>
  <c r="AT783" i="1"/>
  <c r="O73" i="21" s="1"/>
  <c r="AT702" i="1"/>
  <c r="AT785" i="1" l="1"/>
  <c r="AT786" i="1"/>
  <c r="AT841" i="1" l="1"/>
  <c r="AT788" i="1" l="1"/>
  <c r="O72" i="21" s="1"/>
  <c r="O74" i="21" s="1"/>
  <c r="AT698" i="1"/>
  <c r="AT789" i="1" s="1"/>
  <c r="AT700" i="1"/>
  <c r="AT699" i="1" s="1"/>
  <c r="AT696" i="1"/>
  <c r="CX537" i="1" l="1"/>
  <c r="CX543" i="1"/>
  <c r="F35" i="7" s="1"/>
  <c r="P20" i="18" l="1"/>
  <c r="P22" i="18" s="1"/>
  <c r="P52" i="18" s="1"/>
  <c r="P54" i="18" s="1"/>
  <c r="CX680" i="1"/>
  <c r="CX544" i="1"/>
  <c r="CX634" i="1"/>
  <c r="CX635" i="1" s="1"/>
  <c r="CX141" i="1"/>
  <c r="CX652" i="1"/>
  <c r="O59" i="18" l="1"/>
  <c r="CX545" i="1"/>
  <c r="F36" i="7" s="1"/>
  <c r="CX637" i="1"/>
  <c r="CX739" i="1" s="1"/>
  <c r="CX765" i="1" s="1"/>
  <c r="CX738" i="1"/>
  <c r="C24" i="2" l="1"/>
  <c r="C51" i="2"/>
  <c r="CX764" i="1"/>
  <c r="CY139" i="1" l="1"/>
  <c r="CY535" i="1"/>
  <c r="CY636" i="1" l="1"/>
  <c r="CY633" i="1"/>
  <c r="CY537" i="1" l="1"/>
  <c r="BD145" i="1"/>
  <c r="CY634" i="1" l="1"/>
  <c r="CY635" i="1" s="1"/>
  <c r="CY680" i="1"/>
  <c r="CY141" i="1"/>
  <c r="CY652" i="1"/>
  <c r="C128" i="2" s="1"/>
  <c r="BE145" i="1"/>
  <c r="P59" i="18" l="1"/>
  <c r="BF145" i="1"/>
  <c r="CY637" i="1"/>
  <c r="CY739" i="1" s="1"/>
  <c r="CY765" i="1" s="1"/>
  <c r="CY738" i="1"/>
  <c r="CY764" i="1" l="1"/>
  <c r="BG145" i="1"/>
  <c r="BG146" i="1"/>
  <c r="BH146" i="1" l="1"/>
  <c r="BH145" i="1"/>
  <c r="CZ139" i="1"/>
  <c r="AY141" i="1"/>
  <c r="AY633" i="1"/>
  <c r="CZ535" i="1"/>
  <c r="BI146" i="1" l="1"/>
  <c r="AY636" i="1"/>
  <c r="CZ636" i="1" s="1"/>
  <c r="CZ633" i="1"/>
  <c r="BI145" i="1"/>
  <c r="AY634" i="1" l="1"/>
  <c r="CZ537" i="1"/>
  <c r="BJ146" i="1"/>
  <c r="CZ543" i="1"/>
  <c r="BJ145" i="1"/>
  <c r="G35" i="7" l="1"/>
  <c r="D55" i="22"/>
  <c r="J7" i="22" s="1"/>
  <c r="Q20" i="18"/>
  <c r="Q22" i="18" s="1"/>
  <c r="Q52" i="18" s="1"/>
  <c r="Q54" i="18" s="1"/>
  <c r="BK146" i="1"/>
  <c r="CZ141" i="1"/>
  <c r="CZ652" i="1"/>
  <c r="CZ634" i="1"/>
  <c r="CZ635" i="1" s="1"/>
  <c r="AY635" i="1"/>
  <c r="BK145" i="1"/>
  <c r="AZ633" i="1"/>
  <c r="CZ680" i="1"/>
  <c r="D128" i="2" l="1"/>
  <c r="Q59" i="18"/>
  <c r="BL145" i="1"/>
  <c r="BL146" i="1"/>
  <c r="AY637" i="1"/>
  <c r="CZ637" i="1"/>
  <c r="AZ636" i="1"/>
  <c r="BM146" i="1" l="1"/>
  <c r="BA535" i="1"/>
  <c r="AZ680" i="1"/>
  <c r="BM145" i="1"/>
  <c r="AZ634" i="1"/>
  <c r="BN146" i="1" l="1"/>
  <c r="BN145" i="1"/>
  <c r="AZ635" i="1"/>
  <c r="DA139" i="1"/>
  <c r="BA141" i="1"/>
  <c r="BA633" i="1"/>
  <c r="DA535" i="1"/>
  <c r="BO145" i="1" l="1"/>
  <c r="BP145" i="1" s="1"/>
  <c r="BA636" i="1"/>
  <c r="DA636" i="1" s="1"/>
  <c r="DA633" i="1"/>
  <c r="BA537" i="1"/>
  <c r="BA543" i="1"/>
  <c r="AZ637" i="1"/>
  <c r="BO146" i="1"/>
  <c r="BP146" i="1" s="1"/>
  <c r="BQ146" i="1" l="1"/>
  <c r="BQ145" i="1"/>
  <c r="BB535" i="1"/>
  <c r="DA543" i="1"/>
  <c r="E55" i="22" s="1"/>
  <c r="BA680" i="1"/>
  <c r="BA634" i="1"/>
  <c r="DA537" i="1"/>
  <c r="H35" i="7" l="1"/>
  <c r="R20" i="18"/>
  <c r="R22" i="18" s="1"/>
  <c r="R52" i="18" s="1"/>
  <c r="R54" i="18" s="1"/>
  <c r="DA634" i="1"/>
  <c r="DA635" i="1" s="1"/>
  <c r="BA635" i="1"/>
  <c r="DA141" i="1"/>
  <c r="DA652" i="1"/>
  <c r="E128" i="2" s="1"/>
  <c r="DA680" i="1"/>
  <c r="BB141" i="1"/>
  <c r="BB633" i="1"/>
  <c r="R59" i="18" l="1"/>
  <c r="BB537" i="1"/>
  <c r="BB543" i="1"/>
  <c r="BA637" i="1"/>
  <c r="BB636" i="1"/>
  <c r="DA637" i="1"/>
  <c r="BC535" i="1" l="1"/>
  <c r="BB680" i="1"/>
  <c r="BB634" i="1"/>
  <c r="BB635" i="1" l="1"/>
  <c r="DB139" i="1"/>
  <c r="BC141" i="1"/>
  <c r="BC633" i="1"/>
  <c r="DB535" i="1"/>
  <c r="BC537" i="1" l="1"/>
  <c r="BC543" i="1"/>
  <c r="BB637" i="1"/>
  <c r="BC636" i="1"/>
  <c r="DB636" i="1" s="1"/>
  <c r="DB633" i="1"/>
  <c r="BC634" i="1" l="1"/>
  <c r="DB537" i="1"/>
  <c r="DB543" i="1"/>
  <c r="F55" i="22" s="1"/>
  <c r="BD535" i="1"/>
  <c r="BD141" i="1" s="1"/>
  <c r="BC680" i="1"/>
  <c r="I35" i="7" l="1"/>
  <c r="S20" i="18"/>
  <c r="S22" i="18" s="1"/>
  <c r="DB680" i="1"/>
  <c r="DB634" i="1"/>
  <c r="DB635" i="1" s="1"/>
  <c r="BC635" i="1"/>
  <c r="DB652" i="1"/>
  <c r="DB141" i="1"/>
  <c r="BD633" i="1"/>
  <c r="S52" i="18" l="1"/>
  <c r="S54" i="18" s="1"/>
  <c r="S59" i="18"/>
  <c r="F128" i="2"/>
  <c r="BD537" i="1"/>
  <c r="BD543" i="1"/>
  <c r="BC637" i="1"/>
  <c r="DB637" i="1"/>
  <c r="BD636" i="1"/>
  <c r="BE535" i="1" l="1"/>
  <c r="BD680" i="1"/>
  <c r="BD634" i="1"/>
  <c r="DC139" i="1" l="1"/>
  <c r="BE141" i="1"/>
  <c r="BE633" i="1"/>
  <c r="DC535" i="1"/>
  <c r="BD635" i="1"/>
  <c r="BD637" i="1" l="1"/>
  <c r="BE636" i="1"/>
  <c r="DC636" i="1" s="1"/>
  <c r="DC633" i="1"/>
  <c r="BE537" i="1"/>
  <c r="BE543" i="1"/>
  <c r="DC543" i="1" l="1"/>
  <c r="G55" i="22" s="1"/>
  <c r="BF535" i="1"/>
  <c r="BE680" i="1"/>
  <c r="BE634" i="1"/>
  <c r="DC537" i="1"/>
  <c r="T20" i="18" l="1"/>
  <c r="T22" i="18" s="1"/>
  <c r="J35" i="7"/>
  <c r="DC634" i="1"/>
  <c r="DC635" i="1" s="1"/>
  <c r="BE635" i="1"/>
  <c r="BF141" i="1"/>
  <c r="BF633" i="1"/>
  <c r="DC680" i="1"/>
  <c r="DC141" i="1"/>
  <c r="DC652" i="1"/>
  <c r="G128" i="2" s="1"/>
  <c r="Q81" i="7" s="1"/>
  <c r="T52" i="18" l="1"/>
  <c r="T54" i="18" s="1"/>
  <c r="T59" i="18"/>
  <c r="BE637" i="1"/>
  <c r="BF636" i="1"/>
  <c r="BF537" i="1"/>
  <c r="BF543" i="1"/>
  <c r="DC637" i="1"/>
  <c r="BF634" i="1" l="1"/>
  <c r="BG535" i="1"/>
  <c r="BF680" i="1"/>
  <c r="DD139" i="1" l="1"/>
  <c r="BG141" i="1"/>
  <c r="BG633" i="1"/>
  <c r="DD535" i="1"/>
  <c r="BF635" i="1"/>
  <c r="BG537" i="1" l="1"/>
  <c r="BG543" i="1"/>
  <c r="BF637" i="1"/>
  <c r="BG636" i="1"/>
  <c r="DD636" i="1" s="1"/>
  <c r="DD633" i="1"/>
  <c r="DD543" i="1" l="1"/>
  <c r="BH535" i="1"/>
  <c r="BG680" i="1"/>
  <c r="BG634" i="1"/>
  <c r="DD537" i="1"/>
  <c r="U20" i="18" l="1"/>
  <c r="U22" i="18" s="1"/>
  <c r="U52" i="18" s="1"/>
  <c r="U54" i="18" s="1"/>
  <c r="DD634" i="1"/>
  <c r="DD635" i="1" s="1"/>
  <c r="BG635" i="1"/>
  <c r="DD680" i="1"/>
  <c r="DD652" i="1"/>
  <c r="DD141" i="1"/>
  <c r="BH141" i="1"/>
  <c r="BH633" i="1"/>
  <c r="U59" i="18" l="1"/>
  <c r="AB50" i="18" s="1"/>
  <c r="BH636" i="1"/>
  <c r="BH537" i="1"/>
  <c r="BH543" i="1"/>
  <c r="BG637" i="1"/>
  <c r="DD637" i="1"/>
  <c r="BI535" i="1" l="1"/>
  <c r="BH680" i="1"/>
  <c r="BH634" i="1"/>
  <c r="DE139" i="1" l="1"/>
  <c r="BI141" i="1"/>
  <c r="BI633" i="1"/>
  <c r="DE535" i="1"/>
  <c r="BH635" i="1"/>
  <c r="BI636" i="1" l="1"/>
  <c r="DE636" i="1" s="1"/>
  <c r="DE633" i="1"/>
  <c r="BI537" i="1"/>
  <c r="BI543" i="1"/>
  <c r="BH637" i="1"/>
  <c r="DE543" i="1" l="1"/>
  <c r="BJ535" i="1"/>
  <c r="BI680" i="1"/>
  <c r="BI634" i="1"/>
  <c r="DE537" i="1"/>
  <c r="V20" i="18" l="1"/>
  <c r="DE634" i="1"/>
  <c r="DE635" i="1" s="1"/>
  <c r="BI635" i="1"/>
  <c r="BJ141" i="1"/>
  <c r="BJ633" i="1"/>
  <c r="DE141" i="1"/>
  <c r="DE652" i="1"/>
  <c r="DE680" i="1"/>
  <c r="V59" i="18" l="1"/>
  <c r="BJ537" i="1"/>
  <c r="BJ543" i="1"/>
  <c r="BJ636" i="1"/>
  <c r="BI637" i="1"/>
  <c r="DE637" i="1"/>
  <c r="BK535" i="1" l="1"/>
  <c r="BJ680" i="1"/>
  <c r="BJ634" i="1"/>
  <c r="BJ635" i="1" l="1"/>
  <c r="BK141" i="1"/>
  <c r="DF139" i="1"/>
  <c r="BK633" i="1"/>
  <c r="DF535" i="1"/>
  <c r="BJ637" i="1" l="1"/>
  <c r="BK636" i="1"/>
  <c r="DF636" i="1" s="1"/>
  <c r="DF633" i="1"/>
  <c r="BK537" i="1"/>
  <c r="BK543" i="1"/>
  <c r="DF543" i="1" l="1"/>
  <c r="BL535" i="1"/>
  <c r="BK680" i="1"/>
  <c r="BK634" i="1"/>
  <c r="DF537" i="1"/>
  <c r="W20" i="18" l="1"/>
  <c r="DF680" i="1"/>
  <c r="BL141" i="1"/>
  <c r="BL633" i="1"/>
  <c r="DF634" i="1"/>
  <c r="DF635" i="1" s="1"/>
  <c r="BK635" i="1"/>
  <c r="DF652" i="1"/>
  <c r="DF141" i="1"/>
  <c r="W59" i="18" l="1"/>
  <c r="DF637" i="1"/>
  <c r="BL636" i="1"/>
  <c r="BL537" i="1"/>
  <c r="BL543" i="1"/>
  <c r="BK637" i="1"/>
  <c r="BL634" i="1" l="1"/>
  <c r="BM535" i="1"/>
  <c r="BL680" i="1"/>
  <c r="DG139" i="1" l="1"/>
  <c r="BM141" i="1"/>
  <c r="BM633" i="1"/>
  <c r="DG535" i="1"/>
  <c r="BL635" i="1"/>
  <c r="BM636" i="1" l="1"/>
  <c r="DG636" i="1" s="1"/>
  <c r="DG633" i="1"/>
  <c r="BM537" i="1"/>
  <c r="BM543" i="1"/>
  <c r="BL637" i="1"/>
  <c r="BM634" i="1" l="1"/>
  <c r="DG537" i="1"/>
  <c r="DG543" i="1"/>
  <c r="BN535" i="1"/>
  <c r="BM680" i="1"/>
  <c r="X20" i="18" l="1"/>
  <c r="DG680" i="1"/>
  <c r="BN141" i="1"/>
  <c r="BN633" i="1"/>
  <c r="DG652" i="1"/>
  <c r="DG141" i="1"/>
  <c r="DG634" i="1"/>
  <c r="DG635" i="1" s="1"/>
  <c r="BM635" i="1"/>
  <c r="X59" i="18" l="1"/>
  <c r="BM637" i="1"/>
  <c r="DG637" i="1"/>
  <c r="BN636" i="1"/>
  <c r="BN537" i="1"/>
  <c r="BN543" i="1"/>
  <c r="BO535" i="1" l="1"/>
  <c r="BN680" i="1"/>
  <c r="BN634" i="1"/>
  <c r="BO141" i="1" l="1"/>
  <c r="DH139" i="1"/>
  <c r="BO633" i="1"/>
  <c r="DH535" i="1"/>
  <c r="BN635" i="1"/>
  <c r="BN637" i="1" l="1"/>
  <c r="BO636" i="1"/>
  <c r="DH636" i="1" s="1"/>
  <c r="DH633" i="1"/>
  <c r="BO537" i="1"/>
  <c r="BO543" i="1"/>
  <c r="BP535" i="1" l="1"/>
  <c r="BO634" i="1"/>
  <c r="DH537" i="1"/>
  <c r="DH543" i="1"/>
  <c r="BO680" i="1"/>
  <c r="Y20" i="18" l="1"/>
  <c r="DH680" i="1"/>
  <c r="BP141" i="1"/>
  <c r="BP633" i="1"/>
  <c r="DH141" i="1"/>
  <c r="DH652" i="1"/>
  <c r="DH634" i="1"/>
  <c r="DH635" i="1" s="1"/>
  <c r="BO635" i="1"/>
  <c r="Y59" i="18" l="1"/>
  <c r="BP537" i="1"/>
  <c r="BP543" i="1"/>
  <c r="BP636" i="1"/>
  <c r="DH637" i="1"/>
  <c r="BO637" i="1"/>
  <c r="BP634" i="1" l="1"/>
  <c r="BQ535" i="1"/>
  <c r="BP680" i="1"/>
  <c r="DI139" i="1" l="1"/>
  <c r="DI535" i="1"/>
  <c r="BP635" i="1"/>
  <c r="BP637" i="1" s="1"/>
  <c r="BQ141" i="1"/>
  <c r="BQ633" i="1"/>
  <c r="DI633" i="1" s="1"/>
  <c r="CX598" i="1"/>
  <c r="CX124" i="1"/>
  <c r="CX120" i="1"/>
  <c r="CX137" i="1"/>
  <c r="CX471" i="1"/>
  <c r="CX125" i="1"/>
  <c r="CX121" i="1"/>
  <c r="BQ636" i="1" l="1"/>
  <c r="DI636" i="1" s="1"/>
  <c r="CZ647" i="1" s="1"/>
  <c r="BQ537" i="1"/>
  <c r="DI537" i="1" s="1"/>
  <c r="BQ543" i="1"/>
  <c r="CX115" i="1"/>
  <c r="CX839" i="1"/>
  <c r="CX684" i="1"/>
  <c r="CX122" i="1"/>
  <c r="CX815" i="1"/>
  <c r="CX679" i="1"/>
  <c r="CX685" i="1"/>
  <c r="DI543" i="1" l="1"/>
  <c r="DH647" i="1"/>
  <c r="DI648" i="1"/>
  <c r="DI649" i="1" s="1"/>
  <c r="CV647" i="1"/>
  <c r="CW647" i="1"/>
  <c r="CX647" i="1"/>
  <c r="CY647" i="1"/>
  <c r="DA647" i="1"/>
  <c r="DB647" i="1"/>
  <c r="DC647" i="1"/>
  <c r="DG647" i="1"/>
  <c r="DF647" i="1"/>
  <c r="DE647" i="1"/>
  <c r="DD647" i="1"/>
  <c r="DA648" i="1"/>
  <c r="DC648" i="1"/>
  <c r="DE648" i="1"/>
  <c r="CX648" i="1"/>
  <c r="DH648" i="1"/>
  <c r="CZ648" i="1"/>
  <c r="CY648" i="1"/>
  <c r="CW648" i="1"/>
  <c r="DF648" i="1"/>
  <c r="DD648" i="1"/>
  <c r="DB648" i="1"/>
  <c r="CV648" i="1"/>
  <c r="DG648" i="1"/>
  <c r="BQ634" i="1"/>
  <c r="DI634" i="1" s="1"/>
  <c r="DI635" i="1" s="1"/>
  <c r="DI637" i="1" s="1"/>
  <c r="BQ680" i="1"/>
  <c r="DI680" i="1" s="1"/>
  <c r="CX506" i="1"/>
  <c r="CX164" i="1"/>
  <c r="CX56" i="1" s="1"/>
  <c r="CX46" i="1" s="1"/>
  <c r="CX203" i="1"/>
  <c r="CX208" i="1"/>
  <c r="CX63" i="1" s="1"/>
  <c r="CX179" i="1"/>
  <c r="CX180" i="1"/>
  <c r="CX663" i="1"/>
  <c r="CX172" i="1"/>
  <c r="CX60" i="1" s="1"/>
  <c r="CX49" i="1" s="1"/>
  <c r="CX177" i="1"/>
  <c r="CX374" i="1"/>
  <c r="CX578" i="1"/>
  <c r="CX585" i="1" s="1"/>
  <c r="CX267" i="1"/>
  <c r="CX87" i="1" s="1"/>
  <c r="CX176" i="1"/>
  <c r="CX170" i="1"/>
  <c r="CX59" i="1" s="1"/>
  <c r="CX48" i="1" s="1"/>
  <c r="CX202" i="1"/>
  <c r="CX359" i="1"/>
  <c r="CX265" i="1"/>
  <c r="CX88" i="1" s="1"/>
  <c r="CX358" i="1"/>
  <c r="AU58" i="1"/>
  <c r="CX209" i="1"/>
  <c r="CX64" i="1" s="1"/>
  <c r="CX375" i="1"/>
  <c r="CX161" i="1"/>
  <c r="CX668" i="1"/>
  <c r="CX387" i="1"/>
  <c r="CX389" i="1" s="1"/>
  <c r="CX664" i="1"/>
  <c r="CX160" i="1"/>
  <c r="CX205" i="1"/>
  <c r="CX165" i="1"/>
  <c r="CX266" i="1"/>
  <c r="CX159" i="1"/>
  <c r="CX54" i="1" s="1"/>
  <c r="CX45" i="1" s="1"/>
  <c r="AU55" i="1"/>
  <c r="CX186" i="1"/>
  <c r="CX173" i="1"/>
  <c r="CX166" i="1"/>
  <c r="CX57" i="1" s="1"/>
  <c r="CX47" i="1" s="1"/>
  <c r="CX210" i="1"/>
  <c r="CX178" i="1"/>
  <c r="AT59" i="21" s="1"/>
  <c r="AT60" i="21" s="1"/>
  <c r="CX357" i="1"/>
  <c r="CX667" i="1"/>
  <c r="CX171" i="1"/>
  <c r="CX662" i="1"/>
  <c r="CX187" i="1"/>
  <c r="CX665" i="1"/>
  <c r="AU61" i="1"/>
  <c r="CX157" i="1"/>
  <c r="CX167" i="1"/>
  <c r="CX670" i="1"/>
  <c r="CX158" i="1"/>
  <c r="CX660" i="1"/>
  <c r="CX204" i="1"/>
  <c r="AT61" i="21" s="1"/>
  <c r="CX669" i="1"/>
  <c r="CX666" i="1"/>
  <c r="CX212" i="1"/>
  <c r="CX181" i="1"/>
  <c r="CX376" i="1"/>
  <c r="CX380" i="1"/>
  <c r="CX379" i="1"/>
  <c r="AU57" i="1"/>
  <c r="AU47" i="1" s="1"/>
  <c r="CX696" i="1"/>
  <c r="AU59" i="1"/>
  <c r="AU48" i="1" s="1"/>
  <c r="AU64" i="1"/>
  <c r="AU60" i="1"/>
  <c r="AU49" i="1" s="1"/>
  <c r="AU53" i="1"/>
  <c r="AU44" i="1" s="1"/>
  <c r="AU54" i="1"/>
  <c r="AU45" i="1" s="1"/>
  <c r="AT6" i="21" l="1"/>
  <c r="AT7" i="21"/>
  <c r="Z20" i="18"/>
  <c r="D136" i="2"/>
  <c r="F136" i="2"/>
  <c r="G136" i="2"/>
  <c r="E136" i="2"/>
  <c r="C136" i="2"/>
  <c r="DI652" i="1"/>
  <c r="Z59" i="18" s="1"/>
  <c r="AA59" i="18" s="1"/>
  <c r="DI141" i="1"/>
  <c r="CX215" i="1"/>
  <c r="CX216" i="1"/>
  <c r="O13" i="18"/>
  <c r="O14" i="18" s="1"/>
  <c r="DE649" i="1"/>
  <c r="DH649" i="1"/>
  <c r="DC649" i="1"/>
  <c r="CW649" i="1"/>
  <c r="CY649" i="1"/>
  <c r="D135" i="2"/>
  <c r="DG649" i="1"/>
  <c r="G135" i="2"/>
  <c r="DB649" i="1"/>
  <c r="F135" i="2"/>
  <c r="DA649" i="1"/>
  <c r="CV649" i="1"/>
  <c r="CX649" i="1"/>
  <c r="C135" i="2"/>
  <c r="DF649" i="1"/>
  <c r="CZ649" i="1"/>
  <c r="E135" i="2"/>
  <c r="DD649" i="1"/>
  <c r="BQ635" i="1"/>
  <c r="BQ637" i="1" s="1"/>
  <c r="CX114" i="1"/>
  <c r="CX812" i="1"/>
  <c r="CX61" i="1"/>
  <c r="CX813" i="1"/>
  <c r="CX822" i="1"/>
  <c r="CX816" i="1"/>
  <c r="CX53" i="1"/>
  <c r="CX44" i="1" s="1"/>
  <c r="CX154" i="1"/>
  <c r="CX819" i="1"/>
  <c r="CX55" i="1"/>
  <c r="CX52" i="1"/>
  <c r="CX43" i="1" s="1"/>
  <c r="CX698" i="1"/>
  <c r="CX58" i="1"/>
  <c r="CX795" i="1"/>
  <c r="CX825" i="1"/>
  <c r="D137" i="2" l="1"/>
  <c r="D138" i="2" s="1"/>
  <c r="F137" i="2"/>
  <c r="F138" i="2" s="1"/>
  <c r="G137" i="2"/>
  <c r="G138" i="2" s="1"/>
  <c r="E137" i="2"/>
  <c r="E138" i="2" s="1"/>
  <c r="C137" i="2"/>
  <c r="C138" i="2" s="1"/>
  <c r="CX218" i="1"/>
  <c r="CX217" i="1"/>
  <c r="CX232" i="1"/>
  <c r="CX233" i="1" s="1"/>
  <c r="H124" i="2" l="1"/>
  <c r="Q79" i="7"/>
  <c r="CX704" i="1" l="1"/>
  <c r="CX699" i="1" l="1"/>
  <c r="AU136" i="1"/>
  <c r="AU838" i="1" s="1"/>
  <c r="CX521" i="1"/>
  <c r="CX673" i="1"/>
  <c r="CX136" i="1"/>
  <c r="CX405" i="1"/>
  <c r="CX396" i="1"/>
  <c r="CX443" i="1"/>
  <c r="CX612" i="1"/>
  <c r="CX147" i="1" s="1"/>
  <c r="CX712" i="1"/>
  <c r="CX672" i="1"/>
  <c r="CX397" i="1"/>
  <c r="AT12" i="21" s="1"/>
  <c r="AU111" i="1"/>
  <c r="CX469" i="1"/>
  <c r="CX111" i="1" s="1"/>
  <c r="CX589" i="1"/>
  <c r="CX406" i="1"/>
  <c r="AT15" i="21" s="1"/>
  <c r="CX529" i="1"/>
  <c r="CX625" i="1"/>
  <c r="CX441" i="1"/>
  <c r="AT26" i="21" s="1"/>
  <c r="AT29" i="21" s="1"/>
  <c r="CX414" i="1"/>
  <c r="CX567" i="1"/>
  <c r="CX467" i="1"/>
  <c r="CX109" i="1" s="1"/>
  <c r="CX497" i="1"/>
  <c r="AT40" i="21" s="1"/>
  <c r="CX599" i="1"/>
  <c r="CX604" i="1" s="1"/>
  <c r="AU56" i="1"/>
  <c r="AU46" i="1" s="1"/>
  <c r="CX711" i="1"/>
  <c r="CX671" i="1"/>
  <c r="CX710" i="1"/>
  <c r="CX449" i="1"/>
  <c r="CX451" i="1" s="1"/>
  <c r="CZ591" i="1"/>
  <c r="CX610" i="1"/>
  <c r="CX470" i="1"/>
  <c r="CZ614" i="1"/>
  <c r="CX630" i="1"/>
  <c r="CX472" i="1"/>
  <c r="CX703" i="1"/>
  <c r="CX674" i="1"/>
  <c r="CX628" i="1"/>
  <c r="CX395" i="1"/>
  <c r="CX500" i="1"/>
  <c r="CX495" i="1" s="1"/>
  <c r="CX478" i="1"/>
  <c r="CX480" i="1" s="1"/>
  <c r="AU110" i="1"/>
  <c r="CX468" i="1"/>
  <c r="CX110" i="1" s="1"/>
  <c r="CX440" i="1"/>
  <c r="CX525" i="1"/>
  <c r="CX676" i="1"/>
  <c r="CX611" i="1"/>
  <c r="CX146" i="1" s="1"/>
  <c r="CX534" i="1"/>
  <c r="CX538" i="1" s="1"/>
  <c r="AT63" i="21" s="1"/>
  <c r="CX713" i="1"/>
  <c r="CX408" i="1"/>
  <c r="AU116" i="1"/>
  <c r="CX381" i="1"/>
  <c r="CX709" i="1"/>
  <c r="CX708" i="1"/>
  <c r="CX432" i="1"/>
  <c r="CX93" i="1" s="1"/>
  <c r="CX523" i="1"/>
  <c r="AU129" i="1"/>
  <c r="CX508" i="1"/>
  <c r="CX509" i="1" s="1"/>
  <c r="CX131" i="1" s="1"/>
  <c r="AU88" i="1"/>
  <c r="AU63" i="1"/>
  <c r="AU87" i="1"/>
  <c r="AU89" i="1"/>
  <c r="AU113" i="1"/>
  <c r="AU112" i="1"/>
  <c r="AU98" i="1"/>
  <c r="AU99" i="1"/>
  <c r="AU86" i="1"/>
  <c r="AU117" i="1"/>
  <c r="AU109" i="1"/>
  <c r="AU118" i="1"/>
  <c r="AU85" i="1"/>
  <c r="AU130" i="1"/>
  <c r="AU52" i="1"/>
  <c r="AU43" i="1" s="1"/>
  <c r="AU114" i="1"/>
  <c r="AU93" i="1"/>
  <c r="AU84" i="1"/>
  <c r="CX393" i="1" l="1"/>
  <c r="AT17" i="21"/>
  <c r="CX810" i="1"/>
  <c r="AT35" i="21"/>
  <c r="AT36" i="21" s="1"/>
  <c r="AT51" i="21"/>
  <c r="AT8" i="21"/>
  <c r="AT9" i="21" s="1"/>
  <c r="AT28" i="21"/>
  <c r="AT30" i="21" s="1"/>
  <c r="CX416" i="1"/>
  <c r="AT11" i="21"/>
  <c r="AT14" i="21"/>
  <c r="O23" i="18"/>
  <c r="CX145" i="1"/>
  <c r="CX782" i="1"/>
  <c r="AU841" i="1"/>
  <c r="CX623" i="1"/>
  <c r="CX808" i="1"/>
  <c r="CX86" i="1"/>
  <c r="CX515" i="1"/>
  <c r="CX117" i="1"/>
  <c r="CX811" i="1"/>
  <c r="CX465" i="1"/>
  <c r="CX419" i="1"/>
  <c r="CX112" i="1"/>
  <c r="CX89" i="1"/>
  <c r="CX85" i="1"/>
  <c r="CX321" i="1"/>
  <c r="CX541" i="1"/>
  <c r="CX809" i="1"/>
  <c r="CX113" i="1"/>
  <c r="CY533" i="1"/>
  <c r="CX742" i="1"/>
  <c r="CX743" i="1"/>
  <c r="CX531" i="1"/>
  <c r="CX729" i="1"/>
  <c r="CX728" i="1"/>
  <c r="CX327" i="1"/>
  <c r="AU786" i="1"/>
  <c r="AU784" i="1"/>
  <c r="CX129" i="1"/>
  <c r="CX84" i="1"/>
  <c r="CX118" i="1"/>
  <c r="CX791" i="1"/>
  <c r="CX430" i="1"/>
  <c r="CX99" i="1"/>
  <c r="CX613" i="1"/>
  <c r="AT62" i="21" s="1"/>
  <c r="CX130" i="1"/>
  <c r="CX98" i="1"/>
  <c r="CX702" i="1"/>
  <c r="CX730" i="1" l="1"/>
  <c r="AT44" i="21"/>
  <c r="AT47" i="21" s="1"/>
  <c r="AT48" i="21" s="1"/>
  <c r="AT50" i="21"/>
  <c r="O32" i="18"/>
  <c r="O33" i="18" s="1"/>
  <c r="O34" i="18"/>
  <c r="O25" i="18"/>
  <c r="CX792" i="1"/>
  <c r="CX454" i="1"/>
  <c r="CX794" i="1"/>
  <c r="CX426" i="1"/>
  <c r="CX732" i="1"/>
  <c r="AT55" i="21" s="1"/>
  <c r="CX740" i="1"/>
  <c r="CX766" i="1" s="1"/>
  <c r="CX789" i="1"/>
  <c r="CX787" i="1"/>
  <c r="CX620" i="1"/>
  <c r="CX624" i="1" s="1"/>
  <c r="CX629" i="1" s="1"/>
  <c r="CX631" i="1" s="1"/>
  <c r="CX618" i="1" s="1"/>
  <c r="CX783" i="1"/>
  <c r="AT73" i="21" s="1"/>
  <c r="CX513" i="1"/>
  <c r="O18" i="18" s="1"/>
  <c r="CX788" i="1"/>
  <c r="AT72" i="21" s="1"/>
  <c r="CX785" i="1"/>
  <c r="CX757" i="1"/>
  <c r="CX827" i="1"/>
  <c r="CX814" i="1"/>
  <c r="CX824" i="1"/>
  <c r="CX821" i="1"/>
  <c r="CX818" i="1"/>
  <c r="CX616" i="1"/>
  <c r="CX817" i="1"/>
  <c r="CX826" i="1"/>
  <c r="CX116" i="1"/>
  <c r="CX823" i="1"/>
  <c r="CX820" i="1"/>
  <c r="CX758" i="1"/>
  <c r="CX769" i="1"/>
  <c r="CX838" i="1"/>
  <c r="CX840" i="1"/>
  <c r="CX731" i="1"/>
  <c r="CX759" i="1"/>
  <c r="CX550" i="1"/>
  <c r="CX564" i="1" s="1"/>
  <c r="CX568" i="1" s="1"/>
  <c r="CX587" i="1" s="1"/>
  <c r="CX793" i="1"/>
  <c r="AT71" i="21" s="1"/>
  <c r="CX768" i="1"/>
  <c r="CX741" i="1"/>
  <c r="CX767" i="1" s="1"/>
  <c r="AT74" i="21" l="1"/>
  <c r="CX428" i="1"/>
  <c r="AT19" i="21"/>
  <c r="AT20" i="21" s="1"/>
  <c r="AT54" i="21"/>
  <c r="O37" i="18"/>
  <c r="O19" i="18"/>
  <c r="O26" i="18"/>
  <c r="O27" i="18" s="1"/>
  <c r="O21" i="18"/>
  <c r="O30" i="18"/>
  <c r="O16" i="18"/>
  <c r="CX483" i="1"/>
  <c r="CX734" i="1"/>
  <c r="CX761" i="1" s="1"/>
  <c r="CX461" i="1"/>
  <c r="CX760" i="1"/>
  <c r="CX733" i="1"/>
  <c r="CX639" i="1"/>
  <c r="CX841" i="1"/>
  <c r="CX836" i="1"/>
  <c r="CX590" i="1"/>
  <c r="CX607" i="1"/>
  <c r="CX463" i="1" l="1"/>
  <c r="AT32" i="21"/>
  <c r="AT33" i="21" s="1"/>
  <c r="O36" i="18"/>
  <c r="O38" i="18" s="1"/>
  <c r="CX490" i="1"/>
  <c r="CX837" i="1"/>
  <c r="AT78" i="21" s="1"/>
  <c r="CX834" i="1"/>
  <c r="CX593" i="1"/>
  <c r="CX835" i="1" s="1"/>
  <c r="CX595" i="1"/>
  <c r="CX150" i="1"/>
  <c r="CX548" i="1"/>
  <c r="CX493" i="1" l="1"/>
  <c r="CX510" i="1" s="1"/>
  <c r="AT38" i="21"/>
  <c r="AT41" i="21" s="1"/>
  <c r="AT77" i="21"/>
  <c r="CX786" i="1"/>
  <c r="CX784" i="1"/>
  <c r="CX744" i="1"/>
  <c r="CY725" i="1" l="1"/>
  <c r="AV58" i="1" l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BQ58" i="1" s="1"/>
  <c r="AV110" i="1"/>
  <c r="AV61" i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BQ61" i="1" s="1"/>
  <c r="AV87" i="1"/>
  <c r="AV136" i="1"/>
  <c r="AV838" i="1" s="1"/>
  <c r="AV55" i="1"/>
  <c r="AV111" i="1"/>
  <c r="CY171" i="1"/>
  <c r="CY166" i="1"/>
  <c r="CY57" i="1" s="1"/>
  <c r="CY47" i="1" s="1"/>
  <c r="AV57" i="1"/>
  <c r="AV47" i="1" s="1"/>
  <c r="AV60" i="1"/>
  <c r="AV49" i="1" s="1"/>
  <c r="CY172" i="1"/>
  <c r="CY60" i="1" s="1"/>
  <c r="CY49" i="1" s="1"/>
  <c r="CY180" i="1"/>
  <c r="AV64" i="1"/>
  <c r="AY209" i="1"/>
  <c r="AY266" i="1" s="1"/>
  <c r="AV59" i="1"/>
  <c r="AV48" i="1" s="1"/>
  <c r="AV99" i="1"/>
  <c r="AV98" i="1"/>
  <c r="AV54" i="1"/>
  <c r="AV45" i="1" s="1"/>
  <c r="AV89" i="1"/>
  <c r="CZ158" i="1" l="1"/>
  <c r="CZ166" i="1"/>
  <c r="CZ57" i="1" s="1"/>
  <c r="CZ47" i="1" s="1"/>
  <c r="BA172" i="1"/>
  <c r="AY208" i="1"/>
  <c r="CY210" i="1"/>
  <c r="CY208" i="1"/>
  <c r="CY63" i="1" s="1"/>
  <c r="CY160" i="1"/>
  <c r="CZ209" i="1"/>
  <c r="AZ209" i="1"/>
  <c r="AZ266" i="1" s="1"/>
  <c r="CY170" i="1"/>
  <c r="CY59" i="1" s="1"/>
  <c r="CY48" i="1" s="1"/>
  <c r="CY209" i="1"/>
  <c r="CY64" i="1" s="1"/>
  <c r="CY159" i="1"/>
  <c r="CY54" i="1" s="1"/>
  <c r="CY45" i="1" s="1"/>
  <c r="CY165" i="1"/>
  <c r="CY158" i="1"/>
  <c r="AV841" i="1"/>
  <c r="AY265" i="1" l="1"/>
  <c r="AY88" i="1" s="1"/>
  <c r="C62" i="2"/>
  <c r="M36" i="7"/>
  <c r="J62" i="2"/>
  <c r="BA158" i="1"/>
  <c r="CY53" i="1"/>
  <c r="CY44" i="1" s="1"/>
  <c r="CZ172" i="1"/>
  <c r="CZ60" i="1" s="1"/>
  <c r="CZ49" i="1" s="1"/>
  <c r="BA166" i="1"/>
  <c r="DA166" i="1" s="1"/>
  <c r="DA57" i="1" s="1"/>
  <c r="DA47" i="1" s="1"/>
  <c r="CZ266" i="1"/>
  <c r="CZ159" i="1"/>
  <c r="BA159" i="1"/>
  <c r="CY173" i="1"/>
  <c r="M43" i="7" s="1"/>
  <c r="CZ165" i="1"/>
  <c r="BA165" i="1"/>
  <c r="BA209" i="1"/>
  <c r="AY210" i="1"/>
  <c r="CZ210" i="1" s="1"/>
  <c r="CZ208" i="1"/>
  <c r="CZ63" i="1" s="1"/>
  <c r="AZ208" i="1"/>
  <c r="AZ265" i="1" s="1"/>
  <c r="BA171" i="1"/>
  <c r="CZ171" i="1"/>
  <c r="CZ64" i="1"/>
  <c r="CZ180" i="1"/>
  <c r="BA180" i="1"/>
  <c r="CZ160" i="1"/>
  <c r="N36" i="7" s="1"/>
  <c r="DA172" i="1"/>
  <c r="BB172" i="1"/>
  <c r="BC172" i="1" s="1"/>
  <c r="CZ170" i="1"/>
  <c r="CZ59" i="1" s="1"/>
  <c r="CZ48" i="1" s="1"/>
  <c r="AY267" i="1" l="1"/>
  <c r="AY87" i="1" s="1"/>
  <c r="AZ88" i="1"/>
  <c r="AZ267" i="1"/>
  <c r="AZ87" i="1" s="1"/>
  <c r="DA158" i="1"/>
  <c r="CZ173" i="1"/>
  <c r="N43" i="7" s="1"/>
  <c r="N44" i="7" s="1"/>
  <c r="J69" i="2"/>
  <c r="J70" i="2" s="1"/>
  <c r="C69" i="2"/>
  <c r="D62" i="2"/>
  <c r="BB158" i="1"/>
  <c r="CY61" i="1"/>
  <c r="DA60" i="1"/>
  <c r="DA49" i="1" s="1"/>
  <c r="BB166" i="1"/>
  <c r="BC166" i="1" s="1"/>
  <c r="DB166" i="1" s="1"/>
  <c r="DB57" i="1" s="1"/>
  <c r="DB47" i="1" s="1"/>
  <c r="CZ265" i="1"/>
  <c r="CZ88" i="1" s="1"/>
  <c r="BA160" i="1"/>
  <c r="K62" i="2" s="1"/>
  <c r="DA209" i="1"/>
  <c r="DA64" i="1" s="1"/>
  <c r="BB209" i="1"/>
  <c r="BA170" i="1"/>
  <c r="DA171" i="1"/>
  <c r="BB171" i="1"/>
  <c r="BC171" i="1" s="1"/>
  <c r="BA266" i="1"/>
  <c r="DA266" i="1" s="1"/>
  <c r="DA159" i="1"/>
  <c r="DA54" i="1" s="1"/>
  <c r="DA45" i="1" s="1"/>
  <c r="BB159" i="1"/>
  <c r="BC159" i="1" s="1"/>
  <c r="AZ210" i="1"/>
  <c r="BA208" i="1"/>
  <c r="BA265" i="1" s="1"/>
  <c r="DA165" i="1"/>
  <c r="BB165" i="1"/>
  <c r="BC165" i="1" s="1"/>
  <c r="CZ54" i="1"/>
  <c r="CZ45" i="1" s="1"/>
  <c r="CZ53" i="1"/>
  <c r="CZ44" i="1" s="1"/>
  <c r="BB180" i="1"/>
  <c r="BC180" i="1" s="1"/>
  <c r="DA180" i="1"/>
  <c r="DB172" i="1"/>
  <c r="DB60" i="1" s="1"/>
  <c r="DB49" i="1" s="1"/>
  <c r="BD172" i="1"/>
  <c r="BE172" i="1" s="1"/>
  <c r="CZ267" i="1"/>
  <c r="CZ87" i="1" s="1"/>
  <c r="D69" i="2" l="1"/>
  <c r="D70" i="2" s="1"/>
  <c r="CZ61" i="1"/>
  <c r="BC158" i="1"/>
  <c r="C70" i="2"/>
  <c r="BA267" i="1"/>
  <c r="BD166" i="1"/>
  <c r="BE166" i="1" s="1"/>
  <c r="DC166" i="1" s="1"/>
  <c r="DC57" i="1" s="1"/>
  <c r="DC47" i="1" s="1"/>
  <c r="DC172" i="1"/>
  <c r="DC60" i="1" s="1"/>
  <c r="DC49" i="1" s="1"/>
  <c r="BF172" i="1"/>
  <c r="BG172" i="1" s="1"/>
  <c r="DB165" i="1"/>
  <c r="BD165" i="1"/>
  <c r="BE165" i="1" s="1"/>
  <c r="DA170" i="1"/>
  <c r="DA59" i="1" s="1"/>
  <c r="DA48" i="1" s="1"/>
  <c r="BA173" i="1"/>
  <c r="BB170" i="1"/>
  <c r="DB171" i="1"/>
  <c r="BD171" i="1"/>
  <c r="BE171" i="1" s="1"/>
  <c r="DA265" i="1"/>
  <c r="DA88" i="1" s="1"/>
  <c r="BA210" i="1"/>
  <c r="DA210" i="1" s="1"/>
  <c r="DA208" i="1"/>
  <c r="DA63" i="1" s="1"/>
  <c r="BB208" i="1"/>
  <c r="BC209" i="1"/>
  <c r="BC266" i="1" s="1"/>
  <c r="DB159" i="1"/>
  <c r="DB54" i="1" s="1"/>
  <c r="DB45" i="1" s="1"/>
  <c r="BD159" i="1"/>
  <c r="BE159" i="1" s="1"/>
  <c r="BB266" i="1"/>
  <c r="BD180" i="1"/>
  <c r="BE180" i="1" s="1"/>
  <c r="DB180" i="1"/>
  <c r="DA53" i="1"/>
  <c r="DA44" i="1" s="1"/>
  <c r="DA160" i="1"/>
  <c r="BB160" i="1"/>
  <c r="L62" i="2" s="1"/>
  <c r="DA173" i="1" l="1"/>
  <c r="K69" i="2"/>
  <c r="K70" i="2" s="1"/>
  <c r="DB158" i="1"/>
  <c r="DB53" i="1" s="1"/>
  <c r="DB44" i="1" s="1"/>
  <c r="BD158" i="1"/>
  <c r="E62" i="2"/>
  <c r="O36" i="7"/>
  <c r="E69" i="2"/>
  <c r="E70" i="2" s="1"/>
  <c r="O43" i="7"/>
  <c r="O44" i="7" s="1"/>
  <c r="DA267" i="1"/>
  <c r="DA87" i="1" s="1"/>
  <c r="BF166" i="1"/>
  <c r="BG166" i="1" s="1"/>
  <c r="BH166" i="1" s="1"/>
  <c r="BI166" i="1" s="1"/>
  <c r="DB266" i="1"/>
  <c r="CY675" i="1"/>
  <c r="CY526" i="1"/>
  <c r="DA61" i="1"/>
  <c r="DC180" i="1"/>
  <c r="BF180" i="1"/>
  <c r="BG180" i="1" s="1"/>
  <c r="BB210" i="1"/>
  <c r="BC208" i="1"/>
  <c r="BC265" i="1" s="1"/>
  <c r="BC267" i="1" s="1"/>
  <c r="DC165" i="1"/>
  <c r="BF165" i="1"/>
  <c r="BG165" i="1" s="1"/>
  <c r="BC160" i="1"/>
  <c r="DC171" i="1"/>
  <c r="BF171" i="1"/>
  <c r="BG171" i="1" s="1"/>
  <c r="DC159" i="1"/>
  <c r="DC54" i="1" s="1"/>
  <c r="DC45" i="1" s="1"/>
  <c r="BF159" i="1"/>
  <c r="BG159" i="1" s="1"/>
  <c r="DB209" i="1"/>
  <c r="DB64" i="1" s="1"/>
  <c r="BD209" i="1"/>
  <c r="BD266" i="1" s="1"/>
  <c r="DD172" i="1"/>
  <c r="DD60" i="1" s="1"/>
  <c r="DD49" i="1" s="1"/>
  <c r="BH172" i="1"/>
  <c r="BI172" i="1" s="1"/>
  <c r="BB265" i="1"/>
  <c r="BB173" i="1"/>
  <c r="L69" i="2" s="1"/>
  <c r="BC170" i="1"/>
  <c r="AV56" i="1"/>
  <c r="AV46" i="1" s="1"/>
  <c r="AV53" i="1"/>
  <c r="AV44" i="1" s="1"/>
  <c r="AV116" i="1"/>
  <c r="AV85" i="1"/>
  <c r="AV86" i="1"/>
  <c r="AV63" i="1"/>
  <c r="AV88" i="1"/>
  <c r="BA88" i="1" s="1"/>
  <c r="BB88" i="1" s="1"/>
  <c r="BC88" i="1" s="1"/>
  <c r="BD88" i="1" s="1"/>
  <c r="BE88" i="1" s="1"/>
  <c r="BF88" i="1" s="1"/>
  <c r="BG88" i="1" s="1"/>
  <c r="BH88" i="1" s="1"/>
  <c r="BI88" i="1" s="1"/>
  <c r="BJ88" i="1" s="1"/>
  <c r="BK88" i="1" s="1"/>
  <c r="BL88" i="1" s="1"/>
  <c r="BM88" i="1" s="1"/>
  <c r="BN88" i="1" s="1"/>
  <c r="BO88" i="1" s="1"/>
  <c r="BP88" i="1" s="1"/>
  <c r="BQ88" i="1" s="1"/>
  <c r="AV93" i="1"/>
  <c r="AV129" i="1"/>
  <c r="AV118" i="1"/>
  <c r="AV117" i="1"/>
  <c r="AV114" i="1"/>
  <c r="AV112" i="1"/>
  <c r="AV109" i="1"/>
  <c r="AV113" i="1"/>
  <c r="AV52" i="1"/>
  <c r="AV43" i="1" s="1"/>
  <c r="AV84" i="1"/>
  <c r="AV130" i="1"/>
  <c r="L70" i="2" l="1"/>
  <c r="BE158" i="1"/>
  <c r="DD166" i="1"/>
  <c r="DD57" i="1" s="1"/>
  <c r="DD47" i="1" s="1"/>
  <c r="CY179" i="1"/>
  <c r="BA86" i="1"/>
  <c r="BB86" i="1" s="1"/>
  <c r="BC86" i="1" s="1"/>
  <c r="BD86" i="1" s="1"/>
  <c r="BE86" i="1" s="1"/>
  <c r="BF86" i="1" s="1"/>
  <c r="BG86" i="1" s="1"/>
  <c r="BH86" i="1" s="1"/>
  <c r="BI86" i="1" s="1"/>
  <c r="BJ86" i="1" s="1"/>
  <c r="BK86" i="1" s="1"/>
  <c r="BL86" i="1" s="1"/>
  <c r="BM86" i="1" s="1"/>
  <c r="BN86" i="1" s="1"/>
  <c r="BO86" i="1" s="1"/>
  <c r="BP86" i="1" s="1"/>
  <c r="BQ86" i="1" s="1"/>
  <c r="DB208" i="1"/>
  <c r="DB63" i="1" s="1"/>
  <c r="BC210" i="1"/>
  <c r="DB210" i="1" s="1"/>
  <c r="BD208" i="1"/>
  <c r="BD265" i="1" s="1"/>
  <c r="BJ166" i="1"/>
  <c r="BK166" i="1" s="1"/>
  <c r="DE166" i="1"/>
  <c r="CY176" i="1"/>
  <c r="BH159" i="1"/>
  <c r="BI159" i="1" s="1"/>
  <c r="DD159" i="1"/>
  <c r="DD54" i="1" s="1"/>
  <c r="DD45" i="1" s="1"/>
  <c r="DB160" i="1"/>
  <c r="BD160" i="1"/>
  <c r="CY164" i="1"/>
  <c r="CY56" i="1" s="1"/>
  <c r="CY46" i="1" s="1"/>
  <c r="DB170" i="1"/>
  <c r="DB59" i="1" s="1"/>
  <c r="DB48" i="1" s="1"/>
  <c r="BC173" i="1"/>
  <c r="DB173" i="1" s="1"/>
  <c r="P43" i="7" s="1"/>
  <c r="P44" i="7" s="1"/>
  <c r="BD170" i="1"/>
  <c r="DE172" i="1"/>
  <c r="DE60" i="1" s="1"/>
  <c r="DE49" i="1" s="1"/>
  <c r="BJ172" i="1"/>
  <c r="BK172" i="1" s="1"/>
  <c r="CY621" i="1"/>
  <c r="CY102" i="1"/>
  <c r="CY96" i="1" s="1"/>
  <c r="CY157" i="1"/>
  <c r="M34" i="7" s="1"/>
  <c r="DD165" i="1"/>
  <c r="BH165" i="1"/>
  <c r="BI165" i="1" s="1"/>
  <c r="AV786" i="1"/>
  <c r="AV784" i="1"/>
  <c r="BB267" i="1"/>
  <c r="DB267" i="1" s="1"/>
  <c r="DB87" i="1" s="1"/>
  <c r="DB265" i="1"/>
  <c r="DB88" i="1" s="1"/>
  <c r="BE209" i="1"/>
  <c r="BE266" i="1" s="1"/>
  <c r="DC266" i="1" s="1"/>
  <c r="BH171" i="1"/>
  <c r="BI171" i="1" s="1"/>
  <c r="DD171" i="1"/>
  <c r="BH180" i="1"/>
  <c r="BI180" i="1" s="1"/>
  <c r="DD180" i="1"/>
  <c r="DC158" i="1" l="1"/>
  <c r="BF158" i="1"/>
  <c r="F62" i="2"/>
  <c r="P36" i="7"/>
  <c r="C60" i="2"/>
  <c r="F69" i="2"/>
  <c r="F70" i="2" s="1"/>
  <c r="DE57" i="1"/>
  <c r="DE47" i="1" s="1"/>
  <c r="CY52" i="1"/>
  <c r="CY43" i="1" s="1"/>
  <c r="CY161" i="1"/>
  <c r="CY610" i="1"/>
  <c r="CY145" i="1" s="1"/>
  <c r="DB61" i="1"/>
  <c r="CY628" i="1"/>
  <c r="DE180" i="1"/>
  <c r="BJ180" i="1"/>
  <c r="BK180" i="1" s="1"/>
  <c r="DF172" i="1"/>
  <c r="BL172" i="1"/>
  <c r="BM172" i="1" s="1"/>
  <c r="BD267" i="1"/>
  <c r="CY508" i="1"/>
  <c r="CY432" i="1"/>
  <c r="CY93" i="1" s="1"/>
  <c r="DE171" i="1"/>
  <c r="BJ171" i="1"/>
  <c r="BK171" i="1" s="1"/>
  <c r="BJ159" i="1"/>
  <c r="BK159" i="1" s="1"/>
  <c r="DE159" i="1"/>
  <c r="DE54" i="1" s="1"/>
  <c r="DE45" i="1" s="1"/>
  <c r="DF166" i="1"/>
  <c r="BL166" i="1"/>
  <c r="BM166" i="1" s="1"/>
  <c r="DE165" i="1"/>
  <c r="BJ165" i="1"/>
  <c r="BK165" i="1" s="1"/>
  <c r="BD173" i="1"/>
  <c r="BE170" i="1"/>
  <c r="CY103" i="1"/>
  <c r="J60" i="2"/>
  <c r="BD210" i="1"/>
  <c r="BE208" i="1"/>
  <c r="BE265" i="1" s="1"/>
  <c r="BE267" i="1" s="1"/>
  <c r="CZ164" i="1"/>
  <c r="CZ56" i="1" s="1"/>
  <c r="CZ46" i="1" s="1"/>
  <c r="DC209" i="1"/>
  <c r="DC64" i="1" s="1"/>
  <c r="BF209" i="1"/>
  <c r="CY167" i="1"/>
  <c r="M40" i="7" s="1"/>
  <c r="BE160" i="1"/>
  <c r="BG158" i="1" l="1"/>
  <c r="DC53" i="1"/>
  <c r="DC44" i="1" s="1"/>
  <c r="J66" i="2"/>
  <c r="J67" i="2" s="1"/>
  <c r="C66" i="2"/>
  <c r="CY58" i="1"/>
  <c r="CY216" i="1"/>
  <c r="CY215" i="1"/>
  <c r="DF57" i="1"/>
  <c r="DF47" i="1" s="1"/>
  <c r="DF60" i="1"/>
  <c r="DF49" i="1" s="1"/>
  <c r="CY578" i="1"/>
  <c r="CY186" i="1"/>
  <c r="CY205" i="1"/>
  <c r="CZ508" i="1"/>
  <c r="DC267" i="1"/>
  <c r="DC87" i="1" s="1"/>
  <c r="BL180" i="1"/>
  <c r="BM180" i="1" s="1"/>
  <c r="DF180" i="1"/>
  <c r="CY708" i="1"/>
  <c r="BN172" i="1"/>
  <c r="BO172" i="1" s="1"/>
  <c r="DG172" i="1"/>
  <c r="CY106" i="1"/>
  <c r="CY97" i="1" s="1"/>
  <c r="BE173" i="1"/>
  <c r="DC173" i="1" s="1"/>
  <c r="Q43" i="7" s="1"/>
  <c r="Q44" i="7" s="1"/>
  <c r="DC170" i="1"/>
  <c r="DC59" i="1" s="1"/>
  <c r="DC48" i="1" s="1"/>
  <c r="BF170" i="1"/>
  <c r="BL159" i="1"/>
  <c r="BM159" i="1" s="1"/>
  <c r="DF159" i="1"/>
  <c r="CY434" i="1"/>
  <c r="CY709" i="1"/>
  <c r="CY467" i="1"/>
  <c r="BG209" i="1"/>
  <c r="BG266" i="1" s="1"/>
  <c r="CZ157" i="1"/>
  <c r="AY623" i="1"/>
  <c r="CZ523" i="1"/>
  <c r="D19" i="22" s="1"/>
  <c r="CY178" i="1"/>
  <c r="AU59" i="21" s="1"/>
  <c r="CY469" i="1"/>
  <c r="CZ179" i="1"/>
  <c r="BA164" i="1"/>
  <c r="DF165" i="1"/>
  <c r="BL165" i="1"/>
  <c r="BM165" i="1" s="1"/>
  <c r="CY204" i="1"/>
  <c r="CY523" i="1"/>
  <c r="C19" i="22" s="1"/>
  <c r="BF266" i="1"/>
  <c r="DC160" i="1"/>
  <c r="BF160" i="1"/>
  <c r="CZ167" i="1"/>
  <c r="D66" i="2" s="1"/>
  <c r="BE210" i="1"/>
  <c r="DC210" i="1" s="1"/>
  <c r="DC208" i="1"/>
  <c r="DC63" i="1" s="1"/>
  <c r="BF208" i="1"/>
  <c r="BN166" i="1"/>
  <c r="BO166" i="1" s="1"/>
  <c r="DG166" i="1"/>
  <c r="DF171" i="1"/>
  <c r="BL171" i="1"/>
  <c r="BM171" i="1" s="1"/>
  <c r="DC265" i="1"/>
  <c r="DC88" i="1" s="1"/>
  <c r="AU60" i="21" l="1"/>
  <c r="AU61" i="21"/>
  <c r="C25" i="22"/>
  <c r="DD158" i="1"/>
  <c r="BH158" i="1"/>
  <c r="C65" i="2"/>
  <c r="M39" i="7"/>
  <c r="N40" i="7"/>
  <c r="N41" i="7" s="1"/>
  <c r="N27" i="7"/>
  <c r="M27" i="7"/>
  <c r="D60" i="2"/>
  <c r="N34" i="7"/>
  <c r="M48" i="7"/>
  <c r="G62" i="2"/>
  <c r="Q36" i="7"/>
  <c r="D67" i="2"/>
  <c r="DC61" i="1"/>
  <c r="G69" i="2"/>
  <c r="G70" i="2" s="1"/>
  <c r="C67" i="2"/>
  <c r="CY111" i="1"/>
  <c r="BA179" i="1"/>
  <c r="CY55" i="1"/>
  <c r="CY218" i="1"/>
  <c r="CY232" i="1"/>
  <c r="CY233" i="1" s="1"/>
  <c r="CY217" i="1"/>
  <c r="DG60" i="1"/>
  <c r="DG49" i="1" s="1"/>
  <c r="DF54" i="1"/>
  <c r="DF45" i="1" s="1"/>
  <c r="DG57" i="1"/>
  <c r="DG47" i="1" s="1"/>
  <c r="DH172" i="1"/>
  <c r="BP172" i="1"/>
  <c r="BQ172" i="1" s="1"/>
  <c r="DI172" i="1" s="1"/>
  <c r="DH166" i="1"/>
  <c r="BP166" i="1"/>
  <c r="BQ166" i="1" s="1"/>
  <c r="DI166" i="1" s="1"/>
  <c r="CY468" i="1"/>
  <c r="CY187" i="1"/>
  <c r="DD266" i="1"/>
  <c r="CY203" i="1"/>
  <c r="BN165" i="1"/>
  <c r="BO165" i="1" s="1"/>
  <c r="DG165" i="1"/>
  <c r="DD209" i="1"/>
  <c r="DD64" i="1" s="1"/>
  <c r="BH209" i="1"/>
  <c r="CZ101" i="1"/>
  <c r="CY790" i="1"/>
  <c r="C87" i="2" s="1"/>
  <c r="BF173" i="1"/>
  <c r="BG170" i="1"/>
  <c r="BA157" i="1"/>
  <c r="K60" i="2" s="1"/>
  <c r="DG180" i="1"/>
  <c r="BN180" i="1"/>
  <c r="BO180" i="1" s="1"/>
  <c r="CY397" i="1"/>
  <c r="AU12" i="21" s="1"/>
  <c r="CZ58" i="1"/>
  <c r="BF210" i="1"/>
  <c r="BG208" i="1"/>
  <c r="BG265" i="1" s="1"/>
  <c r="BG267" i="1" s="1"/>
  <c r="BA109" i="1"/>
  <c r="BF265" i="1"/>
  <c r="DA164" i="1"/>
  <c r="DA56" i="1" s="1"/>
  <c r="DA46" i="1" s="1"/>
  <c r="BA167" i="1"/>
  <c r="K66" i="2" s="1"/>
  <c r="K67" i="2" s="1"/>
  <c r="BB164" i="1"/>
  <c r="BG160" i="1"/>
  <c r="CZ161" i="1"/>
  <c r="CY202" i="1"/>
  <c r="CY177" i="1"/>
  <c r="CY181" i="1"/>
  <c r="CZ623" i="1"/>
  <c r="CZ176" i="1"/>
  <c r="BN171" i="1"/>
  <c r="BO171" i="1" s="1"/>
  <c r="DG171" i="1"/>
  <c r="CZ219" i="1"/>
  <c r="CY623" i="1"/>
  <c r="CY670" i="1"/>
  <c r="CY795" i="1"/>
  <c r="C92" i="2" s="1"/>
  <c r="CZ52" i="1"/>
  <c r="CZ43" i="1" s="1"/>
  <c r="BN159" i="1"/>
  <c r="BO159" i="1" s="1"/>
  <c r="DG159" i="1"/>
  <c r="CY572" i="1"/>
  <c r="CY585" i="1" s="1"/>
  <c r="CY627" i="1"/>
  <c r="M45" i="7" l="1"/>
  <c r="M46" i="7"/>
  <c r="M37" i="7" s="1"/>
  <c r="M35" i="7" s="1"/>
  <c r="C23" i="22"/>
  <c r="K48" i="22" s="1"/>
  <c r="BI158" i="1"/>
  <c r="DA179" i="1"/>
  <c r="DD53" i="1"/>
  <c r="DD44" i="1" s="1"/>
  <c r="C36" i="2"/>
  <c r="M11" i="7"/>
  <c r="J65" i="2"/>
  <c r="C72" i="2"/>
  <c r="BA215" i="1"/>
  <c r="DI57" i="1"/>
  <c r="DI47" i="1" s="1"/>
  <c r="DI60" i="1"/>
  <c r="DI49" i="1" s="1"/>
  <c r="BB179" i="1"/>
  <c r="CY86" i="1"/>
  <c r="CY110" i="1"/>
  <c r="CY109" i="1"/>
  <c r="CY154" i="1"/>
  <c r="DH57" i="1"/>
  <c r="DH47" i="1" s="1"/>
  <c r="DH60" i="1"/>
  <c r="DH49" i="1" s="1"/>
  <c r="DG54" i="1"/>
  <c r="DG45" i="1" s="1"/>
  <c r="DH171" i="1"/>
  <c r="BP171" i="1"/>
  <c r="BQ171" i="1" s="1"/>
  <c r="DI171" i="1" s="1"/>
  <c r="DH165" i="1"/>
  <c r="BP165" i="1"/>
  <c r="BQ165" i="1" s="1"/>
  <c r="DI165" i="1" s="1"/>
  <c r="CY358" i="1"/>
  <c r="DH159" i="1"/>
  <c r="BP159" i="1"/>
  <c r="BQ159" i="1" s="1"/>
  <c r="DI159" i="1" s="1"/>
  <c r="DH180" i="1"/>
  <c r="BP180" i="1"/>
  <c r="BQ180" i="1" s="1"/>
  <c r="DI180" i="1" s="1"/>
  <c r="CY395" i="1"/>
  <c r="CY357" i="1"/>
  <c r="CY611" i="1"/>
  <c r="CY146" i="1" s="1"/>
  <c r="BG173" i="1"/>
  <c r="DD173" i="1" s="1"/>
  <c r="DD61" i="1" s="1"/>
  <c r="DD170" i="1"/>
  <c r="DD59" i="1" s="1"/>
  <c r="DD48" i="1" s="1"/>
  <c r="BH170" i="1"/>
  <c r="CZ178" i="1"/>
  <c r="AV59" i="21" s="1"/>
  <c r="AV60" i="21" s="1"/>
  <c r="DA157" i="1"/>
  <c r="O34" i="7" s="1"/>
  <c r="BA176" i="1"/>
  <c r="BA161" i="1"/>
  <c r="BB157" i="1"/>
  <c r="L60" i="2" s="1"/>
  <c r="BI209" i="1"/>
  <c r="BI266" i="1" s="1"/>
  <c r="CZ186" i="1"/>
  <c r="DD265" i="1"/>
  <c r="DD88" i="1" s="1"/>
  <c r="BF267" i="1"/>
  <c r="DD267" i="1" s="1"/>
  <c r="DD87" i="1" s="1"/>
  <c r="BB167" i="1"/>
  <c r="BC164" i="1"/>
  <c r="BH266" i="1"/>
  <c r="BB109" i="1"/>
  <c r="CZ610" i="1"/>
  <c r="CY124" i="1"/>
  <c r="DA167" i="1"/>
  <c r="CZ578" i="1"/>
  <c r="CY660" i="1"/>
  <c r="P13" i="18" s="1"/>
  <c r="DD160" i="1"/>
  <c r="BH160" i="1"/>
  <c r="BG210" i="1"/>
  <c r="DD210" i="1" s="1"/>
  <c r="DD208" i="1"/>
  <c r="DD63" i="1" s="1"/>
  <c r="BH208" i="1"/>
  <c r="BH265" i="1" s="1"/>
  <c r="BA162" i="1" l="1"/>
  <c r="BA55" i="1"/>
  <c r="L66" i="2"/>
  <c r="L67" i="2" s="1"/>
  <c r="F55" i="7"/>
  <c r="N39" i="7"/>
  <c r="U59" i="21"/>
  <c r="U60" i="21" s="1"/>
  <c r="BC179" i="1"/>
  <c r="BD179" i="1" s="1"/>
  <c r="DE158" i="1"/>
  <c r="BJ158" i="1"/>
  <c r="CY114" i="1"/>
  <c r="C34" i="2"/>
  <c r="M9" i="7"/>
  <c r="E66" i="2"/>
  <c r="E67" i="2" s="1"/>
  <c r="O40" i="7"/>
  <c r="O41" i="7" s="1"/>
  <c r="J72" i="2"/>
  <c r="C73" i="2"/>
  <c r="C63" i="2"/>
  <c r="E60" i="2"/>
  <c r="D65" i="2"/>
  <c r="BB215" i="1"/>
  <c r="BA216" i="1"/>
  <c r="BB216" i="1" s="1"/>
  <c r="BC216" i="1" s="1"/>
  <c r="BD216" i="1" s="1"/>
  <c r="BE216" i="1" s="1"/>
  <c r="BF216" i="1" s="1"/>
  <c r="BG216" i="1" s="1"/>
  <c r="BH216" i="1" s="1"/>
  <c r="BI216" i="1" s="1"/>
  <c r="BA219" i="1"/>
  <c r="BA186" i="1"/>
  <c r="CZ244" i="1"/>
  <c r="DI54" i="1"/>
  <c r="DI45" i="1" s="1"/>
  <c r="CY84" i="1"/>
  <c r="AC13" i="18"/>
  <c r="P14" i="18"/>
  <c r="DH54" i="1"/>
  <c r="DH45" i="1" s="1"/>
  <c r="CY470" i="1"/>
  <c r="CY713" i="1"/>
  <c r="CZ55" i="1"/>
  <c r="CZ204" i="1"/>
  <c r="CZ469" i="1"/>
  <c r="DE266" i="1"/>
  <c r="CZ234" i="1"/>
  <c r="N55" i="7" s="1"/>
  <c r="N56" i="7" s="1"/>
  <c r="CY625" i="1"/>
  <c r="CY703" i="1"/>
  <c r="CY666" i="1"/>
  <c r="CY120" i="1"/>
  <c r="CY115" i="1" s="1"/>
  <c r="BB176" i="1"/>
  <c r="BB610" i="1" s="1"/>
  <c r="BB161" i="1"/>
  <c r="BC157" i="1"/>
  <c r="CY665" i="1"/>
  <c r="BA578" i="1"/>
  <c r="DA58" i="1"/>
  <c r="CY679" i="1"/>
  <c r="CZ145" i="1"/>
  <c r="DA161" i="1"/>
  <c r="BA178" i="1"/>
  <c r="CZ177" i="1"/>
  <c r="BH173" i="1"/>
  <c r="BI170" i="1"/>
  <c r="BI160" i="1"/>
  <c r="CY662" i="1"/>
  <c r="DE209" i="1"/>
  <c r="DE64" i="1" s="1"/>
  <c r="BJ209" i="1"/>
  <c r="DA176" i="1"/>
  <c r="BA610" i="1"/>
  <c r="CZ187" i="1"/>
  <c r="CZ205" i="1"/>
  <c r="CY663" i="1"/>
  <c r="CY376" i="1"/>
  <c r="DB164" i="1"/>
  <c r="DB56" i="1" s="1"/>
  <c r="DB46" i="1" s="1"/>
  <c r="BC167" i="1"/>
  <c r="BD164" i="1"/>
  <c r="DA52" i="1"/>
  <c r="DA43" i="1" s="1"/>
  <c r="CZ216" i="1"/>
  <c r="CY669" i="1"/>
  <c r="CY664" i="1"/>
  <c r="BH210" i="1"/>
  <c r="BI208" i="1"/>
  <c r="CY668" i="1"/>
  <c r="CY612" i="1"/>
  <c r="CY147" i="1" s="1"/>
  <c r="CY125" i="1"/>
  <c r="BC109" i="1"/>
  <c r="BD109" i="1" s="1"/>
  <c r="BE109" i="1" s="1"/>
  <c r="BF109" i="1" s="1"/>
  <c r="BG109" i="1" s="1"/>
  <c r="BH109" i="1" s="1"/>
  <c r="BI109" i="1" s="1"/>
  <c r="BJ109" i="1" s="1"/>
  <c r="BK109" i="1" s="1"/>
  <c r="BL109" i="1" s="1"/>
  <c r="BM109" i="1" s="1"/>
  <c r="BN109" i="1" s="1"/>
  <c r="BO109" i="1" s="1"/>
  <c r="BP109" i="1" s="1"/>
  <c r="AY154" i="1"/>
  <c r="CZ181" i="1"/>
  <c r="BH267" i="1"/>
  <c r="CY812" i="1"/>
  <c r="F69" i="7" s="1"/>
  <c r="BB55" i="1" l="1"/>
  <c r="K65" i="2"/>
  <c r="BA188" i="1"/>
  <c r="N48" i="7"/>
  <c r="N49" i="7" s="1"/>
  <c r="D25" i="22"/>
  <c r="D26" i="22" s="1"/>
  <c r="AV61" i="21"/>
  <c r="D23" i="22"/>
  <c r="V59" i="21"/>
  <c r="U61" i="21"/>
  <c r="BJ216" i="1"/>
  <c r="DE53" i="1"/>
  <c r="DE44" i="1" s="1"/>
  <c r="BE179" i="1"/>
  <c r="BF179" i="1" s="1"/>
  <c r="BK158" i="1"/>
  <c r="DB179" i="1"/>
  <c r="M18" i="7"/>
  <c r="D72" i="2"/>
  <c r="D73" i="2" s="1"/>
  <c r="N46" i="7"/>
  <c r="J63" i="2"/>
  <c r="J73" i="2"/>
  <c r="C64" i="2"/>
  <c r="C61" i="2"/>
  <c r="C98" i="2"/>
  <c r="BC215" i="1"/>
  <c r="BB219" i="1"/>
  <c r="BA244" i="1"/>
  <c r="BB186" i="1"/>
  <c r="CZ243" i="1"/>
  <c r="CZ258" i="1"/>
  <c r="CY113" i="1"/>
  <c r="CY112" i="1"/>
  <c r="CY359" i="1"/>
  <c r="CZ358" i="1"/>
  <c r="CY809" i="1"/>
  <c r="CY808" i="1"/>
  <c r="F65" i="7" s="1"/>
  <c r="CZ242" i="1"/>
  <c r="BQ109" i="1"/>
  <c r="CZ357" i="1"/>
  <c r="CZ795" i="1"/>
  <c r="AY795" i="1"/>
  <c r="DA219" i="1"/>
  <c r="CY813" i="1"/>
  <c r="CZ111" i="1"/>
  <c r="CZ257" i="1"/>
  <c r="CZ203" i="1"/>
  <c r="CY374" i="1"/>
  <c r="BB178" i="1"/>
  <c r="CZ202" i="1"/>
  <c r="CY684" i="1"/>
  <c r="AY666" i="1"/>
  <c r="CZ660" i="1"/>
  <c r="CZ154" i="1"/>
  <c r="BD167" i="1"/>
  <c r="BE164" i="1"/>
  <c r="BK209" i="1"/>
  <c r="CY405" i="1"/>
  <c r="DB167" i="1"/>
  <c r="BJ266" i="1"/>
  <c r="CZ611" i="1"/>
  <c r="BA234" i="1"/>
  <c r="DE208" i="1"/>
  <c r="DE63" i="1" s="1"/>
  <c r="BI210" i="1"/>
  <c r="DE210" i="1" s="1"/>
  <c r="BJ208" i="1"/>
  <c r="CY396" i="1"/>
  <c r="DE160" i="1"/>
  <c r="BJ160" i="1"/>
  <c r="DA178" i="1"/>
  <c r="AW59" i="21" s="1"/>
  <c r="AW60" i="21" s="1"/>
  <c r="BA181" i="1"/>
  <c r="BA177" i="1"/>
  <c r="CY121" i="1"/>
  <c r="AZ154" i="1"/>
  <c r="AZ795" i="1"/>
  <c r="BA187" i="1"/>
  <c r="DE170" i="1"/>
  <c r="DE59" i="1" s="1"/>
  <c r="DE48" i="1" s="1"/>
  <c r="BI173" i="1"/>
  <c r="DE173" i="1" s="1"/>
  <c r="DE61" i="1" s="1"/>
  <c r="BJ170" i="1"/>
  <c r="DA186" i="1"/>
  <c r="BA204" i="1"/>
  <c r="CZ670" i="1"/>
  <c r="BI265" i="1"/>
  <c r="CY613" i="1"/>
  <c r="DA610" i="1"/>
  <c r="DA578" i="1"/>
  <c r="BB578" i="1"/>
  <c r="DB157" i="1"/>
  <c r="BC176" i="1"/>
  <c r="BC161" i="1"/>
  <c r="BC55" i="1" s="1"/>
  <c r="BD157" i="1"/>
  <c r="CZ237" i="1"/>
  <c r="CY815" i="1"/>
  <c r="L65" i="2" l="1"/>
  <c r="BA240" i="1"/>
  <c r="AZ666" i="1"/>
  <c r="AZ667" i="1" s="1"/>
  <c r="J92" i="2"/>
  <c r="I92" i="2"/>
  <c r="K72" i="2"/>
  <c r="K73" i="2" s="1"/>
  <c r="N45" i="7"/>
  <c r="D33" i="22"/>
  <c r="D34" i="22" s="1"/>
  <c r="AV68" i="21"/>
  <c r="AV69" i="21" s="1"/>
  <c r="CY89" i="1"/>
  <c r="C9" i="22"/>
  <c r="AU14" i="21"/>
  <c r="L48" i="22"/>
  <c r="D24" i="22"/>
  <c r="AU11" i="21"/>
  <c r="C8" i="22"/>
  <c r="M50" i="7"/>
  <c r="AU62" i="21"/>
  <c r="C27" i="22"/>
  <c r="F70" i="7"/>
  <c r="K51" i="22"/>
  <c r="O39" i="7"/>
  <c r="U68" i="21"/>
  <c r="U69" i="21" s="1"/>
  <c r="V60" i="21"/>
  <c r="BB204" i="1"/>
  <c r="V61" i="21"/>
  <c r="W59" i="21"/>
  <c r="W60" i="21" s="1"/>
  <c r="BL158" i="1"/>
  <c r="DF158" i="1"/>
  <c r="DC179" i="1"/>
  <c r="BG179" i="1"/>
  <c r="BH179" i="1" s="1"/>
  <c r="BK216" i="1"/>
  <c r="D63" i="2"/>
  <c r="D64" i="2" s="1"/>
  <c r="C35" i="2"/>
  <c r="M10" i="7"/>
  <c r="D92" i="2"/>
  <c r="G55" i="7"/>
  <c r="C95" i="2"/>
  <c r="F66" i="7"/>
  <c r="C101" i="2"/>
  <c r="F72" i="7"/>
  <c r="N37" i="7"/>
  <c r="N47" i="7"/>
  <c r="F66" i="2"/>
  <c r="F67" i="2" s="1"/>
  <c r="P40" i="7"/>
  <c r="P41" i="7" s="1"/>
  <c r="F60" i="2"/>
  <c r="P34" i="7"/>
  <c r="Q13" i="18"/>
  <c r="Q14" i="18" s="1"/>
  <c r="J64" i="2"/>
  <c r="J61" i="2"/>
  <c r="BC219" i="1"/>
  <c r="C74" i="2"/>
  <c r="C99" i="2"/>
  <c r="C94" i="2"/>
  <c r="E65" i="2"/>
  <c r="BD215" i="1"/>
  <c r="BC186" i="1"/>
  <c r="BA184" i="1"/>
  <c r="BA185" i="1"/>
  <c r="BA611" i="1"/>
  <c r="CY85" i="1"/>
  <c r="CY116" i="1"/>
  <c r="P32" i="18"/>
  <c r="P33" i="18" s="1"/>
  <c r="DB52" i="1"/>
  <c r="DB43" i="1" s="1"/>
  <c r="DA55" i="1"/>
  <c r="DB58" i="1"/>
  <c r="DA204" i="1"/>
  <c r="CY122" i="1"/>
  <c r="BA670" i="1"/>
  <c r="BB244" i="1"/>
  <c r="CZ238" i="1"/>
  <c r="DA187" i="1"/>
  <c r="BA205" i="1"/>
  <c r="DA205" i="1" s="1"/>
  <c r="BB187" i="1"/>
  <c r="CY667" i="1"/>
  <c r="BK160" i="1"/>
  <c r="BJ210" i="1"/>
  <c r="BK208" i="1"/>
  <c r="BA242" i="1"/>
  <c r="DC164" i="1"/>
  <c r="DC56" i="1" s="1"/>
  <c r="DC46" i="1" s="1"/>
  <c r="BE167" i="1"/>
  <c r="BF164" i="1"/>
  <c r="CZ665" i="1"/>
  <c r="CZ668" i="1"/>
  <c r="BD176" i="1"/>
  <c r="BD610" i="1" s="1"/>
  <c r="BD161" i="1"/>
  <c r="BE157" i="1"/>
  <c r="CY816" i="1"/>
  <c r="CY823" i="1"/>
  <c r="K53" i="22" s="1"/>
  <c r="CY818" i="1"/>
  <c r="CY817" i="1"/>
  <c r="K52" i="22" s="1"/>
  <c r="CY824" i="1"/>
  <c r="CY822" i="1"/>
  <c r="CY819" i="1"/>
  <c r="CY821" i="1"/>
  <c r="CY825" i="1"/>
  <c r="CY826" i="1"/>
  <c r="CY820" i="1"/>
  <c r="CY827" i="1"/>
  <c r="DA177" i="1"/>
  <c r="BJ265" i="1"/>
  <c r="CY598" i="1"/>
  <c r="BA154" i="1"/>
  <c r="DA181" i="1"/>
  <c r="BB234" i="1"/>
  <c r="CZ662" i="1"/>
  <c r="DA244" i="1"/>
  <c r="CZ664" i="1"/>
  <c r="AW212" i="1"/>
  <c r="DB161" i="1"/>
  <c r="BC178" i="1"/>
  <c r="CY471" i="1"/>
  <c r="M19" i="7" s="1"/>
  <c r="CY685" i="1"/>
  <c r="CY406" i="1"/>
  <c r="AU15" i="21" s="1"/>
  <c r="BA237" i="1"/>
  <c r="BA469" i="1"/>
  <c r="DA469" i="1" s="1"/>
  <c r="BI267" i="1"/>
  <c r="DE267" i="1" s="1"/>
  <c r="DE87" i="1" s="1"/>
  <c r="DE265" i="1"/>
  <c r="DE88" i="1" s="1"/>
  <c r="BJ173" i="1"/>
  <c r="BK170" i="1"/>
  <c r="BA243" i="1"/>
  <c r="BA238" i="1" s="1"/>
  <c r="CZ146" i="1"/>
  <c r="DF209" i="1"/>
  <c r="DF64" i="1" s="1"/>
  <c r="BL209" i="1"/>
  <c r="BL266" i="1" s="1"/>
  <c r="CZ663" i="1"/>
  <c r="CZ666" i="1"/>
  <c r="BA202" i="1"/>
  <c r="BB177" i="1"/>
  <c r="BB181" i="1"/>
  <c r="DB176" i="1"/>
  <c r="BC610" i="1"/>
  <c r="BC578" i="1"/>
  <c r="DA145" i="1"/>
  <c r="CY616" i="1"/>
  <c r="CY814" i="1"/>
  <c r="DA234" i="1"/>
  <c r="CZ669" i="1"/>
  <c r="BK266" i="1"/>
  <c r="DF266" i="1" s="1"/>
  <c r="BA660" i="1"/>
  <c r="BA203" i="1"/>
  <c r="BB240" i="1" l="1"/>
  <c r="K63" i="2"/>
  <c r="K61" i="2" s="1"/>
  <c r="L72" i="2"/>
  <c r="L63" i="2" s="1"/>
  <c r="L61" i="2" s="1"/>
  <c r="W61" i="21"/>
  <c r="E23" i="22"/>
  <c r="BB185" i="1"/>
  <c r="E25" i="22"/>
  <c r="E26" i="22" s="1"/>
  <c r="AW61" i="21"/>
  <c r="V68" i="21"/>
  <c r="X59" i="21"/>
  <c r="X60" i="21" s="1"/>
  <c r="BB184" i="1"/>
  <c r="BL216" i="1"/>
  <c r="BI179" i="1"/>
  <c r="DE179" i="1" s="1"/>
  <c r="DD179" i="1"/>
  <c r="DA670" i="1"/>
  <c r="DF53" i="1"/>
  <c r="DF44" i="1" s="1"/>
  <c r="BM158" i="1"/>
  <c r="O48" i="7"/>
  <c r="O45" i="7" s="1"/>
  <c r="D61" i="2"/>
  <c r="C103" i="2"/>
  <c r="F74" i="7"/>
  <c r="C104" i="2"/>
  <c r="F75" i="7"/>
  <c r="C106" i="2"/>
  <c r="F77" i="7"/>
  <c r="O46" i="7"/>
  <c r="O47" i="7" s="1"/>
  <c r="C102" i="2"/>
  <c r="F73" i="7"/>
  <c r="N38" i="7"/>
  <c r="N35" i="7"/>
  <c r="C100" i="2"/>
  <c r="F71" i="7"/>
  <c r="C105" i="2"/>
  <c r="F76" i="7"/>
  <c r="C107" i="2"/>
  <c r="F78" i="7"/>
  <c r="O55" i="7"/>
  <c r="O56" i="7" s="1"/>
  <c r="E72" i="2"/>
  <c r="E63" i="2" s="1"/>
  <c r="E64" i="2" s="1"/>
  <c r="BD219" i="1"/>
  <c r="BE215" i="1"/>
  <c r="AY92" i="1"/>
  <c r="BD55" i="1"/>
  <c r="BD186" i="1" s="1"/>
  <c r="BB611" i="1"/>
  <c r="CZ259" i="1"/>
  <c r="CZ374" i="1"/>
  <c r="CZ359" i="1"/>
  <c r="CZ239" i="1"/>
  <c r="AY212" i="1"/>
  <c r="DA795" i="1"/>
  <c r="BA795" i="1"/>
  <c r="DB219" i="1"/>
  <c r="BB670" i="1"/>
  <c r="DA111" i="1"/>
  <c r="CY408" i="1"/>
  <c r="AU17" i="21" s="1"/>
  <c r="DC157" i="1"/>
  <c r="BE161" i="1"/>
  <c r="BE176" i="1"/>
  <c r="BF157" i="1"/>
  <c r="DA202" i="1"/>
  <c r="BB202" i="1"/>
  <c r="BA666" i="1"/>
  <c r="BK173" i="1"/>
  <c r="DF173" i="1" s="1"/>
  <c r="DF61" i="1" s="1"/>
  <c r="DF170" i="1"/>
  <c r="BL170" i="1"/>
  <c r="DB178" i="1"/>
  <c r="AX59" i="21" s="1"/>
  <c r="AX60" i="21" s="1"/>
  <c r="BC181" i="1"/>
  <c r="BC177" i="1"/>
  <c r="BA662" i="1"/>
  <c r="BJ267" i="1"/>
  <c r="BD178" i="1"/>
  <c r="BA665" i="1"/>
  <c r="DF160" i="1"/>
  <c r="BL160" i="1"/>
  <c r="CY472" i="1"/>
  <c r="BC204" i="1"/>
  <c r="DB186" i="1"/>
  <c r="BF167" i="1"/>
  <c r="BG164" i="1"/>
  <c r="BB205" i="1"/>
  <c r="BB795" i="1" s="1"/>
  <c r="BC187" i="1"/>
  <c r="DA203" i="1"/>
  <c r="BB203" i="1"/>
  <c r="DA154" i="1"/>
  <c r="DC167" i="1"/>
  <c r="BA663" i="1"/>
  <c r="BA258" i="1"/>
  <c r="DA258" i="1" s="1"/>
  <c r="DA358" i="1"/>
  <c r="BB243" i="1"/>
  <c r="BB238" i="1" s="1"/>
  <c r="BA664" i="1"/>
  <c r="BC234" i="1"/>
  <c r="DA611" i="1"/>
  <c r="BK210" i="1"/>
  <c r="DF210" i="1" s="1"/>
  <c r="DF208" i="1"/>
  <c r="DF63" i="1" s="1"/>
  <c r="BL208" i="1"/>
  <c r="DA660" i="1"/>
  <c r="R13" i="18" s="1"/>
  <c r="R14" i="18" s="1"/>
  <c r="BB660" i="1"/>
  <c r="DB578" i="1"/>
  <c r="BD578" i="1"/>
  <c r="BB154" i="1"/>
  <c r="BA669" i="1"/>
  <c r="DB610" i="1"/>
  <c r="BM209" i="1"/>
  <c r="DA243" i="1"/>
  <c r="DA237" i="1"/>
  <c r="BB237" i="1"/>
  <c r="BB469" i="1"/>
  <c r="BC244" i="1"/>
  <c r="BA668" i="1"/>
  <c r="BA257" i="1"/>
  <c r="BB242" i="1"/>
  <c r="DA242" i="1"/>
  <c r="BK265" i="1"/>
  <c r="BK267" i="1" s="1"/>
  <c r="BC240" i="1" l="1"/>
  <c r="I31" i="2"/>
  <c r="AY93" i="1"/>
  <c r="L64" i="2"/>
  <c r="K64" i="2"/>
  <c r="L73" i="2"/>
  <c r="L92" i="2"/>
  <c r="K92" i="2"/>
  <c r="N57" i="7"/>
  <c r="N58" i="7" s="1"/>
  <c r="D35" i="22"/>
  <c r="D36" i="22" s="1"/>
  <c r="D5" i="22"/>
  <c r="AV66" i="21"/>
  <c r="AV67" i="21" s="1"/>
  <c r="AU35" i="21"/>
  <c r="AU36" i="21" s="1"/>
  <c r="O37" i="7"/>
  <c r="O38" i="7" s="1"/>
  <c r="E33" i="22"/>
  <c r="AW68" i="21"/>
  <c r="AW69" i="21" s="1"/>
  <c r="W68" i="21"/>
  <c r="W69" i="21" s="1"/>
  <c r="U66" i="21"/>
  <c r="U67" i="21" s="1"/>
  <c r="V69" i="21"/>
  <c r="P39" i="7"/>
  <c r="X61" i="21"/>
  <c r="M48" i="22"/>
  <c r="E24" i="22"/>
  <c r="Y59" i="21"/>
  <c r="Y60" i="21" s="1"/>
  <c r="BD204" i="1"/>
  <c r="Q34" i="7"/>
  <c r="DB234" i="1"/>
  <c r="BJ179" i="1"/>
  <c r="Q40" i="7"/>
  <c r="Q41" i="7" s="1"/>
  <c r="BN158" i="1"/>
  <c r="DG158" i="1"/>
  <c r="BM216" i="1"/>
  <c r="O49" i="7"/>
  <c r="E92" i="2"/>
  <c r="H55" i="7"/>
  <c r="BF215" i="1"/>
  <c r="E73" i="2"/>
  <c r="E61" i="2"/>
  <c r="BE219" i="1"/>
  <c r="DC219" i="1" s="1"/>
  <c r="DC58" i="1"/>
  <c r="G66" i="2"/>
  <c r="G67" i="2" s="1"/>
  <c r="F65" i="2"/>
  <c r="DC52" i="1"/>
  <c r="DC43" i="1" s="1"/>
  <c r="G60" i="2"/>
  <c r="CZ396" i="1"/>
  <c r="N10" i="7" s="1"/>
  <c r="CZ92" i="1"/>
  <c r="BE55" i="1"/>
  <c r="BE186" i="1" s="1"/>
  <c r="BC184" i="1"/>
  <c r="BC185" i="1"/>
  <c r="BC611" i="1"/>
  <c r="AZ212" i="1"/>
  <c r="J31" i="2" s="1"/>
  <c r="CY118" i="1"/>
  <c r="CY117" i="1"/>
  <c r="DF59" i="1"/>
  <c r="DF48" i="1" s="1"/>
  <c r="CZ262" i="1"/>
  <c r="DB55" i="1"/>
  <c r="CZ212" i="1"/>
  <c r="DB204" i="1"/>
  <c r="DA359" i="1"/>
  <c r="DA357" i="1"/>
  <c r="DA668" i="1"/>
  <c r="BB668" i="1"/>
  <c r="DA146" i="1"/>
  <c r="DA664" i="1"/>
  <c r="BB664" i="1"/>
  <c r="DD164" i="1"/>
  <c r="DD56" i="1" s="1"/>
  <c r="DD46" i="1" s="1"/>
  <c r="BG167" i="1"/>
  <c r="BH164" i="1"/>
  <c r="DA665" i="1"/>
  <c r="BB665" i="1"/>
  <c r="DF265" i="1"/>
  <c r="DF88" i="1" s="1"/>
  <c r="BL173" i="1"/>
  <c r="BM170" i="1"/>
  <c r="BM160" i="1"/>
  <c r="BD177" i="1"/>
  <c r="BD181" i="1"/>
  <c r="DB177" i="1"/>
  <c r="DA666" i="1"/>
  <c r="BB666" i="1"/>
  <c r="BF176" i="1"/>
  <c r="BF610" i="1" s="1"/>
  <c r="BF161" i="1"/>
  <c r="BG157" i="1"/>
  <c r="BA259" i="1"/>
  <c r="DA257" i="1"/>
  <c r="DG209" i="1"/>
  <c r="DG64" i="1" s="1"/>
  <c r="BN209" i="1"/>
  <c r="BM266" i="1"/>
  <c r="DG266" i="1" s="1"/>
  <c r="U14" i="21"/>
  <c r="CY478" i="1"/>
  <c r="CY480" i="1" s="1"/>
  <c r="DB181" i="1"/>
  <c r="BC154" i="1"/>
  <c r="BC202" i="1"/>
  <c r="DC176" i="1"/>
  <c r="BE610" i="1"/>
  <c r="CY212" i="1"/>
  <c r="M6" i="7" s="1"/>
  <c r="DB187" i="1"/>
  <c r="BC205" i="1"/>
  <c r="DB205" i="1" s="1"/>
  <c r="BD187" i="1"/>
  <c r="CY811" i="1"/>
  <c r="CY810" i="1"/>
  <c r="F67" i="7" s="1"/>
  <c r="CY465" i="1"/>
  <c r="C13" i="22" s="1"/>
  <c r="DA662" i="1"/>
  <c r="BB662" i="1"/>
  <c r="DC161" i="1"/>
  <c r="BE178" i="1"/>
  <c r="CY696" i="1"/>
  <c r="CY393" i="1"/>
  <c r="M14" i="7" s="1"/>
  <c r="DA663" i="1"/>
  <c r="BB663" i="1"/>
  <c r="BC670" i="1"/>
  <c r="CY414" i="1"/>
  <c r="BD244" i="1"/>
  <c r="DB244" i="1"/>
  <c r="DA669" i="1"/>
  <c r="BB669" i="1"/>
  <c r="BC660" i="1"/>
  <c r="BL210" i="1"/>
  <c r="BM208" i="1"/>
  <c r="BM265" i="1" s="1"/>
  <c r="BD234" i="1"/>
  <c r="BB257" i="1"/>
  <c r="BC242" i="1"/>
  <c r="DB145" i="1"/>
  <c r="BE578" i="1"/>
  <c r="BL265" i="1"/>
  <c r="BC237" i="1"/>
  <c r="BC469" i="1"/>
  <c r="DB469" i="1" s="1"/>
  <c r="DA238" i="1"/>
  <c r="BB258" i="1"/>
  <c r="BC243" i="1"/>
  <c r="DB243" i="1" s="1"/>
  <c r="BA239" i="1"/>
  <c r="BC203" i="1"/>
  <c r="DF267" i="1"/>
  <c r="DF87" i="1" s="1"/>
  <c r="O35" i="7" l="1"/>
  <c r="CY416" i="1"/>
  <c r="F68" i="7"/>
  <c r="K50" i="22"/>
  <c r="BN216" i="1"/>
  <c r="BD185" i="1"/>
  <c r="BD184" i="1"/>
  <c r="Z59" i="21"/>
  <c r="Z60" i="21" s="1"/>
  <c r="E34" i="22"/>
  <c r="X68" i="21"/>
  <c r="X69" i="21" s="1"/>
  <c r="V66" i="21"/>
  <c r="V67" i="21" s="1"/>
  <c r="F25" i="22"/>
  <c r="F26" i="22" s="1"/>
  <c r="AX61" i="21"/>
  <c r="F23" i="22"/>
  <c r="Y61" i="21"/>
  <c r="DB111" i="1"/>
  <c r="P55" i="7"/>
  <c r="P56" i="7" s="1"/>
  <c r="DG53" i="1"/>
  <c r="DG44" i="1" s="1"/>
  <c r="BD469" i="1"/>
  <c r="BK179" i="1"/>
  <c r="BO158" i="1"/>
  <c r="P48" i="7"/>
  <c r="P45" i="7" s="1"/>
  <c r="BG215" i="1"/>
  <c r="P46" i="7"/>
  <c r="P47" i="7" s="1"/>
  <c r="F72" i="2"/>
  <c r="F63" i="2" s="1"/>
  <c r="F64" i="2" s="1"/>
  <c r="BC238" i="1"/>
  <c r="BF219" i="1"/>
  <c r="CZ85" i="1"/>
  <c r="C97" i="2"/>
  <c r="N6" i="7"/>
  <c r="C31" i="2"/>
  <c r="C96" i="2"/>
  <c r="D35" i="2"/>
  <c r="DA259" i="1"/>
  <c r="BA89" i="1"/>
  <c r="BA405" i="1" s="1"/>
  <c r="V14" i="21" s="1"/>
  <c r="AY379" i="1"/>
  <c r="T6" i="21" s="1"/>
  <c r="AY354" i="1"/>
  <c r="AY708" i="1"/>
  <c r="AZ708" i="1" s="1"/>
  <c r="CZ432" i="1"/>
  <c r="AY321" i="1"/>
  <c r="CZ296" i="1"/>
  <c r="BF55" i="1"/>
  <c r="BF186" i="1" s="1"/>
  <c r="BD611" i="1"/>
  <c r="DB237" i="1"/>
  <c r="DB795" i="1"/>
  <c r="D31" i="2"/>
  <c r="DB154" i="1"/>
  <c r="BB239" i="1"/>
  <c r="BM267" i="1"/>
  <c r="BC795" i="1"/>
  <c r="DB670" i="1"/>
  <c r="BD670" i="1"/>
  <c r="BO209" i="1"/>
  <c r="BC666" i="1"/>
  <c r="BN160" i="1"/>
  <c r="DG160" i="1"/>
  <c r="CY712" i="1"/>
  <c r="BC664" i="1"/>
  <c r="BA262" i="1"/>
  <c r="BA212" i="1"/>
  <c r="DA239" i="1"/>
  <c r="BL267" i="1"/>
  <c r="DG265" i="1"/>
  <c r="DG88" i="1" s="1"/>
  <c r="DB660" i="1"/>
  <c r="BD660" i="1"/>
  <c r="BE244" i="1"/>
  <c r="BC663" i="1"/>
  <c r="DC178" i="1"/>
  <c r="AY59" i="21" s="1"/>
  <c r="AY60" i="21" s="1"/>
  <c r="BE177" i="1"/>
  <c r="BE181" i="1"/>
  <c r="BC662" i="1"/>
  <c r="BN266" i="1"/>
  <c r="BC257" i="1"/>
  <c r="DB257" i="1" s="1"/>
  <c r="BD242" i="1"/>
  <c r="DB358" i="1"/>
  <c r="BC258" i="1"/>
  <c r="DB258" i="1" s="1"/>
  <c r="BD243" i="1"/>
  <c r="DC578" i="1"/>
  <c r="BF578" i="1"/>
  <c r="BB259" i="1"/>
  <c r="BB89" i="1" s="1"/>
  <c r="DC186" i="1"/>
  <c r="BE204" i="1"/>
  <c r="BM173" i="1"/>
  <c r="DG173" i="1" s="1"/>
  <c r="DG61" i="1" s="1"/>
  <c r="BN170" i="1"/>
  <c r="DG170" i="1"/>
  <c r="BH167" i="1"/>
  <c r="BI164" i="1"/>
  <c r="DA374" i="1"/>
  <c r="DB242" i="1"/>
  <c r="DC610" i="1"/>
  <c r="DD157" i="1"/>
  <c r="BG176" i="1"/>
  <c r="BG161" i="1"/>
  <c r="BH157" i="1"/>
  <c r="BD154" i="1"/>
  <c r="DD167" i="1"/>
  <c r="BE234" i="1"/>
  <c r="DG208" i="1"/>
  <c r="DG63" i="1" s="1"/>
  <c r="BM210" i="1"/>
  <c r="DG210" i="1" s="1"/>
  <c r="BN208" i="1"/>
  <c r="BC669" i="1"/>
  <c r="AY696" i="1"/>
  <c r="BD205" i="1"/>
  <c r="BD795" i="1" s="1"/>
  <c r="BE187" i="1"/>
  <c r="BF178" i="1"/>
  <c r="DB611" i="1"/>
  <c r="CY711" i="1"/>
  <c r="DB203" i="1"/>
  <c r="BD203" i="1"/>
  <c r="BD237" i="1"/>
  <c r="DB202" i="1"/>
  <c r="BD202" i="1"/>
  <c r="BC665" i="1"/>
  <c r="BC668" i="1"/>
  <c r="K31" i="2" l="1"/>
  <c r="CZ696" i="1"/>
  <c r="AZ696" i="1"/>
  <c r="E35" i="22"/>
  <c r="E36" i="22" s="1"/>
  <c r="E5" i="22"/>
  <c r="AW66" i="21"/>
  <c r="AW67" i="21" s="1"/>
  <c r="F33" i="22"/>
  <c r="F34" i="22" s="1"/>
  <c r="AX68" i="21"/>
  <c r="AX69" i="21" s="1"/>
  <c r="Z61" i="21"/>
  <c r="BF204" i="1"/>
  <c r="Y68" i="21"/>
  <c r="Y69" i="21" s="1"/>
  <c r="AA59" i="21"/>
  <c r="AA60" i="21" s="1"/>
  <c r="Q39" i="7"/>
  <c r="W66" i="21"/>
  <c r="W67" i="21" s="1"/>
  <c r="F24" i="22"/>
  <c r="N48" i="22"/>
  <c r="BL179" i="1"/>
  <c r="DF179" i="1"/>
  <c r="DD58" i="1"/>
  <c r="DH158" i="1"/>
  <c r="BP158" i="1"/>
  <c r="DA405" i="1"/>
  <c r="BO216" i="1"/>
  <c r="BE469" i="1"/>
  <c r="DC469" i="1" s="1"/>
  <c r="DD52" i="1"/>
  <c r="DD43" i="1" s="1"/>
  <c r="P49" i="7"/>
  <c r="BH215" i="1"/>
  <c r="P37" i="7"/>
  <c r="P38" i="7" s="1"/>
  <c r="O57" i="7"/>
  <c r="O58" i="7" s="1"/>
  <c r="F92" i="2"/>
  <c r="I55" i="7"/>
  <c r="F61" i="2"/>
  <c r="F73" i="2"/>
  <c r="BG219" i="1"/>
  <c r="BD238" i="1"/>
  <c r="DC55" i="1"/>
  <c r="G65" i="2"/>
  <c r="CZ708" i="1"/>
  <c r="CZ709" i="1"/>
  <c r="CZ93" i="1"/>
  <c r="BE185" i="1"/>
  <c r="CZ321" i="1"/>
  <c r="BG55" i="1"/>
  <c r="BE184" i="1"/>
  <c r="BE611" i="1"/>
  <c r="DC244" i="1"/>
  <c r="DC204" i="1"/>
  <c r="BB212" i="1"/>
  <c r="L31" i="2" s="1"/>
  <c r="DG59" i="1"/>
  <c r="DG48" i="1" s="1"/>
  <c r="S13" i="18"/>
  <c r="S14" i="18" s="1"/>
  <c r="DH209" i="1"/>
  <c r="DH64" i="1" s="1"/>
  <c r="BP209" i="1"/>
  <c r="BP266" i="1" s="1"/>
  <c r="BB262" i="1"/>
  <c r="BC239" i="1"/>
  <c r="DG267" i="1"/>
  <c r="DG87" i="1" s="1"/>
  <c r="DC234" i="1"/>
  <c r="BE202" i="1"/>
  <c r="BE203" i="1"/>
  <c r="DD176" i="1"/>
  <c r="BG610" i="1"/>
  <c r="DC145" i="1"/>
  <c r="DC177" i="1"/>
  <c r="DB357" i="1"/>
  <c r="BO160" i="1"/>
  <c r="BF234" i="1"/>
  <c r="BE237" i="1"/>
  <c r="BB405" i="1"/>
  <c r="W14" i="21" s="1"/>
  <c r="BC259" i="1"/>
  <c r="BC89" i="1" s="1"/>
  <c r="DA212" i="1"/>
  <c r="DA262" i="1"/>
  <c r="DB664" i="1"/>
  <c r="BD664" i="1"/>
  <c r="DB666" i="1"/>
  <c r="BD666" i="1"/>
  <c r="BE205" i="1"/>
  <c r="DC205" i="1" s="1"/>
  <c r="DC187" i="1"/>
  <c r="BF187" i="1"/>
  <c r="BO208" i="1"/>
  <c r="BN210" i="1"/>
  <c r="BD258" i="1"/>
  <c r="BE243" i="1"/>
  <c r="DC243" i="1" s="1"/>
  <c r="BF244" i="1"/>
  <c r="BO266" i="1"/>
  <c r="DH266" i="1" s="1"/>
  <c r="BE670" i="1"/>
  <c r="BN173" i="1"/>
  <c r="BO170" i="1"/>
  <c r="BP170" i="1" s="1"/>
  <c r="BG578" i="1"/>
  <c r="DB662" i="1"/>
  <c r="BD662" i="1"/>
  <c r="DB663" i="1"/>
  <c r="BD663" i="1"/>
  <c r="DB668" i="1"/>
  <c r="BD668" i="1"/>
  <c r="DB665" i="1"/>
  <c r="BD665" i="1"/>
  <c r="CY698" i="1"/>
  <c r="DB146" i="1"/>
  <c r="BH176" i="1"/>
  <c r="BH610" i="1" s="1"/>
  <c r="BH161" i="1"/>
  <c r="BI157" i="1"/>
  <c r="DE164" i="1"/>
  <c r="DE56" i="1" s="1"/>
  <c r="DE46" i="1" s="1"/>
  <c r="BI167" i="1"/>
  <c r="BJ164" i="1"/>
  <c r="BE660" i="1"/>
  <c r="BN265" i="1"/>
  <c r="BF181" i="1"/>
  <c r="BF177" i="1"/>
  <c r="BD669" i="1"/>
  <c r="DB669" i="1"/>
  <c r="DD161" i="1"/>
  <c r="BG178" i="1"/>
  <c r="BD257" i="1"/>
  <c r="BE242" i="1"/>
  <c r="DC242" i="1" s="1"/>
  <c r="BE154" i="1"/>
  <c r="DC181" i="1"/>
  <c r="BF185" i="1" l="1"/>
  <c r="AY61" i="21"/>
  <c r="G25" i="22"/>
  <c r="G26" i="22" s="1"/>
  <c r="G23" i="22"/>
  <c r="Z68" i="21"/>
  <c r="Z69" i="21" s="1"/>
  <c r="X66" i="21"/>
  <c r="BF184" i="1"/>
  <c r="E9" i="22"/>
  <c r="AW14" i="21"/>
  <c r="AA61" i="21"/>
  <c r="AB59" i="21"/>
  <c r="AB60" i="21" s="1"/>
  <c r="DH53" i="1"/>
  <c r="DH44" i="1" s="1"/>
  <c r="BP216" i="1"/>
  <c r="BF202" i="1"/>
  <c r="BQ158" i="1"/>
  <c r="DA89" i="1"/>
  <c r="BM179" i="1"/>
  <c r="BI215" i="1"/>
  <c r="DC203" i="1"/>
  <c r="P35" i="7"/>
  <c r="Q48" i="7"/>
  <c r="Q45" i="7" s="1"/>
  <c r="O6" i="7"/>
  <c r="Q46" i="7"/>
  <c r="Q47" i="7" s="1"/>
  <c r="BH219" i="1"/>
  <c r="DC111" i="1"/>
  <c r="Q55" i="7"/>
  <c r="Q56" i="7" s="1"/>
  <c r="BG186" i="1"/>
  <c r="BH55" i="1"/>
  <c r="BI55" i="1" s="1"/>
  <c r="BJ55" i="1" s="1"/>
  <c r="BK55" i="1" s="1"/>
  <c r="BL55" i="1" s="1"/>
  <c r="BM55" i="1" s="1"/>
  <c r="BN55" i="1" s="1"/>
  <c r="BO55" i="1" s="1"/>
  <c r="BP55" i="1" s="1"/>
  <c r="BQ55" i="1" s="1"/>
  <c r="BE238" i="1"/>
  <c r="E31" i="2"/>
  <c r="DC154" i="1"/>
  <c r="G72" i="2"/>
  <c r="DC795" i="1"/>
  <c r="DC237" i="1"/>
  <c r="BF611" i="1"/>
  <c r="DB239" i="1"/>
  <c r="BC262" i="1"/>
  <c r="BC212" i="1"/>
  <c r="DH160" i="1"/>
  <c r="BP160" i="1"/>
  <c r="BQ209" i="1"/>
  <c r="DI209" i="1" s="1"/>
  <c r="DI64" i="1" s="1"/>
  <c r="BO265" i="1"/>
  <c r="BO267" i="1" s="1"/>
  <c r="BP208" i="1"/>
  <c r="BP265" i="1" s="1"/>
  <c r="BP173" i="1"/>
  <c r="BQ170" i="1"/>
  <c r="DI170" i="1" s="1"/>
  <c r="DC202" i="1"/>
  <c r="CZ697" i="1"/>
  <c r="CZ698" i="1" s="1"/>
  <c r="DB374" i="1"/>
  <c r="BF203" i="1"/>
  <c r="DB359" i="1"/>
  <c r="BD259" i="1"/>
  <c r="BD89" i="1" s="1"/>
  <c r="BF205" i="1"/>
  <c r="BF795" i="1" s="1"/>
  <c r="BC405" i="1"/>
  <c r="X14" i="21" s="1"/>
  <c r="BG234" i="1"/>
  <c r="BN267" i="1"/>
  <c r="BE662" i="1"/>
  <c r="BF237" i="1"/>
  <c r="DD610" i="1"/>
  <c r="DD178" i="1"/>
  <c r="AZ59" i="21" s="1"/>
  <c r="AZ60" i="21" s="1"/>
  <c r="BG181" i="1"/>
  <c r="BG177" i="1"/>
  <c r="BE669" i="1"/>
  <c r="BF154" i="1"/>
  <c r="BF469" i="1"/>
  <c r="BE258" i="1"/>
  <c r="DC258" i="1" s="1"/>
  <c r="DC358" i="1"/>
  <c r="BF243" i="1"/>
  <c r="DE157" i="1"/>
  <c r="BI161" i="1"/>
  <c r="BI176" i="1"/>
  <c r="BJ157" i="1"/>
  <c r="BE668" i="1"/>
  <c r="BE666" i="1"/>
  <c r="BE795" i="1"/>
  <c r="DB259" i="1"/>
  <c r="BA696" i="1"/>
  <c r="BE257" i="1"/>
  <c r="BF242" i="1"/>
  <c r="BD239" i="1"/>
  <c r="BJ167" i="1"/>
  <c r="BK164" i="1"/>
  <c r="BH178" i="1"/>
  <c r="DD578" i="1"/>
  <c r="BH578" i="1"/>
  <c r="AY698" i="1"/>
  <c r="DD219" i="1"/>
  <c r="DC611" i="1"/>
  <c r="BF660" i="1"/>
  <c r="DC660" i="1"/>
  <c r="DE167" i="1"/>
  <c r="BE665" i="1"/>
  <c r="BE663" i="1"/>
  <c r="BO173" i="1"/>
  <c r="DH173" i="1" s="1"/>
  <c r="DH61" i="1" s="1"/>
  <c r="DH170" i="1"/>
  <c r="DC670" i="1"/>
  <c r="BF670" i="1"/>
  <c r="DH208" i="1"/>
  <c r="DH63" i="1" s="1"/>
  <c r="BO210" i="1"/>
  <c r="DH210" i="1" s="1"/>
  <c r="BE664" i="1"/>
  <c r="AA68" i="21" l="1"/>
  <c r="AA69" i="21" s="1"/>
  <c r="X67" i="21"/>
  <c r="BG204" i="1"/>
  <c r="F5" i="22"/>
  <c r="F35" i="22"/>
  <c r="F36" i="22" s="1"/>
  <c r="AX66" i="21"/>
  <c r="AX67" i="21" s="1"/>
  <c r="AY68" i="21"/>
  <c r="AY69" i="21" s="1"/>
  <c r="G33" i="22"/>
  <c r="G34" i="22" s="1"/>
  <c r="AC59" i="21"/>
  <c r="AC60" i="21" s="1"/>
  <c r="Y66" i="21"/>
  <c r="Y67" i="21" s="1"/>
  <c r="O48" i="22"/>
  <c r="G24" i="22"/>
  <c r="DE52" i="1"/>
  <c r="DE43" i="1" s="1"/>
  <c r="BQ160" i="1"/>
  <c r="DI158" i="1"/>
  <c r="DE58" i="1"/>
  <c r="DG179" i="1"/>
  <c r="BN179" i="1"/>
  <c r="DB405" i="1"/>
  <c r="BQ216" i="1"/>
  <c r="BJ215" i="1"/>
  <c r="DD234" i="1"/>
  <c r="Q49" i="7"/>
  <c r="Q37" i="7"/>
  <c r="Q38" i="7" s="1"/>
  <c r="BI219" i="1"/>
  <c r="BG244" i="1"/>
  <c r="DD186" i="1"/>
  <c r="BG187" i="1"/>
  <c r="BG205" i="1" s="1"/>
  <c r="G92" i="2"/>
  <c r="J55" i="7"/>
  <c r="BH186" i="1"/>
  <c r="P57" i="7"/>
  <c r="P58" i="7" s="1"/>
  <c r="BF238" i="1"/>
  <c r="G73" i="2"/>
  <c r="G63" i="2"/>
  <c r="BG611" i="1"/>
  <c r="DB212" i="1"/>
  <c r="DB262" i="1"/>
  <c r="BE239" i="1"/>
  <c r="DB238" i="1"/>
  <c r="DI59" i="1"/>
  <c r="DI48" i="1" s="1"/>
  <c r="DH265" i="1"/>
  <c r="DH88" i="1" s="1"/>
  <c r="T13" i="18"/>
  <c r="T14" i="18" s="1"/>
  <c r="DH59" i="1"/>
  <c r="DH48" i="1" s="1"/>
  <c r="BP267" i="1"/>
  <c r="BQ173" i="1"/>
  <c r="DI173" i="1" s="1"/>
  <c r="DI61" i="1" s="1"/>
  <c r="BQ266" i="1"/>
  <c r="DI266" i="1" s="1"/>
  <c r="BP210" i="1"/>
  <c r="BQ208" i="1"/>
  <c r="DI208" i="1" s="1"/>
  <c r="DI63" i="1" s="1"/>
  <c r="BE259" i="1"/>
  <c r="BE89" i="1" s="1"/>
  <c r="BF257" i="1"/>
  <c r="DD181" i="1"/>
  <c r="BG154" i="1"/>
  <c r="BG237" i="1"/>
  <c r="BG469" i="1"/>
  <c r="DD469" i="1" s="1"/>
  <c r="BI578" i="1"/>
  <c r="DC668" i="1"/>
  <c r="BF668" i="1"/>
  <c r="BF258" i="1"/>
  <c r="DD145" i="1"/>
  <c r="DC666" i="1"/>
  <c r="BF666" i="1"/>
  <c r="BJ176" i="1"/>
  <c r="BJ610" i="1" s="1"/>
  <c r="BK157" i="1"/>
  <c r="BJ161" i="1"/>
  <c r="BG660" i="1"/>
  <c r="DC146" i="1"/>
  <c r="DF164" i="1"/>
  <c r="BK167" i="1"/>
  <c r="BL164" i="1"/>
  <c r="BD212" i="1"/>
  <c r="BD262" i="1"/>
  <c r="BA697" i="1"/>
  <c r="BB696" i="1"/>
  <c r="DE176" i="1"/>
  <c r="BI610" i="1"/>
  <c r="DC669" i="1"/>
  <c r="BF669" i="1"/>
  <c r="BD405" i="1"/>
  <c r="Y14" i="21" s="1"/>
  <c r="DC663" i="1"/>
  <c r="BF663" i="1"/>
  <c r="DE161" i="1"/>
  <c r="BI186" i="1"/>
  <c r="BI178" i="1"/>
  <c r="DH267" i="1"/>
  <c r="DH87" i="1" s="1"/>
  <c r="DC257" i="1"/>
  <c r="BH181" i="1"/>
  <c r="BH177" i="1"/>
  <c r="DC357" i="1"/>
  <c r="DC664" i="1"/>
  <c r="BF664" i="1"/>
  <c r="BF665" i="1"/>
  <c r="DC665" i="1"/>
  <c r="DA696" i="1"/>
  <c r="DD177" i="1"/>
  <c r="DC662" i="1"/>
  <c r="BF662" i="1"/>
  <c r="BH234" i="1"/>
  <c r="BG202" i="1" l="1"/>
  <c r="BG670" i="1"/>
  <c r="BG184" i="1"/>
  <c r="BG203" i="1"/>
  <c r="BG185" i="1"/>
  <c r="DD204" i="1"/>
  <c r="AZ61" i="21" s="1"/>
  <c r="DD55" i="1"/>
  <c r="F9" i="22"/>
  <c r="AX14" i="21"/>
  <c r="AB68" i="21"/>
  <c r="AB69" i="21" s="1"/>
  <c r="AD59" i="21"/>
  <c r="AD60" i="21" s="1"/>
  <c r="Z66" i="21"/>
  <c r="Z67" i="21" s="1"/>
  <c r="DB89" i="1"/>
  <c r="BH204" i="1"/>
  <c r="AB61" i="21"/>
  <c r="BO179" i="1"/>
  <c r="DA697" i="1"/>
  <c r="DA698" i="1" s="1"/>
  <c r="DD111" i="1"/>
  <c r="DI53" i="1"/>
  <c r="DI44" i="1" s="1"/>
  <c r="BK215" i="1"/>
  <c r="DI160" i="1"/>
  <c r="Q35" i="7"/>
  <c r="BJ219" i="1"/>
  <c r="BG243" i="1"/>
  <c r="BG238" i="1" s="1"/>
  <c r="DD244" i="1"/>
  <c r="BH187" i="1"/>
  <c r="BI187" i="1" s="1"/>
  <c r="DD187" i="1"/>
  <c r="BH244" i="1"/>
  <c r="P6" i="7"/>
  <c r="BG242" i="1"/>
  <c r="BG257" i="1" s="1"/>
  <c r="DD257" i="1" s="1"/>
  <c r="DD154" i="1"/>
  <c r="F31" i="2"/>
  <c r="G61" i="2"/>
  <c r="G64" i="2"/>
  <c r="BJ186" i="1"/>
  <c r="BE262" i="1"/>
  <c r="BE212" i="1"/>
  <c r="DC239" i="1"/>
  <c r="DD237" i="1"/>
  <c r="AZ68" i="21" s="1"/>
  <c r="AZ69" i="21" s="1"/>
  <c r="BH611" i="1"/>
  <c r="BF239" i="1"/>
  <c r="DF56" i="1"/>
  <c r="DF46" i="1" s="1"/>
  <c r="BQ210" i="1"/>
  <c r="DI210" i="1" s="1"/>
  <c r="DC359" i="1"/>
  <c r="BQ265" i="1"/>
  <c r="DI265" i="1" s="1"/>
  <c r="DI88" i="1" s="1"/>
  <c r="BE405" i="1"/>
  <c r="Z14" i="21" s="1"/>
  <c r="DC259" i="1"/>
  <c r="BG669" i="1"/>
  <c r="DD669" i="1" s="1"/>
  <c r="BG664" i="1"/>
  <c r="BG662" i="1"/>
  <c r="BB697" i="1"/>
  <c r="BC696" i="1"/>
  <c r="DF167" i="1"/>
  <c r="BJ178" i="1"/>
  <c r="DE578" i="1"/>
  <c r="BJ578" i="1"/>
  <c r="BH154" i="1"/>
  <c r="BI181" i="1"/>
  <c r="DE178" i="1"/>
  <c r="BA59" i="21" s="1"/>
  <c r="BA60" i="21" s="1"/>
  <c r="BI177" i="1"/>
  <c r="BA698" i="1"/>
  <c r="DD660" i="1"/>
  <c r="BH660" i="1"/>
  <c r="DF157" i="1"/>
  <c r="BK176" i="1"/>
  <c r="BK161" i="1"/>
  <c r="BL157" i="1"/>
  <c r="DE186" i="1"/>
  <c r="BI204" i="1"/>
  <c r="DD358" i="1"/>
  <c r="BG668" i="1"/>
  <c r="DD611" i="1"/>
  <c r="BH237" i="1"/>
  <c r="BG666" i="1"/>
  <c r="BH469" i="1"/>
  <c r="DE610" i="1"/>
  <c r="BF259" i="1"/>
  <c r="BF89" i="1" s="1"/>
  <c r="BI234" i="1"/>
  <c r="DE219" i="1"/>
  <c r="BG665" i="1"/>
  <c r="BG663" i="1"/>
  <c r="BL167" i="1"/>
  <c r="BM164" i="1"/>
  <c r="DD205" i="1"/>
  <c r="BG795" i="1"/>
  <c r="DD202" i="1" l="1"/>
  <c r="DD670" i="1"/>
  <c r="DD795" i="1"/>
  <c r="DD203" i="1"/>
  <c r="BH202" i="1"/>
  <c r="BH185" i="1"/>
  <c r="BI185" i="1" s="1"/>
  <c r="BH670" i="1"/>
  <c r="BH184" i="1"/>
  <c r="BI184" i="1" s="1"/>
  <c r="BH203" i="1"/>
  <c r="AD61" i="21"/>
  <c r="AC68" i="21"/>
  <c r="AC69" i="21" s="1"/>
  <c r="DE55" i="1"/>
  <c r="G5" i="22"/>
  <c r="G35" i="22"/>
  <c r="G36" i="22" s="1"/>
  <c r="AY66" i="21"/>
  <c r="AY67" i="21" s="1"/>
  <c r="AA66" i="21"/>
  <c r="AA67" i="21" s="1"/>
  <c r="BG258" i="1"/>
  <c r="DD258" i="1" s="1"/>
  <c r="AE59" i="21"/>
  <c r="AE60" i="21" s="1"/>
  <c r="BI244" i="1"/>
  <c r="AC61" i="21"/>
  <c r="DE234" i="1"/>
  <c r="BL215" i="1"/>
  <c r="DD662" i="1"/>
  <c r="DF58" i="1"/>
  <c r="DD664" i="1"/>
  <c r="DH179" i="1"/>
  <c r="BP179" i="1"/>
  <c r="U13" i="18"/>
  <c r="U14" i="18" s="1"/>
  <c r="DF52" i="1"/>
  <c r="DF43" i="1" s="1"/>
  <c r="BH205" i="1"/>
  <c r="BH795" i="1" s="1"/>
  <c r="DD243" i="1"/>
  <c r="BH243" i="1"/>
  <c r="BH238" i="1" s="1"/>
  <c r="BK219" i="1"/>
  <c r="DF219" i="1" s="1"/>
  <c r="DD242" i="1"/>
  <c r="BH242" i="1"/>
  <c r="DC212" i="1"/>
  <c r="Q57" i="7"/>
  <c r="Q58" i="7" s="1"/>
  <c r="BK186" i="1"/>
  <c r="BJ204" i="1"/>
  <c r="DC238" i="1"/>
  <c r="DC262" i="1"/>
  <c r="BF262" i="1"/>
  <c r="DE204" i="1"/>
  <c r="BA61" i="21" s="1"/>
  <c r="BG239" i="1"/>
  <c r="BI611" i="1"/>
  <c r="BF212" i="1"/>
  <c r="DC374" i="1"/>
  <c r="BQ267" i="1"/>
  <c r="DI267" i="1" s="1"/>
  <c r="DI87" i="1" s="1"/>
  <c r="DC405" i="1"/>
  <c r="BH664" i="1"/>
  <c r="DD359" i="1"/>
  <c r="BH662" i="1"/>
  <c r="BI469" i="1"/>
  <c r="DE469" i="1" s="1"/>
  <c r="DD357" i="1"/>
  <c r="BK610" i="1"/>
  <c r="DF176" i="1"/>
  <c r="DG164" i="1"/>
  <c r="BN164" i="1"/>
  <c r="BM167" i="1"/>
  <c r="DE177" i="1"/>
  <c r="BJ177" i="1"/>
  <c r="BJ181" i="1"/>
  <c r="BI203" i="1"/>
  <c r="DE145" i="1"/>
  <c r="BC697" i="1"/>
  <c r="BD696" i="1"/>
  <c r="BH663" i="1"/>
  <c r="DD663" i="1"/>
  <c r="BJ234" i="1"/>
  <c r="DD146" i="1"/>
  <c r="DD668" i="1"/>
  <c r="BH668" i="1"/>
  <c r="BB698" i="1"/>
  <c r="BI205" i="1"/>
  <c r="DE205" i="1" s="1"/>
  <c r="DE187" i="1"/>
  <c r="BJ187" i="1"/>
  <c r="BL176" i="1"/>
  <c r="BL610" i="1" s="1"/>
  <c r="BL161" i="1"/>
  <c r="BM157" i="1"/>
  <c r="BI660" i="1"/>
  <c r="DE181" i="1"/>
  <c r="BI154" i="1"/>
  <c r="BK578" i="1"/>
  <c r="DB696" i="1"/>
  <c r="BH665" i="1"/>
  <c r="DD665" i="1"/>
  <c r="BI237" i="1"/>
  <c r="BF405" i="1"/>
  <c r="AA14" i="21" s="1"/>
  <c r="DD666" i="1"/>
  <c r="BH666" i="1"/>
  <c r="DF161" i="1"/>
  <c r="BK178" i="1"/>
  <c r="BH669" i="1"/>
  <c r="BI202" i="1" l="1"/>
  <c r="BI670" i="1"/>
  <c r="DE244" i="1"/>
  <c r="AF59" i="21"/>
  <c r="AF60" i="21" s="1"/>
  <c r="BJ244" i="1"/>
  <c r="AD68" i="21"/>
  <c r="AD69" i="21" s="1"/>
  <c r="G9" i="22"/>
  <c r="AY14" i="21"/>
  <c r="BG259" i="1"/>
  <c r="BG89" i="1" s="1"/>
  <c r="BG405" i="1" s="1"/>
  <c r="AB14" i="21" s="1"/>
  <c r="BI242" i="1"/>
  <c r="DE242" i="1" s="1"/>
  <c r="AB66" i="21"/>
  <c r="AE61" i="21"/>
  <c r="DE154" i="1"/>
  <c r="DB697" i="1"/>
  <c r="DB698" i="1" s="1"/>
  <c r="BM215" i="1"/>
  <c r="DE111" i="1"/>
  <c r="BQ179" i="1"/>
  <c r="BI243" i="1"/>
  <c r="DE243" i="1" s="1"/>
  <c r="BH257" i="1"/>
  <c r="BH258" i="1"/>
  <c r="BL219" i="1"/>
  <c r="DC89" i="1"/>
  <c r="G31" i="2"/>
  <c r="Q6" i="7"/>
  <c r="BJ185" i="1"/>
  <c r="BJ184" i="1"/>
  <c r="BL186" i="1"/>
  <c r="DD239" i="1"/>
  <c r="DE795" i="1"/>
  <c r="BJ611" i="1"/>
  <c r="BG262" i="1"/>
  <c r="BH239" i="1"/>
  <c r="BG212" i="1"/>
  <c r="DE237" i="1"/>
  <c r="BA68" i="21" s="1"/>
  <c r="BA69" i="21" s="1"/>
  <c r="DG56" i="1"/>
  <c r="DG46" i="1" s="1"/>
  <c r="BI662" i="1"/>
  <c r="BI666" i="1"/>
  <c r="BI665" i="1"/>
  <c r="DE665" i="1" s="1"/>
  <c r="BI669" i="1"/>
  <c r="DE669" i="1" s="1"/>
  <c r="BI668" i="1"/>
  <c r="BI663" i="1"/>
  <c r="BN157" i="1"/>
  <c r="DG157" i="1"/>
  <c r="BM161" i="1"/>
  <c r="BM176" i="1"/>
  <c r="BL178" i="1"/>
  <c r="DE357" i="1"/>
  <c r="DE611" i="1"/>
  <c r="DF186" i="1"/>
  <c r="BK204" i="1"/>
  <c r="DF578" i="1"/>
  <c r="BL578" i="1"/>
  <c r="DE660" i="1"/>
  <c r="BJ660" i="1"/>
  <c r="BJ154" i="1"/>
  <c r="DE358" i="1"/>
  <c r="BJ205" i="1"/>
  <c r="BJ795" i="1" s="1"/>
  <c r="BK187" i="1"/>
  <c r="BJ203" i="1"/>
  <c r="DE203" i="1"/>
  <c r="BK234" i="1"/>
  <c r="BI795" i="1"/>
  <c r="BI664" i="1"/>
  <c r="DG167" i="1"/>
  <c r="DF178" i="1"/>
  <c r="BB59" i="21" s="1"/>
  <c r="BK181" i="1"/>
  <c r="BK177" i="1"/>
  <c r="BJ237" i="1"/>
  <c r="BJ469" i="1"/>
  <c r="BD697" i="1"/>
  <c r="BE696" i="1"/>
  <c r="DC696" i="1" s="1"/>
  <c r="BO164" i="1"/>
  <c r="BP164" i="1" s="1"/>
  <c r="BN167" i="1"/>
  <c r="BC698" i="1"/>
  <c r="DF610" i="1"/>
  <c r="BJ202" i="1" l="1"/>
  <c r="DE202" i="1"/>
  <c r="DE670" i="1"/>
  <c r="BK244" i="1"/>
  <c r="BJ670" i="1"/>
  <c r="BJ242" i="1"/>
  <c r="BJ257" i="1" s="1"/>
  <c r="BJ243" i="1"/>
  <c r="BI258" i="1"/>
  <c r="DE258" i="1" s="1"/>
  <c r="DD259" i="1"/>
  <c r="BI257" i="1"/>
  <c r="DE257" i="1" s="1"/>
  <c r="AF61" i="21"/>
  <c r="AC66" i="21"/>
  <c r="AC67" i="21" s="1"/>
  <c r="AE68" i="21"/>
  <c r="AE69" i="21" s="1"/>
  <c r="DF55" i="1"/>
  <c r="AG59" i="21"/>
  <c r="AG60" i="21" s="1"/>
  <c r="AZ66" i="21"/>
  <c r="AZ67" i="21" s="1"/>
  <c r="AB67" i="21"/>
  <c r="BI238" i="1"/>
  <c r="DD405" i="1"/>
  <c r="AZ14" i="21" s="1"/>
  <c r="DE662" i="1"/>
  <c r="BN215" i="1"/>
  <c r="V13" i="18"/>
  <c r="V14" i="18" s="1"/>
  <c r="DE663" i="1"/>
  <c r="DE668" i="1"/>
  <c r="DI179" i="1"/>
  <c r="DG52" i="1"/>
  <c r="DG43" i="1" s="1"/>
  <c r="DD238" i="1"/>
  <c r="DG58" i="1"/>
  <c r="DE666" i="1"/>
  <c r="BH259" i="1"/>
  <c r="BH89" i="1" s="1"/>
  <c r="BH405" i="1" s="1"/>
  <c r="AC14" i="21" s="1"/>
  <c r="BM219" i="1"/>
  <c r="BK184" i="1"/>
  <c r="DD262" i="1"/>
  <c r="DD212" i="1"/>
  <c r="BM186" i="1"/>
  <c r="BL204" i="1"/>
  <c r="BK185" i="1"/>
  <c r="BH212" i="1"/>
  <c r="BH262" i="1"/>
  <c r="BK611" i="1"/>
  <c r="DF204" i="1"/>
  <c r="BB61" i="21" s="1"/>
  <c r="DD374" i="1"/>
  <c r="BQ164" i="1"/>
  <c r="DI164" i="1" s="1"/>
  <c r="BP167" i="1"/>
  <c r="BJ665" i="1"/>
  <c r="BJ663" i="1"/>
  <c r="BK203" i="1"/>
  <c r="BJ668" i="1"/>
  <c r="BJ666" i="1"/>
  <c r="BJ662" i="1"/>
  <c r="BJ669" i="1"/>
  <c r="DF145" i="1"/>
  <c r="DH164" i="1"/>
  <c r="BO167" i="1"/>
  <c r="BD698" i="1"/>
  <c r="DF177" i="1"/>
  <c r="BL234" i="1"/>
  <c r="DF181" i="1"/>
  <c r="BK154" i="1"/>
  <c r="BK237" i="1"/>
  <c r="BM610" i="1"/>
  <c r="DG176" i="1"/>
  <c r="DF187" i="1"/>
  <c r="BK205" i="1"/>
  <c r="BL187" i="1"/>
  <c r="DE146" i="1"/>
  <c r="DG161" i="1"/>
  <c r="BM178" i="1"/>
  <c r="BK469" i="1"/>
  <c r="DF469" i="1" s="1"/>
  <c r="DE664" i="1"/>
  <c r="BJ664" i="1"/>
  <c r="BM578" i="1"/>
  <c r="BE697" i="1"/>
  <c r="BF696" i="1"/>
  <c r="DF234" i="1"/>
  <c r="BK660" i="1"/>
  <c r="DF244" i="1"/>
  <c r="BL181" i="1"/>
  <c r="BL177" i="1"/>
  <c r="BN161" i="1"/>
  <c r="BN176" i="1"/>
  <c r="BN610" i="1" s="1"/>
  <c r="BO157" i="1"/>
  <c r="BK202" i="1" l="1"/>
  <c r="BL244" i="1"/>
  <c r="BK242" i="1"/>
  <c r="DF242" i="1" s="1"/>
  <c r="BI239" i="1"/>
  <c r="BK670" i="1"/>
  <c r="BN219" i="1"/>
  <c r="BJ238" i="1"/>
  <c r="BI259" i="1"/>
  <c r="DE259" i="1" s="1"/>
  <c r="BK243" i="1"/>
  <c r="DF243" i="1" s="1"/>
  <c r="BJ258" i="1"/>
  <c r="BJ259" i="1" s="1"/>
  <c r="BJ89" i="1" s="1"/>
  <c r="AF68" i="21"/>
  <c r="AF69" i="21" s="1"/>
  <c r="AG61" i="21"/>
  <c r="AH59" i="21"/>
  <c r="DF154" i="1"/>
  <c r="DF203" i="1"/>
  <c r="DD89" i="1"/>
  <c r="BP157" i="1"/>
  <c r="BQ157" i="1" s="1"/>
  <c r="BO215" i="1"/>
  <c r="BL202" i="1"/>
  <c r="BL185" i="1"/>
  <c r="BL184" i="1"/>
  <c r="BN186" i="1"/>
  <c r="DF237" i="1"/>
  <c r="BB68" i="21" s="1"/>
  <c r="BL611" i="1"/>
  <c r="DI56" i="1"/>
  <c r="DI46" i="1" s="1"/>
  <c r="DH56" i="1"/>
  <c r="DH46" i="1" s="1"/>
  <c r="BQ167" i="1"/>
  <c r="DH167" i="1"/>
  <c r="DF202" i="1"/>
  <c r="BL203" i="1"/>
  <c r="DF111" i="1"/>
  <c r="DE374" i="1"/>
  <c r="BE698" i="1"/>
  <c r="DF660" i="1"/>
  <c r="BL660" i="1"/>
  <c r="BN178" i="1"/>
  <c r="DF357" i="1"/>
  <c r="DC697" i="1"/>
  <c r="BK669" i="1"/>
  <c r="BK665" i="1"/>
  <c r="BF697" i="1"/>
  <c r="BG696" i="1"/>
  <c r="DG578" i="1"/>
  <c r="BN578" i="1"/>
  <c r="BM234" i="1"/>
  <c r="BK663" i="1"/>
  <c r="BK668" i="1"/>
  <c r="BL237" i="1"/>
  <c r="BL469" i="1"/>
  <c r="DF611" i="1"/>
  <c r="BK662" i="1"/>
  <c r="BL154" i="1"/>
  <c r="DF358" i="1"/>
  <c r="BK664" i="1"/>
  <c r="BO176" i="1"/>
  <c r="DH157" i="1"/>
  <c r="BO161" i="1"/>
  <c r="DG178" i="1"/>
  <c r="BC59" i="21" s="1"/>
  <c r="BM181" i="1"/>
  <c r="BM177" i="1"/>
  <c r="BL205" i="1"/>
  <c r="BL795" i="1" s="1"/>
  <c r="BM187" i="1"/>
  <c r="DG610" i="1"/>
  <c r="BK666" i="1"/>
  <c r="DE359" i="1"/>
  <c r="BM204" i="1"/>
  <c r="DG186" i="1"/>
  <c r="DG55" i="1" s="1"/>
  <c r="DF205" i="1"/>
  <c r="DF795" i="1" s="1"/>
  <c r="BK795" i="1"/>
  <c r="DG219" i="1"/>
  <c r="BK257" i="1" l="1"/>
  <c r="DF257" i="1" s="1"/>
  <c r="BI262" i="1"/>
  <c r="AD66" i="21"/>
  <c r="AD67" i="21" s="1"/>
  <c r="DE239" i="1"/>
  <c r="BJ239" i="1"/>
  <c r="BM244" i="1"/>
  <c r="BL242" i="1"/>
  <c r="BL257" i="1" s="1"/>
  <c r="BI212" i="1"/>
  <c r="BL670" i="1"/>
  <c r="BO219" i="1"/>
  <c r="DF670" i="1"/>
  <c r="BL243" i="1"/>
  <c r="BL258" i="1" s="1"/>
  <c r="BI89" i="1"/>
  <c r="BI405" i="1" s="1"/>
  <c r="AD14" i="21" s="1"/>
  <c r="BK258" i="1"/>
  <c r="DF258" i="1" s="1"/>
  <c r="BP161" i="1"/>
  <c r="BP178" i="1" s="1"/>
  <c r="BK238" i="1"/>
  <c r="AI59" i="21"/>
  <c r="AI60" i="21" s="1"/>
  <c r="AH61" i="21"/>
  <c r="AG68" i="21"/>
  <c r="AG69" i="21" s="1"/>
  <c r="AH60" i="21"/>
  <c r="BP215" i="1"/>
  <c r="BQ215" i="1" s="1"/>
  <c r="DG234" i="1"/>
  <c r="DC698" i="1"/>
  <c r="W13" i="18"/>
  <c r="W14" i="18" s="1"/>
  <c r="DI157" i="1"/>
  <c r="DI52" i="1" s="1"/>
  <c r="DI43" i="1" s="1"/>
  <c r="DI167" i="1"/>
  <c r="DH58" i="1"/>
  <c r="DH52" i="1"/>
  <c r="DH43" i="1" s="1"/>
  <c r="BP176" i="1"/>
  <c r="BP610" i="1" s="1"/>
  <c r="BM185" i="1"/>
  <c r="BN204" i="1"/>
  <c r="BO186" i="1"/>
  <c r="BM184" i="1"/>
  <c r="BM611" i="1"/>
  <c r="DG204" i="1"/>
  <c r="BC61" i="21" s="1"/>
  <c r="BM202" i="1"/>
  <c r="BQ161" i="1"/>
  <c r="DI161" i="1" s="1"/>
  <c r="BQ176" i="1"/>
  <c r="DI176" i="1" s="1"/>
  <c r="DG145" i="1"/>
  <c r="DF666" i="1"/>
  <c r="BL666" i="1"/>
  <c r="DF669" i="1"/>
  <c r="BL669" i="1"/>
  <c r="DG177" i="1"/>
  <c r="DH176" i="1"/>
  <c r="BO610" i="1"/>
  <c r="BL662" i="1"/>
  <c r="DF662" i="1"/>
  <c r="DF668" i="1"/>
  <c r="BL668" i="1"/>
  <c r="BM237" i="1"/>
  <c r="BM469" i="1"/>
  <c r="DG469" i="1" s="1"/>
  <c r="BM203" i="1"/>
  <c r="BL663" i="1"/>
  <c r="DF663" i="1"/>
  <c r="BN234" i="1"/>
  <c r="BG697" i="1"/>
  <c r="BH696" i="1"/>
  <c r="DF359" i="1"/>
  <c r="DF146" i="1"/>
  <c r="BO578" i="1"/>
  <c r="BF698" i="1"/>
  <c r="BN181" i="1"/>
  <c r="BN177" i="1"/>
  <c r="BL664" i="1"/>
  <c r="DF664" i="1"/>
  <c r="DD696" i="1"/>
  <c r="BJ405" i="1"/>
  <c r="AE14" i="21" s="1"/>
  <c r="DG181" i="1"/>
  <c r="BM154" i="1"/>
  <c r="BM205" i="1"/>
  <c r="DG187" i="1"/>
  <c r="BN187" i="1"/>
  <c r="DE212" i="1"/>
  <c r="DH161" i="1"/>
  <c r="BO178" i="1"/>
  <c r="DF665" i="1"/>
  <c r="BL665" i="1"/>
  <c r="BM660" i="1"/>
  <c r="AE66" i="21" l="1"/>
  <c r="BJ212" i="1"/>
  <c r="DE262" i="1"/>
  <c r="AE67" i="21"/>
  <c r="BJ262" i="1"/>
  <c r="BA66" i="21"/>
  <c r="BA67" i="21" s="1"/>
  <c r="BM242" i="1"/>
  <c r="DG242" i="1" s="1"/>
  <c r="DE238" i="1"/>
  <c r="BN244" i="1"/>
  <c r="DG244" i="1"/>
  <c r="BM243" i="1"/>
  <c r="DG243" i="1" s="1"/>
  <c r="BM670" i="1"/>
  <c r="BP578" i="1"/>
  <c r="BQ578" i="1" s="1"/>
  <c r="DI578" i="1" s="1"/>
  <c r="BP186" i="1"/>
  <c r="BP204" i="1" s="1"/>
  <c r="DE405" i="1"/>
  <c r="BA14" i="21" s="1"/>
  <c r="BK259" i="1"/>
  <c r="DF259" i="1" s="1"/>
  <c r="BP219" i="1"/>
  <c r="BQ219" i="1" s="1"/>
  <c r="DI219" i="1" s="1"/>
  <c r="BL238" i="1"/>
  <c r="BK239" i="1"/>
  <c r="AH68" i="21"/>
  <c r="AH69" i="21" s="1"/>
  <c r="AJ59" i="21"/>
  <c r="AI61" i="21"/>
  <c r="AK59" i="21"/>
  <c r="DG111" i="1"/>
  <c r="DG154" i="1"/>
  <c r="DD697" i="1"/>
  <c r="DI58" i="1"/>
  <c r="BN202" i="1"/>
  <c r="BN185" i="1"/>
  <c r="BN184" i="1"/>
  <c r="BQ186" i="1"/>
  <c r="DI186" i="1" s="1"/>
  <c r="DI55" i="1" s="1"/>
  <c r="BN611" i="1"/>
  <c r="DG237" i="1"/>
  <c r="DG202" i="1"/>
  <c r="BQ610" i="1"/>
  <c r="BQ178" i="1"/>
  <c r="BP177" i="1"/>
  <c r="BP181" i="1"/>
  <c r="BM665" i="1"/>
  <c r="DG665" i="1" s="1"/>
  <c r="BO234" i="1"/>
  <c r="DH610" i="1"/>
  <c r="DH578" i="1"/>
  <c r="BM668" i="1"/>
  <c r="BM662" i="1"/>
  <c r="BN154" i="1"/>
  <c r="BH697" i="1"/>
  <c r="BI696" i="1"/>
  <c r="DH219" i="1"/>
  <c r="BN203" i="1"/>
  <c r="DG203" i="1"/>
  <c r="BM669" i="1"/>
  <c r="DG660" i="1"/>
  <c r="BN660" i="1"/>
  <c r="BM664" i="1"/>
  <c r="DG205" i="1"/>
  <c r="DG795" i="1" s="1"/>
  <c r="BM795" i="1"/>
  <c r="BG698" i="1"/>
  <c r="BM663" i="1"/>
  <c r="DG357" i="1"/>
  <c r="DG358" i="1"/>
  <c r="BO181" i="1"/>
  <c r="BO177" i="1"/>
  <c r="DH178" i="1"/>
  <c r="BD59" i="21" s="1"/>
  <c r="BN205" i="1"/>
  <c r="BN795" i="1" s="1"/>
  <c r="BO187" i="1"/>
  <c r="BO204" i="1"/>
  <c r="DH186" i="1"/>
  <c r="DH55" i="1" s="1"/>
  <c r="DF374" i="1"/>
  <c r="BN237" i="1"/>
  <c r="BN469" i="1"/>
  <c r="BL259" i="1"/>
  <c r="DG611" i="1"/>
  <c r="BM666" i="1"/>
  <c r="BM258" i="1" l="1"/>
  <c r="DG258" i="1" s="1"/>
  <c r="BM257" i="1"/>
  <c r="DG257" i="1" s="1"/>
  <c r="BO244" i="1"/>
  <c r="BN243" i="1"/>
  <c r="BN242" i="1"/>
  <c r="BN257" i="1" s="1"/>
  <c r="DG670" i="1"/>
  <c r="BN670" i="1"/>
  <c r="BP234" i="1"/>
  <c r="BP187" i="1"/>
  <c r="BP205" i="1" s="1"/>
  <c r="BP795" i="1" s="1"/>
  <c r="BK89" i="1"/>
  <c r="BK405" i="1" s="1"/>
  <c r="AF14" i="21" s="1"/>
  <c r="BM238" i="1"/>
  <c r="BL239" i="1"/>
  <c r="DF239" i="1"/>
  <c r="DF262" i="1" s="1"/>
  <c r="BK212" i="1"/>
  <c r="AF66" i="21"/>
  <c r="AF67" i="21" s="1"/>
  <c r="DE89" i="1"/>
  <c r="BK262" i="1"/>
  <c r="AK61" i="21"/>
  <c r="BC68" i="21"/>
  <c r="BL89" i="1"/>
  <c r="BL405" i="1" s="1"/>
  <c r="AG14" i="21" s="1"/>
  <c r="AJ61" i="21"/>
  <c r="AL59" i="21"/>
  <c r="AL60" i="21" s="1"/>
  <c r="AK60" i="21"/>
  <c r="AJ60" i="21"/>
  <c r="AI68" i="21"/>
  <c r="AI69" i="21" s="1"/>
  <c r="X13" i="18"/>
  <c r="X14" i="18" s="1"/>
  <c r="DH234" i="1"/>
  <c r="DD698" i="1"/>
  <c r="BO185" i="1"/>
  <c r="BP185" i="1" s="1"/>
  <c r="BO184" i="1"/>
  <c r="BP184" i="1" s="1"/>
  <c r="DH204" i="1"/>
  <c r="BD61" i="21" s="1"/>
  <c r="DI610" i="1"/>
  <c r="DI145" i="1" s="1"/>
  <c r="BO611" i="1"/>
  <c r="BP611" i="1"/>
  <c r="DI178" i="1"/>
  <c r="BE59" i="21" s="1"/>
  <c r="BQ204" i="1"/>
  <c r="BQ177" i="1"/>
  <c r="DI177" i="1" s="1"/>
  <c r="BQ181" i="1"/>
  <c r="BP154" i="1"/>
  <c r="BP237" i="1"/>
  <c r="BP469" i="1"/>
  <c r="BQ234" i="1"/>
  <c r="BO202" i="1"/>
  <c r="DG359" i="1"/>
  <c r="DG669" i="1"/>
  <c r="BN669" i="1"/>
  <c r="DG668" i="1"/>
  <c r="BN668" i="1"/>
  <c r="BO237" i="1"/>
  <c r="DH177" i="1"/>
  <c r="BO660" i="1"/>
  <c r="BO203" i="1"/>
  <c r="BI697" i="1"/>
  <c r="BJ696" i="1"/>
  <c r="DG146" i="1"/>
  <c r="BN663" i="1"/>
  <c r="DG663" i="1"/>
  <c r="DG664" i="1"/>
  <c r="BN664" i="1"/>
  <c r="BH698" i="1"/>
  <c r="BO469" i="1"/>
  <c r="DH469" i="1" s="1"/>
  <c r="BO205" i="1"/>
  <c r="DH205" i="1" s="1"/>
  <c r="DH187" i="1"/>
  <c r="BO154" i="1"/>
  <c r="DH181" i="1"/>
  <c r="BN666" i="1"/>
  <c r="DG666" i="1"/>
  <c r="BN665" i="1"/>
  <c r="BM259" i="1"/>
  <c r="DE696" i="1"/>
  <c r="BN662" i="1"/>
  <c r="DG662" i="1"/>
  <c r="DH145" i="1"/>
  <c r="BO243" i="1" l="1"/>
  <c r="DH243" i="1" s="1"/>
  <c r="BN258" i="1"/>
  <c r="BN259" i="1" s="1"/>
  <c r="BO242" i="1"/>
  <c r="DH242" i="1" s="1"/>
  <c r="BO670" i="1"/>
  <c r="DH670" i="1" s="1"/>
  <c r="DH244" i="1"/>
  <c r="BQ187" i="1"/>
  <c r="DI187" i="1" s="1"/>
  <c r="BP244" i="1"/>
  <c r="BN238" i="1"/>
  <c r="BL212" i="1"/>
  <c r="BL262" i="1"/>
  <c r="DF405" i="1"/>
  <c r="DF89" i="1" s="1"/>
  <c r="AG66" i="21"/>
  <c r="AG67" i="21" s="1"/>
  <c r="DF238" i="1"/>
  <c r="BB66" i="21"/>
  <c r="DF212" i="1"/>
  <c r="BM239" i="1"/>
  <c r="BM89" i="1"/>
  <c r="BM405" i="1" s="1"/>
  <c r="AH14" i="21" s="1"/>
  <c r="AK68" i="21"/>
  <c r="AL61" i="21"/>
  <c r="AJ68" i="21"/>
  <c r="AJ69" i="21" s="1"/>
  <c r="DH111" i="1"/>
  <c r="DH154" i="1"/>
  <c r="DE697" i="1"/>
  <c r="DI234" i="1"/>
  <c r="BP660" i="1"/>
  <c r="BQ185" i="1"/>
  <c r="BQ184" i="1"/>
  <c r="DH795" i="1"/>
  <c r="DH237" i="1"/>
  <c r="DI204" i="1"/>
  <c r="BE61" i="21" s="1"/>
  <c r="BQ611" i="1"/>
  <c r="DI181" i="1"/>
  <c r="BQ154" i="1"/>
  <c r="DH203" i="1"/>
  <c r="BP203" i="1"/>
  <c r="BQ237" i="1"/>
  <c r="BQ469" i="1"/>
  <c r="DI469" i="1" s="1"/>
  <c r="BP670" i="1"/>
  <c r="DH202" i="1"/>
  <c r="BP202" i="1"/>
  <c r="BO664" i="1"/>
  <c r="BO665" i="1"/>
  <c r="BO662" i="1"/>
  <c r="BO666" i="1"/>
  <c r="BO663" i="1"/>
  <c r="BO668" i="1"/>
  <c r="DH660" i="1"/>
  <c r="BO669" i="1"/>
  <c r="DH358" i="1"/>
  <c r="BI698" i="1"/>
  <c r="DG259" i="1"/>
  <c r="BJ697" i="1"/>
  <c r="BK696" i="1"/>
  <c r="BO795" i="1"/>
  <c r="DH611" i="1"/>
  <c r="BO257" i="1" l="1"/>
  <c r="BO258" i="1"/>
  <c r="DH258" i="1" s="1"/>
  <c r="BP243" i="1"/>
  <c r="BQ205" i="1"/>
  <c r="DI205" i="1" s="1"/>
  <c r="BO238" i="1"/>
  <c r="BO239" i="1" s="1"/>
  <c r="BQ244" i="1"/>
  <c r="BN239" i="1"/>
  <c r="BP242" i="1"/>
  <c r="DG239" i="1"/>
  <c r="BB14" i="21"/>
  <c r="BM212" i="1"/>
  <c r="AH66" i="21"/>
  <c r="AH67" i="21" s="1"/>
  <c r="BM262" i="1"/>
  <c r="BN89" i="1"/>
  <c r="BN405" i="1" s="1"/>
  <c r="AI14" i="21" s="1"/>
  <c r="BD68" i="21"/>
  <c r="AK69" i="21"/>
  <c r="AL68" i="21"/>
  <c r="AL69" i="21" s="1"/>
  <c r="BQ670" i="1"/>
  <c r="BQ203" i="1"/>
  <c r="DI154" i="1"/>
  <c r="Y13" i="18"/>
  <c r="Y14" i="18" s="1"/>
  <c r="DI111" i="1"/>
  <c r="DG238" i="1"/>
  <c r="DG405" i="1"/>
  <c r="BQ202" i="1"/>
  <c r="DE698" i="1"/>
  <c r="BQ660" i="1"/>
  <c r="DI795" i="1"/>
  <c r="DI611" i="1"/>
  <c r="DI146" i="1" s="1"/>
  <c r="DI237" i="1"/>
  <c r="DG374" i="1"/>
  <c r="BQ795" i="1"/>
  <c r="BP258" i="1"/>
  <c r="DH669" i="1"/>
  <c r="BP669" i="1"/>
  <c r="DH665" i="1"/>
  <c r="BP665" i="1"/>
  <c r="DH668" i="1"/>
  <c r="BP668" i="1"/>
  <c r="DH663" i="1"/>
  <c r="BP663" i="1"/>
  <c r="DH662" i="1"/>
  <c r="BP662" i="1"/>
  <c r="DH666" i="1"/>
  <c r="BP666" i="1"/>
  <c r="DH664" i="1"/>
  <c r="BP664" i="1"/>
  <c r="BO259" i="1"/>
  <c r="BJ698" i="1"/>
  <c r="DH257" i="1"/>
  <c r="BL696" i="1"/>
  <c r="BK697" i="1"/>
  <c r="DH357" i="1"/>
  <c r="DH146" i="1"/>
  <c r="DF696" i="1"/>
  <c r="BP238" i="1" l="1"/>
  <c r="BQ242" i="1"/>
  <c r="DI242" i="1" s="1"/>
  <c r="AI66" i="21"/>
  <c r="AI67" i="21" s="1"/>
  <c r="BN262" i="1"/>
  <c r="BQ243" i="1"/>
  <c r="BQ258" i="1" s="1"/>
  <c r="DI258" i="1" s="1"/>
  <c r="DG212" i="1"/>
  <c r="BP257" i="1"/>
  <c r="BP259" i="1" s="1"/>
  <c r="DG262" i="1"/>
  <c r="BN212" i="1"/>
  <c r="DI244" i="1"/>
  <c r="BC66" i="21"/>
  <c r="DG89" i="1"/>
  <c r="BC14" i="21"/>
  <c r="AJ66" i="21"/>
  <c r="BE68" i="21"/>
  <c r="BO89" i="1"/>
  <c r="BO405" i="1" s="1"/>
  <c r="AJ14" i="21" s="1"/>
  <c r="DI660" i="1"/>
  <c r="DI202" i="1"/>
  <c r="DI670" i="1"/>
  <c r="BQ664" i="1"/>
  <c r="BQ663" i="1"/>
  <c r="BQ669" i="1"/>
  <c r="DI669" i="1" s="1"/>
  <c r="BQ666" i="1"/>
  <c r="BQ668" i="1"/>
  <c r="DI203" i="1"/>
  <c r="BQ662" i="1"/>
  <c r="BQ665" i="1"/>
  <c r="DI665" i="1" s="1"/>
  <c r="DI358" i="1"/>
  <c r="BP239" i="1"/>
  <c r="DI357" i="1"/>
  <c r="DH374" i="1"/>
  <c r="DH259" i="1"/>
  <c r="DH359" i="1"/>
  <c r="BO212" i="1"/>
  <c r="BO262" i="1"/>
  <c r="BK698" i="1"/>
  <c r="DH239" i="1"/>
  <c r="BM696" i="1"/>
  <c r="DG696" i="1" s="1"/>
  <c r="BL697" i="1"/>
  <c r="DF697" i="1"/>
  <c r="BQ257" i="1" l="1"/>
  <c r="DI243" i="1"/>
  <c r="BQ259" i="1"/>
  <c r="BQ238" i="1"/>
  <c r="AJ67" i="21"/>
  <c r="AK66" i="21"/>
  <c r="AK67" i="21" s="1"/>
  <c r="BD66" i="21"/>
  <c r="BP89" i="1"/>
  <c r="BP405" i="1" s="1"/>
  <c r="AK14" i="21" s="1"/>
  <c r="DF698" i="1"/>
  <c r="DI666" i="1"/>
  <c r="DI664" i="1"/>
  <c r="Z13" i="18"/>
  <c r="DI662" i="1"/>
  <c r="DI668" i="1"/>
  <c r="DI663" i="1"/>
  <c r="DI259" i="1"/>
  <c r="DI257" i="1"/>
  <c r="DI359" i="1"/>
  <c r="BP212" i="1"/>
  <c r="BP262" i="1"/>
  <c r="DH405" i="1"/>
  <c r="BD14" i="21" s="1"/>
  <c r="BL698" i="1"/>
  <c r="BN696" i="1"/>
  <c r="BM697" i="1"/>
  <c r="DH238" i="1"/>
  <c r="DH262" i="1"/>
  <c r="DH212" i="1"/>
  <c r="BQ89" i="1" l="1"/>
  <c r="BQ405" i="1" s="1"/>
  <c r="AL14" i="21" s="1"/>
  <c r="BQ239" i="1"/>
  <c r="AL66" i="21"/>
  <c r="AL67" i="21" s="1"/>
  <c r="AA13" i="18"/>
  <c r="AD13" i="18" s="1"/>
  <c r="Z14" i="18"/>
  <c r="DH89" i="1"/>
  <c r="DI374" i="1"/>
  <c r="DI239" i="1"/>
  <c r="DI405" i="1"/>
  <c r="BE14" i="21" s="1"/>
  <c r="BQ262" i="1"/>
  <c r="BQ212" i="1"/>
  <c r="BN697" i="1"/>
  <c r="BO696" i="1"/>
  <c r="BM698" i="1"/>
  <c r="DG697" i="1"/>
  <c r="BE66" i="21" l="1"/>
  <c r="DG698" i="1"/>
  <c r="DI89" i="1"/>
  <c r="DI262" i="1"/>
  <c r="DI238" i="1"/>
  <c r="DI212" i="1"/>
  <c r="BO697" i="1"/>
  <c r="BP696" i="1"/>
  <c r="DH696" i="1"/>
  <c r="BN698" i="1"/>
  <c r="BO698" i="1" l="1"/>
  <c r="DH697" i="1"/>
  <c r="BP697" i="1"/>
  <c r="BQ696" i="1"/>
  <c r="BQ697" i="1" s="1"/>
  <c r="DH698" i="1" l="1"/>
  <c r="DI697" i="1"/>
  <c r="DI696" i="1"/>
  <c r="BQ698" i="1"/>
  <c r="BP698" i="1"/>
  <c r="DI698" i="1" l="1"/>
  <c r="CY379" i="1" l="1"/>
  <c r="AU6" i="21" s="1"/>
  <c r="CY387" i="1" l="1"/>
  <c r="CY389" i="1" s="1"/>
  <c r="AW327" i="1"/>
  <c r="CY381" i="1"/>
  <c r="CY327" i="1" l="1"/>
  <c r="C7" i="22" s="1"/>
  <c r="C10" i="22" s="1"/>
  <c r="AU8" i="21"/>
  <c r="AU9" i="21" s="1"/>
  <c r="C33" i="2"/>
  <c r="M8" i="7"/>
  <c r="CY441" i="1"/>
  <c r="AU26" i="21" s="1"/>
  <c r="AU29" i="21" s="1"/>
  <c r="CY443" i="1"/>
  <c r="CY440" i="1"/>
  <c r="CY419" i="1"/>
  <c r="M15" i="7" s="1"/>
  <c r="AU28" i="21" l="1"/>
  <c r="AU30" i="21" s="1"/>
  <c r="F50" i="7"/>
  <c r="C41" i="2"/>
  <c r="C40" i="2" s="1"/>
  <c r="CY99" i="1"/>
  <c r="CY98" i="1"/>
  <c r="AW430" i="1"/>
  <c r="AX794" i="1" s="1"/>
  <c r="CY426" i="1"/>
  <c r="CY454" i="1"/>
  <c r="CY792" i="1"/>
  <c r="C89" i="2" s="1"/>
  <c r="CY710" i="1"/>
  <c r="CY449" i="1"/>
  <c r="CY791" i="1"/>
  <c r="CY430" i="1"/>
  <c r="M16" i="7" l="1"/>
  <c r="F52" i="7" s="1"/>
  <c r="C11" i="22"/>
  <c r="CY428" i="1"/>
  <c r="AU19" i="21"/>
  <c r="AU20" i="21" s="1"/>
  <c r="C43" i="2"/>
  <c r="C42" i="2" s="1"/>
  <c r="C88" i="2"/>
  <c r="CY451" i="1"/>
  <c r="AW793" i="1"/>
  <c r="R71" i="21" s="1"/>
  <c r="AW794" i="1"/>
  <c r="CY793" i="1"/>
  <c r="CY380" i="1"/>
  <c r="AU7" i="21" s="1"/>
  <c r="CY375" i="1"/>
  <c r="AY101" i="1"/>
  <c r="CY794" i="1"/>
  <c r="C91" i="2" s="1"/>
  <c r="CY734" i="1"/>
  <c r="F16" i="7" s="1"/>
  <c r="F40" i="7" s="1"/>
  <c r="CY483" i="1"/>
  <c r="C45" i="2" s="1"/>
  <c r="CY461" i="1"/>
  <c r="M17" i="7" l="1"/>
  <c r="M20" i="7" s="1"/>
  <c r="F51" i="7"/>
  <c r="K46" i="22"/>
  <c r="K45" i="22"/>
  <c r="C12" i="22"/>
  <c r="CY463" i="1"/>
  <c r="AU32" i="21"/>
  <c r="AU33" i="21" s="1"/>
  <c r="C90" i="2"/>
  <c r="AU71" i="21"/>
  <c r="AY97" i="1"/>
  <c r="AY102" i="1"/>
  <c r="AY96" i="1" s="1"/>
  <c r="C44" i="2"/>
  <c r="CY490" i="1"/>
  <c r="CY497" i="1"/>
  <c r="AU40" i="21" s="1"/>
  <c r="CY761" i="1"/>
  <c r="F15" i="7" l="1"/>
  <c r="CY493" i="1"/>
  <c r="AU38" i="21"/>
  <c r="AU41" i="21" s="1"/>
  <c r="C14" i="22"/>
  <c r="K21" i="22"/>
  <c r="C46" i="2"/>
  <c r="C49" i="2" s="1"/>
  <c r="M21" i="7"/>
  <c r="F54" i="7" s="1"/>
  <c r="CY129" i="1"/>
  <c r="CY130" i="1"/>
  <c r="CY500" i="1"/>
  <c r="M24" i="7" l="1"/>
  <c r="CY495" i="1"/>
  <c r="C15" i="22" s="1"/>
  <c r="K47" i="22" s="1"/>
  <c r="CY515" i="1"/>
  <c r="CY506" i="1"/>
  <c r="CY509" i="1" s="1"/>
  <c r="CY136" i="1"/>
  <c r="F31" i="7" s="1"/>
  <c r="CY521" i="1"/>
  <c r="AU44" i="21" l="1"/>
  <c r="AU47" i="21" s="1"/>
  <c r="C17" i="22"/>
  <c r="M28" i="7"/>
  <c r="F24" i="7" s="1"/>
  <c r="F18" i="7"/>
  <c r="AW839" i="1"/>
  <c r="CY789" i="1"/>
  <c r="F63" i="7" s="1"/>
  <c r="CY788" i="1"/>
  <c r="AU72" i="21" s="1"/>
  <c r="CY741" i="1"/>
  <c r="CY767" i="1" s="1"/>
  <c r="CY513" i="1"/>
  <c r="CY732" i="1"/>
  <c r="CY787" i="1"/>
  <c r="F61" i="7" s="1"/>
  <c r="CY620" i="1"/>
  <c r="CY624" i="1" s="1"/>
  <c r="CY629" i="1" s="1"/>
  <c r="CY730" i="1"/>
  <c r="CY740" i="1"/>
  <c r="CY766" i="1" s="1"/>
  <c r="CY525" i="1"/>
  <c r="K37" i="22" l="1"/>
  <c r="C20" i="22"/>
  <c r="K36" i="22"/>
  <c r="K34" i="22"/>
  <c r="AU51" i="21"/>
  <c r="AU50" i="21" s="1"/>
  <c r="F20" i="7"/>
  <c r="C41" i="22"/>
  <c r="K20" i="22" s="1"/>
  <c r="AU54" i="21"/>
  <c r="F22" i="7"/>
  <c r="F39" i="7" s="1"/>
  <c r="AU55" i="21"/>
  <c r="C43" i="22"/>
  <c r="AU48" i="21"/>
  <c r="C85" i="2"/>
  <c r="F59" i="7"/>
  <c r="C84" i="2"/>
  <c r="C52" i="2"/>
  <c r="C50" i="2" s="1"/>
  <c r="C16" i="2"/>
  <c r="P18" i="18"/>
  <c r="P19" i="18" s="1"/>
  <c r="C15" i="2"/>
  <c r="C86" i="2"/>
  <c r="P16" i="18"/>
  <c r="AC16" i="18" s="1" a="1"/>
  <c r="AC16" i="18" s="1"/>
  <c r="CY510" i="1"/>
  <c r="CY729" i="1"/>
  <c r="C47" i="22" s="1"/>
  <c r="CY728" i="1"/>
  <c r="CY529" i="1"/>
  <c r="CY759" i="1"/>
  <c r="CY838" i="1"/>
  <c r="CY731" i="1"/>
  <c r="CY840" i="1"/>
  <c r="C114" i="2" s="1"/>
  <c r="CY760" i="1"/>
  <c r="CY733" i="1"/>
  <c r="CY676" i="1"/>
  <c r="CY137" i="1"/>
  <c r="F32" i="7" s="1"/>
  <c r="C112" i="2" l="1"/>
  <c r="C51" i="22"/>
  <c r="K42" i="22"/>
  <c r="K41" i="22"/>
  <c r="K39" i="22"/>
  <c r="F26" i="7"/>
  <c r="C45" i="22"/>
  <c r="C17" i="2"/>
  <c r="C19" i="2"/>
  <c r="AC18" i="18"/>
  <c r="P21" i="18"/>
  <c r="AC21" i="18" s="1" a="1"/>
  <c r="AC21" i="18" s="1"/>
  <c r="C18" i="2"/>
  <c r="C53" i="2"/>
  <c r="CY131" i="1"/>
  <c r="CY758" i="1"/>
  <c r="CY534" i="1"/>
  <c r="CY538" i="1" s="1"/>
  <c r="AW531" i="1"/>
  <c r="CY839" i="1"/>
  <c r="C113" i="2" s="1"/>
  <c r="CY757" i="1"/>
  <c r="M53" i="7" l="1"/>
  <c r="AU63" i="21"/>
  <c r="P23" i="18"/>
  <c r="P34" i="18" s="1"/>
  <c r="AC34" i="18" s="1"/>
  <c r="CY742" i="1"/>
  <c r="CY541" i="1"/>
  <c r="M52" i="7" s="1"/>
  <c r="CY743" i="1"/>
  <c r="CZ533" i="1"/>
  <c r="CY531" i="1"/>
  <c r="F34" i="7" l="1"/>
  <c r="F42" i="7" s="1"/>
  <c r="C53" i="22"/>
  <c r="K22" i="22" s="1"/>
  <c r="F33" i="7"/>
  <c r="F41" i="7" s="1"/>
  <c r="C54" i="22"/>
  <c r="K23" i="22" s="1"/>
  <c r="C23" i="2"/>
  <c r="P25" i="18"/>
  <c r="P26" i="18" s="1"/>
  <c r="P30" i="18"/>
  <c r="AC30" i="18" s="1"/>
  <c r="P37" i="18"/>
  <c r="CY768" i="1"/>
  <c r="CY769" i="1"/>
  <c r="CY550" i="1"/>
  <c r="CY564" i="1" l="1"/>
  <c r="C29" i="22"/>
  <c r="P27" i="18"/>
  <c r="CY702" i="1"/>
  <c r="CY783" i="1"/>
  <c r="AU73" i="21" s="1"/>
  <c r="AU74" i="21" s="1"/>
  <c r="CY782" i="1"/>
  <c r="F57" i="7" s="1"/>
  <c r="CY674" i="1"/>
  <c r="CY673" i="1"/>
  <c r="CY672" i="1"/>
  <c r="CY671" i="1"/>
  <c r="K35" i="22" l="1"/>
  <c r="K40" i="22"/>
  <c r="C82" i="2"/>
  <c r="F44" i="7"/>
  <c r="F58" i="7"/>
  <c r="F60" i="7" s="1"/>
  <c r="C81" i="2"/>
  <c r="CY785" i="1"/>
  <c r="CY699" i="1"/>
  <c r="CY589" i="1"/>
  <c r="CY567" i="1"/>
  <c r="CY568" i="1" s="1"/>
  <c r="CY587" i="1" s="1"/>
  <c r="C83" i="2" l="1"/>
  <c r="F45" i="7"/>
  <c r="F62" i="7"/>
  <c r="CY841" i="1"/>
  <c r="C115" i="2" s="1"/>
  <c r="AW548" i="1"/>
  <c r="CY704" i="1"/>
  <c r="CY599" i="1"/>
  <c r="CY604" i="1" s="1"/>
  <c r="CY836" i="1"/>
  <c r="K56" i="22" s="1"/>
  <c r="CY590" i="1"/>
  <c r="CY150" i="1" l="1"/>
  <c r="C30" i="22"/>
  <c r="C110" i="2"/>
  <c r="F81" i="7"/>
  <c r="P36" i="18"/>
  <c r="P38" i="18" s="1"/>
  <c r="CY607" i="1"/>
  <c r="CY837" i="1" s="1"/>
  <c r="CY834" i="1"/>
  <c r="CY595" i="1"/>
  <c r="CY548" i="1"/>
  <c r="CY593" i="1"/>
  <c r="CY835" i="1" s="1"/>
  <c r="F80" i="7" l="1"/>
  <c r="AU77" i="21"/>
  <c r="K55" i="22"/>
  <c r="F82" i="7"/>
  <c r="AU78" i="21"/>
  <c r="K57" i="22"/>
  <c r="C109" i="2"/>
  <c r="C111" i="2"/>
  <c r="CY786" i="1"/>
  <c r="CY784" i="1"/>
  <c r="CY744" i="1"/>
  <c r="CY630" i="1" l="1"/>
  <c r="CY631" i="1" s="1"/>
  <c r="CY639" i="1" l="1"/>
  <c r="CY618" i="1"/>
  <c r="AY533" i="1" l="1"/>
  <c r="AY621" i="1" l="1"/>
  <c r="CZ526" i="1"/>
  <c r="CZ675" i="1" l="1"/>
  <c r="CZ621" i="1"/>
  <c r="CZ376" i="1" l="1"/>
  <c r="CZ375" i="1" l="1"/>
  <c r="AY725" i="1" l="1"/>
  <c r="CZ725" i="1" l="1"/>
  <c r="N74" i="7" l="1"/>
  <c r="AX739" i="1" l="1"/>
  <c r="AX765" i="1" s="1"/>
  <c r="AX741" i="1"/>
  <c r="AX767" i="1" s="1"/>
  <c r="AX730" i="1"/>
  <c r="AX740" i="1"/>
  <c r="AX766" i="1" s="1"/>
  <c r="AX728" i="1"/>
  <c r="AX734" i="1"/>
  <c r="AX761" i="1" s="1"/>
  <c r="AX738" i="1"/>
  <c r="AX764" i="1" s="1"/>
  <c r="BA544" i="1"/>
  <c r="AX757" i="1" l="1"/>
  <c r="AX731" i="1"/>
  <c r="S54" i="21"/>
  <c r="AX759" i="1"/>
  <c r="AY738" i="1"/>
  <c r="AY764" i="1" s="1"/>
  <c r="AX840" i="1"/>
  <c r="BA739" i="1"/>
  <c r="BA765" i="1" s="1"/>
  <c r="DA544" i="1"/>
  <c r="E56" i="22" s="1"/>
  <c r="AZ739" i="1"/>
  <c r="AZ765" i="1" s="1"/>
  <c r="AZ738" i="1"/>
  <c r="AY739" i="1"/>
  <c r="AY765" i="1" s="1"/>
  <c r="CZ544" i="1"/>
  <c r="D56" i="22" s="1"/>
  <c r="BA738" i="1"/>
  <c r="BB544" i="1"/>
  <c r="AZ764" i="1" l="1"/>
  <c r="BB739" i="1"/>
  <c r="BB765" i="1" s="1"/>
  <c r="BB738" i="1"/>
  <c r="BC544" i="1"/>
  <c r="BA764" i="1"/>
  <c r="CZ739" i="1"/>
  <c r="CZ765" i="1" s="1"/>
  <c r="CZ738" i="1"/>
  <c r="DA739" i="1"/>
  <c r="DA765" i="1" s="1"/>
  <c r="DA738" i="1"/>
  <c r="BC738" i="1" l="1"/>
  <c r="BD544" i="1"/>
  <c r="BC739" i="1"/>
  <c r="BC765" i="1" s="1"/>
  <c r="BB764" i="1"/>
  <c r="DA764" i="1"/>
  <c r="CZ764" i="1"/>
  <c r="DB544" i="1"/>
  <c r="F56" i="22" s="1"/>
  <c r="BC764" i="1" l="1"/>
  <c r="BD738" i="1"/>
  <c r="BD739" i="1"/>
  <c r="BD765" i="1" s="1"/>
  <c r="BE544" i="1"/>
  <c r="DC544" i="1" s="1"/>
  <c r="DB739" i="1"/>
  <c r="DB765" i="1" s="1"/>
  <c r="DB738" i="1"/>
  <c r="G56" i="22" l="1"/>
  <c r="DC738" i="1"/>
  <c r="DC739" i="1"/>
  <c r="DC765" i="1" s="1"/>
  <c r="DB764" i="1"/>
  <c r="BE738" i="1"/>
  <c r="BF544" i="1"/>
  <c r="BE739" i="1"/>
  <c r="BE765" i="1" s="1"/>
  <c r="BD764" i="1"/>
  <c r="DC764" i="1" l="1"/>
  <c r="BF739" i="1"/>
  <c r="BF765" i="1" s="1"/>
  <c r="BG544" i="1"/>
  <c r="DD544" i="1" s="1"/>
  <c r="BF738" i="1"/>
  <c r="BE764" i="1"/>
  <c r="BG738" i="1" l="1"/>
  <c r="BG739" i="1"/>
  <c r="BG765" i="1" s="1"/>
  <c r="BH544" i="1"/>
  <c r="DD739" i="1"/>
  <c r="DD765" i="1" s="1"/>
  <c r="DD738" i="1"/>
  <c r="BF764" i="1"/>
  <c r="DD764" i="1" l="1"/>
  <c r="BH739" i="1"/>
  <c r="BH765" i="1" s="1"/>
  <c r="BI544" i="1"/>
  <c r="DE544" i="1" s="1"/>
  <c r="BH738" i="1"/>
  <c r="BG764" i="1"/>
  <c r="DE738" i="1" l="1"/>
  <c r="DE739" i="1"/>
  <c r="DE765" i="1" s="1"/>
  <c r="BI739" i="1"/>
  <c r="BI765" i="1" s="1"/>
  <c r="BI738" i="1"/>
  <c r="BJ544" i="1"/>
  <c r="BH764" i="1"/>
  <c r="BI764" i="1" l="1"/>
  <c r="BJ738" i="1"/>
  <c r="BK544" i="1"/>
  <c r="DF544" i="1" s="1"/>
  <c r="BJ739" i="1"/>
  <c r="BJ765" i="1" s="1"/>
  <c r="DE764" i="1"/>
  <c r="DF739" i="1" l="1"/>
  <c r="DF765" i="1" s="1"/>
  <c r="DF738" i="1"/>
  <c r="BK739" i="1"/>
  <c r="BK765" i="1" s="1"/>
  <c r="BK738" i="1"/>
  <c r="BL544" i="1"/>
  <c r="BJ764" i="1"/>
  <c r="BL739" i="1" l="1"/>
  <c r="BL765" i="1" s="1"/>
  <c r="BM544" i="1"/>
  <c r="BL738" i="1"/>
  <c r="DF764" i="1"/>
  <c r="BK764" i="1"/>
  <c r="DG544" i="1" l="1"/>
  <c r="BL764" i="1"/>
  <c r="BM739" i="1"/>
  <c r="BM765" i="1" s="1"/>
  <c r="BM738" i="1"/>
  <c r="BN544" i="1"/>
  <c r="DG739" i="1" l="1"/>
  <c r="DG765" i="1" s="1"/>
  <c r="DG738" i="1"/>
  <c r="DG764" i="1" s="1"/>
  <c r="BN739" i="1"/>
  <c r="BN765" i="1" s="1"/>
  <c r="BN738" i="1"/>
  <c r="BO544" i="1"/>
  <c r="DH544" i="1" s="1"/>
  <c r="BM764" i="1"/>
  <c r="BO738" i="1" l="1"/>
  <c r="BP544" i="1"/>
  <c r="BO739" i="1"/>
  <c r="BO765" i="1" s="1"/>
  <c r="BN764" i="1"/>
  <c r="DH739" i="1"/>
  <c r="DH765" i="1" s="1"/>
  <c r="DH738" i="1"/>
  <c r="DH764" i="1" l="1"/>
  <c r="BO764" i="1"/>
  <c r="BP739" i="1"/>
  <c r="BP765" i="1" s="1"/>
  <c r="BP738" i="1"/>
  <c r="BQ544" i="1"/>
  <c r="DI544" i="1" s="1"/>
  <c r="BP764" i="1" l="1"/>
  <c r="BQ738" i="1"/>
  <c r="BQ739" i="1"/>
  <c r="BQ765" i="1" s="1"/>
  <c r="DI739" i="1"/>
  <c r="DI765" i="1" s="1"/>
  <c r="DI738" i="1"/>
  <c r="DI764" i="1" l="1"/>
  <c r="BQ764" i="1"/>
  <c r="CZ546" i="1"/>
  <c r="BA546" i="1" l="1"/>
  <c r="BB546" i="1" s="1"/>
  <c r="BC546" i="1" s="1"/>
  <c r="DB546" i="1" s="1"/>
  <c r="AX732" i="1"/>
  <c r="S55" i="21" s="1"/>
  <c r="AX729" i="1"/>
  <c r="DA546" i="1" l="1"/>
  <c r="BD546" i="1"/>
  <c r="AX758" i="1"/>
  <c r="AX760" i="1"/>
  <c r="AX733" i="1"/>
  <c r="CZ545" i="1"/>
  <c r="J24" i="2" l="1"/>
  <c r="J51" i="2"/>
  <c r="G36" i="7"/>
  <c r="D57" i="22"/>
  <c r="D24" i="2"/>
  <c r="D51" i="2"/>
  <c r="BA545" i="1"/>
  <c r="DA545" i="1" s="1"/>
  <c r="E57" i="22" s="1"/>
  <c r="BE546" i="1"/>
  <c r="DC546" i="1" s="1"/>
  <c r="K51" i="2" l="1"/>
  <c r="K24" i="2"/>
  <c r="H36" i="7"/>
  <c r="E51" i="2"/>
  <c r="E24" i="2"/>
  <c r="BF546" i="1"/>
  <c r="BB545" i="1"/>
  <c r="L51" i="2" s="1"/>
  <c r="L24" i="2" l="1"/>
  <c r="BG546" i="1"/>
  <c r="DD546" i="1" s="1"/>
  <c r="BC545" i="1"/>
  <c r="DB545" i="1" s="1"/>
  <c r="F57" i="22" s="1"/>
  <c r="I36" i="7" l="1"/>
  <c r="F51" i="2"/>
  <c r="F24" i="2"/>
  <c r="BH546" i="1"/>
  <c r="BD545" i="1"/>
  <c r="BI546" i="1" l="1"/>
  <c r="DE546" i="1" s="1"/>
  <c r="BE545" i="1"/>
  <c r="DC545" i="1" s="1"/>
  <c r="G57" i="22" s="1"/>
  <c r="J36" i="7" l="1"/>
  <c r="G24" i="2"/>
  <c r="G51" i="2"/>
  <c r="BF545" i="1"/>
  <c r="BJ546" i="1"/>
  <c r="BK546" i="1" l="1"/>
  <c r="DF546" i="1" s="1"/>
  <c r="BG545" i="1"/>
  <c r="BH545" i="1" l="1"/>
  <c r="DD545" i="1"/>
  <c r="BL546" i="1"/>
  <c r="BI545" i="1" l="1"/>
  <c r="BM546" i="1"/>
  <c r="DG546" i="1" s="1"/>
  <c r="BN546" i="1" l="1"/>
  <c r="BJ545" i="1"/>
  <c r="DE545" i="1"/>
  <c r="BO546" i="1" l="1"/>
  <c r="BK545" i="1"/>
  <c r="DF545" i="1" s="1"/>
  <c r="BP546" i="1" l="1"/>
  <c r="DH546" i="1"/>
  <c r="BL545" i="1"/>
  <c r="BQ546" i="1" l="1"/>
  <c r="BM545" i="1"/>
  <c r="DI546" i="1" l="1"/>
  <c r="BN545" i="1"/>
  <c r="DG545" i="1"/>
  <c r="BO545" i="1" l="1"/>
  <c r="DH545" i="1" s="1"/>
  <c r="BP545" i="1" l="1"/>
  <c r="BQ545" i="1" l="1"/>
  <c r="DI545" i="1" l="1"/>
  <c r="CZ218" i="1" l="1"/>
  <c r="CZ217" i="1"/>
  <c r="CZ215" i="1" l="1"/>
  <c r="DA215" i="1" l="1"/>
  <c r="CZ232" i="1"/>
  <c r="CZ468" i="1"/>
  <c r="CZ110" i="1" l="1"/>
  <c r="CZ233" i="1"/>
  <c r="CZ467" i="1"/>
  <c r="CZ109" i="1" s="1"/>
  <c r="BA232" i="1"/>
  <c r="DA232" i="1" s="1"/>
  <c r="DA217" i="1" l="1"/>
  <c r="DA218" i="1"/>
  <c r="DA216" i="1"/>
  <c r="AY809" i="1"/>
  <c r="I95" i="2" s="1"/>
  <c r="AY808" i="1"/>
  <c r="I94" i="2" s="1"/>
  <c r="AY112" i="1"/>
  <c r="CZ470" i="1"/>
  <c r="N18" i="7" s="1"/>
  <c r="AY113" i="1"/>
  <c r="CZ395" i="1"/>
  <c r="BB232" i="1"/>
  <c r="BA467" i="1"/>
  <c r="BA468" i="1"/>
  <c r="DA468" i="1" s="1"/>
  <c r="DA110" i="1" s="1"/>
  <c r="BA233" i="1"/>
  <c r="DA233" i="1" s="1"/>
  <c r="J36" i="2"/>
  <c r="CZ397" i="1"/>
  <c r="AV12" i="21" s="1"/>
  <c r="D8" i="22" l="1"/>
  <c r="AV11" i="21"/>
  <c r="U12" i="21"/>
  <c r="D34" i="2"/>
  <c r="N9" i="7"/>
  <c r="D36" i="2"/>
  <c r="N11" i="7"/>
  <c r="AZ809" i="1"/>
  <c r="J95" i="2" s="1"/>
  <c r="AZ808" i="1"/>
  <c r="BB468" i="1"/>
  <c r="BB467" i="1"/>
  <c r="BB233" i="1"/>
  <c r="CZ84" i="1"/>
  <c r="CZ713" i="1"/>
  <c r="BA470" i="1"/>
  <c r="BC232" i="1"/>
  <c r="CZ809" i="1"/>
  <c r="CZ113" i="1"/>
  <c r="CZ112" i="1"/>
  <c r="CZ808" i="1"/>
  <c r="DA467" i="1"/>
  <c r="DA109" i="1" s="1"/>
  <c r="CZ86" i="1"/>
  <c r="BA397" i="1"/>
  <c r="V12" i="21" s="1"/>
  <c r="DB215" i="1"/>
  <c r="K36" i="2" l="1"/>
  <c r="J94" i="2"/>
  <c r="DA397" i="1"/>
  <c r="O11" i="7" s="1"/>
  <c r="DA470" i="1"/>
  <c r="O18" i="7" s="1"/>
  <c r="D94" i="2"/>
  <c r="G65" i="7"/>
  <c r="D95" i="2"/>
  <c r="G66" i="7"/>
  <c r="DB217" i="1"/>
  <c r="DB218" i="1"/>
  <c r="BB470" i="1"/>
  <c r="CZ354" i="1"/>
  <c r="BD232" i="1"/>
  <c r="BA808" i="1"/>
  <c r="BA809" i="1"/>
  <c r="BA113" i="1"/>
  <c r="BA112" i="1"/>
  <c r="BA713" i="1"/>
  <c r="BC468" i="1"/>
  <c r="DB468" i="1" s="1"/>
  <c r="BC467" i="1"/>
  <c r="BC233" i="1"/>
  <c r="DB233" i="1" s="1"/>
  <c r="BB397" i="1"/>
  <c r="W12" i="21" s="1"/>
  <c r="DB216" i="1"/>
  <c r="DB232" i="1"/>
  <c r="DA86" i="1" l="1"/>
  <c r="K95" i="2"/>
  <c r="L36" i="2"/>
  <c r="K94" i="2"/>
  <c r="DA112" i="1"/>
  <c r="DA113" i="1"/>
  <c r="E36" i="2"/>
  <c r="AW12" i="21"/>
  <c r="DA809" i="1"/>
  <c r="E95" i="2" s="1"/>
  <c r="DA808" i="1"/>
  <c r="E94" i="2" s="1"/>
  <c r="BB713" i="1"/>
  <c r="BC470" i="1"/>
  <c r="DB110" i="1"/>
  <c r="DA713" i="1"/>
  <c r="BE232" i="1"/>
  <c r="DC232" i="1" s="1"/>
  <c r="BD468" i="1"/>
  <c r="BD467" i="1"/>
  <c r="BD233" i="1"/>
  <c r="BB809" i="1"/>
  <c r="L95" i="2" s="1"/>
  <c r="BB808" i="1"/>
  <c r="L94" i="2" s="1"/>
  <c r="BB113" i="1"/>
  <c r="BB112" i="1"/>
  <c r="BC397" i="1"/>
  <c r="X12" i="21" s="1"/>
  <c r="DC215" i="1"/>
  <c r="DB467" i="1"/>
  <c r="DB109" i="1" s="1"/>
  <c r="H66" i="7" l="1"/>
  <c r="H65" i="7"/>
  <c r="DB397" i="1"/>
  <c r="BC808" i="1"/>
  <c r="DB470" i="1"/>
  <c r="P18" i="7" s="1"/>
  <c r="F36" i="2"/>
  <c r="BC113" i="1"/>
  <c r="BC809" i="1"/>
  <c r="BC112" i="1"/>
  <c r="BC713" i="1"/>
  <c r="DC216" i="1"/>
  <c r="DC218" i="1"/>
  <c r="BD470" i="1"/>
  <c r="CZ379" i="1"/>
  <c r="AV6" i="21" s="1"/>
  <c r="BE468" i="1"/>
  <c r="DC468" i="1" s="1"/>
  <c r="DC110" i="1" s="1"/>
  <c r="BE467" i="1"/>
  <c r="BE233" i="1"/>
  <c r="DC233" i="1" s="1"/>
  <c r="BD397" i="1"/>
  <c r="Y12" i="21" s="1"/>
  <c r="BF232" i="1"/>
  <c r="DD215" i="1"/>
  <c r="DC217" i="1"/>
  <c r="DB86" i="1" l="1"/>
  <c r="P11" i="7"/>
  <c r="AX12" i="21"/>
  <c r="DB112" i="1"/>
  <c r="DB809" i="1"/>
  <c r="I66" i="7" s="1"/>
  <c r="DB113" i="1"/>
  <c r="DB713" i="1"/>
  <c r="DB808" i="1"/>
  <c r="I65" i="7" s="1"/>
  <c r="BD713" i="1"/>
  <c r="BE470" i="1"/>
  <c r="BF468" i="1"/>
  <c r="BF467" i="1"/>
  <c r="BF233" i="1"/>
  <c r="BD113" i="1"/>
  <c r="BD808" i="1"/>
  <c r="BD112" i="1"/>
  <c r="BD809" i="1"/>
  <c r="DC467" i="1"/>
  <c r="DC109" i="1" s="1"/>
  <c r="BG232" i="1"/>
  <c r="BE397" i="1"/>
  <c r="Z12" i="21" s="1"/>
  <c r="F95" i="2" l="1"/>
  <c r="F94" i="2"/>
  <c r="DC397" i="1"/>
  <c r="AY12" i="21" s="1"/>
  <c r="BE808" i="1"/>
  <c r="BE113" i="1"/>
  <c r="DC470" i="1"/>
  <c r="BE713" i="1"/>
  <c r="BE809" i="1"/>
  <c r="BE112" i="1"/>
  <c r="DD217" i="1"/>
  <c r="BG468" i="1"/>
  <c r="DD468" i="1" s="1"/>
  <c r="BG467" i="1"/>
  <c r="BG233" i="1"/>
  <c r="DD233" i="1" s="1"/>
  <c r="DD216" i="1"/>
  <c r="BF397" i="1"/>
  <c r="AA12" i="21" s="1"/>
  <c r="DD218" i="1"/>
  <c r="BF470" i="1"/>
  <c r="BH232" i="1"/>
  <c r="DE215" i="1"/>
  <c r="DD232" i="1"/>
  <c r="DC86" i="1" l="1"/>
  <c r="G36" i="2"/>
  <c r="DC713" i="1"/>
  <c r="Q11" i="7"/>
  <c r="DC808" i="1"/>
  <c r="Q18" i="7"/>
  <c r="DC113" i="1"/>
  <c r="DC809" i="1"/>
  <c r="DC112" i="1"/>
  <c r="DD110" i="1"/>
  <c r="BG470" i="1"/>
  <c r="BF809" i="1"/>
  <c r="BF113" i="1"/>
  <c r="BF808" i="1"/>
  <c r="BF112" i="1"/>
  <c r="DD467" i="1"/>
  <c r="DD109" i="1" s="1"/>
  <c r="BH468" i="1"/>
  <c r="BH467" i="1"/>
  <c r="BH233" i="1"/>
  <c r="BF713" i="1"/>
  <c r="BI232" i="1"/>
  <c r="BG397" i="1"/>
  <c r="AB12" i="21" s="1"/>
  <c r="BG809" i="1" l="1"/>
  <c r="DD397" i="1"/>
  <c r="AZ12" i="21" s="1"/>
  <c r="G95" i="2"/>
  <c r="J66" i="7"/>
  <c r="G94" i="2"/>
  <c r="J65" i="7"/>
  <c r="BG808" i="1"/>
  <c r="BG112" i="1"/>
  <c r="BG113" i="1"/>
  <c r="DD470" i="1"/>
  <c r="DE218" i="1"/>
  <c r="BI468" i="1"/>
  <c r="DE468" i="1" s="1"/>
  <c r="BI467" i="1"/>
  <c r="DE467" i="1" s="1"/>
  <c r="BI233" i="1"/>
  <c r="DE233" i="1" s="1"/>
  <c r="BH397" i="1"/>
  <c r="AC12" i="21" s="1"/>
  <c r="BG713" i="1"/>
  <c r="BH470" i="1"/>
  <c r="DE217" i="1"/>
  <c r="DE232" i="1"/>
  <c r="DE216" i="1"/>
  <c r="DF215" i="1"/>
  <c r="BJ232" i="1"/>
  <c r="DD86" i="1" l="1"/>
  <c r="DD713" i="1"/>
  <c r="DD808" i="1"/>
  <c r="DE110" i="1"/>
  <c r="DD112" i="1"/>
  <c r="DE109" i="1"/>
  <c r="DD809" i="1"/>
  <c r="DD113" i="1"/>
  <c r="BI397" i="1"/>
  <c r="AD12" i="21" s="1"/>
  <c r="BH713" i="1"/>
  <c r="BI470" i="1"/>
  <c r="BJ468" i="1"/>
  <c r="BJ467" i="1"/>
  <c r="BJ233" i="1"/>
  <c r="BH112" i="1"/>
  <c r="BH113" i="1"/>
  <c r="BH808" i="1"/>
  <c r="BH809" i="1"/>
  <c r="BK232" i="1"/>
  <c r="DF232" i="1" s="1"/>
  <c r="DE397" i="1" l="1"/>
  <c r="BA12" i="21" s="1"/>
  <c r="DF216" i="1"/>
  <c r="DF217" i="1"/>
  <c r="BJ470" i="1"/>
  <c r="BI809" i="1"/>
  <c r="BI113" i="1"/>
  <c r="BI808" i="1"/>
  <c r="BI112" i="1"/>
  <c r="DF218" i="1"/>
  <c r="DG215" i="1"/>
  <c r="BL232" i="1"/>
  <c r="DE470" i="1"/>
  <c r="BI713" i="1"/>
  <c r="BK468" i="1"/>
  <c r="DF468" i="1" s="1"/>
  <c r="DF110" i="1" s="1"/>
  <c r="BK467" i="1"/>
  <c r="BK233" i="1"/>
  <c r="BJ397" i="1"/>
  <c r="AE12" i="21" s="1"/>
  <c r="DE86" i="1" l="1"/>
  <c r="BK470" i="1"/>
  <c r="BJ713" i="1"/>
  <c r="DE713" i="1"/>
  <c r="BL468" i="1"/>
  <c r="BL467" i="1"/>
  <c r="BL233" i="1"/>
  <c r="BM232" i="1"/>
  <c r="BJ112" i="1"/>
  <c r="BJ809" i="1"/>
  <c r="BJ808" i="1"/>
  <c r="BJ113" i="1"/>
  <c r="BK397" i="1"/>
  <c r="AF12" i="21" s="1"/>
  <c r="DE809" i="1"/>
  <c r="DE808" i="1"/>
  <c r="DE113" i="1"/>
  <c r="DE112" i="1"/>
  <c r="DG217" i="1"/>
  <c r="DF233" i="1"/>
  <c r="DG218" i="1"/>
  <c r="DF467" i="1"/>
  <c r="DF109" i="1" s="1"/>
  <c r="BK809" i="1" l="1"/>
  <c r="DF397" i="1"/>
  <c r="BK112" i="1"/>
  <c r="BK713" i="1"/>
  <c r="BK113" i="1"/>
  <c r="BK808" i="1"/>
  <c r="DF470" i="1"/>
  <c r="BL397" i="1"/>
  <c r="AG12" i="21" s="1"/>
  <c r="BL470" i="1"/>
  <c r="BM468" i="1"/>
  <c r="DG468" i="1" s="1"/>
  <c r="BM467" i="1"/>
  <c r="DG467" i="1" s="1"/>
  <c r="BM233" i="1"/>
  <c r="DG233" i="1" s="1"/>
  <c r="DG232" i="1"/>
  <c r="BN232" i="1"/>
  <c r="DH215" i="1"/>
  <c r="DG216" i="1"/>
  <c r="DF86" i="1" l="1"/>
  <c r="BB12" i="21"/>
  <c r="DF113" i="1"/>
  <c r="DF713" i="1"/>
  <c r="BL713" i="1"/>
  <c r="DF809" i="1"/>
  <c r="DF112" i="1"/>
  <c r="DF808" i="1"/>
  <c r="DG110" i="1"/>
  <c r="DG109" i="1"/>
  <c r="BN468" i="1"/>
  <c r="BN467" i="1"/>
  <c r="BN233" i="1"/>
  <c r="BM397" i="1"/>
  <c r="AH12" i="21" s="1"/>
  <c r="BL809" i="1"/>
  <c r="BL808" i="1"/>
  <c r="BL113" i="1"/>
  <c r="BL112" i="1"/>
  <c r="BO232" i="1"/>
  <c r="DH232" i="1" s="1"/>
  <c r="BM470" i="1"/>
  <c r="DG470" i="1" l="1"/>
  <c r="DG397" i="1"/>
  <c r="BC12" i="21" s="1"/>
  <c r="DH218" i="1"/>
  <c r="BN470" i="1"/>
  <c r="BM809" i="1"/>
  <c r="BM808" i="1"/>
  <c r="BM113" i="1"/>
  <c r="BM112" i="1"/>
  <c r="DH217" i="1"/>
  <c r="DH216" i="1"/>
  <c r="BP232" i="1"/>
  <c r="DI215" i="1"/>
  <c r="BO468" i="1"/>
  <c r="DH468" i="1" s="1"/>
  <c r="DH110" i="1" s="1"/>
  <c r="BO467" i="1"/>
  <c r="BO233" i="1"/>
  <c r="DH233" i="1" s="1"/>
  <c r="BM713" i="1"/>
  <c r="DG113" i="1"/>
  <c r="DG808" i="1"/>
  <c r="DG112" i="1"/>
  <c r="DG809" i="1"/>
  <c r="BN397" i="1"/>
  <c r="AI12" i="21" s="1"/>
  <c r="DG86" i="1" l="1"/>
  <c r="BO470" i="1"/>
  <c r="BO397" i="1"/>
  <c r="AJ12" i="21" s="1"/>
  <c r="BP468" i="1"/>
  <c r="BP467" i="1"/>
  <c r="BP233" i="1"/>
  <c r="BN113" i="1"/>
  <c r="BN809" i="1"/>
  <c r="BN112" i="1"/>
  <c r="BN808" i="1"/>
  <c r="BQ232" i="1"/>
  <c r="DI232" i="1" s="1"/>
  <c r="BN713" i="1"/>
  <c r="DG713" i="1"/>
  <c r="DH467" i="1"/>
  <c r="DH109" i="1" s="1"/>
  <c r="DH470" i="1" l="1"/>
  <c r="DH397" i="1"/>
  <c r="BD12" i="21" s="1"/>
  <c r="BO808" i="1"/>
  <c r="BO809" i="1"/>
  <c r="BO113" i="1"/>
  <c r="BO112" i="1"/>
  <c r="DI218" i="1"/>
  <c r="DI217" i="1"/>
  <c r="DI216" i="1"/>
  <c r="BO713" i="1"/>
  <c r="BQ468" i="1"/>
  <c r="DI468" i="1" s="1"/>
  <c r="DI110" i="1" s="1"/>
  <c r="BQ467" i="1"/>
  <c r="BQ233" i="1"/>
  <c r="DH809" i="1"/>
  <c r="BP470" i="1"/>
  <c r="BP397" i="1"/>
  <c r="AK12" i="21" s="1"/>
  <c r="DH112" i="1" l="1"/>
  <c r="DH113" i="1"/>
  <c r="DH808" i="1"/>
  <c r="DH86" i="1"/>
  <c r="DH713" i="1"/>
  <c r="BQ470" i="1"/>
  <c r="DI467" i="1"/>
  <c r="DI109" i="1" s="1"/>
  <c r="BP713" i="1"/>
  <c r="BQ397" i="1"/>
  <c r="AL12" i="21" s="1"/>
  <c r="DI233" i="1"/>
  <c r="BP112" i="1"/>
  <c r="BP113" i="1"/>
  <c r="BP809" i="1"/>
  <c r="BP808" i="1"/>
  <c r="DI397" i="1" l="1"/>
  <c r="BE12" i="21" s="1"/>
  <c r="BQ808" i="1"/>
  <c r="DI470" i="1"/>
  <c r="BQ112" i="1"/>
  <c r="BQ809" i="1"/>
  <c r="BQ113" i="1"/>
  <c r="BQ713" i="1"/>
  <c r="DI86" i="1" l="1"/>
  <c r="DI113" i="1"/>
  <c r="DI713" i="1"/>
  <c r="DI809" i="1"/>
  <c r="DI808" i="1"/>
  <c r="DI112" i="1"/>
  <c r="AP269" i="1" l="1"/>
  <c r="AP319" i="1"/>
  <c r="AP377" i="1" s="1"/>
  <c r="AP81" i="1"/>
  <c r="AP322" i="1" l="1"/>
  <c r="AP391" i="1"/>
  <c r="AP325" i="1"/>
  <c r="AQ269" i="1"/>
  <c r="AQ81" i="1"/>
  <c r="AQ319" i="1"/>
  <c r="AQ322" i="1" l="1"/>
  <c r="AQ377" i="1"/>
  <c r="AQ391" i="1" s="1"/>
  <c r="AQ325" i="1"/>
  <c r="CV322" i="1"/>
  <c r="AQ4" i="1" l="1"/>
  <c r="CV377" i="1"/>
  <c r="CV391" i="1" s="1"/>
  <c r="CV325" i="1"/>
  <c r="CV269" i="1"/>
  <c r="CV81" i="1"/>
  <c r="DA376" i="1" l="1"/>
  <c r="DA375" i="1" l="1"/>
  <c r="DB376" i="1" l="1"/>
  <c r="DB375" i="1" l="1"/>
  <c r="DC376" i="1" l="1"/>
  <c r="DC375" i="1" l="1"/>
  <c r="DD376" i="1" l="1"/>
  <c r="DD375" i="1" l="1"/>
  <c r="DE376" i="1" l="1"/>
  <c r="DE375" i="1" l="1"/>
  <c r="DF376" i="1" l="1"/>
  <c r="DF375" i="1" l="1"/>
  <c r="DG376" i="1" l="1"/>
  <c r="DG375" i="1" l="1"/>
  <c r="DH376" i="1" l="1"/>
  <c r="DH375" i="1" l="1"/>
  <c r="DI376" i="1" l="1"/>
  <c r="DI375" i="1" l="1"/>
  <c r="CZ105" i="1"/>
  <c r="AX790" i="1" l="1"/>
  <c r="AX96" i="1"/>
  <c r="CZ102" i="1" l="1"/>
  <c r="CZ96" i="1" s="1"/>
  <c r="CZ103" i="1" l="1"/>
  <c r="AY790" i="1" l="1"/>
  <c r="I87" i="2" s="1"/>
  <c r="CZ106" i="1"/>
  <c r="CZ434" i="1"/>
  <c r="DA101" i="1" l="1"/>
  <c r="CZ97" i="1"/>
  <c r="CZ790" i="1"/>
  <c r="AY627" i="1"/>
  <c r="CZ572" i="1"/>
  <c r="D87" i="2" l="1"/>
  <c r="CZ627" i="1"/>
  <c r="CZ260" i="1" l="1"/>
  <c r="CZ261" i="1" s="1"/>
  <c r="CZ440" i="1" l="1"/>
  <c r="CZ710" i="1" l="1"/>
  <c r="CZ441" i="1"/>
  <c r="AV26" i="21" s="1"/>
  <c r="AV29" i="21" s="1"/>
  <c r="CZ443" i="1" l="1"/>
  <c r="AY430" i="1"/>
  <c r="AY98" i="1"/>
  <c r="AY791" i="1"/>
  <c r="I88" i="2" s="1"/>
  <c r="AV28" i="21" l="1"/>
  <c r="AV30" i="21" s="1"/>
  <c r="CZ430" i="1"/>
  <c r="CZ98" i="1"/>
  <c r="CZ791" i="1"/>
  <c r="AZ627" i="1"/>
  <c r="CZ449" i="1"/>
  <c r="CZ451" i="1" s="1"/>
  <c r="N16" i="7" l="1"/>
  <c r="G52" i="7" s="1"/>
  <c r="D11" i="22"/>
  <c r="L46" i="22" s="1"/>
  <c r="D88" i="2"/>
  <c r="CZ124" i="1" l="1"/>
  <c r="AY812" i="1"/>
  <c r="I98" i="2" s="1"/>
  <c r="CZ812" i="1" l="1"/>
  <c r="CZ125" i="1"/>
  <c r="CZ679" i="1"/>
  <c r="AY813" i="1"/>
  <c r="I99" i="2" s="1"/>
  <c r="CZ114" i="1"/>
  <c r="D98" i="2" l="1"/>
  <c r="G69" i="7"/>
  <c r="CZ813" i="1"/>
  <c r="L51" i="22" s="1"/>
  <c r="D99" i="2" l="1"/>
  <c r="G70" i="7"/>
  <c r="AZ725" i="1" l="1"/>
  <c r="DA725" i="1" l="1"/>
  <c r="W22" i="18" l="1"/>
  <c r="V22" i="18"/>
  <c r="W52" i="18" l="1"/>
  <c r="W54" i="18" s="1"/>
  <c r="V52" i="18"/>
  <c r="V54" i="18" s="1"/>
  <c r="X22" i="18"/>
  <c r="X52" i="18" l="1"/>
  <c r="X54" i="18" s="1"/>
  <c r="Y22" i="18"/>
  <c r="Y52" i="18" l="1"/>
  <c r="Y54" i="18" s="1"/>
  <c r="Z22" i="18"/>
  <c r="Z52" i="18" l="1"/>
  <c r="Z54" i="18" s="1"/>
  <c r="CZ414" i="1"/>
  <c r="AY406" i="1"/>
  <c r="AY393" i="1"/>
  <c r="CZ406" i="1" l="1"/>
  <c r="AV15" i="21" s="1"/>
  <c r="T15" i="21"/>
  <c r="CZ416" i="1"/>
  <c r="AY405" i="1"/>
  <c r="CZ405" i="1" s="1"/>
  <c r="D9" i="22" l="1"/>
  <c r="AV14" i="21"/>
  <c r="T14" i="21"/>
  <c r="AY89" i="1"/>
  <c r="CZ89" i="1"/>
  <c r="CZ408" i="1"/>
  <c r="AV17" i="21" s="1"/>
  <c r="CZ393" i="1" l="1"/>
  <c r="N14" i="7" s="1"/>
  <c r="CZ612" i="1" l="1"/>
  <c r="CZ613" i="1" l="1"/>
  <c r="CZ147" i="1"/>
  <c r="AY625" i="1"/>
  <c r="CZ625" i="1" s="1"/>
  <c r="AY703" i="1"/>
  <c r="CZ703" i="1" s="1"/>
  <c r="AY814" i="1"/>
  <c r="I100" i="2" s="1"/>
  <c r="D27" i="22" l="1"/>
  <c r="D28" i="22" s="1"/>
  <c r="AV62" i="21"/>
  <c r="Q32" i="18"/>
  <c r="Q33" i="18" s="1"/>
  <c r="N50" i="7"/>
  <c r="N51" i="7" s="1"/>
  <c r="AY816" i="1"/>
  <c r="I102" i="2" s="1"/>
  <c r="AY817" i="1"/>
  <c r="I103" i="2" s="1"/>
  <c r="CZ121" i="1"/>
  <c r="AY818" i="1"/>
  <c r="I104" i="2" s="1"/>
  <c r="AY819" i="1"/>
  <c r="AY821" i="1"/>
  <c r="AY820" i="1"/>
  <c r="AY823" i="1"/>
  <c r="I106" i="2" s="1"/>
  <c r="CZ616" i="1"/>
  <c r="CZ814" i="1"/>
  <c r="D74" i="2"/>
  <c r="D100" i="2" l="1"/>
  <c r="G71" i="7"/>
  <c r="AY826" i="1"/>
  <c r="AY827" i="1"/>
  <c r="AY822" i="1"/>
  <c r="I105" i="2" s="1"/>
  <c r="CZ685" i="1"/>
  <c r="CZ817" i="1"/>
  <c r="L52" i="22" s="1"/>
  <c r="CZ816" i="1"/>
  <c r="CZ820" i="1"/>
  <c r="CZ819" i="1"/>
  <c r="CZ116" i="1"/>
  <c r="CZ821" i="1"/>
  <c r="CZ818" i="1"/>
  <c r="CZ120" i="1"/>
  <c r="CZ824" i="1" s="1"/>
  <c r="AY815" i="1"/>
  <c r="I101" i="2" s="1"/>
  <c r="AY667" i="1"/>
  <c r="AY122" i="1"/>
  <c r="AY115" i="1"/>
  <c r="CZ598" i="1"/>
  <c r="AY825" i="1"/>
  <c r="AY824" i="1"/>
  <c r="I107" i="2" s="1"/>
  <c r="D107" i="2" l="1"/>
  <c r="G78" i="7"/>
  <c r="D102" i="2"/>
  <c r="G73" i="7"/>
  <c r="D104" i="2"/>
  <c r="G75" i="7"/>
  <c r="D103" i="2"/>
  <c r="G74" i="7"/>
  <c r="CZ826" i="1"/>
  <c r="CZ823" i="1"/>
  <c r="L53" i="22" s="1"/>
  <c r="CZ827" i="1"/>
  <c r="CZ822" i="1"/>
  <c r="CZ684" i="1"/>
  <c r="CZ667" i="1"/>
  <c r="CZ115" i="1"/>
  <c r="CZ122" i="1"/>
  <c r="CZ815" i="1"/>
  <c r="CZ825" i="1"/>
  <c r="D105" i="2" l="1"/>
  <c r="G76" i="7"/>
  <c r="D101" i="2"/>
  <c r="G72" i="7"/>
  <c r="D106" i="2"/>
  <c r="G77" i="7"/>
  <c r="CZ478" i="1"/>
  <c r="CZ480" i="1" s="1"/>
  <c r="AY472" i="1"/>
  <c r="CZ472" i="1" l="1"/>
  <c r="CZ118" i="1" s="1"/>
  <c r="T35" i="21"/>
  <c r="T36" i="21" s="1"/>
  <c r="AY465" i="1"/>
  <c r="CZ810" i="1"/>
  <c r="CZ465" i="1"/>
  <c r="CZ811" i="1"/>
  <c r="L50" i="22" s="1"/>
  <c r="CZ117" i="1"/>
  <c r="CZ711" i="1"/>
  <c r="AY810" i="1"/>
  <c r="I96" i="2" s="1"/>
  <c r="AY471" i="1"/>
  <c r="CZ471" i="1" s="1"/>
  <c r="N19" i="7" s="1"/>
  <c r="AY811" i="1"/>
  <c r="I97" i="2" s="1"/>
  <c r="AY118" i="1"/>
  <c r="AY117" i="1"/>
  <c r="AY712" i="1"/>
  <c r="D13" i="22" l="1"/>
  <c r="AV35" i="21"/>
  <c r="AV36" i="21" s="1"/>
  <c r="D97" i="2"/>
  <c r="G68" i="7"/>
  <c r="D96" i="2"/>
  <c r="G67" i="7"/>
  <c r="CZ712" i="1"/>
  <c r="CZ497" i="1" l="1"/>
  <c r="N21" i="7" l="1"/>
  <c r="AV40" i="21"/>
  <c r="CZ500" i="1"/>
  <c r="AY495" i="1"/>
  <c r="D46" i="2"/>
  <c r="CZ506" i="1" l="1"/>
  <c r="CZ509" i="1" s="1"/>
  <c r="CZ495" i="1"/>
  <c r="D15" i="22" s="1"/>
  <c r="AY839" i="1" l="1"/>
  <c r="CZ137" i="1"/>
  <c r="G32" i="7" s="1"/>
  <c r="CZ676" i="1"/>
  <c r="CZ839" i="1" l="1"/>
  <c r="D113" i="2" s="1"/>
  <c r="CZ131" i="1"/>
  <c r="AY702" i="1" l="1"/>
  <c r="CZ701" i="1"/>
  <c r="N59" i="7" l="1"/>
  <c r="N60" i="7" s="1"/>
  <c r="D37" i="22"/>
  <c r="D38" i="22" s="1"/>
  <c r="CZ671" i="1"/>
  <c r="CZ700" i="1"/>
  <c r="AY699" i="1"/>
  <c r="CZ702" i="1"/>
  <c r="CZ673" i="1"/>
  <c r="AY589" i="1" l="1"/>
  <c r="CZ589" i="1" s="1"/>
  <c r="CZ567" i="1"/>
  <c r="CZ699" i="1"/>
  <c r="CZ672" i="1"/>
  <c r="CZ599" i="1" l="1"/>
  <c r="CZ604" i="1" s="1"/>
  <c r="CZ704" i="1"/>
  <c r="AY615" i="1" l="1"/>
  <c r="AY43" i="1"/>
  <c r="AY44" i="1"/>
  <c r="AY45" i="1"/>
  <c r="AZ623" i="1" l="1"/>
  <c r="CY323" i="1" l="1"/>
  <c r="CX323" i="1"/>
  <c r="CW323" i="1"/>
  <c r="AT70" i="21" l="1"/>
  <c r="CX269" i="1"/>
  <c r="CX81" i="1"/>
  <c r="CX319" i="1"/>
  <c r="CX322" i="1" s="1"/>
  <c r="CW269" i="1"/>
  <c r="CW81" i="1"/>
  <c r="CW319" i="1"/>
  <c r="CW322" i="1" s="1"/>
  <c r="AS70" i="21"/>
  <c r="CY319" i="1"/>
  <c r="CY322" i="1" s="1"/>
  <c r="CY325" i="1"/>
  <c r="AU70" i="21"/>
  <c r="CY269" i="1"/>
  <c r="CY81" i="1"/>
  <c r="AR323" i="1"/>
  <c r="AX323" i="1"/>
  <c r="AV323" i="1"/>
  <c r="AW323" i="1"/>
  <c r="AU323" i="1"/>
  <c r="AS323" i="1"/>
  <c r="AT323" i="1"/>
  <c r="CX325" i="1" l="1"/>
  <c r="O70" i="21"/>
  <c r="AT269" i="1"/>
  <c r="AT319" i="1"/>
  <c r="AT81" i="1"/>
  <c r="AS81" i="1"/>
  <c r="AS319" i="1"/>
  <c r="AS325" i="1" s="1"/>
  <c r="N70" i="21"/>
  <c r="AS269" i="1"/>
  <c r="P70" i="21"/>
  <c r="AU81" i="1"/>
  <c r="AU269" i="1"/>
  <c r="AU319" i="1"/>
  <c r="AW269" i="1"/>
  <c r="AW319" i="1"/>
  <c r="R70" i="21"/>
  <c r="AW81" i="1"/>
  <c r="AV81" i="1"/>
  <c r="AV269" i="1"/>
  <c r="AV319" i="1"/>
  <c r="Q70" i="21"/>
  <c r="AR319" i="1"/>
  <c r="AR325" i="1" s="1"/>
  <c r="M70" i="21"/>
  <c r="AR81" i="1"/>
  <c r="AR269" i="1"/>
  <c r="C6" i="22"/>
  <c r="K44" i="22" s="1"/>
  <c r="M7" i="7"/>
  <c r="F49" i="7"/>
  <c r="C32" i="2"/>
  <c r="S70" i="21"/>
  <c r="AX81" i="1"/>
  <c r="AX269" i="1"/>
  <c r="AX319" i="1"/>
  <c r="AX325" i="1" s="1"/>
  <c r="CW325" i="1"/>
  <c r="AV322" i="1" l="1"/>
  <c r="AV377" i="1"/>
  <c r="AU322" i="1"/>
  <c r="AU377" i="1"/>
  <c r="AU391" i="1" s="1"/>
  <c r="AU325" i="1"/>
  <c r="AT322" i="1"/>
  <c r="AT377" i="1"/>
  <c r="AR377" i="1"/>
  <c r="AR322" i="1"/>
  <c r="AS322" i="1"/>
  <c r="AS377" i="1"/>
  <c r="AS391" i="1" s="1"/>
  <c r="AS4" i="1" s="1"/>
  <c r="AT325" i="1"/>
  <c r="AX322" i="1"/>
  <c r="AX377" i="1"/>
  <c r="AX391" i="1" s="1"/>
  <c r="AX4" i="1" s="1"/>
  <c r="AV325" i="1"/>
  <c r="AW325" i="1"/>
  <c r="AW377" i="1"/>
  <c r="AW391" i="1" s="1"/>
  <c r="AW322" i="1"/>
  <c r="AW4" i="1" l="1"/>
  <c r="CW377" i="1"/>
  <c r="CW391" i="1" s="1"/>
  <c r="AR391" i="1"/>
  <c r="AR4" i="1" s="1"/>
  <c r="AT391" i="1"/>
  <c r="AT4" i="1" s="1"/>
  <c r="CX377" i="1"/>
  <c r="CX391" i="1" s="1"/>
  <c r="AU4" i="1"/>
  <c r="AV391" i="1"/>
  <c r="AV4" i="1" s="1"/>
  <c r="CY377" i="1"/>
  <c r="CY391" i="1" s="1"/>
  <c r="AY323" i="1" l="1"/>
  <c r="T70" i="21" l="1"/>
  <c r="AY322" i="1"/>
  <c r="AY381" i="1"/>
  <c r="AY81" i="1"/>
  <c r="AY319" i="1"/>
  <c r="AY377" i="1" s="1"/>
  <c r="CZ377" i="1" s="1"/>
  <c r="AY269" i="1"/>
  <c r="I32" i="2" s="1"/>
  <c r="AY380" i="1" l="1"/>
  <c r="AY391" i="1"/>
  <c r="AY419" i="1"/>
  <c r="I41" i="2" s="1"/>
  <c r="AY387" i="1"/>
  <c r="CZ381" i="1"/>
  <c r="AY99" i="1"/>
  <c r="AY327" i="1"/>
  <c r="I33" i="2" s="1"/>
  <c r="T8" i="21"/>
  <c r="T9" i="21" s="1"/>
  <c r="AY515" i="1"/>
  <c r="AY325" i="1"/>
  <c r="I40" i="2" l="1"/>
  <c r="AY793" i="1"/>
  <c r="I90" i="2" s="1"/>
  <c r="AY454" i="1"/>
  <c r="I43" i="2" s="1"/>
  <c r="I42" i="2" s="1"/>
  <c r="AY794" i="1"/>
  <c r="I91" i="2" s="1"/>
  <c r="AY792" i="1"/>
  <c r="I89" i="2" s="1"/>
  <c r="AY426" i="1"/>
  <c r="CZ380" i="1"/>
  <c r="T7" i="21"/>
  <c r="AV8" i="21"/>
  <c r="AV9" i="21" s="1"/>
  <c r="CZ391" i="1"/>
  <c r="CZ327" i="1"/>
  <c r="CZ99" i="1"/>
  <c r="CZ419" i="1"/>
  <c r="CZ515" i="1"/>
  <c r="CZ129" i="1"/>
  <c r="AY787" i="1"/>
  <c r="I84" i="2" s="1"/>
  <c r="AY136" i="1"/>
  <c r="AY838" i="1" s="1"/>
  <c r="I112" i="2" s="1"/>
  <c r="AY732" i="1"/>
  <c r="AY525" i="1"/>
  <c r="AY788" i="1"/>
  <c r="I85" i="2" s="1"/>
  <c r="AY789" i="1"/>
  <c r="I86" i="2" s="1"/>
  <c r="AY785" i="1"/>
  <c r="I83" i="2" s="1"/>
  <c r="AY783" i="1"/>
  <c r="I82" i="2" s="1"/>
  <c r="AY741" i="1"/>
  <c r="AY767" i="1" s="1"/>
  <c r="AY620" i="1"/>
  <c r="AY730" i="1"/>
  <c r="AY513" i="1"/>
  <c r="I15" i="2" s="1"/>
  <c r="AY521" i="1"/>
  <c r="CZ521" i="1" s="1"/>
  <c r="CZ136" i="1"/>
  <c r="G31" i="7" s="1"/>
  <c r="T44" i="21"/>
  <c r="T47" i="21" s="1"/>
  <c r="T48" i="21" s="1"/>
  <c r="AY740" i="1"/>
  <c r="AY766" i="1" s="1"/>
  <c r="AY389" i="1"/>
  <c r="AY130" i="1"/>
  <c r="CZ387" i="1"/>
  <c r="I52" i="2" l="1"/>
  <c r="I16" i="2"/>
  <c r="N15" i="7"/>
  <c r="CZ792" i="1"/>
  <c r="D89" i="2" s="1"/>
  <c r="CZ793" i="1"/>
  <c r="CZ426" i="1"/>
  <c r="CZ454" i="1"/>
  <c r="CZ794" i="1"/>
  <c r="D91" i="2" s="1"/>
  <c r="D41" i="2"/>
  <c r="AY760" i="1"/>
  <c r="AY733" i="1"/>
  <c r="T55" i="21"/>
  <c r="T71" i="21"/>
  <c r="T54" i="21"/>
  <c r="AY759" i="1"/>
  <c r="AY840" i="1"/>
  <c r="I114" i="2" s="1"/>
  <c r="AY731" i="1"/>
  <c r="AY428" i="1"/>
  <c r="T19" i="21"/>
  <c r="T20" i="21" s="1"/>
  <c r="CZ130" i="1"/>
  <c r="CZ389" i="1"/>
  <c r="AY728" i="1"/>
  <c r="AY527" i="1"/>
  <c r="AY529" i="1" s="1"/>
  <c r="AY729" i="1"/>
  <c r="AY782" i="1"/>
  <c r="I81" i="2" s="1"/>
  <c r="CZ525" i="1"/>
  <c r="T51" i="21"/>
  <c r="T50" i="21" s="1"/>
  <c r="T73" i="21"/>
  <c r="AY461" i="1"/>
  <c r="AY734" i="1"/>
  <c r="AY761" i="1" s="1"/>
  <c r="AY483" i="1"/>
  <c r="I45" i="2" s="1"/>
  <c r="AY841" i="1"/>
  <c r="I115" i="2" s="1"/>
  <c r="AV7" i="21"/>
  <c r="N8" i="7"/>
  <c r="D33" i="2"/>
  <c r="D7" i="22"/>
  <c r="D10" i="22" s="1"/>
  <c r="T72" i="21"/>
  <c r="CZ741" i="1"/>
  <c r="CZ767" i="1" s="1"/>
  <c r="CZ740" i="1"/>
  <c r="CZ766" i="1" s="1"/>
  <c r="CZ783" i="1"/>
  <c r="CZ785" i="1"/>
  <c r="CZ787" i="1"/>
  <c r="CZ513" i="1"/>
  <c r="CZ620" i="1"/>
  <c r="CZ730" i="1"/>
  <c r="AV44" i="21"/>
  <c r="AV47" i="21" s="1"/>
  <c r="AV48" i="21" s="1"/>
  <c r="CZ732" i="1"/>
  <c r="CZ788" i="1"/>
  <c r="CZ789" i="1"/>
  <c r="I49" i="2" l="1"/>
  <c r="I50" i="2" s="1"/>
  <c r="I44" i="2"/>
  <c r="I17" i="2"/>
  <c r="I19" i="2"/>
  <c r="I18" i="2"/>
  <c r="I53" i="2"/>
  <c r="T74" i="21"/>
  <c r="G62" i="7"/>
  <c r="D83" i="2"/>
  <c r="G45" i="7"/>
  <c r="CZ529" i="1"/>
  <c r="AY534" i="1"/>
  <c r="G44" i="7"/>
  <c r="D82" i="2"/>
  <c r="G58" i="7"/>
  <c r="AV73" i="21"/>
  <c r="AV19" i="21"/>
  <c r="AV20" i="21" s="1"/>
  <c r="CZ428" i="1"/>
  <c r="CZ840" i="1"/>
  <c r="D114" i="2" s="1"/>
  <c r="CZ731" i="1"/>
  <c r="AV54" i="21"/>
  <c r="G20" i="7"/>
  <c r="G21" i="7" s="1"/>
  <c r="CZ759" i="1"/>
  <c r="D41" i="22"/>
  <c r="CZ838" i="1"/>
  <c r="D12" i="22"/>
  <c r="L45" i="22"/>
  <c r="AY758" i="1"/>
  <c r="AV71" i="21"/>
  <c r="D90" i="2"/>
  <c r="D86" i="2"/>
  <c r="G63" i="7"/>
  <c r="AY622" i="1"/>
  <c r="CZ527" i="1"/>
  <c r="D40" i="2"/>
  <c r="Q16" i="18"/>
  <c r="D85" i="2"/>
  <c r="AV72" i="21"/>
  <c r="G59" i="7"/>
  <c r="Q18" i="18"/>
  <c r="D15" i="2"/>
  <c r="T32" i="21"/>
  <c r="T33" i="21" s="1"/>
  <c r="AY463" i="1"/>
  <c r="AV55" i="21"/>
  <c r="D16" i="2"/>
  <c r="D43" i="22"/>
  <c r="D44" i="22" s="1"/>
  <c r="CZ733" i="1"/>
  <c r="D52" i="2"/>
  <c r="G22" i="7"/>
  <c r="CZ760" i="1"/>
  <c r="G61" i="7"/>
  <c r="D84" i="2"/>
  <c r="AY129" i="1"/>
  <c r="AY490" i="1"/>
  <c r="AV51" i="21"/>
  <c r="AV50" i="21" s="1"/>
  <c r="CZ728" i="1"/>
  <c r="CZ729" i="1"/>
  <c r="CZ782" i="1"/>
  <c r="AY757" i="1"/>
  <c r="CZ461" i="1"/>
  <c r="CZ734" i="1"/>
  <c r="CZ483" i="1"/>
  <c r="D43" i="2"/>
  <c r="D42" i="2" s="1"/>
  <c r="G53" i="7"/>
  <c r="G50" i="7"/>
  <c r="N17" i="7"/>
  <c r="G51" i="7"/>
  <c r="CZ323" i="1"/>
  <c r="G60" i="7" l="1"/>
  <c r="G23" i="7"/>
  <c r="G39" i="7"/>
  <c r="D42" i="22"/>
  <c r="L20" i="22"/>
  <c r="D47" i="22"/>
  <c r="D48" i="22" s="1"/>
  <c r="CZ758" i="1"/>
  <c r="D19" i="2"/>
  <c r="D17" i="2"/>
  <c r="CZ622" i="1"/>
  <c r="CZ624" i="1" s="1"/>
  <c r="AY624" i="1"/>
  <c r="AV70" i="21"/>
  <c r="CZ319" i="1"/>
  <c r="CZ325" i="1" s="1"/>
  <c r="CZ81" i="1"/>
  <c r="CZ322" i="1"/>
  <c r="CZ269" i="1"/>
  <c r="D45" i="2"/>
  <c r="CZ490" i="1"/>
  <c r="G16" i="7"/>
  <c r="CZ761" i="1"/>
  <c r="D45" i="22"/>
  <c r="D46" i="22" s="1"/>
  <c r="G26" i="7"/>
  <c r="G27" i="7" s="1"/>
  <c r="CZ757" i="1"/>
  <c r="AY493" i="1"/>
  <c r="AY510" i="1" s="1"/>
  <c r="T38" i="21"/>
  <c r="T41" i="21" s="1"/>
  <c r="L21" i="22"/>
  <c r="D14" i="22"/>
  <c r="G15" i="7"/>
  <c r="N20" i="7"/>
  <c r="D53" i="2"/>
  <c r="D18" i="2"/>
  <c r="Q21" i="18"/>
  <c r="Q19" i="18"/>
  <c r="D51" i="22"/>
  <c r="CZ841" i="1"/>
  <c r="D115" i="2" s="1"/>
  <c r="D112" i="2"/>
  <c r="AV32" i="21"/>
  <c r="AV33" i="21" s="1"/>
  <c r="CZ463" i="1"/>
  <c r="G57" i="7"/>
  <c r="D81" i="2"/>
  <c r="AV74" i="21"/>
  <c r="CZ534" i="1"/>
  <c r="CZ538" i="1" s="1"/>
  <c r="AY538" i="1"/>
  <c r="AZ533" i="1" s="1"/>
  <c r="AV38" i="21" l="1"/>
  <c r="AV41" i="21" s="1"/>
  <c r="CZ493" i="1"/>
  <c r="CZ510" i="1" s="1"/>
  <c r="T63" i="21"/>
  <c r="AY531" i="1"/>
  <c r="AY541" i="1"/>
  <c r="AY743" i="1"/>
  <c r="AY742" i="1"/>
  <c r="I23" i="2" s="1"/>
  <c r="G54" i="7"/>
  <c r="N24" i="7"/>
  <c r="G17" i="7"/>
  <c r="G40" i="7"/>
  <c r="CZ743" i="1"/>
  <c r="Q23" i="18"/>
  <c r="CZ531" i="1"/>
  <c r="N53" i="7"/>
  <c r="CZ541" i="1"/>
  <c r="CZ742" i="1"/>
  <c r="DA533" i="1"/>
  <c r="AV63" i="21"/>
  <c r="D49" i="2"/>
  <c r="D50" i="2" s="1"/>
  <c r="D44" i="2"/>
  <c r="D17" i="22"/>
  <c r="L47" i="22"/>
  <c r="D32" i="2"/>
  <c r="D6" i="22"/>
  <c r="L44" i="22" s="1"/>
  <c r="G49" i="7"/>
  <c r="N7" i="7"/>
  <c r="N52" i="7" l="1"/>
  <c r="CZ550" i="1"/>
  <c r="AZ621" i="1"/>
  <c r="AY769" i="1"/>
  <c r="AY768" i="1"/>
  <c r="AY674" i="1"/>
  <c r="AY550" i="1"/>
  <c r="AY564" i="1" s="1"/>
  <c r="AY568" i="1" s="1"/>
  <c r="Q34" i="18"/>
  <c r="Q25" i="18"/>
  <c r="Q26" i="18" s="1"/>
  <c r="Q27" i="18" s="1"/>
  <c r="Q37" i="18"/>
  <c r="Q30" i="18"/>
  <c r="G18" i="7"/>
  <c r="G19" i="7" s="1"/>
  <c r="N28" i="7"/>
  <c r="G24" i="7" s="1"/>
  <c r="G25" i="7" s="1"/>
  <c r="D54" i="22"/>
  <c r="L23" i="22" s="1"/>
  <c r="CZ769" i="1"/>
  <c r="G33" i="7"/>
  <c r="G41" i="7" s="1"/>
  <c r="L37" i="22"/>
  <c r="L34" i="22"/>
  <c r="D20" i="22"/>
  <c r="L35" i="22"/>
  <c r="L36" i="22"/>
  <c r="D23" i="2"/>
  <c r="G34" i="7"/>
  <c r="G42" i="7" s="1"/>
  <c r="CZ768" i="1"/>
  <c r="D53" i="22"/>
  <c r="L22" i="22" s="1"/>
  <c r="CZ674" i="1" l="1"/>
  <c r="CZ564" i="1"/>
  <c r="CZ568" i="1" s="1"/>
  <c r="D29" i="22"/>
  <c r="AY585" i="1"/>
  <c r="AY583" i="1" s="1"/>
  <c r="L40" i="22"/>
  <c r="L39" i="22"/>
  <c r="L42" i="22"/>
  <c r="L41" i="22"/>
  <c r="CZ583" i="1" l="1"/>
  <c r="CZ585" i="1" s="1"/>
  <c r="CZ587" i="1" s="1"/>
  <c r="AY628" i="1"/>
  <c r="AY587" i="1"/>
  <c r="AY607" i="1" l="1"/>
  <c r="AY590" i="1"/>
  <c r="AY836" i="1"/>
  <c r="I110" i="2" s="1"/>
  <c r="CZ628" i="1"/>
  <c r="CZ629" i="1" s="1"/>
  <c r="AY629" i="1"/>
  <c r="CZ590" i="1"/>
  <c r="CZ836" i="1"/>
  <c r="CZ607" i="1"/>
  <c r="D110" i="2" l="1"/>
  <c r="L56" i="22"/>
  <c r="G81" i="7"/>
  <c r="Q36" i="18"/>
  <c r="Q38" i="18" s="1"/>
  <c r="CZ595" i="1"/>
  <c r="CZ834" i="1"/>
  <c r="CZ548" i="1"/>
  <c r="CZ150" i="1"/>
  <c r="CZ593" i="1"/>
  <c r="CZ835" i="1" s="1"/>
  <c r="D30" i="22"/>
  <c r="D31" i="22" s="1"/>
  <c r="AY591" i="1"/>
  <c r="AY593" i="1"/>
  <c r="AY835" i="1" s="1"/>
  <c r="AY548" i="1"/>
  <c r="AY150" i="1"/>
  <c r="AY834" i="1"/>
  <c r="I109" i="2" s="1"/>
  <c r="AY595" i="1"/>
  <c r="CZ837" i="1"/>
  <c r="AY837" i="1"/>
  <c r="I111" i="2" s="1"/>
  <c r="T78" i="21" l="1"/>
  <c r="CZ784" i="1"/>
  <c r="CZ786" i="1"/>
  <c r="CZ744" i="1"/>
  <c r="D111" i="2"/>
  <c r="AV78" i="21"/>
  <c r="G82" i="7"/>
  <c r="L57" i="22"/>
  <c r="AY630" i="1"/>
  <c r="AY784" i="1"/>
  <c r="AY786" i="1"/>
  <c r="AY744" i="1"/>
  <c r="T77" i="21"/>
  <c r="G80" i="7"/>
  <c r="L55" i="22"/>
  <c r="D109" i="2"/>
  <c r="AV77" i="21"/>
  <c r="CZ630" i="1" l="1"/>
  <c r="CZ631" i="1" s="1"/>
  <c r="AY631" i="1"/>
  <c r="AY618" i="1" l="1"/>
  <c r="AY639" i="1"/>
  <c r="AY4" i="1" s="1"/>
  <c r="CZ639" i="1"/>
  <c r="CZ618" i="1"/>
  <c r="J34" i="2" l="1"/>
  <c r="J35" i="2"/>
  <c r="AZ813" i="1" l="1"/>
  <c r="J99" i="2" s="1"/>
  <c r="BA85" i="1"/>
  <c r="BA396" i="1" s="1"/>
  <c r="DA396" i="1" s="1"/>
  <c r="BA84" i="1"/>
  <c r="BA395" i="1" s="1"/>
  <c r="DA395" i="1" s="1"/>
  <c r="U11" i="21"/>
  <c r="K34" i="2" l="1"/>
  <c r="K35" i="2"/>
  <c r="O10" i="7"/>
  <c r="DA85" i="1"/>
  <c r="E35" i="2"/>
  <c r="U15" i="21"/>
  <c r="BB85" i="1"/>
  <c r="BB396" i="1" s="1"/>
  <c r="L35" i="2" s="1"/>
  <c r="BA124" i="1"/>
  <c r="BA125" i="1" s="1"/>
  <c r="DA125" i="1" s="1"/>
  <c r="E34" i="2"/>
  <c r="E8" i="22"/>
  <c r="DA84" i="1"/>
  <c r="AW11" i="21"/>
  <c r="O9" i="7"/>
  <c r="V11" i="21"/>
  <c r="BA406" i="1"/>
  <c r="BB84" i="1"/>
  <c r="BB395" i="1" s="1"/>
  <c r="L34" i="2" s="1"/>
  <c r="AZ812" i="1"/>
  <c r="J98" i="2" s="1"/>
  <c r="AZ92" i="1"/>
  <c r="AZ93" i="1" l="1"/>
  <c r="V15" i="21"/>
  <c r="BA408" i="1"/>
  <c r="DA408" i="1" s="1"/>
  <c r="BC85" i="1"/>
  <c r="BC396" i="1" s="1"/>
  <c r="AZ393" i="1"/>
  <c r="U17" i="21"/>
  <c r="BA679" i="1"/>
  <c r="DA124" i="1"/>
  <c r="BA813" i="1"/>
  <c r="BA812" i="1"/>
  <c r="BB124" i="1"/>
  <c r="W11" i="21"/>
  <c r="BB406" i="1"/>
  <c r="BC84" i="1"/>
  <c r="BC395" i="1" s="1"/>
  <c r="DB395" i="1" s="1"/>
  <c r="DA406" i="1"/>
  <c r="AW15" i="21" s="1"/>
  <c r="BA92" i="1"/>
  <c r="K99" i="2" l="1"/>
  <c r="K98" i="2"/>
  <c r="AW17" i="21"/>
  <c r="DA393" i="1"/>
  <c r="BB408" i="1"/>
  <c r="W15" i="21"/>
  <c r="BB812" i="1"/>
  <c r="L98" i="2" s="1"/>
  <c r="P9" i="7"/>
  <c r="DB84" i="1"/>
  <c r="F34" i="2"/>
  <c r="DA92" i="1"/>
  <c r="AZ354" i="1"/>
  <c r="AZ379" i="1"/>
  <c r="BA296" i="1"/>
  <c r="U22" i="21"/>
  <c r="DA679" i="1"/>
  <c r="BB679" i="1"/>
  <c r="BD85" i="1"/>
  <c r="BD396" i="1" s="1"/>
  <c r="DB396" i="1"/>
  <c r="BC406" i="1"/>
  <c r="BD84" i="1"/>
  <c r="BD395" i="1" s="1"/>
  <c r="X11" i="21"/>
  <c r="BB125" i="1"/>
  <c r="BB813" i="1" s="1"/>
  <c r="L99" i="2" s="1"/>
  <c r="AZ418" i="1"/>
  <c r="BA393" i="1"/>
  <c r="V17" i="21"/>
  <c r="BA414" i="1"/>
  <c r="DA414" i="1" s="1"/>
  <c r="DA813" i="1"/>
  <c r="DA812" i="1"/>
  <c r="DA114" i="1"/>
  <c r="BB92" i="1"/>
  <c r="BA116" i="1"/>
  <c r="F8" i="22" l="1"/>
  <c r="BC124" i="1"/>
  <c r="BC125" i="1" s="1"/>
  <c r="DB125" i="1" s="1"/>
  <c r="E98" i="2"/>
  <c r="H69" i="7"/>
  <c r="U6" i="21"/>
  <c r="BD406" i="1"/>
  <c r="Y11" i="21"/>
  <c r="BE84" i="1"/>
  <c r="BE395" i="1" s="1"/>
  <c r="DC395" i="1" s="1"/>
  <c r="DB85" i="1"/>
  <c r="F35" i="2"/>
  <c r="P10" i="7"/>
  <c r="AX11" i="21"/>
  <c r="BA321" i="1"/>
  <c r="DB321" i="1" s="1"/>
  <c r="BA379" i="1"/>
  <c r="DA379" i="1" s="1"/>
  <c r="BA354" i="1"/>
  <c r="DA354" i="1" s="1"/>
  <c r="V22" i="21"/>
  <c r="BA93" i="1"/>
  <c r="BA432" i="1" s="1"/>
  <c r="DA432" i="1" s="1"/>
  <c r="DA416" i="1"/>
  <c r="BE85" i="1"/>
  <c r="BE396" i="1" s="1"/>
  <c r="DC396" i="1" s="1"/>
  <c r="DA321" i="1"/>
  <c r="BB414" i="1"/>
  <c r="W17" i="21"/>
  <c r="BB393" i="1"/>
  <c r="O14" i="7"/>
  <c r="E99" i="2"/>
  <c r="H70" i="7"/>
  <c r="M51" i="22"/>
  <c r="BC408" i="1"/>
  <c r="DB408" i="1" s="1"/>
  <c r="X15" i="21"/>
  <c r="BA416" i="1"/>
  <c r="BA418" i="1" s="1"/>
  <c r="DA296" i="1"/>
  <c r="DB406" i="1"/>
  <c r="AX15" i="21" s="1"/>
  <c r="AW22" i="21"/>
  <c r="BA449" i="1"/>
  <c r="BC92" i="1"/>
  <c r="BB116" i="1"/>
  <c r="BC813" i="1" l="1"/>
  <c r="BC812" i="1"/>
  <c r="DB124" i="1"/>
  <c r="BC679" i="1"/>
  <c r="BD124" i="1"/>
  <c r="BD125" i="1" s="1"/>
  <c r="BE124" i="1" s="1"/>
  <c r="BE125" i="1" s="1"/>
  <c r="DC125" i="1" s="1"/>
  <c r="AW6" i="21"/>
  <c r="DA93" i="1"/>
  <c r="BA451" i="1"/>
  <c r="BA443" i="1"/>
  <c r="BA709" i="1"/>
  <c r="BB416" i="1"/>
  <c r="BB418" i="1" s="1"/>
  <c r="BA708" i="1"/>
  <c r="DA708" i="1" s="1"/>
  <c r="BB296" i="1"/>
  <c r="BB321" i="1" s="1"/>
  <c r="DC321" i="1" s="1"/>
  <c r="Z11" i="21"/>
  <c r="BF84" i="1"/>
  <c r="BF395" i="1" s="1"/>
  <c r="BE406" i="1"/>
  <c r="DC406" i="1" s="1"/>
  <c r="AY15" i="21" s="1"/>
  <c r="DB92" i="1"/>
  <c r="G35" i="2"/>
  <c r="DC85" i="1"/>
  <c r="Q10" i="7"/>
  <c r="AY11" i="21"/>
  <c r="G34" i="2"/>
  <c r="Q9" i="7"/>
  <c r="DC84" i="1"/>
  <c r="G8" i="22"/>
  <c r="Y15" i="21"/>
  <c r="BD408" i="1"/>
  <c r="AX17" i="21"/>
  <c r="DB393" i="1"/>
  <c r="DB813" i="1"/>
  <c r="W22" i="21"/>
  <c r="BB93" i="1"/>
  <c r="BB432" i="1" s="1"/>
  <c r="X17" i="21"/>
  <c r="BC414" i="1"/>
  <c r="BC393" i="1"/>
  <c r="BF85" i="1"/>
  <c r="BF396" i="1" s="1"/>
  <c r="V6" i="21"/>
  <c r="BC116" i="1"/>
  <c r="BD92" i="1"/>
  <c r="DB812" i="1" l="1"/>
  <c r="DB114" i="1"/>
  <c r="DB679" i="1"/>
  <c r="DC124" i="1"/>
  <c r="DC812" i="1" s="1"/>
  <c r="BD812" i="1"/>
  <c r="BD679" i="1"/>
  <c r="BD813" i="1"/>
  <c r="BE812" i="1"/>
  <c r="BE813" i="1"/>
  <c r="N51" i="22"/>
  <c r="I70" i="7"/>
  <c r="F99" i="2"/>
  <c r="BG84" i="1"/>
  <c r="BG395" i="1" s="1"/>
  <c r="BF406" i="1"/>
  <c r="AA11" i="21"/>
  <c r="BA441" i="1"/>
  <c r="BA430" i="1"/>
  <c r="BA453" i="1"/>
  <c r="BA98" i="1"/>
  <c r="V28" i="21"/>
  <c r="X22" i="21"/>
  <c r="BC93" i="1"/>
  <c r="BC432" i="1" s="1"/>
  <c r="DB432" i="1" s="1"/>
  <c r="BE408" i="1"/>
  <c r="DC408" i="1" s="1"/>
  <c r="Z15" i="21"/>
  <c r="I69" i="7"/>
  <c r="F98" i="2"/>
  <c r="BB708" i="1"/>
  <c r="BB709" i="1"/>
  <c r="P14" i="7"/>
  <c r="BF124" i="1"/>
  <c r="BF125" i="1" s="1"/>
  <c r="BG124" i="1" s="1"/>
  <c r="BG85" i="1"/>
  <c r="BG396" i="1" s="1"/>
  <c r="DB414" i="1"/>
  <c r="BC416" i="1"/>
  <c r="BC418" i="1" s="1"/>
  <c r="Y17" i="21"/>
  <c r="BD393" i="1"/>
  <c r="BD414" i="1"/>
  <c r="BC296" i="1"/>
  <c r="BC321" i="1" s="1"/>
  <c r="BB379" i="1"/>
  <c r="BB354" i="1"/>
  <c r="DA709" i="1"/>
  <c r="BC449" i="1"/>
  <c r="AX22" i="21"/>
  <c r="BD116" i="1"/>
  <c r="BE92" i="1"/>
  <c r="DC813" i="1" l="1"/>
  <c r="DC114" i="1"/>
  <c r="BE679" i="1"/>
  <c r="DD321" i="1"/>
  <c r="G98" i="2"/>
  <c r="J69" i="7"/>
  <c r="AY17" i="21"/>
  <c r="DC393" i="1"/>
  <c r="DB416" i="1"/>
  <c r="DD124" i="1"/>
  <c r="BG812" i="1"/>
  <c r="DB93" i="1"/>
  <c r="DC92" i="1"/>
  <c r="BG125" i="1"/>
  <c r="DD125" i="1" s="1"/>
  <c r="DB296" i="1"/>
  <c r="BD416" i="1"/>
  <c r="BD418" i="1" s="1"/>
  <c r="BF813" i="1"/>
  <c r="BF812" i="1"/>
  <c r="V26" i="21"/>
  <c r="AA15" i="21"/>
  <c r="BF408" i="1"/>
  <c r="DD396" i="1"/>
  <c r="BH85" i="1"/>
  <c r="BH396" i="1" s="1"/>
  <c r="BC451" i="1"/>
  <c r="BC443" i="1"/>
  <c r="BC379" i="1"/>
  <c r="BC354" i="1"/>
  <c r="DB354" i="1" s="1"/>
  <c r="BD296" i="1"/>
  <c r="O51" i="22"/>
  <c r="J70" i="7"/>
  <c r="G99" i="2"/>
  <c r="BH84" i="1"/>
  <c r="BH395" i="1" s="1"/>
  <c r="AB11" i="21"/>
  <c r="BG406" i="1"/>
  <c r="BD93" i="1"/>
  <c r="BD432" i="1" s="1"/>
  <c r="Y22" i="21"/>
  <c r="BC708" i="1"/>
  <c r="DB708" i="1" s="1"/>
  <c r="W6" i="21"/>
  <c r="BC709" i="1"/>
  <c r="BE414" i="1"/>
  <c r="DC414" i="1" s="1"/>
  <c r="BE393" i="1"/>
  <c r="Z17" i="21"/>
  <c r="DD395" i="1"/>
  <c r="BF92" i="1"/>
  <c r="AY22" i="21"/>
  <c r="BE116" i="1"/>
  <c r="BH124" i="1" l="1"/>
  <c r="BF679" i="1"/>
  <c r="DC679" i="1"/>
  <c r="DD813" i="1"/>
  <c r="BG813" i="1"/>
  <c r="BI84" i="1"/>
  <c r="BI395" i="1" s="1"/>
  <c r="AC11" i="21"/>
  <c r="BH406" i="1"/>
  <c r="X6" i="21"/>
  <c r="BG679" i="1"/>
  <c r="BC430" i="1"/>
  <c r="BC441" i="1"/>
  <c r="X28" i="21"/>
  <c r="BC98" i="1"/>
  <c r="BC453" i="1"/>
  <c r="DD812" i="1"/>
  <c r="DD114" i="1"/>
  <c r="DD85" i="1"/>
  <c r="DB709" i="1"/>
  <c r="BD709" i="1"/>
  <c r="BE296" i="1"/>
  <c r="DC296" i="1" s="1"/>
  <c r="BD354" i="1"/>
  <c r="BD379" i="1"/>
  <c r="Z22" i="21"/>
  <c r="BE93" i="1"/>
  <c r="BE432" i="1" s="1"/>
  <c r="DC432" i="1" s="1"/>
  <c r="BD708" i="1"/>
  <c r="BF414" i="1"/>
  <c r="AA17" i="21"/>
  <c r="BF393" i="1"/>
  <c r="DC416" i="1"/>
  <c r="Q14" i="7"/>
  <c r="BH125" i="1"/>
  <c r="BH813" i="1" s="1"/>
  <c r="BH812" i="1"/>
  <c r="DD84" i="1"/>
  <c r="AZ11" i="21"/>
  <c r="BE416" i="1"/>
  <c r="BE418" i="1" s="1"/>
  <c r="DB379" i="1"/>
  <c r="AB15" i="21"/>
  <c r="BG408" i="1"/>
  <c r="DD408" i="1" s="1"/>
  <c r="BI85" i="1"/>
  <c r="BI396" i="1" s="1"/>
  <c r="DD406" i="1"/>
  <c r="AZ15" i="21" s="1"/>
  <c r="BD321" i="1"/>
  <c r="BE449" i="1"/>
  <c r="BF116" i="1"/>
  <c r="BG92" i="1"/>
  <c r="DC93" i="1" l="1"/>
  <c r="BE709" i="1"/>
  <c r="DC709" i="1" s="1"/>
  <c r="BH408" i="1"/>
  <c r="AC15" i="21"/>
  <c r="BE321" i="1"/>
  <c r="DF321" i="1" s="1"/>
  <c r="DE321" i="1"/>
  <c r="X26" i="21"/>
  <c r="DE395" i="1"/>
  <c r="BJ84" i="1"/>
  <c r="BJ395" i="1" s="1"/>
  <c r="BI406" i="1"/>
  <c r="DE406" i="1" s="1"/>
  <c r="BA15" i="21" s="1"/>
  <c r="AD11" i="21"/>
  <c r="BE451" i="1"/>
  <c r="BE443" i="1"/>
  <c r="AB17" i="21"/>
  <c r="BG393" i="1"/>
  <c r="BG414" i="1"/>
  <c r="DD414" i="1" s="1"/>
  <c r="BE708" i="1"/>
  <c r="BE379" i="1"/>
  <c r="DC379" i="1" s="1"/>
  <c r="BF296" i="1"/>
  <c r="BE354" i="1"/>
  <c r="DC354" i="1" s="1"/>
  <c r="AA22" i="21"/>
  <c r="BF93" i="1"/>
  <c r="BF432" i="1" s="1"/>
  <c r="BI124" i="1"/>
  <c r="DD92" i="1"/>
  <c r="AX6" i="21"/>
  <c r="AZ17" i="21"/>
  <c r="DD393" i="1"/>
  <c r="Y6" i="21"/>
  <c r="DD679" i="1"/>
  <c r="BH679" i="1"/>
  <c r="DE396" i="1"/>
  <c r="BJ85" i="1"/>
  <c r="BJ396" i="1" s="1"/>
  <c r="BF416" i="1"/>
  <c r="BF418" i="1" s="1"/>
  <c r="BH92" i="1"/>
  <c r="BG116" i="1"/>
  <c r="BF708" i="1" l="1"/>
  <c r="BE430" i="1"/>
  <c r="BE453" i="1"/>
  <c r="BE98" i="1"/>
  <c r="Z28" i="21"/>
  <c r="BE441" i="1"/>
  <c r="DD416" i="1"/>
  <c r="DE124" i="1"/>
  <c r="BI812" i="1"/>
  <c r="BK84" i="1"/>
  <c r="BK395" i="1" s="1"/>
  <c r="DF395" i="1" s="1"/>
  <c r="BJ406" i="1"/>
  <c r="AE11" i="21"/>
  <c r="AY6" i="21"/>
  <c r="BF321" i="1"/>
  <c r="DG321" i="1" s="1"/>
  <c r="DC708" i="1"/>
  <c r="BA11" i="21"/>
  <c r="DE84" i="1"/>
  <c r="BF709" i="1"/>
  <c r="BK85" i="1"/>
  <c r="BK396" i="1" s="1"/>
  <c r="DF396" i="1" s="1"/>
  <c r="BI679" i="1"/>
  <c r="BI125" i="1"/>
  <c r="DE125" i="1" s="1"/>
  <c r="AB22" i="21"/>
  <c r="BG93" i="1"/>
  <c r="BG432" i="1" s="1"/>
  <c r="DE85" i="1"/>
  <c r="BG296" i="1"/>
  <c r="BF354" i="1"/>
  <c r="BF379" i="1"/>
  <c r="BG416" i="1"/>
  <c r="BG418" i="1" s="1"/>
  <c r="BH393" i="1"/>
  <c r="AC17" i="21"/>
  <c r="BH414" i="1"/>
  <c r="Z6" i="21"/>
  <c r="AD15" i="21"/>
  <c r="BI408" i="1"/>
  <c r="BG449" i="1"/>
  <c r="AZ22" i="21"/>
  <c r="BH116" i="1"/>
  <c r="BI92" i="1"/>
  <c r="BJ124" i="1" l="1"/>
  <c r="BJ812" i="1" s="1"/>
  <c r="DE813" i="1"/>
  <c r="BI393" i="1"/>
  <c r="BI414" i="1"/>
  <c r="DE414" i="1" s="1"/>
  <c r="AD17" i="21"/>
  <c r="BG354" i="1"/>
  <c r="DD354" i="1" s="1"/>
  <c r="BG379" i="1"/>
  <c r="BH296" i="1"/>
  <c r="BG709" i="1"/>
  <c r="BH416" i="1"/>
  <c r="BH418" i="1" s="1"/>
  <c r="BL85" i="1"/>
  <c r="BL396" i="1" s="1"/>
  <c r="BJ408" i="1"/>
  <c r="AE15" i="21"/>
  <c r="BG443" i="1"/>
  <c r="BG451" i="1"/>
  <c r="DE679" i="1"/>
  <c r="DF84" i="1"/>
  <c r="BB11" i="21"/>
  <c r="BI813" i="1"/>
  <c r="BG708" i="1"/>
  <c r="DD708" i="1" s="1"/>
  <c r="DF85" i="1"/>
  <c r="BG321" i="1"/>
  <c r="DH321" i="1" s="1"/>
  <c r="Z26" i="21"/>
  <c r="DE92" i="1"/>
  <c r="DD296" i="1"/>
  <c r="BL84" i="1"/>
  <c r="BL395" i="1" s="1"/>
  <c r="AF11" i="21"/>
  <c r="BK406" i="1"/>
  <c r="DE812" i="1"/>
  <c r="DE114" i="1"/>
  <c r="AC22" i="21"/>
  <c r="BH93" i="1"/>
  <c r="BH432" i="1" s="1"/>
  <c r="DE408" i="1"/>
  <c r="AA6" i="21"/>
  <c r="DD432" i="1"/>
  <c r="BI116" i="1"/>
  <c r="BJ92" i="1"/>
  <c r="BJ125" i="1" l="1"/>
  <c r="BK124" i="1" s="1"/>
  <c r="BK125" i="1" s="1"/>
  <c r="DF125" i="1" s="1"/>
  <c r="BJ679" i="1"/>
  <c r="DD93" i="1"/>
  <c r="AF15" i="21"/>
  <c r="BK408" i="1"/>
  <c r="DF408" i="1" s="1"/>
  <c r="BK679" i="1"/>
  <c r="DE416" i="1"/>
  <c r="BL124" i="1"/>
  <c r="BL125" i="1" s="1"/>
  <c r="BL813" i="1" s="1"/>
  <c r="BI416" i="1"/>
  <c r="BI418" i="1" s="1"/>
  <c r="AD22" i="21"/>
  <c r="BI93" i="1"/>
  <c r="BI432" i="1" s="1"/>
  <c r="DE393" i="1"/>
  <c r="BA17" i="21"/>
  <c r="BG98" i="1"/>
  <c r="BG453" i="1"/>
  <c r="BG441" i="1"/>
  <c r="AB28" i="21"/>
  <c r="BG430" i="1"/>
  <c r="BM84" i="1"/>
  <c r="BM395" i="1" s="1"/>
  <c r="DG395" i="1" s="1"/>
  <c r="AG11" i="21"/>
  <c r="BL406" i="1"/>
  <c r="BH321" i="1"/>
  <c r="BM85" i="1"/>
  <c r="BM396" i="1" s="1"/>
  <c r="AE17" i="21"/>
  <c r="BJ414" i="1"/>
  <c r="BJ393" i="1"/>
  <c r="BI296" i="1"/>
  <c r="DE296" i="1" s="1"/>
  <c r="BH379" i="1"/>
  <c r="BH354" i="1"/>
  <c r="DF124" i="1"/>
  <c r="DF813" i="1" s="1"/>
  <c r="BK812" i="1"/>
  <c r="DF406" i="1"/>
  <c r="BB15" i="21" s="1"/>
  <c r="BH709" i="1"/>
  <c r="AB6" i="21"/>
  <c r="DD379" i="1"/>
  <c r="BH708" i="1"/>
  <c r="DD709" i="1"/>
  <c r="BI449" i="1"/>
  <c r="BA22" i="21"/>
  <c r="BJ93" i="1"/>
  <c r="BJ432" i="1" s="1"/>
  <c r="BJ116" i="1"/>
  <c r="BK92" i="1"/>
  <c r="BK813" i="1" l="1"/>
  <c r="BJ813" i="1"/>
  <c r="BI321" i="1"/>
  <c r="DI321" i="1"/>
  <c r="BN85" i="1"/>
  <c r="BN396" i="1" s="1"/>
  <c r="DE432" i="1"/>
  <c r="BJ416" i="1"/>
  <c r="BJ418" i="1" s="1"/>
  <c r="BN84" i="1"/>
  <c r="BN395" i="1" s="1"/>
  <c r="BM406" i="1"/>
  <c r="DG406" i="1" s="1"/>
  <c r="BC15" i="21" s="1"/>
  <c r="AH11" i="21"/>
  <c r="BM124" i="1"/>
  <c r="BM125" i="1" s="1"/>
  <c r="DG125" i="1" s="1"/>
  <c r="AG15" i="21"/>
  <c r="BL408" i="1"/>
  <c r="AC6" i="21"/>
  <c r="DG396" i="1"/>
  <c r="BC11" i="21" s="1"/>
  <c r="DF679" i="1"/>
  <c r="BL679" i="1"/>
  <c r="DF92" i="1"/>
  <c r="DG84" i="1"/>
  <c r="BI709" i="1"/>
  <c r="DF114" i="1"/>
  <c r="DF812" i="1"/>
  <c r="AB26" i="21"/>
  <c r="BI443" i="1"/>
  <c r="BI451" i="1"/>
  <c r="BB17" i="21"/>
  <c r="DF393" i="1"/>
  <c r="BI708" i="1"/>
  <c r="AZ6" i="21"/>
  <c r="BI379" i="1"/>
  <c r="BI354" i="1"/>
  <c r="DE354" i="1" s="1"/>
  <c r="BJ296" i="1"/>
  <c r="BL812" i="1"/>
  <c r="BK393" i="1"/>
  <c r="BK414" i="1"/>
  <c r="DF414" i="1" s="1"/>
  <c r="AF17" i="21"/>
  <c r="BK93" i="1"/>
  <c r="BK432" i="1" s="1"/>
  <c r="BL92" i="1"/>
  <c r="BK116" i="1"/>
  <c r="DG85" i="1" l="1"/>
  <c r="BL414" i="1"/>
  <c r="AG17" i="21"/>
  <c r="BL393" i="1"/>
  <c r="BN124" i="1"/>
  <c r="BN125" i="1" s="1"/>
  <c r="BJ708" i="1"/>
  <c r="BK416" i="1"/>
  <c r="BK418" i="1" s="1"/>
  <c r="DE708" i="1"/>
  <c r="BM408" i="1"/>
  <c r="AH15" i="21"/>
  <c r="AI11" i="21"/>
  <c r="BN406" i="1"/>
  <c r="BO84" i="1"/>
  <c r="BO395" i="1" s="1"/>
  <c r="DH395" i="1" s="1"/>
  <c r="BJ354" i="1"/>
  <c r="BJ379" i="1"/>
  <c r="BK296" i="1"/>
  <c r="DF296" i="1" s="1"/>
  <c r="BJ321" i="1"/>
  <c r="DE709" i="1"/>
  <c r="BJ709" i="1"/>
  <c r="DE93" i="1"/>
  <c r="DE379" i="1"/>
  <c r="AD6" i="21"/>
  <c r="DF416" i="1"/>
  <c r="BI441" i="1"/>
  <c r="BI453" i="1"/>
  <c r="BI430" i="1"/>
  <c r="AD28" i="21"/>
  <c r="BI98" i="1"/>
  <c r="DF432" i="1"/>
  <c r="BM679" i="1"/>
  <c r="DG124" i="1"/>
  <c r="BM812" i="1"/>
  <c r="BM813" i="1"/>
  <c r="BO85" i="1"/>
  <c r="BO396" i="1" s="1"/>
  <c r="DH396" i="1" s="1"/>
  <c r="BK449" i="1"/>
  <c r="BL93" i="1"/>
  <c r="BL432" i="1" s="1"/>
  <c r="BM92" i="1"/>
  <c r="BL116" i="1"/>
  <c r="DH85" i="1" l="1"/>
  <c r="AI15" i="21"/>
  <c r="BN408" i="1"/>
  <c r="BO124" i="1"/>
  <c r="AE6" i="21"/>
  <c r="BL416" i="1"/>
  <c r="BL418" i="1" s="1"/>
  <c r="BK451" i="1"/>
  <c r="BK443" i="1"/>
  <c r="DF93" i="1"/>
  <c r="AD26" i="21"/>
  <c r="BN812" i="1"/>
  <c r="BN813" i="1"/>
  <c r="DG92" i="1"/>
  <c r="BD11" i="21"/>
  <c r="DH84" i="1"/>
  <c r="DG679" i="1"/>
  <c r="BN679" i="1"/>
  <c r="BK354" i="1"/>
  <c r="DF354" i="1" s="1"/>
  <c r="BK379" i="1"/>
  <c r="BL296" i="1"/>
  <c r="BK708" i="1"/>
  <c r="BK709" i="1"/>
  <c r="DF709" i="1" s="1"/>
  <c r="BP85" i="1"/>
  <c r="BP396" i="1" s="1"/>
  <c r="DG813" i="1"/>
  <c r="DG114" i="1"/>
  <c r="DG812" i="1"/>
  <c r="BA6" i="21"/>
  <c r="BK321" i="1"/>
  <c r="BO406" i="1"/>
  <c r="AJ11" i="21"/>
  <c r="BP84" i="1"/>
  <c r="BP395" i="1" s="1"/>
  <c r="AH17" i="21"/>
  <c r="BM414" i="1"/>
  <c r="BM393" i="1"/>
  <c r="DG408" i="1"/>
  <c r="BM93" i="1"/>
  <c r="BM432" i="1" s="1"/>
  <c r="BM116" i="1"/>
  <c r="BP92" i="1"/>
  <c r="BN92" i="1"/>
  <c r="BL321" i="1" l="1"/>
  <c r="DG432" i="1"/>
  <c r="BO812" i="1"/>
  <c r="DH124" i="1"/>
  <c r="BM416" i="1"/>
  <c r="BM418" i="1" s="1"/>
  <c r="BO408" i="1"/>
  <c r="AJ15" i="21"/>
  <c r="DG414" i="1"/>
  <c r="BN414" i="1"/>
  <c r="AI17" i="21"/>
  <c r="BN393" i="1"/>
  <c r="BL709" i="1"/>
  <c r="BQ84" i="1"/>
  <c r="BQ395" i="1" s="1"/>
  <c r="DI395" i="1" s="1"/>
  <c r="AK11" i="21"/>
  <c r="BP406" i="1"/>
  <c r="DH406" i="1"/>
  <c r="BD15" i="21" s="1"/>
  <c r="DF708" i="1"/>
  <c r="BL708" i="1"/>
  <c r="BQ85" i="1"/>
  <c r="BQ396" i="1" s="1"/>
  <c r="BM296" i="1"/>
  <c r="BL379" i="1"/>
  <c r="BL354" i="1"/>
  <c r="BO679" i="1"/>
  <c r="DG393" i="1"/>
  <c r="BC17" i="21"/>
  <c r="AF6" i="21"/>
  <c r="AF28" i="21"/>
  <c r="BK453" i="1"/>
  <c r="BK430" i="1"/>
  <c r="BK441" i="1"/>
  <c r="BK98" i="1"/>
  <c r="DF379" i="1"/>
  <c r="BO125" i="1"/>
  <c r="DH125" i="1" s="1"/>
  <c r="BN93" i="1"/>
  <c r="BN432" i="1" s="1"/>
  <c r="BM449" i="1"/>
  <c r="BN116" i="1"/>
  <c r="BO92" i="1"/>
  <c r="BM321" i="1" l="1"/>
  <c r="DG296" i="1"/>
  <c r="BM709" i="1"/>
  <c r="DG709" i="1" s="1"/>
  <c r="AJ17" i="21"/>
  <c r="BO414" i="1"/>
  <c r="DH414" i="1" s="1"/>
  <c r="BO393" i="1"/>
  <c r="BM451" i="1"/>
  <c r="BM443" i="1"/>
  <c r="BN296" i="1"/>
  <c r="BM379" i="1"/>
  <c r="BM354" i="1"/>
  <c r="DG354" i="1" s="1"/>
  <c r="BN416" i="1"/>
  <c r="BN418" i="1" s="1"/>
  <c r="BP93" i="1"/>
  <c r="BP432" i="1" s="1"/>
  <c r="BQ406" i="1"/>
  <c r="DI406" i="1" s="1"/>
  <c r="BE15" i="21" s="1"/>
  <c r="AL11" i="21"/>
  <c r="DG416" i="1"/>
  <c r="DI84" i="1"/>
  <c r="DH408" i="1"/>
  <c r="DH114" i="1"/>
  <c r="DH813" i="1"/>
  <c r="DH812" i="1"/>
  <c r="BB6" i="21"/>
  <c r="AK15" i="21"/>
  <c r="BP408" i="1"/>
  <c r="DH92" i="1"/>
  <c r="AG6" i="21"/>
  <c r="BM708" i="1"/>
  <c r="BP124" i="1"/>
  <c r="BP679" i="1" s="1"/>
  <c r="AF26" i="21"/>
  <c r="DH679" i="1"/>
  <c r="DI396" i="1"/>
  <c r="BE11" i="21" s="1"/>
  <c r="BO813" i="1"/>
  <c r="DG93" i="1"/>
  <c r="BO93" i="1"/>
  <c r="BO432" i="1" s="1"/>
  <c r="DH432" i="1" s="1"/>
  <c r="BO116" i="1"/>
  <c r="BQ92" i="1"/>
  <c r="AH28" i="21" l="1"/>
  <c r="BM453" i="1"/>
  <c r="BM98" i="1"/>
  <c r="BM430" i="1"/>
  <c r="BM441" i="1"/>
  <c r="BN379" i="1"/>
  <c r="BN354" i="1"/>
  <c r="BO296" i="1"/>
  <c r="DH296" i="1" s="1"/>
  <c r="BN708" i="1"/>
  <c r="DH93" i="1"/>
  <c r="AH6" i="21"/>
  <c r="DI92" i="1"/>
  <c r="DG379" i="1"/>
  <c r="DH393" i="1"/>
  <c r="BD17" i="21"/>
  <c r="DH416" i="1"/>
  <c r="BN709" i="1"/>
  <c r="DG708" i="1"/>
  <c r="AK17" i="21"/>
  <c r="BP393" i="1"/>
  <c r="BP414" i="1"/>
  <c r="BN321" i="1"/>
  <c r="DI85" i="1"/>
  <c r="BP812" i="1"/>
  <c r="BP125" i="1"/>
  <c r="BQ124" i="1" s="1"/>
  <c r="AL15" i="21"/>
  <c r="BQ408" i="1"/>
  <c r="DI408" i="1" s="1"/>
  <c r="BO416" i="1"/>
  <c r="BO418" i="1" s="1"/>
  <c r="BQ93" i="1"/>
  <c r="BQ432" i="1" s="1"/>
  <c r="BO449" i="1"/>
  <c r="BQ116" i="1"/>
  <c r="BP116" i="1"/>
  <c r="BP813" i="1" l="1"/>
  <c r="DI432" i="1"/>
  <c r="DI93" i="1" s="1"/>
  <c r="BC6" i="21"/>
  <c r="BO443" i="1"/>
  <c r="BO451" i="1"/>
  <c r="BQ812" i="1"/>
  <c r="DI124" i="1"/>
  <c r="BQ125" i="1"/>
  <c r="DI125" i="1" s="1"/>
  <c r="AH26" i="21"/>
  <c r="AI6" i="21"/>
  <c r="BO708" i="1"/>
  <c r="DH708" i="1" s="1"/>
  <c r="BP296" i="1"/>
  <c r="BO379" i="1"/>
  <c r="BO354" i="1"/>
  <c r="DH354" i="1" s="1"/>
  <c r="DI393" i="1"/>
  <c r="BE17" i="21"/>
  <c r="BQ414" i="1"/>
  <c r="DI414" i="1" s="1"/>
  <c r="AL17" i="21"/>
  <c r="BQ393" i="1"/>
  <c r="BO321" i="1"/>
  <c r="BQ679" i="1"/>
  <c r="BP416" i="1"/>
  <c r="BP418" i="1" s="1"/>
  <c r="BO709" i="1"/>
  <c r="BQ449" i="1"/>
  <c r="BP321" i="1" l="1"/>
  <c r="DI416" i="1"/>
  <c r="BP709" i="1"/>
  <c r="BQ451" i="1"/>
  <c r="BQ443" i="1"/>
  <c r="BP379" i="1"/>
  <c r="BP354" i="1"/>
  <c r="BQ296" i="1"/>
  <c r="BQ813" i="1"/>
  <c r="DI679" i="1"/>
  <c r="AJ6" i="21"/>
  <c r="DH379" i="1"/>
  <c r="DI812" i="1"/>
  <c r="DI813" i="1"/>
  <c r="DI114" i="1"/>
  <c r="BQ416" i="1"/>
  <c r="BQ418" i="1" s="1"/>
  <c r="BO98" i="1"/>
  <c r="BO430" i="1"/>
  <c r="AJ28" i="21"/>
  <c r="BO453" i="1"/>
  <c r="BO441" i="1"/>
  <c r="DH709" i="1"/>
  <c r="BP708" i="1"/>
  <c r="BQ321" i="1" l="1"/>
  <c r="DI296" i="1"/>
  <c r="BD6" i="21"/>
  <c r="AJ26" i="21"/>
  <c r="BQ709" i="1"/>
  <c r="BQ708" i="1"/>
  <c r="AK6" i="21"/>
  <c r="BQ98" i="1"/>
  <c r="BQ441" i="1"/>
  <c r="BQ430" i="1"/>
  <c r="AL28" i="21"/>
  <c r="BQ453" i="1"/>
  <c r="BQ379" i="1"/>
  <c r="DI379" i="1" s="1"/>
  <c r="BQ354" i="1"/>
  <c r="DI354" i="1" s="1"/>
  <c r="DI708" i="1" l="1"/>
  <c r="DI709" i="1"/>
  <c r="AL6" i="21"/>
  <c r="AL26" i="21"/>
  <c r="BE6" i="21"/>
  <c r="U70" i="21" l="1"/>
  <c r="AZ81" i="1"/>
  <c r="AZ381" i="1"/>
  <c r="J32" i="2"/>
  <c r="AZ377" i="1"/>
  <c r="AZ515" i="1" l="1"/>
  <c r="AZ99" i="1"/>
  <c r="AZ325" i="1"/>
  <c r="AZ390" i="1"/>
  <c r="U8" i="21"/>
  <c r="U9" i="21" s="1"/>
  <c r="AZ391" i="1"/>
  <c r="AZ327" i="1"/>
  <c r="J33" i="2" s="1"/>
  <c r="AZ380" i="1"/>
  <c r="AZ387" i="1"/>
  <c r="AZ130" i="1" s="1"/>
  <c r="AZ419" i="1"/>
  <c r="J41" i="2" s="1"/>
  <c r="AZ521" i="1" l="1"/>
  <c r="AZ136" i="1"/>
  <c r="AZ525" i="1"/>
  <c r="J40" i="2"/>
  <c r="U7" i="21"/>
  <c r="AZ389" i="1"/>
  <c r="AZ426" i="1"/>
  <c r="AZ792" i="1"/>
  <c r="AZ527" i="1" l="1"/>
  <c r="AZ529" i="1" s="1"/>
  <c r="AZ534" i="1" s="1"/>
  <c r="AZ538" i="1" s="1"/>
  <c r="AZ541" i="1" s="1"/>
  <c r="AZ674" i="1" s="1"/>
  <c r="J89" i="2"/>
  <c r="AZ428" i="1"/>
  <c r="U19" i="21"/>
  <c r="U20" i="21" s="1"/>
  <c r="J74" i="2"/>
  <c r="DA527" i="1" l="1"/>
  <c r="AZ622" i="1"/>
  <c r="DA622" i="1" s="1"/>
  <c r="U62" i="21"/>
  <c r="AZ625" i="1"/>
  <c r="AZ814" i="1"/>
  <c r="J100" i="2" l="1"/>
  <c r="U35" i="21" l="1"/>
  <c r="U36" i="21" s="1"/>
  <c r="AZ465" i="1"/>
  <c r="AZ712" i="1" s="1"/>
  <c r="AZ810" i="1"/>
  <c r="AZ811" i="1"/>
  <c r="J96" i="2" l="1"/>
  <c r="J97" i="2"/>
  <c r="AZ482" i="1"/>
  <c r="U23" i="21" l="1"/>
  <c r="S23" i="21"/>
  <c r="AV23" i="21" l="1"/>
  <c r="AW23" i="21"/>
  <c r="W23" i="21"/>
  <c r="Y23" i="21" l="1"/>
  <c r="DA449" i="1"/>
  <c r="DA451" i="1" s="1"/>
  <c r="BB449" i="1"/>
  <c r="AX23" i="21"/>
  <c r="BD449" i="1" l="1"/>
  <c r="DA443" i="1"/>
  <c r="AZ453" i="1"/>
  <c r="AZ430" i="1"/>
  <c r="AZ454" i="1"/>
  <c r="J43" i="2" s="1"/>
  <c r="J42" i="2" s="1"/>
  <c r="U28" i="21"/>
  <c r="AA23" i="21"/>
  <c r="AY23" i="21"/>
  <c r="BB451" i="1"/>
  <c r="DB449" i="1"/>
  <c r="DB451" i="1" s="1"/>
  <c r="BB443" i="1"/>
  <c r="W28" i="21" l="1"/>
  <c r="DB443" i="1"/>
  <c r="BB453" i="1"/>
  <c r="BB430" i="1"/>
  <c r="BB98" i="1"/>
  <c r="BB441" i="1"/>
  <c r="AZ794" i="1"/>
  <c r="AZ793" i="1"/>
  <c r="J90" i="2" s="1"/>
  <c r="AC23" i="21"/>
  <c r="DA430" i="1"/>
  <c r="AW28" i="21"/>
  <c r="AW30" i="21" s="1"/>
  <c r="DA98" i="1"/>
  <c r="BF449" i="1"/>
  <c r="V30" i="21"/>
  <c r="U30" i="21"/>
  <c r="AZ461" i="1"/>
  <c r="AZ734" i="1"/>
  <c r="AZ761" i="1" s="1"/>
  <c r="AZ483" i="1"/>
  <c r="DC449" i="1"/>
  <c r="DC451" i="1" s="1"/>
  <c r="BD451" i="1"/>
  <c r="BD443" i="1"/>
  <c r="AZ23" i="21"/>
  <c r="DA441" i="1"/>
  <c r="AW26" i="21" s="1"/>
  <c r="AW29" i="21" s="1"/>
  <c r="U26" i="21"/>
  <c r="J45" i="2" l="1"/>
  <c r="J44" i="2" s="1"/>
  <c r="AZ129" i="1"/>
  <c r="BA129" i="1" s="1"/>
  <c r="J91" i="2"/>
  <c r="BJ449" i="1"/>
  <c r="BH449" i="1"/>
  <c r="U29" i="21"/>
  <c r="V29" i="21"/>
  <c r="BA23" i="21"/>
  <c r="J46" i="2"/>
  <c r="AZ490" i="1"/>
  <c r="U71" i="21"/>
  <c r="W26" i="21"/>
  <c r="DB441" i="1"/>
  <c r="AX26" i="21" s="1"/>
  <c r="AX29" i="21" s="1"/>
  <c r="DB430" i="1"/>
  <c r="DB98" i="1"/>
  <c r="AX28" i="21"/>
  <c r="AX30" i="21" s="1"/>
  <c r="BD441" i="1"/>
  <c r="BD98" i="1"/>
  <c r="BD430" i="1"/>
  <c r="BD453" i="1"/>
  <c r="Y28" i="21"/>
  <c r="DC443" i="1"/>
  <c r="U32" i="21"/>
  <c r="U33" i="21" s="1"/>
  <c r="AZ463" i="1"/>
  <c r="BF451" i="1"/>
  <c r="DD449" i="1"/>
  <c r="DD451" i="1" s="1"/>
  <c r="BF443" i="1"/>
  <c r="O16" i="7"/>
  <c r="E11" i="22"/>
  <c r="W30" i="21"/>
  <c r="X30" i="21"/>
  <c r="J49" i="2" l="1"/>
  <c r="BB129" i="1"/>
  <c r="BA508" i="1"/>
  <c r="Y26" i="21"/>
  <c r="DC441" i="1"/>
  <c r="AY26" i="21" s="1"/>
  <c r="AY29" i="21" s="1"/>
  <c r="M46" i="22"/>
  <c r="DC98" i="1"/>
  <c r="DC430" i="1"/>
  <c r="AY28" i="21"/>
  <c r="AY30" i="21" s="1"/>
  <c r="F11" i="22"/>
  <c r="P16" i="7"/>
  <c r="Z30" i="21"/>
  <c r="Y30" i="21"/>
  <c r="U40" i="21"/>
  <c r="U38" i="21"/>
  <c r="AZ493" i="1"/>
  <c r="BH443" i="1"/>
  <c r="BH451" i="1"/>
  <c r="DE449" i="1"/>
  <c r="DE451" i="1" s="1"/>
  <c r="H52" i="7"/>
  <c r="BF453" i="1"/>
  <c r="BF441" i="1"/>
  <c r="DD443" i="1"/>
  <c r="BF98" i="1"/>
  <c r="BF430" i="1"/>
  <c r="AA28" i="21"/>
  <c r="W29" i="21"/>
  <c r="X29" i="21"/>
  <c r="BL449" i="1"/>
  <c r="BJ451" i="1"/>
  <c r="DF449" i="1"/>
  <c r="DF451" i="1" s="1"/>
  <c r="BJ443" i="1"/>
  <c r="BA523" i="1" l="1"/>
  <c r="DA508" i="1"/>
  <c r="BC129" i="1"/>
  <c r="BB508" i="1"/>
  <c r="I52" i="7"/>
  <c r="BN449" i="1"/>
  <c r="U41" i="21"/>
  <c r="N46" i="22"/>
  <c r="AZ495" i="1"/>
  <c r="G11" i="22"/>
  <c r="Q16" i="7"/>
  <c r="BP449" i="1"/>
  <c r="BH453" i="1"/>
  <c r="BH441" i="1"/>
  <c r="BH430" i="1"/>
  <c r="DE443" i="1"/>
  <c r="BH98" i="1"/>
  <c r="AC28" i="21"/>
  <c r="BJ98" i="1"/>
  <c r="BJ441" i="1"/>
  <c r="BJ453" i="1"/>
  <c r="BJ430" i="1"/>
  <c r="AE28" i="21"/>
  <c r="DF443" i="1"/>
  <c r="DD430" i="1"/>
  <c r="DD98" i="1"/>
  <c r="AZ28" i="21"/>
  <c r="AZ30" i="21" s="1"/>
  <c r="BL451" i="1"/>
  <c r="BL443" i="1"/>
  <c r="DG449" i="1"/>
  <c r="DG451" i="1" s="1"/>
  <c r="AA30" i="21"/>
  <c r="AB30" i="21"/>
  <c r="AA26" i="21"/>
  <c r="DD441" i="1"/>
  <c r="AZ26" i="21" s="1"/>
  <c r="AZ29" i="21" s="1"/>
  <c r="Z29" i="21"/>
  <c r="Y29" i="21"/>
  <c r="BD129" i="1" l="1"/>
  <c r="BC508" i="1"/>
  <c r="BC523" i="1" s="1"/>
  <c r="BC623" i="1" s="1"/>
  <c r="BB523" i="1"/>
  <c r="DA523" i="1"/>
  <c r="BA623" i="1"/>
  <c r="J52" i="7"/>
  <c r="DE98" i="1"/>
  <c r="DE430" i="1"/>
  <c r="BA28" i="21"/>
  <c r="BA30" i="21" s="1"/>
  <c r="O46" i="22"/>
  <c r="BN451" i="1"/>
  <c r="DH449" i="1"/>
  <c r="DH451" i="1" s="1"/>
  <c r="BN443" i="1"/>
  <c r="DE441" i="1"/>
  <c r="BA26" i="21" s="1"/>
  <c r="BA29" i="21" s="1"/>
  <c r="AC26" i="21"/>
  <c r="AF30" i="21"/>
  <c r="AE30" i="21"/>
  <c r="BL453" i="1"/>
  <c r="AG28" i="21"/>
  <c r="DG443" i="1"/>
  <c r="BL98" i="1"/>
  <c r="BL430" i="1"/>
  <c r="BL441" i="1"/>
  <c r="AZ838" i="1"/>
  <c r="J112" i="2" s="1"/>
  <c r="U44" i="21"/>
  <c r="U47" i="21" s="1"/>
  <c r="U48" i="21" s="1"/>
  <c r="AZ730" i="1"/>
  <c r="AZ741" i="1"/>
  <c r="AZ767" i="1" s="1"/>
  <c r="AZ620" i="1"/>
  <c r="AZ624" i="1" s="1"/>
  <c r="AZ732" i="1"/>
  <c r="AZ788" i="1"/>
  <c r="J85" i="2" s="1"/>
  <c r="AZ787" i="1"/>
  <c r="AZ510" i="1"/>
  <c r="AZ789" i="1"/>
  <c r="AZ740" i="1"/>
  <c r="AZ766" i="1" s="1"/>
  <c r="AZ513" i="1"/>
  <c r="J15" i="2" s="1"/>
  <c r="AA29" i="21"/>
  <c r="AB29" i="21"/>
  <c r="BB28" i="21"/>
  <c r="DF430" i="1"/>
  <c r="DF98" i="1"/>
  <c r="DF441" i="1"/>
  <c r="BB26" i="21" s="1"/>
  <c r="AE26" i="21"/>
  <c r="AD30" i="21"/>
  <c r="AC30" i="21"/>
  <c r="BP443" i="1"/>
  <c r="DI449" i="1"/>
  <c r="DI451" i="1" s="1"/>
  <c r="BP451" i="1"/>
  <c r="DB508" i="1" l="1"/>
  <c r="E19" i="22"/>
  <c r="DA623" i="1"/>
  <c r="O27" i="7"/>
  <c r="BB623" i="1"/>
  <c r="DB523" i="1"/>
  <c r="BE129" i="1"/>
  <c r="BD508" i="1"/>
  <c r="J52" i="2"/>
  <c r="J50" i="2" s="1"/>
  <c r="J16" i="2"/>
  <c r="J86" i="2"/>
  <c r="J84" i="2"/>
  <c r="DG98" i="1"/>
  <c r="DG430" i="1"/>
  <c r="BC28" i="21"/>
  <c r="AH30" i="21"/>
  <c r="AG30" i="21"/>
  <c r="U72" i="21"/>
  <c r="AZ840" i="1"/>
  <c r="AZ731" i="1"/>
  <c r="U54" i="21"/>
  <c r="AZ759" i="1"/>
  <c r="DH443" i="1"/>
  <c r="BN453" i="1"/>
  <c r="BN98" i="1"/>
  <c r="BN441" i="1"/>
  <c r="BN430" i="1"/>
  <c r="AI28" i="21"/>
  <c r="U55" i="21"/>
  <c r="AZ733" i="1"/>
  <c r="AZ760" i="1"/>
  <c r="DI443" i="1"/>
  <c r="AK28" i="21"/>
  <c r="BP441" i="1"/>
  <c r="BP453" i="1"/>
  <c r="BP430" i="1"/>
  <c r="BP98" i="1"/>
  <c r="AG26" i="21"/>
  <c r="DG441" i="1"/>
  <c r="BC26" i="21" s="1"/>
  <c r="AZ728" i="1"/>
  <c r="AZ729" i="1"/>
  <c r="U51" i="21"/>
  <c r="U50" i="21" s="1"/>
  <c r="AC29" i="21"/>
  <c r="AD29" i="21"/>
  <c r="BD523" i="1" l="1"/>
  <c r="BF129" i="1"/>
  <c r="BE508" i="1"/>
  <c r="BE523" i="1" s="1"/>
  <c r="BE623" i="1" s="1"/>
  <c r="F19" i="22"/>
  <c r="DB623" i="1"/>
  <c r="P27" i="7"/>
  <c r="J114" i="2"/>
  <c r="J17" i="2"/>
  <c r="J19" i="2"/>
  <c r="J53" i="2"/>
  <c r="J18" i="2"/>
  <c r="AI30" i="21"/>
  <c r="AJ30" i="21"/>
  <c r="AZ839" i="1"/>
  <c r="DI441" i="1"/>
  <c r="BE26" i="21" s="1"/>
  <c r="AK26" i="21"/>
  <c r="DH98" i="1"/>
  <c r="DH430" i="1"/>
  <c r="BD28" i="21"/>
  <c r="AZ757" i="1"/>
  <c r="AK30" i="21"/>
  <c r="AL30" i="21"/>
  <c r="DI430" i="1"/>
  <c r="BE28" i="21"/>
  <c r="DI98" i="1"/>
  <c r="AZ758" i="1"/>
  <c r="DH441" i="1"/>
  <c r="BD26" i="21" s="1"/>
  <c r="AI26" i="21"/>
  <c r="BG129" i="1" l="1"/>
  <c r="BF508" i="1"/>
  <c r="DC508" i="1"/>
  <c r="DC523" i="1"/>
  <c r="BD623" i="1"/>
  <c r="G19" i="22" l="1"/>
  <c r="DC623" i="1"/>
  <c r="Q27" i="7"/>
  <c r="BF523" i="1"/>
  <c r="BH129" i="1"/>
  <c r="BG508" i="1"/>
  <c r="BG523" i="1" s="1"/>
  <c r="BG623" i="1" s="1"/>
  <c r="BA533" i="1"/>
  <c r="AZ742" i="1"/>
  <c r="J23" i="2" s="1"/>
  <c r="U63" i="21"/>
  <c r="AZ531" i="1"/>
  <c r="BA526" i="1"/>
  <c r="AZ743" i="1"/>
  <c r="DD523" i="1" l="1"/>
  <c r="BF623" i="1"/>
  <c r="BI129" i="1"/>
  <c r="BH508" i="1"/>
  <c r="DD508" i="1"/>
  <c r="AZ785" i="1"/>
  <c r="J83" i="2" s="1"/>
  <c r="AZ783" i="1"/>
  <c r="J82" i="2" s="1"/>
  <c r="AZ782" i="1"/>
  <c r="AZ768" i="1"/>
  <c r="AZ769" i="1"/>
  <c r="AZ550" i="1"/>
  <c r="AZ564" i="1" s="1"/>
  <c r="AZ568" i="1" s="1"/>
  <c r="AZ585" i="1" s="1"/>
  <c r="AZ583" i="1" s="1"/>
  <c r="AZ673" i="1"/>
  <c r="BA675" i="1"/>
  <c r="DA526" i="1"/>
  <c r="BA621" i="1"/>
  <c r="BH523" i="1" l="1"/>
  <c r="BJ129" i="1"/>
  <c r="BI508" i="1"/>
  <c r="BI523" i="1" s="1"/>
  <c r="BI623" i="1" s="1"/>
  <c r="AZ628" i="1"/>
  <c r="AZ629" i="1" s="1"/>
  <c r="BA583" i="1"/>
  <c r="DD623" i="1"/>
  <c r="J81" i="2"/>
  <c r="U73" i="21"/>
  <c r="U74" i="21" s="1"/>
  <c r="AZ587" i="1"/>
  <c r="AZ607" i="1" s="1"/>
  <c r="AZ841" i="1"/>
  <c r="DA621" i="1"/>
  <c r="DA675" i="1"/>
  <c r="DE508" i="1" l="1"/>
  <c r="BK129" i="1"/>
  <c r="BJ508" i="1"/>
  <c r="DA583" i="1"/>
  <c r="BA628" i="1"/>
  <c r="DA628" i="1" s="1"/>
  <c r="BB583" i="1"/>
  <c r="BH623" i="1"/>
  <c r="DE523" i="1"/>
  <c r="J115" i="2"/>
  <c r="AZ836" i="1"/>
  <c r="J110" i="2" s="1"/>
  <c r="AZ589" i="1"/>
  <c r="AZ590" i="1" s="1"/>
  <c r="AZ150" i="1" l="1"/>
  <c r="AZ593" i="1"/>
  <c r="BC583" i="1"/>
  <c r="BB628" i="1"/>
  <c r="BJ523" i="1"/>
  <c r="DE623" i="1"/>
  <c r="BL129" i="1"/>
  <c r="BK508" i="1"/>
  <c r="BK523" i="1" s="1"/>
  <c r="BK623" i="1" s="1"/>
  <c r="AZ834" i="1"/>
  <c r="J109" i="2" s="1"/>
  <c r="AZ591" i="1"/>
  <c r="AZ595" i="1"/>
  <c r="AZ548" i="1"/>
  <c r="DF508" i="1" l="1"/>
  <c r="AZ835" i="1"/>
  <c r="DF523" i="1"/>
  <c r="BJ623" i="1"/>
  <c r="BM129" i="1"/>
  <c r="BL508" i="1"/>
  <c r="DB583" i="1"/>
  <c r="BD583" i="1"/>
  <c r="BC628" i="1"/>
  <c r="DB628" i="1" s="1"/>
  <c r="AZ837" i="1"/>
  <c r="J111" i="2" s="1"/>
  <c r="AZ630" i="1"/>
  <c r="AZ786" i="1"/>
  <c r="AZ784" i="1"/>
  <c r="AZ744" i="1"/>
  <c r="U77" i="21"/>
  <c r="BE583" i="1" l="1"/>
  <c r="BD628" i="1"/>
  <c r="BL523" i="1"/>
  <c r="BN129" i="1"/>
  <c r="BM508" i="1"/>
  <c r="BM523" i="1" s="1"/>
  <c r="BM623" i="1" s="1"/>
  <c r="DF623" i="1"/>
  <c r="AZ631" i="1"/>
  <c r="U78" i="21"/>
  <c r="BO129" i="1" l="1"/>
  <c r="BN508" i="1"/>
  <c r="DG508" i="1"/>
  <c r="BL623" i="1"/>
  <c r="DG523" i="1"/>
  <c r="DC583" i="1"/>
  <c r="BF583" i="1"/>
  <c r="BE628" i="1"/>
  <c r="DC628" i="1" s="1"/>
  <c r="AZ618" i="1"/>
  <c r="AZ639" i="1"/>
  <c r="AZ4" i="1" s="1"/>
  <c r="BN523" i="1" l="1"/>
  <c r="DG623" i="1"/>
  <c r="BG583" i="1"/>
  <c r="BF628" i="1"/>
  <c r="BP129" i="1"/>
  <c r="BO508" i="1"/>
  <c r="BO523" i="1" s="1"/>
  <c r="BO623" i="1" s="1"/>
  <c r="BA725" i="1"/>
  <c r="DH508" i="1" l="1"/>
  <c r="DD583" i="1"/>
  <c r="BH583" i="1"/>
  <c r="BG628" i="1"/>
  <c r="DD628" i="1" s="1"/>
  <c r="BQ129" i="1"/>
  <c r="BQ508" i="1" s="1"/>
  <c r="BQ523" i="1" s="1"/>
  <c r="BQ623" i="1" s="1"/>
  <c r="BP508" i="1"/>
  <c r="BN623" i="1"/>
  <c r="DH523" i="1"/>
  <c r="BP523" i="1" l="1"/>
  <c r="DI508" i="1"/>
  <c r="BI583" i="1"/>
  <c r="BH628" i="1"/>
  <c r="DH623" i="1"/>
  <c r="DE583" i="1" l="1"/>
  <c r="BJ583" i="1"/>
  <c r="BI628" i="1"/>
  <c r="DE628" i="1" s="1"/>
  <c r="DI523" i="1"/>
  <c r="BP623" i="1"/>
  <c r="BJ628" i="1" l="1"/>
  <c r="BK583" i="1"/>
  <c r="DI623" i="1"/>
  <c r="DF583" i="1" l="1"/>
  <c r="BL583" i="1"/>
  <c r="BK628" i="1"/>
  <c r="DF628" i="1" s="1"/>
  <c r="BM583" i="1" l="1"/>
  <c r="BL628" i="1"/>
  <c r="BN583" i="1" l="1"/>
  <c r="DG583" i="1"/>
  <c r="BM628" i="1"/>
  <c r="DG628" i="1" s="1"/>
  <c r="BO583" i="1" l="1"/>
  <c r="BN628" i="1"/>
  <c r="DH583" i="1" l="1"/>
  <c r="BP583" i="1"/>
  <c r="BO628" i="1"/>
  <c r="DH628" i="1" s="1"/>
  <c r="BP628" i="1" l="1"/>
  <c r="BQ583" i="1"/>
  <c r="DI583" i="1" l="1"/>
  <c r="BQ628" i="1"/>
  <c r="DI628" i="1" s="1"/>
  <c r="AZ43" i="1" l="1"/>
  <c r="AZ45" i="1"/>
  <c r="AZ44" i="1"/>
  <c r="BA101" i="1"/>
  <c r="J87" i="2"/>
  <c r="AZ790" i="1"/>
  <c r="AZ434" i="1"/>
  <c r="AZ97" i="1"/>
  <c r="BA97" i="1" s="1"/>
  <c r="AZ96" i="1"/>
  <c r="BA96" i="1" s="1"/>
  <c r="BB96" i="1" s="1"/>
  <c r="AZ440" i="1" l="1"/>
  <c r="BC96" i="1"/>
  <c r="BB97" i="1"/>
  <c r="BC97" i="1" s="1"/>
  <c r="BD97" i="1" s="1"/>
  <c r="BE97" i="1" s="1"/>
  <c r="BF97" i="1" s="1"/>
  <c r="BG97" i="1" s="1"/>
  <c r="BH97" i="1" s="1"/>
  <c r="BI97" i="1" s="1"/>
  <c r="BJ97" i="1" s="1"/>
  <c r="BK97" i="1" s="1"/>
  <c r="BL97" i="1" s="1"/>
  <c r="BM97" i="1" s="1"/>
  <c r="BN97" i="1" s="1"/>
  <c r="BO97" i="1" s="1"/>
  <c r="BP97" i="1" s="1"/>
  <c r="BQ97" i="1" s="1"/>
  <c r="AZ791" i="1"/>
  <c r="J88" i="2" s="1"/>
  <c r="BA102" i="1" l="1"/>
  <c r="DA102" i="1" s="1"/>
  <c r="DA96" i="1" s="1"/>
  <c r="BD96" i="1"/>
  <c r="BA103" i="1" l="1"/>
  <c r="BE96" i="1"/>
  <c r="BA434" i="1"/>
  <c r="DA103" i="1"/>
  <c r="BA106" i="1"/>
  <c r="BB101" i="1" l="1"/>
  <c r="BA572" i="1"/>
  <c r="DA106" i="1"/>
  <c r="BA791" i="1"/>
  <c r="K88" i="2" s="1"/>
  <c r="BA790" i="1"/>
  <c r="K87" i="2" s="1"/>
  <c r="DA434" i="1"/>
  <c r="BA440" i="1"/>
  <c r="BB102" i="1" s="1"/>
  <c r="BF96" i="1"/>
  <c r="DA440" i="1" l="1"/>
  <c r="BA710" i="1"/>
  <c r="DA572" i="1"/>
  <c r="DA585" i="1" s="1"/>
  <c r="BA627" i="1"/>
  <c r="BA585" i="1"/>
  <c r="DA791" i="1"/>
  <c r="E88" i="2" s="1"/>
  <c r="DB101" i="1"/>
  <c r="DA97" i="1"/>
  <c r="DA790" i="1"/>
  <c r="E87" i="2" s="1"/>
  <c r="BG96" i="1"/>
  <c r="BB103" i="1"/>
  <c r="BH96" i="1" l="1"/>
  <c r="DA710" i="1"/>
  <c r="DA627" i="1"/>
  <c r="BA261" i="1"/>
  <c r="BB434" i="1"/>
  <c r="BB106" i="1"/>
  <c r="BA260" i="1" l="1"/>
  <c r="BB440" i="1"/>
  <c r="BC102" i="1" s="1"/>
  <c r="DB102" i="1" s="1"/>
  <c r="DB96" i="1" s="1"/>
  <c r="BI96" i="1"/>
  <c r="BB791" i="1"/>
  <c r="L88" i="2" s="1"/>
  <c r="BB572" i="1"/>
  <c r="BC101" i="1"/>
  <c r="BB790" i="1"/>
  <c r="L87" i="2" s="1"/>
  <c r="BJ96" i="1" l="1"/>
  <c r="BC103" i="1"/>
  <c r="DA260" i="1"/>
  <c r="DA261" i="1" s="1"/>
  <c r="BB585" i="1"/>
  <c r="BB627" i="1"/>
  <c r="BB710" i="1"/>
  <c r="BK96" i="1" l="1"/>
  <c r="BC434" i="1"/>
  <c r="DB103" i="1"/>
  <c r="BC106" i="1"/>
  <c r="BD101" i="1" l="1"/>
  <c r="BC791" i="1"/>
  <c r="DB106" i="1"/>
  <c r="BC572" i="1"/>
  <c r="BC790" i="1"/>
  <c r="BL96" i="1"/>
  <c r="BC440" i="1"/>
  <c r="BD102" i="1" s="1"/>
  <c r="DB434" i="1"/>
  <c r="BM96" i="1" l="1"/>
  <c r="DB440" i="1"/>
  <c r="BC710" i="1"/>
  <c r="BC627" i="1"/>
  <c r="DB627" i="1" s="1"/>
  <c r="DB572" i="1"/>
  <c r="DB585" i="1" s="1"/>
  <c r="BC585" i="1"/>
  <c r="DC101" i="1"/>
  <c r="DB791" i="1"/>
  <c r="F88" i="2" s="1"/>
  <c r="DB97" i="1"/>
  <c r="DB790" i="1"/>
  <c r="F87" i="2" s="1"/>
  <c r="BD103" i="1"/>
  <c r="BD106" i="1" s="1"/>
  <c r="BD790" i="1" s="1"/>
  <c r="BN96" i="1" l="1"/>
  <c r="BD572" i="1"/>
  <c r="BE101" i="1"/>
  <c r="BD434" i="1"/>
  <c r="DB710" i="1"/>
  <c r="BA323" i="1" l="1"/>
  <c r="BO96" i="1"/>
  <c r="BD627" i="1"/>
  <c r="BD585" i="1"/>
  <c r="BD440" i="1"/>
  <c r="BE102" i="1" s="1"/>
  <c r="DC102" i="1" s="1"/>
  <c r="DC96" i="1" s="1"/>
  <c r="BD791" i="1"/>
  <c r="DA323" i="1" l="1"/>
  <c r="BP96" i="1"/>
  <c r="BD710" i="1"/>
  <c r="BA325" i="1"/>
  <c r="BA322" i="1"/>
  <c r="BA269" i="1"/>
  <c r="BA81" i="1"/>
  <c r="BA319" i="1"/>
  <c r="BA377" i="1" s="1"/>
  <c r="DA377" i="1" s="1"/>
  <c r="BA381" i="1"/>
  <c r="V70" i="21"/>
  <c r="BE103" i="1"/>
  <c r="BE106" i="1" s="1"/>
  <c r="DC106" i="1" l="1"/>
  <c r="BF101" i="1"/>
  <c r="BE572" i="1"/>
  <c r="BE790" i="1"/>
  <c r="K32" i="2"/>
  <c r="BE434" i="1"/>
  <c r="DC103" i="1"/>
  <c r="BQ96" i="1"/>
  <c r="BA327" i="1"/>
  <c r="DA381" i="1"/>
  <c r="V8" i="21"/>
  <c r="V9" i="21" s="1"/>
  <c r="BA380" i="1"/>
  <c r="BA391" i="1"/>
  <c r="BA419" i="1"/>
  <c r="BA99" i="1"/>
  <c r="BA387" i="1"/>
  <c r="BA390" i="1"/>
  <c r="DA81" i="1"/>
  <c r="AW70" i="21"/>
  <c r="DA269" i="1"/>
  <c r="DA319" i="1"/>
  <c r="DA325" i="1" s="1"/>
  <c r="DA322" i="1"/>
  <c r="BE440" i="1" l="1"/>
  <c r="DC434" i="1"/>
  <c r="DC791" i="1" s="1"/>
  <c r="G88" i="2" s="1"/>
  <c r="K33" i="2"/>
  <c r="AW8" i="21"/>
  <c r="AW9" i="21" s="1"/>
  <c r="DA327" i="1"/>
  <c r="DA419" i="1"/>
  <c r="DA391" i="1"/>
  <c r="DA99" i="1"/>
  <c r="BE627" i="1"/>
  <c r="DC627" i="1" s="1"/>
  <c r="BE585" i="1"/>
  <c r="BE586" i="1"/>
  <c r="DC572" i="1"/>
  <c r="DC585" i="1" s="1"/>
  <c r="BA426" i="1"/>
  <c r="BA792" i="1"/>
  <c r="K89" i="2" s="1"/>
  <c r="BA612" i="1"/>
  <c r="BA793" i="1"/>
  <c r="BA454" i="1"/>
  <c r="K41" i="2"/>
  <c r="BA794" i="1"/>
  <c r="K91" i="2" s="1"/>
  <c r="DD101" i="1"/>
  <c r="DC97" i="1"/>
  <c r="DC790" i="1"/>
  <c r="G87" i="2" s="1"/>
  <c r="BA389" i="1"/>
  <c r="DA387" i="1"/>
  <c r="DA389" i="1" s="1"/>
  <c r="E32" i="2"/>
  <c r="O7" i="7"/>
  <c r="E6" i="22"/>
  <c r="M44" i="22" s="1"/>
  <c r="H49" i="7"/>
  <c r="V7" i="21"/>
  <c r="DA380" i="1"/>
  <c r="BE791" i="1"/>
  <c r="K40" i="2" l="1"/>
  <c r="V19" i="21"/>
  <c r="V20" i="21" s="1"/>
  <c r="BA428" i="1"/>
  <c r="BA734" i="1"/>
  <c r="BA761" i="1" s="1"/>
  <c r="BA461" i="1"/>
  <c r="K43" i="2"/>
  <c r="K42" i="2" s="1"/>
  <c r="O8" i="7"/>
  <c r="E7" i="22"/>
  <c r="E10" i="22" s="1"/>
  <c r="E33" i="2"/>
  <c r="K90" i="2"/>
  <c r="V71" i="21"/>
  <c r="DC440" i="1"/>
  <c r="BE710" i="1"/>
  <c r="AW7" i="21"/>
  <c r="BA614" i="1"/>
  <c r="DA612" i="1"/>
  <c r="BA613" i="1"/>
  <c r="BF102" i="1"/>
  <c r="DA793" i="1"/>
  <c r="DA426" i="1"/>
  <c r="O15" i="7"/>
  <c r="DA794" i="1"/>
  <c r="E91" i="2" s="1"/>
  <c r="DA792" i="1"/>
  <c r="E89" i="2" s="1"/>
  <c r="DA454" i="1"/>
  <c r="E41" i="2"/>
  <c r="E40" i="2" l="1"/>
  <c r="DA613" i="1"/>
  <c r="DA147" i="1"/>
  <c r="M45" i="22"/>
  <c r="E12" i="22"/>
  <c r="AW19" i="21"/>
  <c r="AW20" i="21" s="1"/>
  <c r="DA428" i="1"/>
  <c r="DA461" i="1"/>
  <c r="E43" i="2"/>
  <c r="E42" i="2" s="1"/>
  <c r="DA734" i="1"/>
  <c r="AW71" i="21"/>
  <c r="E90" i="2"/>
  <c r="BA121" i="1"/>
  <c r="K74" i="2"/>
  <c r="BA703" i="1"/>
  <c r="DA703" i="1" s="1"/>
  <c r="V62" i="21"/>
  <c r="BA616" i="1"/>
  <c r="BA625" i="1"/>
  <c r="DA625" i="1" s="1"/>
  <c r="BA814" i="1"/>
  <c r="K100" i="2" s="1"/>
  <c r="BA463" i="1"/>
  <c r="V32" i="21"/>
  <c r="V33" i="21" s="1"/>
  <c r="BF103" i="1"/>
  <c r="BF106" i="1" s="1"/>
  <c r="DA614" i="1"/>
  <c r="DC710" i="1"/>
  <c r="H53" i="7"/>
  <c r="O17" i="7"/>
  <c r="H50" i="7"/>
  <c r="H51" i="7"/>
  <c r="BF572" i="1" l="1"/>
  <c r="BG101" i="1"/>
  <c r="BF790" i="1"/>
  <c r="BA817" i="1"/>
  <c r="K103" i="2" s="1"/>
  <c r="BA816" i="1"/>
  <c r="K102" i="2" s="1"/>
  <c r="BA820" i="1"/>
  <c r="DA121" i="1"/>
  <c r="BA821" i="1"/>
  <c r="BA818" i="1"/>
  <c r="K104" i="2" s="1"/>
  <c r="BA819" i="1"/>
  <c r="H16" i="7"/>
  <c r="DA761" i="1"/>
  <c r="H15" i="7"/>
  <c r="M21" i="22"/>
  <c r="BF434" i="1"/>
  <c r="DA463" i="1"/>
  <c r="AW32" i="21"/>
  <c r="AW33" i="21" s="1"/>
  <c r="DA616" i="1"/>
  <c r="R32" i="18"/>
  <c r="R33" i="18" s="1"/>
  <c r="AW62" i="21"/>
  <c r="E74" i="2"/>
  <c r="DA814" i="1"/>
  <c r="O50" i="7"/>
  <c r="O51" i="7" s="1"/>
  <c r="E27" i="22"/>
  <c r="E28" i="22" s="1"/>
  <c r="BF440" i="1" l="1"/>
  <c r="BG102" i="1" s="1"/>
  <c r="DD102" i="1" s="1"/>
  <c r="DD96" i="1" s="1"/>
  <c r="H17" i="7"/>
  <c r="H40" i="7"/>
  <c r="DA820" i="1"/>
  <c r="DA816" i="1"/>
  <c r="DA817" i="1"/>
  <c r="DA821" i="1"/>
  <c r="DA116" i="1"/>
  <c r="DA818" i="1"/>
  <c r="DA819" i="1"/>
  <c r="BF791" i="1"/>
  <c r="H71" i="7"/>
  <c r="E100" i="2"/>
  <c r="BF627" i="1"/>
  <c r="BF585" i="1"/>
  <c r="BG103" i="1" l="1"/>
  <c r="H75" i="7"/>
  <c r="E104" i="2"/>
  <c r="BF710" i="1"/>
  <c r="E103" i="2"/>
  <c r="M52" i="22"/>
  <c r="H74" i="7"/>
  <c r="H73" i="7"/>
  <c r="E102" i="2"/>
  <c r="BG434" i="1" l="1"/>
  <c r="DD103" i="1"/>
  <c r="BG106" i="1"/>
  <c r="BG440" i="1" l="1"/>
  <c r="DD434" i="1"/>
  <c r="BG572" i="1"/>
  <c r="BH101" i="1"/>
  <c r="DD106" i="1"/>
  <c r="BG791" i="1"/>
  <c r="BG790" i="1"/>
  <c r="BG586" i="1" l="1"/>
  <c r="DD572" i="1"/>
  <c r="DD585" i="1" s="1"/>
  <c r="BG627" i="1"/>
  <c r="DD627" i="1" s="1"/>
  <c r="BG585" i="1"/>
  <c r="DD440" i="1"/>
  <c r="BG710" i="1"/>
  <c r="DD791" i="1"/>
  <c r="DE101" i="1"/>
  <c r="DD97" i="1"/>
  <c r="DD790" i="1"/>
  <c r="BH102" i="1"/>
  <c r="DD710" i="1" l="1"/>
  <c r="BH103" i="1"/>
  <c r="BH434" i="1" l="1"/>
  <c r="BH106" i="1"/>
  <c r="BH440" i="1" l="1"/>
  <c r="BH791" i="1"/>
  <c r="BI101" i="1"/>
  <c r="BH572" i="1"/>
  <c r="BH790" i="1"/>
  <c r="BH586" i="1" l="1"/>
  <c r="BH627" i="1"/>
  <c r="BH585" i="1"/>
  <c r="BH710" i="1"/>
  <c r="BI102" i="1"/>
  <c r="DE102" i="1" s="1"/>
  <c r="DE96" i="1" s="1"/>
  <c r="BI103" i="1" l="1"/>
  <c r="BI434" i="1" l="1"/>
  <c r="DE103" i="1"/>
  <c r="BI106" i="1"/>
  <c r="BI572" i="1" l="1"/>
  <c r="DE106" i="1"/>
  <c r="BJ101" i="1"/>
  <c r="BI791" i="1"/>
  <c r="BI790" i="1"/>
  <c r="BI440" i="1"/>
  <c r="DE434" i="1"/>
  <c r="DF101" i="1" l="1"/>
  <c r="DE791" i="1"/>
  <c r="DE97" i="1"/>
  <c r="DE790" i="1"/>
  <c r="DE440" i="1"/>
  <c r="BI710" i="1"/>
  <c r="BI586" i="1"/>
  <c r="BI585" i="1"/>
  <c r="BI627" i="1"/>
  <c r="DE627" i="1" s="1"/>
  <c r="DE572" i="1"/>
  <c r="DE585" i="1" s="1"/>
  <c r="BJ102" i="1"/>
  <c r="DE710" i="1" l="1"/>
  <c r="BJ103" i="1"/>
  <c r="BJ434" i="1" l="1"/>
  <c r="BJ106" i="1"/>
  <c r="BJ791" i="1" l="1"/>
  <c r="BK101" i="1"/>
  <c r="BJ572" i="1"/>
  <c r="BJ790" i="1"/>
  <c r="BJ440" i="1"/>
  <c r="BK102" i="1" s="1"/>
  <c r="DF102" i="1" s="1"/>
  <c r="DF96" i="1" s="1"/>
  <c r="BK103" i="1" l="1"/>
  <c r="BJ710" i="1"/>
  <c r="BJ586" i="1"/>
  <c r="BJ585" i="1"/>
  <c r="BJ627" i="1"/>
  <c r="BK434" i="1" l="1"/>
  <c r="DF103" i="1"/>
  <c r="BK106" i="1"/>
  <c r="BK440" i="1" l="1"/>
  <c r="BL102" i="1" s="1"/>
  <c r="DF434" i="1"/>
  <c r="BK572" i="1"/>
  <c r="BL101" i="1"/>
  <c r="DF106" i="1"/>
  <c r="BK791" i="1"/>
  <c r="BK790" i="1"/>
  <c r="BL103" i="1" l="1"/>
  <c r="DF572" i="1"/>
  <c r="DF585" i="1" s="1"/>
  <c r="BK627" i="1"/>
  <c r="DF627" i="1" s="1"/>
  <c r="BK586" i="1"/>
  <c r="BK585" i="1"/>
  <c r="DF440" i="1"/>
  <c r="BK710" i="1"/>
  <c r="DG101" i="1"/>
  <c r="DF791" i="1"/>
  <c r="DF790" i="1"/>
  <c r="DF97" i="1"/>
  <c r="DF710" i="1" l="1"/>
  <c r="BL434" i="1"/>
  <c r="BL106" i="1"/>
  <c r="BL791" i="1" l="1"/>
  <c r="BM101" i="1"/>
  <c r="BL572" i="1"/>
  <c r="BL790" i="1"/>
  <c r="BL440" i="1"/>
  <c r="BM102" i="1" s="1"/>
  <c r="DG102" i="1" s="1"/>
  <c r="DG96" i="1" s="1"/>
  <c r="BM103" i="1" l="1"/>
  <c r="BM106" i="1" s="1"/>
  <c r="BL710" i="1"/>
  <c r="BL586" i="1"/>
  <c r="BL627" i="1"/>
  <c r="BL585" i="1"/>
  <c r="BN101" i="1" l="1"/>
  <c r="BM572" i="1"/>
  <c r="DG106" i="1"/>
  <c r="BM790" i="1"/>
  <c r="BM434" i="1"/>
  <c r="DG103" i="1"/>
  <c r="BM440" i="1" l="1"/>
  <c r="BN102" i="1" s="1"/>
  <c r="DG434" i="1"/>
  <c r="DG791" i="1" s="1"/>
  <c r="DH101" i="1"/>
  <c r="DG790" i="1"/>
  <c r="DG97" i="1"/>
  <c r="DG572" i="1"/>
  <c r="DG585" i="1" s="1"/>
  <c r="BM627" i="1"/>
  <c r="DG627" i="1" s="1"/>
  <c r="BM586" i="1"/>
  <c r="BM585" i="1"/>
  <c r="BM791" i="1"/>
  <c r="DG440" i="1" l="1"/>
  <c r="BM710" i="1"/>
  <c r="BN103" i="1"/>
  <c r="BN106" i="1" s="1"/>
  <c r="BO101" i="1" l="1"/>
  <c r="BN572" i="1"/>
  <c r="BN790" i="1"/>
  <c r="BN434" i="1"/>
  <c r="BN791" i="1" s="1"/>
  <c r="DG710" i="1"/>
  <c r="BN586" i="1" l="1"/>
  <c r="BN627" i="1"/>
  <c r="BN585" i="1"/>
  <c r="BN440" i="1"/>
  <c r="BN710" i="1" l="1"/>
  <c r="BO102" i="1"/>
  <c r="DH102" i="1" l="1"/>
  <c r="DH96" i="1" s="1"/>
  <c r="BO103" i="1"/>
  <c r="BO106" i="1" s="1"/>
  <c r="DH106" i="1" l="1"/>
  <c r="BO572" i="1"/>
  <c r="BP101" i="1"/>
  <c r="BO790" i="1"/>
  <c r="BO434" i="1"/>
  <c r="DH103" i="1"/>
  <c r="BO440" i="1" l="1"/>
  <c r="BP102" i="1" s="1"/>
  <c r="BP103" i="1" s="1"/>
  <c r="DH434" i="1"/>
  <c r="DH791" i="1" s="1"/>
  <c r="BO791" i="1"/>
  <c r="BO586" i="1"/>
  <c r="DH572" i="1"/>
  <c r="DH585" i="1" s="1"/>
  <c r="BO585" i="1"/>
  <c r="BO627" i="1"/>
  <c r="DH627" i="1" s="1"/>
  <c r="DI101" i="1"/>
  <c r="DH790" i="1"/>
  <c r="DH97" i="1"/>
  <c r="BP434" i="1" l="1"/>
  <c r="DH440" i="1"/>
  <c r="BO710" i="1"/>
  <c r="BP106" i="1"/>
  <c r="DH710" i="1" l="1"/>
  <c r="BQ101" i="1"/>
  <c r="BP572" i="1"/>
  <c r="BP791" i="1"/>
  <c r="BP790" i="1"/>
  <c r="BP440" i="1"/>
  <c r="BQ102" i="1" s="1"/>
  <c r="DI102" i="1" s="1"/>
  <c r="DI96" i="1" s="1"/>
  <c r="BP586" i="1" l="1"/>
  <c r="BP585" i="1"/>
  <c r="BP627" i="1"/>
  <c r="BQ103" i="1"/>
  <c r="BQ106" i="1" s="1"/>
  <c r="BP710" i="1"/>
  <c r="DI106" i="1" l="1"/>
  <c r="BQ572" i="1"/>
  <c r="BQ790" i="1"/>
  <c r="BQ434" i="1"/>
  <c r="DI103" i="1"/>
  <c r="BQ440" i="1" l="1"/>
  <c r="DI434" i="1"/>
  <c r="DI791" i="1" s="1"/>
  <c r="BQ627" i="1"/>
  <c r="DI627" i="1" s="1"/>
  <c r="DI572" i="1"/>
  <c r="DI585" i="1" s="1"/>
  <c r="BQ585" i="1"/>
  <c r="BQ586" i="1"/>
  <c r="BQ791" i="1"/>
  <c r="DI790" i="1"/>
  <c r="DI97" i="1"/>
  <c r="DI440" i="1" l="1"/>
  <c r="BQ710" i="1"/>
  <c r="DI710" i="1" l="1"/>
  <c r="AZ816" i="1" l="1"/>
  <c r="J102" i="2" s="1"/>
  <c r="AZ818" i="1"/>
  <c r="J104" i="2" s="1"/>
  <c r="AZ817" i="1"/>
  <c r="J103" i="2" s="1"/>
  <c r="BA598" i="1"/>
  <c r="DA598" i="1" l="1"/>
  <c r="AZ821" i="1"/>
  <c r="AZ823" i="1"/>
  <c r="J106" i="2" s="1"/>
  <c r="AZ820" i="1"/>
  <c r="AZ824" i="1"/>
  <c r="J107" i="2" s="1"/>
  <c r="AZ819" i="1"/>
  <c r="AZ822" i="1"/>
  <c r="J105" i="2" s="1"/>
  <c r="BA685" i="1" l="1"/>
  <c r="BA120" i="1"/>
  <c r="AZ815" i="1"/>
  <c r="J101" i="2" s="1"/>
  <c r="AZ825" i="1"/>
  <c r="AZ826" i="1"/>
  <c r="AZ827" i="1"/>
  <c r="BA826" i="1" l="1"/>
  <c r="BA827" i="1"/>
  <c r="BA822" i="1"/>
  <c r="K105" i="2" s="1"/>
  <c r="BA122" i="1"/>
  <c r="BA667" i="1"/>
  <c r="DA120" i="1"/>
  <c r="BA815" i="1"/>
  <c r="K101" i="2" s="1"/>
  <c r="BA824" i="1"/>
  <c r="K107" i="2" s="1"/>
  <c r="BA825" i="1"/>
  <c r="BA115" i="1"/>
  <c r="BA823" i="1"/>
  <c r="K106" i="2" s="1"/>
  <c r="BA471" i="1"/>
  <c r="BA684" i="1"/>
  <c r="DA685" i="1"/>
  <c r="DA684" i="1" l="1"/>
  <c r="DA122" i="1"/>
  <c r="DA822" i="1"/>
  <c r="DA815" i="1"/>
  <c r="DA823" i="1"/>
  <c r="DA825" i="1"/>
  <c r="DA826" i="1"/>
  <c r="DA824" i="1"/>
  <c r="DA115" i="1"/>
  <c r="DA827" i="1"/>
  <c r="BA472" i="1"/>
  <c r="DA471" i="1"/>
  <c r="O19" i="7" s="1"/>
  <c r="O20" i="7" s="1"/>
  <c r="DA667" i="1"/>
  <c r="E107" i="2" l="1"/>
  <c r="H78" i="7"/>
  <c r="E105" i="2"/>
  <c r="H76" i="7"/>
  <c r="DA472" i="1"/>
  <c r="DA483" i="1" s="1"/>
  <c r="BA117" i="1"/>
  <c r="BA478" i="1"/>
  <c r="BA465" i="1"/>
  <c r="BA810" i="1"/>
  <c r="K96" i="2" s="1"/>
  <c r="V35" i="21"/>
  <c r="V36" i="21" s="1"/>
  <c r="BA483" i="1"/>
  <c r="BA811" i="1"/>
  <c r="K97" i="2" s="1"/>
  <c r="BA118" i="1"/>
  <c r="E106" i="2"/>
  <c r="H77" i="7"/>
  <c r="M53" i="22"/>
  <c r="H72" i="7"/>
  <c r="E101" i="2"/>
  <c r="BA711" i="1" l="1"/>
  <c r="BA480" i="1"/>
  <c r="BA482" i="1" s="1"/>
  <c r="DA478" i="1"/>
  <c r="DA480" i="1" s="1"/>
  <c r="DA811" i="1"/>
  <c r="DA117" i="1"/>
  <c r="DA810" i="1"/>
  <c r="DA118" i="1"/>
  <c r="DA465" i="1"/>
  <c r="AW35" i="21"/>
  <c r="AW36" i="21" s="1"/>
  <c r="BA497" i="1"/>
  <c r="BA490" i="1"/>
  <c r="K45" i="2"/>
  <c r="V38" i="21" l="1"/>
  <c r="BA493" i="1"/>
  <c r="E97" i="2"/>
  <c r="H68" i="7"/>
  <c r="M50" i="22"/>
  <c r="DA711" i="1"/>
  <c r="E45" i="2"/>
  <c r="DA490" i="1"/>
  <c r="DA497" i="1"/>
  <c r="BA130" i="1"/>
  <c r="V40" i="21"/>
  <c r="V41" i="21" s="1"/>
  <c r="BA500" i="1"/>
  <c r="K46" i="2"/>
  <c r="K49" i="2" s="1"/>
  <c r="H67" i="7"/>
  <c r="E96" i="2"/>
  <c r="K44" i="2"/>
  <c r="E13" i="22"/>
  <c r="E14" i="22" s="1"/>
  <c r="BA712" i="1"/>
  <c r="DA129" i="1" l="1"/>
  <c r="DA130" i="1"/>
  <c r="AW40" i="21"/>
  <c r="E46" i="2"/>
  <c r="E49" i="2" s="1"/>
  <c r="O21" i="7"/>
  <c r="BA506" i="1"/>
  <c r="DA500" i="1"/>
  <c r="BA495" i="1"/>
  <c r="BA515" i="1"/>
  <c r="DA493" i="1"/>
  <c r="AW38" i="21"/>
  <c r="DA712" i="1"/>
  <c r="E44" i="2"/>
  <c r="H54" i="7" l="1"/>
  <c r="O24" i="7"/>
  <c r="DA495" i="1"/>
  <c r="DA515" i="1"/>
  <c r="BA509" i="1"/>
  <c r="DA506" i="1"/>
  <c r="DA509" i="1" s="1"/>
  <c r="AW41" i="21"/>
  <c r="BA513" i="1"/>
  <c r="BA732" i="1"/>
  <c r="BA788" i="1"/>
  <c r="BA789" i="1"/>
  <c r="K86" i="2" s="1"/>
  <c r="BA521" i="1"/>
  <c r="DA521" i="1" s="1"/>
  <c r="BA787" i="1"/>
  <c r="K84" i="2" s="1"/>
  <c r="BA620" i="1"/>
  <c r="BA624" i="1" s="1"/>
  <c r="BA629" i="1" s="1"/>
  <c r="BA136" i="1"/>
  <c r="BA838" i="1" s="1"/>
  <c r="DA136" i="1"/>
  <c r="H31" i="7" s="1"/>
  <c r="BA525" i="1"/>
  <c r="V44" i="21"/>
  <c r="V47" i="21" s="1"/>
  <c r="V48" i="21" s="1"/>
  <c r="BA740" i="1"/>
  <c r="BA766" i="1" s="1"/>
  <c r="BA741" i="1"/>
  <c r="BA767" i="1" s="1"/>
  <c r="BA730" i="1"/>
  <c r="BA759" i="1" l="1"/>
  <c r="BA731" i="1"/>
  <c r="V54" i="21"/>
  <c r="BA840" i="1"/>
  <c r="K114" i="2" s="1"/>
  <c r="BA733" i="1"/>
  <c r="K16" i="2"/>
  <c r="K52" i="2"/>
  <c r="K50" i="2" s="1"/>
  <c r="V55" i="21"/>
  <c r="BA760" i="1"/>
  <c r="K112" i="2"/>
  <c r="K15" i="2"/>
  <c r="DA788" i="1"/>
  <c r="DA741" i="1"/>
  <c r="DA767" i="1" s="1"/>
  <c r="DA787" i="1"/>
  <c r="DA789" i="1"/>
  <c r="DA730" i="1"/>
  <c r="DA513" i="1"/>
  <c r="DA620" i="1"/>
  <c r="DA624" i="1" s="1"/>
  <c r="DA629" i="1" s="1"/>
  <c r="DA740" i="1"/>
  <c r="DA766" i="1" s="1"/>
  <c r="DA732" i="1"/>
  <c r="AW44" i="21"/>
  <c r="AW47" i="21" s="1"/>
  <c r="AW48" i="21" s="1"/>
  <c r="V72" i="21"/>
  <c r="K85" i="2"/>
  <c r="O28" i="7"/>
  <c r="H24" i="7" s="1"/>
  <c r="H25" i="7" s="1"/>
  <c r="H18" i="7"/>
  <c r="H19" i="7" s="1"/>
  <c r="BA137" i="1"/>
  <c r="BA510" i="1"/>
  <c r="E15" i="22"/>
  <c r="BA676" i="1"/>
  <c r="BA728" i="1"/>
  <c r="V51" i="21"/>
  <c r="V50" i="21" s="1"/>
  <c r="BA529" i="1"/>
  <c r="BA729" i="1"/>
  <c r="DA525" i="1"/>
  <c r="H63" i="7" l="1"/>
  <c r="E86" i="2"/>
  <c r="DA676" i="1"/>
  <c r="E84" i="2"/>
  <c r="H61" i="7"/>
  <c r="BA758" i="1"/>
  <c r="K19" i="2"/>
  <c r="K17" i="2"/>
  <c r="BA534" i="1"/>
  <c r="DA529" i="1"/>
  <c r="H20" i="7"/>
  <c r="H21" i="7" s="1"/>
  <c r="DA838" i="1"/>
  <c r="E41" i="22"/>
  <c r="DA731" i="1"/>
  <c r="AW54" i="21"/>
  <c r="DA759" i="1"/>
  <c r="DA840" i="1"/>
  <c r="E114" i="2" s="1"/>
  <c r="DA729" i="1"/>
  <c r="AW51" i="21"/>
  <c r="AW50" i="21" s="1"/>
  <c r="DA728" i="1"/>
  <c r="BA757" i="1"/>
  <c r="M47" i="22"/>
  <c r="E17" i="22"/>
  <c r="R18" i="18"/>
  <c r="E15" i="2"/>
  <c r="BA839" i="1"/>
  <c r="DA137" i="1"/>
  <c r="AW55" i="21"/>
  <c r="DA760" i="1"/>
  <c r="E52" i="2"/>
  <c r="E50" i="2" s="1"/>
  <c r="H22" i="7"/>
  <c r="DA733" i="1"/>
  <c r="E16" i="2"/>
  <c r="E43" i="22"/>
  <c r="E44" i="22" s="1"/>
  <c r="R16" i="18"/>
  <c r="E85" i="2"/>
  <c r="AW72" i="21"/>
  <c r="H59" i="7"/>
  <c r="K18" i="2"/>
  <c r="K53" i="2"/>
  <c r="DA510" i="1"/>
  <c r="E20" i="22" l="1"/>
  <c r="M36" i="22"/>
  <c r="M37" i="22"/>
  <c r="R21" i="18"/>
  <c r="R19" i="18"/>
  <c r="E17" i="2"/>
  <c r="E19" i="2"/>
  <c r="DA757" i="1"/>
  <c r="E45" i="22"/>
  <c r="E46" i="22" s="1"/>
  <c r="H26" i="7"/>
  <c r="H27" i="7" s="1"/>
  <c r="BA538" i="1"/>
  <c r="DA534" i="1"/>
  <c r="DA538" i="1" s="1"/>
  <c r="DA131" i="1"/>
  <c r="H32" i="7"/>
  <c r="DA839" i="1"/>
  <c r="E113" i="2" s="1"/>
  <c r="E18" i="2"/>
  <c r="E53" i="2"/>
  <c r="DA758" i="1"/>
  <c r="E47" i="22"/>
  <c r="E48" i="22" s="1"/>
  <c r="M20" i="22"/>
  <c r="E42" i="22"/>
  <c r="E112" i="2"/>
  <c r="E51" i="22"/>
  <c r="H23" i="7"/>
  <c r="H39" i="7"/>
  <c r="DB533" i="1" l="1"/>
  <c r="AW63" i="21"/>
  <c r="R23" i="18"/>
  <c r="O53" i="7"/>
  <c r="DA541" i="1"/>
  <c r="DA742" i="1"/>
  <c r="DA531" i="1"/>
  <c r="DA743" i="1"/>
  <c r="M41" i="22"/>
  <c r="M42" i="22"/>
  <c r="BA742" i="1"/>
  <c r="BA701" i="1"/>
  <c r="BA743" i="1"/>
  <c r="BA541" i="1"/>
  <c r="BB533" i="1"/>
  <c r="BA531" i="1"/>
  <c r="BB526" i="1"/>
  <c r="V63" i="21"/>
  <c r="E53" i="22" l="1"/>
  <c r="M22" i="22" s="1"/>
  <c r="DA768" i="1"/>
  <c r="H34" i="7"/>
  <c r="H42" i="7" s="1"/>
  <c r="E23" i="2"/>
  <c r="K23" i="2"/>
  <c r="BA768" i="1"/>
  <c r="DA550" i="1"/>
  <c r="O52" i="7"/>
  <c r="BA671" i="1"/>
  <c r="BA674" i="1"/>
  <c r="BA550" i="1"/>
  <c r="BA564" i="1" s="1"/>
  <c r="BA673" i="1"/>
  <c r="BA769" i="1"/>
  <c r="R34" i="18"/>
  <c r="R25" i="18"/>
  <c r="R26" i="18" s="1"/>
  <c r="R27" i="18" s="1"/>
  <c r="R37" i="18"/>
  <c r="R30" i="18"/>
  <c r="BB675" i="1"/>
  <c r="BB621" i="1"/>
  <c r="BA700" i="1"/>
  <c r="DA701" i="1"/>
  <c r="BA702" i="1"/>
  <c r="BA785" i="1" s="1"/>
  <c r="BA783" i="1"/>
  <c r="BA782" i="1"/>
  <c r="K81" i="2" s="1"/>
  <c r="E54" i="22"/>
  <c r="M23" i="22" s="1"/>
  <c r="H33" i="7"/>
  <c r="H41" i="7" s="1"/>
  <c r="DA769" i="1"/>
  <c r="BA672" i="1" l="1"/>
  <c r="DA564" i="1"/>
  <c r="E29" i="22"/>
  <c r="DA671" i="1"/>
  <c r="BA567" i="1"/>
  <c r="BA568" i="1" s="1"/>
  <c r="BA587" i="1" s="1"/>
  <c r="DA672" i="1"/>
  <c r="K83" i="2"/>
  <c r="BA841" i="1"/>
  <c r="K115" i="2" s="1"/>
  <c r="DA700" i="1"/>
  <c r="BA699" i="1"/>
  <c r="BB261" i="1"/>
  <c r="K82" i="2"/>
  <c r="V73" i="21"/>
  <c r="V74" i="21" s="1"/>
  <c r="O59" i="7"/>
  <c r="O60" i="7" s="1"/>
  <c r="DA702" i="1"/>
  <c r="E37" i="22"/>
  <c r="DA783" i="1"/>
  <c r="DA782" i="1"/>
  <c r="DA673" i="1"/>
  <c r="DA674" i="1"/>
  <c r="E38" i="22" l="1"/>
  <c r="M34" i="22"/>
  <c r="M39" i="22"/>
  <c r="DA699" i="1"/>
  <c r="DA785" i="1"/>
  <c r="M35" i="22"/>
  <c r="M40" i="22"/>
  <c r="BB260" i="1"/>
  <c r="BA836" i="1"/>
  <c r="AW73" i="21"/>
  <c r="AW74" i="21" s="1"/>
  <c r="E82" i="2"/>
  <c r="H44" i="7"/>
  <c r="H58" i="7"/>
  <c r="H60" i="7" s="1"/>
  <c r="BA704" i="1"/>
  <c r="H57" i="7"/>
  <c r="E81" i="2"/>
  <c r="BA599" i="1"/>
  <c r="BA589" i="1"/>
  <c r="DA589" i="1" s="1"/>
  <c r="DA567" i="1"/>
  <c r="DA568" i="1" s="1"/>
  <c r="DA587" i="1" s="1"/>
  <c r="BA590" i="1" l="1"/>
  <c r="BA834" i="1" s="1"/>
  <c r="DA836" i="1"/>
  <c r="DA590" i="1"/>
  <c r="H62" i="7"/>
  <c r="E83" i="2"/>
  <c r="H45" i="7"/>
  <c r="DA841" i="1"/>
  <c r="E115" i="2" s="1"/>
  <c r="DA704" i="1"/>
  <c r="DA599" i="1"/>
  <c r="DA604" i="1" s="1"/>
  <c r="BA604" i="1"/>
  <c r="K110" i="2"/>
  <c r="BA548" i="1" l="1"/>
  <c r="BA595" i="1"/>
  <c r="BA630" i="1" s="1"/>
  <c r="BA591" i="1"/>
  <c r="DA591" i="1" s="1"/>
  <c r="DA593" i="1" s="1"/>
  <c r="DA835" i="1" s="1"/>
  <c r="BA150" i="1"/>
  <c r="DA548" i="1"/>
  <c r="DA595" i="1"/>
  <c r="DA834" i="1"/>
  <c r="E30" i="22"/>
  <c r="E31" i="22" s="1"/>
  <c r="DA150" i="1"/>
  <c r="BA607" i="1"/>
  <c r="V77" i="21"/>
  <c r="K109" i="2"/>
  <c r="DA607" i="1"/>
  <c r="H81" i="7"/>
  <c r="R36" i="18"/>
  <c r="R38" i="18" s="1"/>
  <c r="E110" i="2"/>
  <c r="M56" i="22"/>
  <c r="BA744" i="1" l="1"/>
  <c r="BA786" i="1"/>
  <c r="BA784" i="1"/>
  <c r="BA593" i="1"/>
  <c r="BA835" i="1" s="1"/>
  <c r="DA837" i="1"/>
  <c r="M55" i="22"/>
  <c r="AW77" i="21"/>
  <c r="E109" i="2"/>
  <c r="H80" i="7"/>
  <c r="DA784" i="1"/>
  <c r="DA786" i="1"/>
  <c r="DA744" i="1"/>
  <c r="BA837" i="1"/>
  <c r="DA630" i="1"/>
  <c r="DA631" i="1" s="1"/>
  <c r="BA631" i="1"/>
  <c r="DA639" i="1" l="1"/>
  <c r="DA618" i="1"/>
  <c r="V78" i="21"/>
  <c r="K111" i="2"/>
  <c r="BA618" i="1"/>
  <c r="BA639" i="1"/>
  <c r="BA4" i="1" s="1"/>
  <c r="M57" i="22"/>
  <c r="AW78" i="21"/>
  <c r="H82" i="7"/>
  <c r="E111" i="2"/>
  <c r="BB323" i="1" l="1"/>
  <c r="BB319" i="1" l="1"/>
  <c r="BB377" i="1" s="1"/>
  <c r="BB322" i="1"/>
  <c r="W70" i="21"/>
  <c r="BB81" i="1"/>
  <c r="BB269" i="1"/>
  <c r="BB381" i="1"/>
  <c r="BB325" i="1" l="1"/>
  <c r="L32" i="2"/>
  <c r="BB380" i="1"/>
  <c r="BB391" i="1"/>
  <c r="BB387" i="1"/>
  <c r="BB390" i="1"/>
  <c r="BB419" i="1"/>
  <c r="W8" i="21"/>
  <c r="W9" i="21" s="1"/>
  <c r="BB99" i="1"/>
  <c r="BB327" i="1"/>
  <c r="W7" i="21" l="1"/>
  <c r="BB454" i="1"/>
  <c r="L41" i="2"/>
  <c r="BB793" i="1"/>
  <c r="BB794" i="1"/>
  <c r="L91" i="2" s="1"/>
  <c r="BB612" i="1"/>
  <c r="BB426" i="1"/>
  <c r="BB792" i="1"/>
  <c r="L89" i="2" s="1"/>
  <c r="L33" i="2"/>
  <c r="BB389" i="1"/>
  <c r="L40" i="2" l="1"/>
  <c r="W19" i="21"/>
  <c r="W20" i="21" s="1"/>
  <c r="BB428" i="1"/>
  <c r="L43" i="2"/>
  <c r="L42" i="2" s="1"/>
  <c r="BB734" i="1"/>
  <c r="BB761" i="1" s="1"/>
  <c r="BB461" i="1"/>
  <c r="BB614" i="1"/>
  <c r="BB613" i="1"/>
  <c r="L90" i="2"/>
  <c r="W71" i="21"/>
  <c r="BB625" i="1" l="1"/>
  <c r="BB814" i="1"/>
  <c r="L100" i="2" s="1"/>
  <c r="BB703" i="1"/>
  <c r="BB121" i="1"/>
  <c r="BB616" i="1"/>
  <c r="W62" i="21"/>
  <c r="L74" i="2"/>
  <c r="BB463" i="1"/>
  <c r="W32" i="21"/>
  <c r="W33" i="21" s="1"/>
  <c r="BB817" i="1" l="1"/>
  <c r="L103" i="2" s="1"/>
  <c r="BB818" i="1"/>
  <c r="L104" i="2" s="1"/>
  <c r="BB816" i="1"/>
  <c r="L102" i="2" s="1"/>
  <c r="BB819" i="1"/>
  <c r="BB821" i="1"/>
  <c r="BB820" i="1"/>
  <c r="BB598" i="1"/>
  <c r="BB685" i="1"/>
  <c r="BB120" i="1"/>
  <c r="BB822" i="1" s="1"/>
  <c r="L105" i="2" s="1"/>
  <c r="BB122" i="1" l="1"/>
  <c r="BB115" i="1"/>
  <c r="BB667" i="1"/>
  <c r="BB815" i="1"/>
  <c r="L101" i="2" s="1"/>
  <c r="BB471" i="1"/>
  <c r="BB684" i="1"/>
  <c r="BB827" i="1"/>
  <c r="BB826" i="1"/>
  <c r="BB823" i="1"/>
  <c r="L106" i="2" s="1"/>
  <c r="BB825" i="1"/>
  <c r="BB824" i="1"/>
  <c r="L107" i="2" s="1"/>
  <c r="BB472" i="1" l="1"/>
  <c r="BB810" i="1" l="1"/>
  <c r="L96" i="2" s="1"/>
  <c r="BB478" i="1"/>
  <c r="BB117" i="1"/>
  <c r="BB465" i="1"/>
  <c r="BB118" i="1"/>
  <c r="W35" i="21"/>
  <c r="W36" i="21" s="1"/>
  <c r="BB811" i="1"/>
  <c r="L97" i="2" s="1"/>
  <c r="BB483" i="1"/>
  <c r="BB490" i="1" l="1"/>
  <c r="BB497" i="1"/>
  <c r="L45" i="2"/>
  <c r="BB711" i="1"/>
  <c r="BB480" i="1"/>
  <c r="BB482" i="1" s="1"/>
  <c r="BB500" i="1" l="1"/>
  <c r="W40" i="21"/>
  <c r="L46" i="2"/>
  <c r="L49" i="2" s="1"/>
  <c r="BB130" i="1"/>
  <c r="L44" i="2"/>
  <c r="BB712" i="1"/>
  <c r="BB493" i="1"/>
  <c r="W38" i="21"/>
  <c r="W41" i="21" l="1"/>
  <c r="BB506" i="1"/>
  <c r="BB495" i="1"/>
  <c r="BB515" i="1"/>
  <c r="BB521" i="1" l="1"/>
  <c r="BB620" i="1"/>
  <c r="BB624" i="1" s="1"/>
  <c r="BB629" i="1" s="1"/>
  <c r="BB787" i="1"/>
  <c r="L84" i="2" s="1"/>
  <c r="BB136" i="1"/>
  <c r="BB838" i="1" s="1"/>
  <c r="BB740" i="1"/>
  <c r="BB766" i="1" s="1"/>
  <c r="BB788" i="1"/>
  <c r="BB513" i="1"/>
  <c r="BB789" i="1"/>
  <c r="L86" i="2" s="1"/>
  <c r="BB525" i="1"/>
  <c r="BB741" i="1"/>
  <c r="BB767" i="1" s="1"/>
  <c r="BB732" i="1"/>
  <c r="BB730" i="1"/>
  <c r="W44" i="21"/>
  <c r="W47" i="21" s="1"/>
  <c r="W48" i="21" s="1"/>
  <c r="BB509" i="1"/>
  <c r="BB529" i="1" l="1"/>
  <c r="BB729" i="1"/>
  <c r="BB728" i="1"/>
  <c r="W51" i="21"/>
  <c r="W50" i="21" s="1"/>
  <c r="BB676" i="1"/>
  <c r="L112" i="2"/>
  <c r="BB840" i="1"/>
  <c r="L114" i="2" s="1"/>
  <c r="W54" i="21"/>
  <c r="BB731" i="1"/>
  <c r="BB759" i="1"/>
  <c r="BB137" i="1"/>
  <c r="BB510" i="1"/>
  <c r="W55" i="21"/>
  <c r="L52" i="2"/>
  <c r="L50" i="2" s="1"/>
  <c r="BB733" i="1"/>
  <c r="BB760" i="1"/>
  <c r="L16" i="2"/>
  <c r="L15" i="2"/>
  <c r="L85" i="2"/>
  <c r="W72" i="21"/>
  <c r="BB757" i="1" l="1"/>
  <c r="BB839" i="1"/>
  <c r="L53" i="2"/>
  <c r="L18" i="2"/>
  <c r="BB758" i="1"/>
  <c r="L17" i="2"/>
  <c r="L19" i="2"/>
  <c r="BB534" i="1"/>
  <c r="BB538" i="1" l="1"/>
  <c r="BC533" i="1" l="1"/>
  <c r="BC526" i="1"/>
  <c r="BB531" i="1"/>
  <c r="W63" i="21"/>
  <c r="BB742" i="1"/>
  <c r="BB541" i="1"/>
  <c r="BB743" i="1"/>
  <c r="BB701" i="1"/>
  <c r="BB700" i="1" l="1"/>
  <c r="BB702" i="1"/>
  <c r="BB785" i="1" s="1"/>
  <c r="BB783" i="1"/>
  <c r="BB782" i="1"/>
  <c r="L81" i="2" s="1"/>
  <c r="L23" i="2"/>
  <c r="BB768" i="1"/>
  <c r="BC621" i="1"/>
  <c r="DB526" i="1"/>
  <c r="BC675" i="1"/>
  <c r="BB769" i="1"/>
  <c r="BB550" i="1"/>
  <c r="BB564" i="1" s="1"/>
  <c r="BB673" i="1"/>
  <c r="BB671" i="1"/>
  <c r="BB674" i="1"/>
  <c r="BB672" i="1" l="1"/>
  <c r="DB621" i="1"/>
  <c r="BC261" i="1"/>
  <c r="L82" i="2"/>
  <c r="W73" i="21"/>
  <c r="W74" i="21" s="1"/>
  <c r="BB699" i="1"/>
  <c r="BB567" i="1"/>
  <c r="DB675" i="1"/>
  <c r="L83" i="2"/>
  <c r="BB841" i="1"/>
  <c r="L115" i="2" s="1"/>
  <c r="BB589" i="1" l="1"/>
  <c r="BB599" i="1"/>
  <c r="BB604" i="1" s="1"/>
  <c r="BB568" i="1"/>
  <c r="BB587" i="1" s="1"/>
  <c r="BB725" i="1"/>
  <c r="BB704" i="1"/>
  <c r="BC260" i="1"/>
  <c r="BB590" i="1" l="1"/>
  <c r="BB836" i="1"/>
  <c r="BB607" i="1"/>
  <c r="DB260" i="1"/>
  <c r="DB261" i="1" s="1"/>
  <c r="BB837" i="1" l="1"/>
  <c r="L110" i="2"/>
  <c r="BB595" i="1"/>
  <c r="BB150" i="1"/>
  <c r="BB548" i="1"/>
  <c r="BB591" i="1"/>
  <c r="BB593" i="1" s="1"/>
  <c r="BB835" i="1" s="1"/>
  <c r="BB834" i="1"/>
  <c r="L109" i="2" l="1"/>
  <c r="W77" i="21"/>
  <c r="L111" i="2"/>
  <c r="W78" i="21"/>
  <c r="BB630" i="1"/>
  <c r="BB786" i="1"/>
  <c r="BB784" i="1"/>
  <c r="BB744" i="1"/>
  <c r="BB631" i="1" l="1"/>
  <c r="BB639" i="1" l="1"/>
  <c r="BB4" i="1" s="1"/>
  <c r="BB618" i="1"/>
  <c r="BC323" i="1" l="1"/>
  <c r="X70" i="21" l="1"/>
  <c r="BC269" i="1"/>
  <c r="BC322" i="1"/>
  <c r="BC81" i="1"/>
  <c r="BC319" i="1"/>
  <c r="BC377" i="1" s="1"/>
  <c r="DB377" i="1" s="1"/>
  <c r="BC381" i="1"/>
  <c r="DB323" i="1"/>
  <c r="BC325" i="1" l="1"/>
  <c r="DB322" i="1"/>
  <c r="DB81" i="1"/>
  <c r="DB269" i="1"/>
  <c r="DB319" i="1"/>
  <c r="DB325" i="1" s="1"/>
  <c r="AX70" i="21"/>
  <c r="BC327" i="1"/>
  <c r="BC391" i="1"/>
  <c r="BC419" i="1"/>
  <c r="BC390" i="1"/>
  <c r="BC380" i="1"/>
  <c r="X8" i="21"/>
  <c r="X9" i="21" s="1"/>
  <c r="BC387" i="1"/>
  <c r="BC99" i="1"/>
  <c r="DB381" i="1"/>
  <c r="BC389" i="1" l="1"/>
  <c r="DB387" i="1"/>
  <c r="DB389" i="1" s="1"/>
  <c r="X7" i="21"/>
  <c r="DB380" i="1"/>
  <c r="F32" i="2"/>
  <c r="F6" i="22"/>
  <c r="N44" i="22" s="1"/>
  <c r="I49" i="7"/>
  <c r="P7" i="7"/>
  <c r="DB327" i="1"/>
  <c r="DB99" i="1"/>
  <c r="DB391" i="1"/>
  <c r="DB419" i="1"/>
  <c r="AX8" i="21"/>
  <c r="AX9" i="21" s="1"/>
  <c r="BC792" i="1"/>
  <c r="BC426" i="1"/>
  <c r="BC794" i="1"/>
  <c r="BC454" i="1"/>
  <c r="BC793" i="1"/>
  <c r="X71" i="21" s="1"/>
  <c r="BC612" i="1"/>
  <c r="BC428" i="1" l="1"/>
  <c r="X19" i="21"/>
  <c r="X20" i="21" s="1"/>
  <c r="DB612" i="1"/>
  <c r="BC613" i="1"/>
  <c r="BC614" i="1"/>
  <c r="F7" i="22"/>
  <c r="F10" i="22" s="1"/>
  <c r="P8" i="7"/>
  <c r="F33" i="2"/>
  <c r="BC734" i="1"/>
  <c r="BC761" i="1" s="1"/>
  <c r="BC461" i="1"/>
  <c r="AX7" i="21"/>
  <c r="P15" i="7"/>
  <c r="DB454" i="1"/>
  <c r="DB794" i="1"/>
  <c r="F91" i="2" s="1"/>
  <c r="DB793" i="1"/>
  <c r="DB792" i="1"/>
  <c r="F89" i="2" s="1"/>
  <c r="DB426" i="1"/>
  <c r="F41" i="2"/>
  <c r="DB428" i="1" l="1"/>
  <c r="AX19" i="21"/>
  <c r="AX20" i="21" s="1"/>
  <c r="BC121" i="1"/>
  <c r="X62" i="21"/>
  <c r="BC814" i="1"/>
  <c r="BC616" i="1"/>
  <c r="BC703" i="1"/>
  <c r="DB703" i="1" s="1"/>
  <c r="BC625" i="1"/>
  <c r="DB625" i="1" s="1"/>
  <c r="I50" i="7"/>
  <c r="P17" i="7"/>
  <c r="I51" i="7"/>
  <c r="I53" i="7"/>
  <c r="DB147" i="1"/>
  <c r="DB613" i="1"/>
  <c r="DB734" i="1"/>
  <c r="DB461" i="1"/>
  <c r="F43" i="2"/>
  <c r="F42" i="2" s="1"/>
  <c r="F12" i="22"/>
  <c r="N45" i="22"/>
  <c r="F90" i="2"/>
  <c r="AX71" i="21"/>
  <c r="F40" i="2"/>
  <c r="BC463" i="1"/>
  <c r="X32" i="21"/>
  <c r="X33" i="21" s="1"/>
  <c r="DB614" i="1"/>
  <c r="N21" i="22" l="1"/>
  <c r="I16" i="7"/>
  <c r="C123" i="2"/>
  <c r="DB761" i="1"/>
  <c r="BC820" i="1"/>
  <c r="BC821" i="1"/>
  <c r="BC817" i="1"/>
  <c r="DB121" i="1"/>
  <c r="BC818" i="1"/>
  <c r="BC816" i="1"/>
  <c r="BC819" i="1"/>
  <c r="BC685" i="1"/>
  <c r="BC120" i="1"/>
  <c r="BC823" i="1" s="1"/>
  <c r="BC598" i="1"/>
  <c r="DB814" i="1"/>
  <c r="AX62" i="21"/>
  <c r="F74" i="2"/>
  <c r="S32" i="18"/>
  <c r="S33" i="18" s="1"/>
  <c r="F27" i="22"/>
  <c r="F28" i="22" s="1"/>
  <c r="DB616" i="1"/>
  <c r="P50" i="7"/>
  <c r="P51" i="7" s="1"/>
  <c r="AX32" i="21"/>
  <c r="AX33" i="21" s="1"/>
  <c r="DB463" i="1"/>
  <c r="I15" i="7"/>
  <c r="DB598" i="1" l="1"/>
  <c r="BC822" i="1"/>
  <c r="I40" i="7"/>
  <c r="I17" i="7"/>
  <c r="BC667" i="1"/>
  <c r="BC115" i="1"/>
  <c r="DB120" i="1"/>
  <c r="DB826" i="1" s="1"/>
  <c r="BC815" i="1"/>
  <c r="BC122" i="1"/>
  <c r="BC471" i="1"/>
  <c r="BC684" i="1"/>
  <c r="DB685" i="1"/>
  <c r="BC824" i="1"/>
  <c r="BC826" i="1"/>
  <c r="I71" i="7"/>
  <c r="F100" i="2"/>
  <c r="DB816" i="1"/>
  <c r="DB821" i="1"/>
  <c r="DB818" i="1"/>
  <c r="DB817" i="1"/>
  <c r="DB820" i="1"/>
  <c r="DB116" i="1"/>
  <c r="DB819" i="1"/>
  <c r="BC827" i="1"/>
  <c r="BC825" i="1"/>
  <c r="DB825" i="1" l="1"/>
  <c r="DB815" i="1"/>
  <c r="DB115" i="1"/>
  <c r="DB122" i="1"/>
  <c r="DB822" i="1"/>
  <c r="I75" i="7"/>
  <c r="F104" i="2"/>
  <c r="DB824" i="1"/>
  <c r="F102" i="2"/>
  <c r="I73" i="7"/>
  <c r="BC472" i="1"/>
  <c r="DB471" i="1"/>
  <c r="P19" i="7" s="1"/>
  <c r="P20" i="7" s="1"/>
  <c r="DB667" i="1"/>
  <c r="DB684" i="1"/>
  <c r="DB827" i="1"/>
  <c r="F103" i="2"/>
  <c r="I74" i="7"/>
  <c r="N52" i="22"/>
  <c r="DB823" i="1"/>
  <c r="BC117" i="1" l="1"/>
  <c r="BC118" i="1"/>
  <c r="BC811" i="1"/>
  <c r="BC478" i="1"/>
  <c r="BC465" i="1"/>
  <c r="X35" i="21"/>
  <c r="X36" i="21" s="1"/>
  <c r="BC810" i="1"/>
  <c r="DB472" i="1"/>
  <c r="BC483" i="1"/>
  <c r="I76" i="7"/>
  <c r="F105" i="2"/>
  <c r="I78" i="7"/>
  <c r="F107" i="2"/>
  <c r="F106" i="2"/>
  <c r="N53" i="22"/>
  <c r="I77" i="7"/>
  <c r="I72" i="7"/>
  <c r="F101" i="2"/>
  <c r="BC711" i="1" l="1"/>
  <c r="BC497" i="1"/>
  <c r="BC490" i="1"/>
  <c r="BC480" i="1"/>
  <c r="BC482" i="1" s="1"/>
  <c r="DB478" i="1"/>
  <c r="DB480" i="1" s="1"/>
  <c r="AX35" i="21"/>
  <c r="AX36" i="21" s="1"/>
  <c r="DB465" i="1"/>
  <c r="DB811" i="1"/>
  <c r="DB117" i="1"/>
  <c r="DB810" i="1"/>
  <c r="DB118" i="1"/>
  <c r="DB483" i="1"/>
  <c r="BC500" i="1" l="1"/>
  <c r="X40" i="21"/>
  <c r="BC130" i="1"/>
  <c r="DB497" i="1"/>
  <c r="I67" i="7"/>
  <c r="F96" i="2"/>
  <c r="DB711" i="1"/>
  <c r="I68" i="7"/>
  <c r="F97" i="2"/>
  <c r="N50" i="22"/>
  <c r="BC493" i="1"/>
  <c r="X38" i="21"/>
  <c r="BC712" i="1"/>
  <c r="F45" i="2"/>
  <c r="DB490" i="1"/>
  <c r="F13" i="22"/>
  <c r="F14" i="22" s="1"/>
  <c r="F44" i="2" l="1"/>
  <c r="DB129" i="1"/>
  <c r="P21" i="7"/>
  <c r="DB130" i="1"/>
  <c r="F46" i="2"/>
  <c r="F49" i="2" s="1"/>
  <c r="AX40" i="21"/>
  <c r="DB493" i="1"/>
  <c r="AX38" i="21"/>
  <c r="X41" i="21"/>
  <c r="DB712" i="1"/>
  <c r="BC495" i="1"/>
  <c r="BC506" i="1"/>
  <c r="DB500" i="1"/>
  <c r="BC515" i="1"/>
  <c r="AX41" i="21" l="1"/>
  <c r="BC136" i="1"/>
  <c r="BC838" i="1" s="1"/>
  <c r="BC730" i="1"/>
  <c r="BC741" i="1"/>
  <c r="BC767" i="1" s="1"/>
  <c r="BC787" i="1"/>
  <c r="BC732" i="1"/>
  <c r="BC789" i="1"/>
  <c r="BC513" i="1"/>
  <c r="X44" i="21"/>
  <c r="X47" i="21" s="1"/>
  <c r="X48" i="21" s="1"/>
  <c r="BC620" i="1"/>
  <c r="BC624" i="1" s="1"/>
  <c r="BC629" i="1" s="1"/>
  <c r="BC525" i="1"/>
  <c r="BC740" i="1"/>
  <c r="BC766" i="1" s="1"/>
  <c r="BC521" i="1"/>
  <c r="DB521" i="1" s="1"/>
  <c r="BC788" i="1"/>
  <c r="X72" i="21" s="1"/>
  <c r="DB136" i="1"/>
  <c r="I31" i="7" s="1"/>
  <c r="BC509" i="1"/>
  <c r="DB506" i="1"/>
  <c r="DB509" i="1" s="1"/>
  <c r="DB495" i="1"/>
  <c r="DB515" i="1"/>
  <c r="I54" i="7"/>
  <c r="P24" i="7"/>
  <c r="BC728" i="1" l="1"/>
  <c r="BC529" i="1"/>
  <c r="BC729" i="1"/>
  <c r="X51" i="21"/>
  <c r="X50" i="21" s="1"/>
  <c r="DB525" i="1"/>
  <c r="BC676" i="1"/>
  <c r="BC760" i="1"/>
  <c r="BC733" i="1"/>
  <c r="X55" i="21"/>
  <c r="P28" i="7"/>
  <c r="I24" i="7" s="1"/>
  <c r="I25" i="7" s="1"/>
  <c r="I18" i="7"/>
  <c r="I19" i="7" s="1"/>
  <c r="DB620" i="1"/>
  <c r="DB624" i="1" s="1"/>
  <c r="DB629" i="1" s="1"/>
  <c r="DB789" i="1"/>
  <c r="DB788" i="1"/>
  <c r="DB787" i="1"/>
  <c r="DB732" i="1"/>
  <c r="DB741" i="1"/>
  <c r="DB767" i="1" s="1"/>
  <c r="DB740" i="1"/>
  <c r="DB766" i="1" s="1"/>
  <c r="DB730" i="1"/>
  <c r="DB513" i="1"/>
  <c r="AX44" i="21"/>
  <c r="AX47" i="21" s="1"/>
  <c r="AX48" i="21" s="1"/>
  <c r="BC731" i="1"/>
  <c r="X54" i="21"/>
  <c r="BC759" i="1"/>
  <c r="BC840" i="1"/>
  <c r="BC137" i="1"/>
  <c r="BC510" i="1"/>
  <c r="F15" i="22"/>
  <c r="S18" i="18" l="1"/>
  <c r="F15" i="2"/>
  <c r="F84" i="2"/>
  <c r="I61" i="7"/>
  <c r="BC534" i="1"/>
  <c r="DB529" i="1"/>
  <c r="N47" i="22"/>
  <c r="F17" i="22"/>
  <c r="DB840" i="1"/>
  <c r="F114" i="2" s="1"/>
  <c r="DB838" i="1"/>
  <c r="DB759" i="1"/>
  <c r="F41" i="22"/>
  <c r="DB731" i="1"/>
  <c r="AX54" i="21"/>
  <c r="I20" i="7"/>
  <c r="I21" i="7" s="1"/>
  <c r="BC758" i="1"/>
  <c r="AX72" i="21"/>
  <c r="S16" i="18"/>
  <c r="F85" i="2"/>
  <c r="I59" i="7"/>
  <c r="DB676" i="1"/>
  <c r="BC839" i="1"/>
  <c r="DB137" i="1"/>
  <c r="C122" i="2"/>
  <c r="DB760" i="1"/>
  <c r="I22" i="7"/>
  <c r="F52" i="2"/>
  <c r="F50" i="2" s="1"/>
  <c r="F16" i="2"/>
  <c r="AX55" i="21"/>
  <c r="DB733" i="1"/>
  <c r="F43" i="22"/>
  <c r="F44" i="22" s="1"/>
  <c r="F86" i="2"/>
  <c r="I63" i="7"/>
  <c r="DB729" i="1"/>
  <c r="DB728" i="1"/>
  <c r="AX51" i="21"/>
  <c r="AX50" i="21" s="1"/>
  <c r="DB510" i="1"/>
  <c r="BC757" i="1"/>
  <c r="F47" i="22" l="1"/>
  <c r="F48" i="22" s="1"/>
  <c r="DB758" i="1"/>
  <c r="DB839" i="1"/>
  <c r="F113" i="2" s="1"/>
  <c r="I32" i="7"/>
  <c r="DB131" i="1"/>
  <c r="N37" i="22"/>
  <c r="F20" i="22"/>
  <c r="N36" i="22"/>
  <c r="I39" i="7"/>
  <c r="I23" i="7"/>
  <c r="F53" i="2"/>
  <c r="F18" i="2"/>
  <c r="N20" i="22"/>
  <c r="F42" i="22"/>
  <c r="F17" i="2"/>
  <c r="F19" i="2"/>
  <c r="DB534" i="1"/>
  <c r="DB538" i="1" s="1"/>
  <c r="BC538" i="1"/>
  <c r="S21" i="18"/>
  <c r="S19" i="18"/>
  <c r="F51" i="22"/>
  <c r="F112" i="2"/>
  <c r="F45" i="22"/>
  <c r="F46" i="22" s="1"/>
  <c r="DB757" i="1"/>
  <c r="I26" i="7"/>
  <c r="I27" i="7" s="1"/>
  <c r="BD533" i="1" l="1"/>
  <c r="BC541" i="1"/>
  <c r="BC743" i="1"/>
  <c r="BC531" i="1"/>
  <c r="BD526" i="1"/>
  <c r="X63" i="21"/>
  <c r="BC742" i="1"/>
  <c r="BC768" i="1" s="1"/>
  <c r="BC701" i="1"/>
  <c r="DC533" i="1"/>
  <c r="S23" i="18"/>
  <c r="DB742" i="1"/>
  <c r="P53" i="7"/>
  <c r="DB541" i="1"/>
  <c r="DB531" i="1"/>
  <c r="DB743" i="1"/>
  <c r="AX63" i="21"/>
  <c r="N41" i="22"/>
  <c r="N42" i="22"/>
  <c r="BC700" i="1" l="1"/>
  <c r="BC702" i="1"/>
  <c r="BC785" i="1" s="1"/>
  <c r="BC841" i="1" s="1"/>
  <c r="DB701" i="1"/>
  <c r="BC783" i="1"/>
  <c r="X73" i="21" s="1"/>
  <c r="X74" i="21" s="1"/>
  <c r="BC782" i="1"/>
  <c r="BD621" i="1"/>
  <c r="BD675" i="1"/>
  <c r="I33" i="7"/>
  <c r="I41" i="7" s="1"/>
  <c r="DB769" i="1"/>
  <c r="C125" i="2"/>
  <c r="D125" i="2"/>
  <c r="F54" i="22"/>
  <c r="N23" i="22" s="1"/>
  <c r="DB550" i="1"/>
  <c r="P52" i="7"/>
  <c r="BC769" i="1"/>
  <c r="S37" i="18"/>
  <c r="S25" i="18"/>
  <c r="S26" i="18" s="1"/>
  <c r="S34" i="18"/>
  <c r="S30" i="18"/>
  <c r="BC550" i="1"/>
  <c r="BC564" i="1" s="1"/>
  <c r="BC673" i="1"/>
  <c r="BC671" i="1"/>
  <c r="BC674" i="1"/>
  <c r="F23" i="2"/>
  <c r="F53" i="22"/>
  <c r="N22" i="22" s="1"/>
  <c r="DB768" i="1"/>
  <c r="I34" i="7"/>
  <c r="I42" i="7" s="1"/>
  <c r="DB673" i="1" l="1"/>
  <c r="E125" i="2"/>
  <c r="J125" i="2"/>
  <c r="C148" i="2" s="1"/>
  <c r="DB564" i="1"/>
  <c r="F29" i="22"/>
  <c r="F37" i="22"/>
  <c r="P59" i="7"/>
  <c r="P60" i="7" s="1"/>
  <c r="DB702" i="1"/>
  <c r="DB783" i="1"/>
  <c r="DB782" i="1"/>
  <c r="BC567" i="1"/>
  <c r="BC568" i="1" s="1"/>
  <c r="BC587" i="1" s="1"/>
  <c r="BC672" i="1"/>
  <c r="DB674" i="1"/>
  <c r="S28" i="18"/>
  <c r="S27" i="18"/>
  <c r="BC699" i="1"/>
  <c r="DB700" i="1"/>
  <c r="DB671" i="1"/>
  <c r="BD261" i="1"/>
  <c r="K11" i="22" l="1"/>
  <c r="N70" i="7"/>
  <c r="DB699" i="1"/>
  <c r="DB785" i="1"/>
  <c r="N35" i="22"/>
  <c r="N40" i="22"/>
  <c r="BC725" i="1"/>
  <c r="BC704" i="1"/>
  <c r="DB672" i="1"/>
  <c r="F38" i="22"/>
  <c r="N34" i="22"/>
  <c r="N39" i="22"/>
  <c r="I57" i="7"/>
  <c r="F81" i="2"/>
  <c r="BD260" i="1"/>
  <c r="BC836" i="1"/>
  <c r="BC599" i="1"/>
  <c r="DB567" i="1"/>
  <c r="DB568" i="1" s="1"/>
  <c r="DB587" i="1" s="1"/>
  <c r="BC589" i="1"/>
  <c r="DB589" i="1" s="1"/>
  <c r="I44" i="7"/>
  <c r="AX73" i="21"/>
  <c r="AX74" i="21" s="1"/>
  <c r="F82" i="2"/>
  <c r="I58" i="7"/>
  <c r="I60" i="7" s="1"/>
  <c r="DB836" i="1" l="1"/>
  <c r="DB590" i="1"/>
  <c r="DB725" i="1"/>
  <c r="F83" i="2"/>
  <c r="I62" i="7"/>
  <c r="I45" i="7"/>
  <c r="DB841" i="1"/>
  <c r="F115" i="2" s="1"/>
  <c r="DB704" i="1"/>
  <c r="DB599" i="1"/>
  <c r="DB604" i="1" s="1"/>
  <c r="BC604" i="1"/>
  <c r="BC590" i="1"/>
  <c r="DB834" i="1" l="1"/>
  <c r="F30" i="22"/>
  <c r="F31" i="22" s="1"/>
  <c r="DB595" i="1"/>
  <c r="DB548" i="1"/>
  <c r="DB150" i="1"/>
  <c r="BC607" i="1"/>
  <c r="BC595" i="1"/>
  <c r="BC834" i="1"/>
  <c r="BC548" i="1"/>
  <c r="BC150" i="1"/>
  <c r="BC591" i="1"/>
  <c r="DB591" i="1" s="1"/>
  <c r="DB593" i="1" s="1"/>
  <c r="DB835" i="1" s="1"/>
  <c r="N56" i="22"/>
  <c r="S36" i="18"/>
  <c r="S38" i="18" s="1"/>
  <c r="F110" i="2"/>
  <c r="I81" i="7"/>
  <c r="DB607" i="1"/>
  <c r="DB837" i="1" l="1"/>
  <c r="DB784" i="1"/>
  <c r="DB786" i="1"/>
  <c r="DB744" i="1"/>
  <c r="BC593" i="1"/>
  <c r="BC835" i="1" s="1"/>
  <c r="BC837" i="1"/>
  <c r="F109" i="2"/>
  <c r="I80" i="7"/>
  <c r="AX77" i="21"/>
  <c r="N55" i="22"/>
  <c r="X77" i="21"/>
  <c r="BC630" i="1"/>
  <c r="BC786" i="1"/>
  <c r="BC784" i="1"/>
  <c r="BC744" i="1"/>
  <c r="C124" i="2" l="1"/>
  <c r="D124" i="2"/>
  <c r="X78" i="21"/>
  <c r="I82" i="7"/>
  <c r="F111" i="2"/>
  <c r="AX78" i="21"/>
  <c r="N57" i="22"/>
  <c r="DB630" i="1"/>
  <c r="DB631" i="1" s="1"/>
  <c r="BC631" i="1"/>
  <c r="BC618" i="1" l="1"/>
  <c r="BC639" i="1"/>
  <c r="BC4" i="1" s="1"/>
  <c r="E124" i="2"/>
  <c r="DB639" i="1"/>
  <c r="DB618" i="1"/>
  <c r="BD323" i="1" l="1"/>
  <c r="BD319" i="1" l="1"/>
  <c r="BD377" i="1" s="1"/>
  <c r="BD381" i="1"/>
  <c r="BD81" i="1"/>
  <c r="BD322" i="1"/>
  <c r="Y70" i="21"/>
  <c r="BD269" i="1"/>
  <c r="BD325" i="1" l="1"/>
  <c r="BD387" i="1"/>
  <c r="BD419" i="1"/>
  <c r="BD391" i="1"/>
  <c r="BD380" i="1"/>
  <c r="BD99" i="1"/>
  <c r="Y8" i="21"/>
  <c r="Y9" i="21" s="1"/>
  <c r="BD327" i="1"/>
  <c r="BD390" i="1"/>
  <c r="BD793" i="1" l="1"/>
  <c r="Y71" i="21" s="1"/>
  <c r="BD454" i="1"/>
  <c r="BD426" i="1"/>
  <c r="BD792" i="1"/>
  <c r="BD794" i="1"/>
  <c r="BD612" i="1"/>
  <c r="BD389" i="1"/>
  <c r="Y7" i="21"/>
  <c r="BD613" i="1" l="1"/>
  <c r="BD614" i="1"/>
  <c r="BD734" i="1"/>
  <c r="BD761" i="1" s="1"/>
  <c r="BD461" i="1"/>
  <c r="Y19" i="21"/>
  <c r="Y20" i="21" s="1"/>
  <c r="BD428" i="1"/>
  <c r="BD121" i="1" l="1"/>
  <c r="BD616" i="1"/>
  <c r="Y62" i="21"/>
  <c r="BD814" i="1"/>
  <c r="BD625" i="1"/>
  <c r="BD703" i="1"/>
  <c r="Y32" i="21"/>
  <c r="Y33" i="21" s="1"/>
  <c r="BD463" i="1"/>
  <c r="BD819" i="1" l="1"/>
  <c r="BD817" i="1"/>
  <c r="BD818" i="1"/>
  <c r="BD816" i="1"/>
  <c r="BD820" i="1"/>
  <c r="BD821" i="1"/>
  <c r="BD598" i="1"/>
  <c r="BD685" i="1"/>
  <c r="BD120" i="1"/>
  <c r="BD822" i="1" s="1"/>
  <c r="BD823" i="1" l="1"/>
  <c r="BD824" i="1"/>
  <c r="BD667" i="1"/>
  <c r="BD115" i="1"/>
  <c r="BD122" i="1"/>
  <c r="BD815" i="1"/>
  <c r="BD471" i="1"/>
  <c r="BD684" i="1"/>
  <c r="BD826" i="1"/>
  <c r="BD825" i="1"/>
  <c r="BD827" i="1"/>
  <c r="BD472" i="1" l="1"/>
  <c r="BD478" i="1" l="1"/>
  <c r="BD117" i="1"/>
  <c r="BD811" i="1"/>
  <c r="BD465" i="1"/>
  <c r="Y35" i="21"/>
  <c r="Y36" i="21" s="1"/>
  <c r="BD118" i="1"/>
  <c r="BD810" i="1"/>
  <c r="BD483" i="1"/>
  <c r="BD497" i="1" l="1"/>
  <c r="BD490" i="1"/>
  <c r="BD711" i="1"/>
  <c r="BD480" i="1"/>
  <c r="BD482" i="1" s="1"/>
  <c r="BD500" i="1" l="1"/>
  <c r="BD130" i="1"/>
  <c r="Y40" i="21"/>
  <c r="BD712" i="1"/>
  <c r="BD493" i="1"/>
  <c r="Y38" i="21"/>
  <c r="Y41" i="21" l="1"/>
  <c r="BD506" i="1"/>
  <c r="BD495" i="1"/>
  <c r="BD515" i="1"/>
  <c r="BD620" i="1" l="1"/>
  <c r="BD624" i="1" s="1"/>
  <c r="BD629" i="1" s="1"/>
  <c r="BD525" i="1"/>
  <c r="BD788" i="1"/>
  <c r="Y72" i="21" s="1"/>
  <c r="BD521" i="1"/>
  <c r="BD730" i="1"/>
  <c r="Y44" i="21"/>
  <c r="Y47" i="21" s="1"/>
  <c r="Y48" i="21" s="1"/>
  <c r="BD741" i="1"/>
  <c r="BD767" i="1" s="1"/>
  <c r="BD513" i="1"/>
  <c r="BD732" i="1"/>
  <c r="BD789" i="1"/>
  <c r="BD787" i="1"/>
  <c r="BD136" i="1"/>
  <c r="BD838" i="1" s="1"/>
  <c r="BD740" i="1"/>
  <c r="BD766" i="1" s="1"/>
  <c r="BD509" i="1"/>
  <c r="BD137" i="1" l="1"/>
  <c r="BD510" i="1"/>
  <c r="BD759" i="1"/>
  <c r="Y54" i="21"/>
  <c r="BD731" i="1"/>
  <c r="BD840" i="1"/>
  <c r="BD529" i="1"/>
  <c r="BD728" i="1"/>
  <c r="Y51" i="21"/>
  <c r="Y50" i="21" s="1"/>
  <c r="BD729" i="1"/>
  <c r="BD676" i="1"/>
  <c r="BD733" i="1"/>
  <c r="BD760" i="1"/>
  <c r="Y55" i="21"/>
  <c r="BD757" i="1" l="1"/>
  <c r="BD534" i="1"/>
  <c r="BD839" i="1"/>
  <c r="BD758" i="1"/>
  <c r="BD538" i="1" l="1"/>
  <c r="BE533" i="1" l="1"/>
  <c r="BE526" i="1"/>
  <c r="Y63" i="21"/>
  <c r="BD541" i="1"/>
  <c r="BD531" i="1"/>
  <c r="BD743" i="1"/>
  <c r="BD742" i="1"/>
  <c r="BD768" i="1" s="1"/>
  <c r="BD701" i="1"/>
  <c r="BE621" i="1" l="1"/>
  <c r="DC526" i="1"/>
  <c r="BE675" i="1"/>
  <c r="BD769" i="1"/>
  <c r="BD550" i="1"/>
  <c r="BD564" i="1" s="1"/>
  <c r="BD673" i="1"/>
  <c r="BD671" i="1"/>
  <c r="BD674" i="1"/>
  <c r="BD700" i="1"/>
  <c r="BD702" i="1"/>
  <c r="BD785" i="1" s="1"/>
  <c r="BD841" i="1" s="1"/>
  <c r="BD783" i="1"/>
  <c r="Y73" i="21" s="1"/>
  <c r="Y74" i="21" s="1"/>
  <c r="BD782" i="1"/>
  <c r="BD672" i="1" l="1"/>
  <c r="BD699" i="1"/>
  <c r="BD567" i="1"/>
  <c r="BD568" i="1" s="1"/>
  <c r="BD587" i="1" s="1"/>
  <c r="DC675" i="1"/>
  <c r="DC621" i="1"/>
  <c r="BE261" i="1"/>
  <c r="BD725" i="1" l="1"/>
  <c r="BD704" i="1"/>
  <c r="BD836" i="1"/>
  <c r="BD589" i="1"/>
  <c r="BD590" i="1" s="1"/>
  <c r="BD599" i="1"/>
  <c r="BD604" i="1" s="1"/>
  <c r="BE260" i="1"/>
  <c r="BD607" i="1" l="1"/>
  <c r="BD595" i="1"/>
  <c r="BD548" i="1"/>
  <c r="BD150" i="1"/>
  <c r="BD834" i="1"/>
  <c r="BD591" i="1"/>
  <c r="BD593" i="1" s="1"/>
  <c r="BD835" i="1" s="1"/>
  <c r="DC260" i="1"/>
  <c r="DC261" i="1" s="1"/>
  <c r="BD630" i="1" l="1"/>
  <c r="BD786" i="1"/>
  <c r="BD784" i="1"/>
  <c r="BD744" i="1"/>
  <c r="BD837" i="1"/>
  <c r="Y77" i="21"/>
  <c r="BD631" i="1" l="1"/>
  <c r="Y78" i="21"/>
  <c r="BD618" i="1" l="1"/>
  <c r="BD639" i="1"/>
  <c r="BD4" i="1" s="1"/>
  <c r="BE323" i="1" l="1"/>
  <c r="DC323" i="1" l="1"/>
  <c r="BE381" i="1"/>
  <c r="Z70" i="21"/>
  <c r="BE319" i="1"/>
  <c r="BE377" i="1" s="1"/>
  <c r="DC377" i="1" s="1"/>
  <c r="BE269" i="1"/>
  <c r="BE322" i="1"/>
  <c r="BE81" i="1"/>
  <c r="BE380" i="1" l="1"/>
  <c r="BE327" i="1"/>
  <c r="BE387" i="1"/>
  <c r="BE391" i="1"/>
  <c r="BE419" i="1"/>
  <c r="BE390" i="1"/>
  <c r="BE99" i="1"/>
  <c r="Z8" i="21"/>
  <c r="Z9" i="21" s="1"/>
  <c r="DC381" i="1"/>
  <c r="BE325" i="1"/>
  <c r="DC269" i="1"/>
  <c r="AY70" i="21"/>
  <c r="DC81" i="1"/>
  <c r="DC319" i="1"/>
  <c r="DC325" i="1" s="1"/>
  <c r="DC322" i="1"/>
  <c r="BE389" i="1" l="1"/>
  <c r="DC387" i="1"/>
  <c r="DC389" i="1" s="1"/>
  <c r="G32" i="2"/>
  <c r="J49" i="7"/>
  <c r="Q7" i="7"/>
  <c r="G6" i="22"/>
  <c r="O44" i="22" s="1"/>
  <c r="DC99" i="1"/>
  <c r="DC391" i="1"/>
  <c r="DC327" i="1"/>
  <c r="DC419" i="1"/>
  <c r="AY8" i="21"/>
  <c r="AY9" i="21" s="1"/>
  <c r="BE426" i="1"/>
  <c r="BE793" i="1"/>
  <c r="Z71" i="21" s="1"/>
  <c r="BE794" i="1"/>
  <c r="BE454" i="1"/>
  <c r="BE792" i="1"/>
  <c r="BE612" i="1"/>
  <c r="Z7" i="21"/>
  <c r="DC380" i="1"/>
  <c r="DC793" i="1" l="1"/>
  <c r="DC794" i="1"/>
  <c r="G91" i="2" s="1"/>
  <c r="G41" i="2"/>
  <c r="DC426" i="1"/>
  <c r="DC792" i="1"/>
  <c r="G89" i="2" s="1"/>
  <c r="Q15" i="7"/>
  <c r="DC454" i="1"/>
  <c r="BE461" i="1"/>
  <c r="BE734" i="1"/>
  <c r="BE761" i="1" s="1"/>
  <c r="AY7" i="21"/>
  <c r="G33" i="2"/>
  <c r="G7" i="22"/>
  <c r="G10" i="22" s="1"/>
  <c r="Q8" i="7"/>
  <c r="Z19" i="21"/>
  <c r="Z20" i="21" s="1"/>
  <c r="BE428" i="1"/>
  <c r="BE613" i="1"/>
  <c r="DC612" i="1"/>
  <c r="BE614" i="1"/>
  <c r="Z32" i="21" l="1"/>
  <c r="Z33" i="21" s="1"/>
  <c r="BE463" i="1"/>
  <c r="G40" i="2"/>
  <c r="Z62" i="21"/>
  <c r="BE814" i="1"/>
  <c r="BE121" i="1"/>
  <c r="BE616" i="1"/>
  <c r="BE625" i="1"/>
  <c r="DC625" i="1" s="1"/>
  <c r="BE703" i="1"/>
  <c r="DC703" i="1" s="1"/>
  <c r="DC734" i="1"/>
  <c r="DC461" i="1"/>
  <c r="G43" i="2"/>
  <c r="G42" i="2" s="1"/>
  <c r="Q17" i="7"/>
  <c r="J50" i="7"/>
  <c r="J51" i="7"/>
  <c r="J53" i="7"/>
  <c r="DC614" i="1"/>
  <c r="AY19" i="21"/>
  <c r="AY20" i="21" s="1"/>
  <c r="DC428" i="1"/>
  <c r="G12" i="22"/>
  <c r="O45" i="22"/>
  <c r="G90" i="2"/>
  <c r="AY71" i="21"/>
  <c r="DC613" i="1"/>
  <c r="DC147" i="1"/>
  <c r="J15" i="7" l="1"/>
  <c r="DC463" i="1"/>
  <c r="AY32" i="21"/>
  <c r="AY33" i="21" s="1"/>
  <c r="O21" i="22"/>
  <c r="D123" i="2"/>
  <c r="E123" i="2" s="1"/>
  <c r="DC761" i="1"/>
  <c r="J16" i="7"/>
  <c r="BE816" i="1"/>
  <c r="BE820" i="1"/>
  <c r="BE817" i="1"/>
  <c r="DC121" i="1"/>
  <c r="BE819" i="1"/>
  <c r="BE821" i="1"/>
  <c r="BE818" i="1"/>
  <c r="BE598" i="1"/>
  <c r="BE685" i="1"/>
  <c r="BE120" i="1"/>
  <c r="BE827" i="1" s="1"/>
  <c r="DC814" i="1"/>
  <c r="DC616" i="1"/>
  <c r="AY62" i="21"/>
  <c r="G27" i="22"/>
  <c r="G28" i="22" s="1"/>
  <c r="Q50" i="7"/>
  <c r="Q51" i="7" s="1"/>
  <c r="G74" i="2"/>
  <c r="T32" i="18"/>
  <c r="T33" i="18" s="1"/>
  <c r="BE825" i="1" l="1"/>
  <c r="J40" i="7"/>
  <c r="J17" i="7"/>
  <c r="J71" i="7"/>
  <c r="G100" i="2"/>
  <c r="BE115" i="1"/>
  <c r="BE667" i="1"/>
  <c r="DC120" i="1"/>
  <c r="DC826" i="1" s="1"/>
  <c r="BE122" i="1"/>
  <c r="BE815" i="1"/>
  <c r="BE471" i="1"/>
  <c r="BE684" i="1"/>
  <c r="DC685" i="1"/>
  <c r="BE822" i="1"/>
  <c r="DC598" i="1"/>
  <c r="BE823" i="1"/>
  <c r="BE824" i="1"/>
  <c r="DC817" i="1"/>
  <c r="DC116" i="1"/>
  <c r="DC821" i="1"/>
  <c r="DC816" i="1"/>
  <c r="DC820" i="1"/>
  <c r="DC819" i="1"/>
  <c r="DC818" i="1"/>
  <c r="BE826" i="1"/>
  <c r="DC684" i="1" l="1"/>
  <c r="J74" i="7"/>
  <c r="G103" i="2"/>
  <c r="O52" i="22"/>
  <c r="DC815" i="1"/>
  <c r="DC115" i="1"/>
  <c r="DC122" i="1"/>
  <c r="DC825" i="1"/>
  <c r="J75" i="7"/>
  <c r="G104" i="2"/>
  <c r="BE472" i="1"/>
  <c r="DC471" i="1"/>
  <c r="Q19" i="7" s="1"/>
  <c r="Q20" i="7" s="1"/>
  <c r="DC823" i="1"/>
  <c r="J73" i="7"/>
  <c r="G102" i="2"/>
  <c r="DC824" i="1"/>
  <c r="DC667" i="1"/>
  <c r="DC827" i="1"/>
  <c r="DC822" i="1"/>
  <c r="J72" i="7" l="1"/>
  <c r="G101" i="2"/>
  <c r="J76" i="7"/>
  <c r="G105" i="2"/>
  <c r="BE478" i="1"/>
  <c r="BE117" i="1"/>
  <c r="BE465" i="1"/>
  <c r="Z35" i="21"/>
  <c r="Z36" i="21" s="1"/>
  <c r="BE811" i="1"/>
  <c r="BE118" i="1"/>
  <c r="BE810" i="1"/>
  <c r="DC472" i="1"/>
  <c r="BE483" i="1"/>
  <c r="G106" i="2"/>
  <c r="J77" i="7"/>
  <c r="O53" i="22"/>
  <c r="G107" i="2"/>
  <c r="J78" i="7"/>
  <c r="DC117" i="1" l="1"/>
  <c r="DC810" i="1"/>
  <c r="AY35" i="21"/>
  <c r="AY36" i="21" s="1"/>
  <c r="DC465" i="1"/>
  <c r="DC811" i="1"/>
  <c r="DC118" i="1"/>
  <c r="DC483" i="1"/>
  <c r="BE711" i="1"/>
  <c r="BE712" i="1" s="1"/>
  <c r="BE480" i="1"/>
  <c r="BE482" i="1" s="1"/>
  <c r="DC478" i="1"/>
  <c r="DC480" i="1" s="1"/>
  <c r="BE490" i="1"/>
  <c r="BE497" i="1"/>
  <c r="Z40" i="21" l="1"/>
  <c r="BE500" i="1"/>
  <c r="BE130" i="1"/>
  <c r="DC497" i="1"/>
  <c r="BE493" i="1"/>
  <c r="Z38" i="21"/>
  <c r="G13" i="22"/>
  <c r="G14" i="22" s="1"/>
  <c r="DC711" i="1"/>
  <c r="DC712" i="1"/>
  <c r="G97" i="2"/>
  <c r="J68" i="7"/>
  <c r="O50" i="22"/>
  <c r="G45" i="2"/>
  <c r="DC490" i="1"/>
  <c r="G96" i="2"/>
  <c r="J67" i="7"/>
  <c r="AY40" i="21" l="1"/>
  <c r="DC129" i="1"/>
  <c r="DC130" i="1"/>
  <c r="Q21" i="7"/>
  <c r="G46" i="2"/>
  <c r="G49" i="2" s="1"/>
  <c r="DC493" i="1"/>
  <c r="AY38" i="21"/>
  <c r="G44" i="2"/>
  <c r="BE506" i="1"/>
  <c r="BE495" i="1"/>
  <c r="DC500" i="1"/>
  <c r="BE515" i="1"/>
  <c r="Z41" i="21"/>
  <c r="AY41" i="21" l="1"/>
  <c r="BE509" i="1"/>
  <c r="DC506" i="1"/>
  <c r="DC509" i="1" s="1"/>
  <c r="J54" i="7"/>
  <c r="Q24" i="7"/>
  <c r="BE620" i="1"/>
  <c r="BE624" i="1" s="1"/>
  <c r="BE629" i="1" s="1"/>
  <c r="BE136" i="1"/>
  <c r="BE838" i="1" s="1"/>
  <c r="BE732" i="1"/>
  <c r="BE525" i="1"/>
  <c r="BE513" i="1"/>
  <c r="BE741" i="1"/>
  <c r="BE767" i="1" s="1"/>
  <c r="BE788" i="1"/>
  <c r="Z72" i="21" s="1"/>
  <c r="BE789" i="1"/>
  <c r="BE730" i="1"/>
  <c r="Z44" i="21"/>
  <c r="Z47" i="21" s="1"/>
  <c r="Z48" i="21" s="1"/>
  <c r="BE740" i="1"/>
  <c r="BE766" i="1" s="1"/>
  <c r="BE787" i="1"/>
  <c r="BE521" i="1"/>
  <c r="DC521" i="1" s="1"/>
  <c r="DC136" i="1"/>
  <c r="J31" i="7" s="1"/>
  <c r="DC495" i="1"/>
  <c r="DC515" i="1"/>
  <c r="J18" i="7" l="1"/>
  <c r="J19" i="7" s="1"/>
  <c r="Q28" i="7"/>
  <c r="J24" i="7" s="1"/>
  <c r="J25" i="7" s="1"/>
  <c r="G15" i="22"/>
  <c r="BE728" i="1"/>
  <c r="BE729" i="1"/>
  <c r="Z51" i="21"/>
  <c r="Z50" i="21" s="1"/>
  <c r="BE529" i="1"/>
  <c r="DC525" i="1"/>
  <c r="BE676" i="1"/>
  <c r="BE760" i="1"/>
  <c r="BE733" i="1"/>
  <c r="Z55" i="21"/>
  <c r="BE840" i="1"/>
  <c r="Z54" i="21"/>
  <c r="BE731" i="1"/>
  <c r="BE759" i="1"/>
  <c r="DC620" i="1"/>
  <c r="DC624" i="1" s="1"/>
  <c r="DC629" i="1" s="1"/>
  <c r="DC789" i="1"/>
  <c r="DC730" i="1"/>
  <c r="DC741" i="1"/>
  <c r="DC767" i="1" s="1"/>
  <c r="AY44" i="21"/>
  <c r="AY47" i="21" s="1"/>
  <c r="AY48" i="21" s="1"/>
  <c r="DC732" i="1"/>
  <c r="DC740" i="1"/>
  <c r="DC766" i="1" s="1"/>
  <c r="DC788" i="1"/>
  <c r="DC787" i="1"/>
  <c r="DC513" i="1"/>
  <c r="BE137" i="1"/>
  <c r="BE510" i="1"/>
  <c r="DC676" i="1" l="1"/>
  <c r="BE758" i="1"/>
  <c r="O47" i="22"/>
  <c r="G17" i="22"/>
  <c r="DC760" i="1"/>
  <c r="J22" i="7"/>
  <c r="D122" i="2"/>
  <c r="E122" i="2" s="1"/>
  <c r="G52" i="2"/>
  <c r="G50" i="2" s="1"/>
  <c r="DC733" i="1"/>
  <c r="AY55" i="21"/>
  <c r="G43" i="22"/>
  <c r="G44" i="22" s="1"/>
  <c r="G16" i="2"/>
  <c r="DC137" i="1"/>
  <c r="BE839" i="1"/>
  <c r="G84" i="2"/>
  <c r="J61" i="7"/>
  <c r="BE757" i="1"/>
  <c r="DC731" i="1"/>
  <c r="G41" i="22"/>
  <c r="J20" i="7"/>
  <c r="J21" i="7" s="1"/>
  <c r="DC759" i="1"/>
  <c r="DC838" i="1"/>
  <c r="AY54" i="21"/>
  <c r="DC840" i="1"/>
  <c r="G114" i="2" s="1"/>
  <c r="G15" i="2"/>
  <c r="T18" i="18"/>
  <c r="AY51" i="21"/>
  <c r="AY50" i="21" s="1"/>
  <c r="DC729" i="1"/>
  <c r="DC728" i="1"/>
  <c r="DC510" i="1"/>
  <c r="T16" i="18"/>
  <c r="J59" i="7"/>
  <c r="G85" i="2"/>
  <c r="AY72" i="21"/>
  <c r="BE534" i="1"/>
  <c r="DC529" i="1"/>
  <c r="J63" i="7"/>
  <c r="G86" i="2"/>
  <c r="G47" i="22" l="1"/>
  <c r="G48" i="22" s="1"/>
  <c r="DC758" i="1"/>
  <c r="J32" i="7"/>
  <c r="DC839" i="1"/>
  <c r="G113" i="2" s="1"/>
  <c r="DC131" i="1"/>
  <c r="DC534" i="1"/>
  <c r="DC538" i="1" s="1"/>
  <c r="BE538" i="1"/>
  <c r="DC757" i="1"/>
  <c r="J26" i="7"/>
  <c r="J27" i="7" s="1"/>
  <c r="G45" i="22"/>
  <c r="G46" i="22" s="1"/>
  <c r="G112" i="2"/>
  <c r="G51" i="22"/>
  <c r="G18" i="2"/>
  <c r="G53" i="2"/>
  <c r="O37" i="22"/>
  <c r="O36" i="22"/>
  <c r="G20" i="22"/>
  <c r="G17" i="2"/>
  <c r="G19" i="2"/>
  <c r="J39" i="7"/>
  <c r="J23" i="7"/>
  <c r="T21" i="18"/>
  <c r="T19" i="18"/>
  <c r="O20" i="22"/>
  <c r="G42" i="22"/>
  <c r="BF533" i="1" l="1"/>
  <c r="BE743" i="1"/>
  <c r="Z63" i="21"/>
  <c r="BE541" i="1"/>
  <c r="BE742" i="1"/>
  <c r="BE768" i="1" s="1"/>
  <c r="BF526" i="1"/>
  <c r="BE531" i="1"/>
  <c r="BE701" i="1"/>
  <c r="DD533" i="1"/>
  <c r="DC743" i="1"/>
  <c r="DC541" i="1"/>
  <c r="AY63" i="21"/>
  <c r="Q53" i="7"/>
  <c r="DC742" i="1"/>
  <c r="T23" i="18"/>
  <c r="DC531" i="1"/>
  <c r="O41" i="22"/>
  <c r="O42" i="22"/>
  <c r="DC550" i="1" l="1"/>
  <c r="Q52" i="7"/>
  <c r="DC769" i="1"/>
  <c r="G54" i="22"/>
  <c r="O23" i="22" s="1"/>
  <c r="J33" i="7"/>
  <c r="J41" i="7" s="1"/>
  <c r="BE769" i="1"/>
  <c r="T37" i="18"/>
  <c r="T34" i="18"/>
  <c r="T25" i="18"/>
  <c r="T26" i="18" s="1"/>
  <c r="T30" i="18"/>
  <c r="BF621" i="1"/>
  <c r="BF675" i="1"/>
  <c r="BE702" i="1"/>
  <c r="BE785" i="1" s="1"/>
  <c r="BE841" i="1" s="1"/>
  <c r="BE700" i="1"/>
  <c r="DC701" i="1"/>
  <c r="BE783" i="1"/>
  <c r="Z73" i="21" s="1"/>
  <c r="Z74" i="21" s="1"/>
  <c r="BE782" i="1"/>
  <c r="DC768" i="1"/>
  <c r="G23" i="2"/>
  <c r="G53" i="22"/>
  <c r="O22" i="22" s="1"/>
  <c r="J34" i="7"/>
  <c r="J42" i="7" s="1"/>
  <c r="BE550" i="1"/>
  <c r="BE564" i="1" s="1"/>
  <c r="BE673" i="1"/>
  <c r="BE674" i="1"/>
  <c r="BE671" i="1"/>
  <c r="DC673" i="1" l="1"/>
  <c r="BE672" i="1"/>
  <c r="T28" i="18"/>
  <c r="T27" i="18"/>
  <c r="DC702" i="1"/>
  <c r="G37" i="22"/>
  <c r="Q59" i="7"/>
  <c r="Q60" i="7" s="1"/>
  <c r="DC783" i="1"/>
  <c r="DC782" i="1"/>
  <c r="DC671" i="1"/>
  <c r="BE699" i="1"/>
  <c r="DC700" i="1"/>
  <c r="DC564" i="1"/>
  <c r="G29" i="22"/>
  <c r="DC674" i="1"/>
  <c r="BE567" i="1"/>
  <c r="BF261" i="1"/>
  <c r="J58" i="7" l="1"/>
  <c r="J60" i="7" s="1"/>
  <c r="G82" i="2"/>
  <c r="AY73" i="21"/>
  <c r="AY74" i="21" s="1"/>
  <c r="J44" i="7"/>
  <c r="DC672" i="1"/>
  <c r="DC699" i="1"/>
  <c r="G38" i="22"/>
  <c r="O34" i="22"/>
  <c r="O39" i="22"/>
  <c r="DC785" i="1"/>
  <c r="O35" i="22"/>
  <c r="O40" i="22"/>
  <c r="BF260" i="1"/>
  <c r="BE599" i="1"/>
  <c r="DC567" i="1"/>
  <c r="DC568" i="1" s="1"/>
  <c r="DC587" i="1" s="1"/>
  <c r="BE589" i="1"/>
  <c r="DC589" i="1" s="1"/>
  <c r="BE725" i="1"/>
  <c r="BE704" i="1"/>
  <c r="BE568" i="1"/>
  <c r="BE587" i="1" s="1"/>
  <c r="J57" i="7"/>
  <c r="G81" i="2"/>
  <c r="G122" i="2"/>
  <c r="G123" i="2" l="1"/>
  <c r="J123" i="2" s="1"/>
  <c r="J122" i="2"/>
  <c r="C151" i="2" s="1"/>
  <c r="DC836" i="1"/>
  <c r="DC590" i="1"/>
  <c r="DC704" i="1"/>
  <c r="DC725" i="1"/>
  <c r="BE590" i="1"/>
  <c r="BE836" i="1"/>
  <c r="DC599" i="1"/>
  <c r="DC604" i="1" s="1"/>
  <c r="BE604" i="1"/>
  <c r="J45" i="7"/>
  <c r="G83" i="2"/>
  <c r="J62" i="7"/>
  <c r="DC841" i="1"/>
  <c r="G115" i="2" s="1"/>
  <c r="N73" i="7" l="1"/>
  <c r="BE607" i="1"/>
  <c r="BE837" i="1" s="1"/>
  <c r="DC607" i="1"/>
  <c r="DC595" i="1"/>
  <c r="DC548" i="1"/>
  <c r="DC834" i="1"/>
  <c r="DC150" i="1"/>
  <c r="G30" i="22"/>
  <c r="G31" i="22" s="1"/>
  <c r="G110" i="2"/>
  <c r="T36" i="18"/>
  <c r="T38" i="18" s="1"/>
  <c r="O56" i="22"/>
  <c r="J81" i="7"/>
  <c r="BE595" i="1"/>
  <c r="BE834" i="1"/>
  <c r="BE591" i="1"/>
  <c r="DC591" i="1" s="1"/>
  <c r="DC593" i="1" s="1"/>
  <c r="DC835" i="1" s="1"/>
  <c r="BE150" i="1"/>
  <c r="BE548" i="1"/>
  <c r="DC837" i="1" l="1"/>
  <c r="AY78" i="21" s="1"/>
  <c r="BE593" i="1"/>
  <c r="BE835" i="1" s="1"/>
  <c r="G109" i="2"/>
  <c r="J80" i="7"/>
  <c r="O55" i="22"/>
  <c r="AY77" i="21"/>
  <c r="Z77" i="21"/>
  <c r="DC784" i="1"/>
  <c r="DC786" i="1"/>
  <c r="P70" i="7" s="1"/>
  <c r="DC744" i="1"/>
  <c r="BE630" i="1"/>
  <c r="BE786" i="1"/>
  <c r="BE784" i="1"/>
  <c r="BE744" i="1"/>
  <c r="J82" i="7"/>
  <c r="G111" i="2"/>
  <c r="Z78" i="21"/>
  <c r="O57" i="22" l="1"/>
  <c r="DC630" i="1"/>
  <c r="DC631" i="1" s="1"/>
  <c r="BE631" i="1"/>
  <c r="BE618" i="1" l="1"/>
  <c r="BE639" i="1"/>
  <c r="BE4" i="1" s="1"/>
  <c r="DC618" i="1"/>
  <c r="DC639" i="1"/>
  <c r="BF323" i="1" l="1"/>
  <c r="BF81" i="1" l="1"/>
  <c r="BF269" i="1"/>
  <c r="BF322" i="1"/>
  <c r="BF319" i="1"/>
  <c r="BF377" i="1" s="1"/>
  <c r="AA70" i="21"/>
  <c r="BF381" i="1"/>
  <c r="BF325" i="1" l="1"/>
  <c r="BF419" i="1"/>
  <c r="BF391" i="1"/>
  <c r="BF327" i="1"/>
  <c r="BF390" i="1"/>
  <c r="BF387" i="1"/>
  <c r="AA8" i="21"/>
  <c r="AA9" i="21" s="1"/>
  <c r="BF380" i="1"/>
  <c r="BF99" i="1"/>
  <c r="BF389" i="1" l="1"/>
  <c r="AA7" i="21"/>
  <c r="BF792" i="1"/>
  <c r="BF426" i="1"/>
  <c r="BF793" i="1"/>
  <c r="AA71" i="21" s="1"/>
  <c r="BF454" i="1"/>
  <c r="BF794" i="1"/>
  <c r="BF612" i="1"/>
  <c r="BF428" i="1" l="1"/>
  <c r="AA19" i="21"/>
  <c r="AA20" i="21" s="1"/>
  <c r="BF613" i="1"/>
  <c r="BF614" i="1"/>
  <c r="BF461" i="1"/>
  <c r="BF734" i="1"/>
  <c r="BF761" i="1" s="1"/>
  <c r="BF463" i="1" l="1"/>
  <c r="AA32" i="21"/>
  <c r="AA33" i="21" s="1"/>
  <c r="BF121" i="1"/>
  <c r="BF616" i="1"/>
  <c r="AA62" i="21"/>
  <c r="BF814" i="1"/>
  <c r="BF625" i="1"/>
  <c r="BF703" i="1"/>
  <c r="BF819" i="1" l="1"/>
  <c r="BF817" i="1"/>
  <c r="BF820" i="1"/>
  <c r="BF818" i="1"/>
  <c r="BF816" i="1"/>
  <c r="BF821" i="1"/>
  <c r="BF120" i="1"/>
  <c r="BF827" i="1" s="1"/>
  <c r="BF685" i="1"/>
  <c r="BF598" i="1"/>
  <c r="BF825" i="1" l="1"/>
  <c r="BF826" i="1"/>
  <c r="BF822" i="1"/>
  <c r="BF823" i="1"/>
  <c r="BF667" i="1"/>
  <c r="BF815" i="1"/>
  <c r="BF122" i="1"/>
  <c r="BF115" i="1"/>
  <c r="BF471" i="1"/>
  <c r="BF684" i="1"/>
  <c r="BF824" i="1"/>
  <c r="BF472" i="1" l="1"/>
  <c r="BF811" i="1" l="1"/>
  <c r="BF478" i="1"/>
  <c r="BF118" i="1"/>
  <c r="AA35" i="21"/>
  <c r="AA36" i="21" s="1"/>
  <c r="BF465" i="1"/>
  <c r="BF117" i="1"/>
  <c r="BF810" i="1"/>
  <c r="BF483" i="1"/>
  <c r="BF490" i="1" l="1"/>
  <c r="BF497" i="1"/>
  <c r="BF480" i="1"/>
  <c r="BF482" i="1" s="1"/>
  <c r="BF711" i="1"/>
  <c r="BF712" i="1" s="1"/>
  <c r="BF500" i="1" l="1"/>
  <c r="AA40" i="21"/>
  <c r="BF130" i="1"/>
  <c r="AA38" i="21"/>
  <c r="BF493" i="1"/>
  <c r="AA41" i="21" l="1"/>
  <c r="BF506" i="1"/>
  <c r="BF495" i="1"/>
  <c r="BF515" i="1"/>
  <c r="BF521" i="1" l="1"/>
  <c r="BF730" i="1"/>
  <c r="BF741" i="1"/>
  <c r="BF767" i="1" s="1"/>
  <c r="BF620" i="1"/>
  <c r="BF624" i="1" s="1"/>
  <c r="BF629" i="1" s="1"/>
  <c r="BF788" i="1"/>
  <c r="AA72" i="21" s="1"/>
  <c r="BF740" i="1"/>
  <c r="BF766" i="1" s="1"/>
  <c r="BF732" i="1"/>
  <c r="BF789" i="1"/>
  <c r="BF136" i="1"/>
  <c r="BF838" i="1" s="1"/>
  <c r="BF525" i="1"/>
  <c r="BF513" i="1"/>
  <c r="BF787" i="1"/>
  <c r="AA44" i="21"/>
  <c r="AA47" i="21" s="1"/>
  <c r="AA48" i="21" s="1"/>
  <c r="BF509" i="1"/>
  <c r="BF733" i="1" l="1"/>
  <c r="AA55" i="21"/>
  <c r="BF760" i="1"/>
  <c r="BF840" i="1"/>
  <c r="BF759" i="1"/>
  <c r="BF731" i="1"/>
  <c r="AA54" i="21"/>
  <c r="BF137" i="1"/>
  <c r="BF510" i="1"/>
  <c r="AA51" i="21"/>
  <c r="AA50" i="21" s="1"/>
  <c r="BF728" i="1"/>
  <c r="BF529" i="1"/>
  <c r="BF729" i="1"/>
  <c r="BF676" i="1"/>
  <c r="BF534" i="1" l="1"/>
  <c r="BF839" i="1"/>
  <c r="BF757" i="1"/>
  <c r="BF758" i="1"/>
  <c r="BF538" i="1" l="1"/>
  <c r="BG533" i="1" l="1"/>
  <c r="BF743" i="1"/>
  <c r="AA63" i="21"/>
  <c r="BF541" i="1"/>
  <c r="BF742" i="1"/>
  <c r="BF768" i="1" s="1"/>
  <c r="BG526" i="1"/>
  <c r="BF531" i="1"/>
  <c r="BF701" i="1"/>
  <c r="BG621" i="1" l="1"/>
  <c r="DD526" i="1"/>
  <c r="BG675" i="1"/>
  <c r="BF700" i="1"/>
  <c r="BF702" i="1"/>
  <c r="BF785" i="1" s="1"/>
  <c r="BF841" i="1" s="1"/>
  <c r="BF783" i="1"/>
  <c r="AA73" i="21" s="1"/>
  <c r="AA74" i="21" s="1"/>
  <c r="BF782" i="1"/>
  <c r="BF550" i="1"/>
  <c r="BF564" i="1" s="1"/>
  <c r="BF673" i="1"/>
  <c r="BF671" i="1"/>
  <c r="BF674" i="1"/>
  <c r="BF769" i="1"/>
  <c r="BF567" i="1" l="1"/>
  <c r="BF568" i="1" s="1"/>
  <c r="BF587" i="1" s="1"/>
  <c r="BF699" i="1"/>
  <c r="DD675" i="1"/>
  <c r="BF672" i="1"/>
  <c r="DD621" i="1"/>
  <c r="BG261" i="1"/>
  <c r="BF836" i="1" l="1"/>
  <c r="BF725" i="1"/>
  <c r="BF704" i="1"/>
  <c r="BF599" i="1"/>
  <c r="BF604" i="1" s="1"/>
  <c r="BF589" i="1"/>
  <c r="BF590" i="1" s="1"/>
  <c r="BG260" i="1"/>
  <c r="BF595" i="1" l="1"/>
  <c r="BF150" i="1"/>
  <c r="BF591" i="1"/>
  <c r="BF593" i="1" s="1"/>
  <c r="BF835" i="1" s="1"/>
  <c r="BF548" i="1"/>
  <c r="BF834" i="1"/>
  <c r="DD260" i="1"/>
  <c r="DD261" i="1" s="1"/>
  <c r="BF607" i="1"/>
  <c r="AA77" i="21" l="1"/>
  <c r="BF837" i="1"/>
  <c r="BF630" i="1"/>
  <c r="BF784" i="1"/>
  <c r="BF786" i="1"/>
  <c r="BF744" i="1"/>
  <c r="AA78" i="21" l="1"/>
  <c r="BF631" i="1"/>
  <c r="BF639" i="1" l="1"/>
  <c r="BF4" i="1" s="1"/>
  <c r="BF618" i="1"/>
  <c r="BG323" i="1" l="1"/>
  <c r="DD323" i="1" l="1"/>
  <c r="BG269" i="1"/>
  <c r="BG322" i="1"/>
  <c r="BG381" i="1"/>
  <c r="BG81" i="1"/>
  <c r="BG319" i="1"/>
  <c r="BG377" i="1" s="1"/>
  <c r="DD377" i="1" s="1"/>
  <c r="AB70" i="21"/>
  <c r="BG380" i="1" l="1"/>
  <c r="BG387" i="1"/>
  <c r="BG391" i="1"/>
  <c r="BG390" i="1"/>
  <c r="AB8" i="21"/>
  <c r="AB9" i="21" s="1"/>
  <c r="BG419" i="1"/>
  <c r="BG327" i="1"/>
  <c r="BG99" i="1"/>
  <c r="DD381" i="1"/>
  <c r="BG325" i="1"/>
  <c r="DD322" i="1"/>
  <c r="DD81" i="1"/>
  <c r="DD269" i="1"/>
  <c r="DD319" i="1"/>
  <c r="DD325" i="1" s="1"/>
  <c r="AZ70" i="21"/>
  <c r="AB7" i="21" l="1"/>
  <c r="DD380" i="1"/>
  <c r="DD391" i="1"/>
  <c r="DD99" i="1"/>
  <c r="DD419" i="1"/>
  <c r="DD327" i="1"/>
  <c r="AZ8" i="21"/>
  <c r="AZ9" i="21" s="1"/>
  <c r="BG389" i="1"/>
  <c r="DD387" i="1"/>
  <c r="DD389" i="1" s="1"/>
  <c r="BG793" i="1"/>
  <c r="AB71" i="21" s="1"/>
  <c r="BG454" i="1"/>
  <c r="BG794" i="1"/>
  <c r="BG426" i="1"/>
  <c r="BG792" i="1"/>
  <c r="BG612" i="1"/>
  <c r="BG428" i="1" l="1"/>
  <c r="AB19" i="21"/>
  <c r="AB20" i="21" s="1"/>
  <c r="BG734" i="1"/>
  <c r="BG761" i="1" s="1"/>
  <c r="BG461" i="1"/>
  <c r="DD612" i="1"/>
  <c r="BG613" i="1"/>
  <c r="BG614" i="1"/>
  <c r="AZ7" i="21"/>
  <c r="DD454" i="1"/>
  <c r="DD793" i="1"/>
  <c r="AZ71" i="21" s="1"/>
  <c r="DD792" i="1"/>
  <c r="DD794" i="1"/>
  <c r="DD426" i="1"/>
  <c r="BG814" i="1" l="1"/>
  <c r="AB62" i="21"/>
  <c r="BG616" i="1"/>
  <c r="BG121" i="1"/>
  <c r="BG703" i="1"/>
  <c r="DD703" i="1" s="1"/>
  <c r="BG625" i="1"/>
  <c r="DD625" i="1" s="1"/>
  <c r="DD461" i="1"/>
  <c r="DD734" i="1"/>
  <c r="DD761" i="1" s="1"/>
  <c r="DD614" i="1"/>
  <c r="BG463" i="1"/>
  <c r="AB32" i="21"/>
  <c r="AB33" i="21" s="1"/>
  <c r="AZ19" i="21"/>
  <c r="AZ20" i="21" s="1"/>
  <c r="DD428" i="1"/>
  <c r="DD613" i="1"/>
  <c r="DD147" i="1"/>
  <c r="DD814" i="1" l="1"/>
  <c r="AZ62" i="21"/>
  <c r="DD616" i="1"/>
  <c r="U32" i="18"/>
  <c r="U33" i="18" s="1"/>
  <c r="DD463" i="1"/>
  <c r="AZ32" i="21"/>
  <c r="AZ33" i="21" s="1"/>
  <c r="BG820" i="1"/>
  <c r="BG817" i="1"/>
  <c r="BG816" i="1"/>
  <c r="DD121" i="1"/>
  <c r="BG818" i="1"/>
  <c r="BG821" i="1"/>
  <c r="BG819" i="1"/>
  <c r="BG598" i="1"/>
  <c r="BG685" i="1"/>
  <c r="BG120" i="1"/>
  <c r="BG827" i="1" s="1"/>
  <c r="BG824" i="1" l="1"/>
  <c r="BG825" i="1"/>
  <c r="BG667" i="1"/>
  <c r="DD120" i="1"/>
  <c r="DD823" i="1" s="1"/>
  <c r="BG122" i="1"/>
  <c r="BG815" i="1"/>
  <c r="BG115" i="1"/>
  <c r="BG471" i="1"/>
  <c r="BG684" i="1"/>
  <c r="BG822" i="1"/>
  <c r="DD685" i="1"/>
  <c r="BG826" i="1"/>
  <c r="DD598" i="1"/>
  <c r="BG823" i="1"/>
  <c r="DD821" i="1"/>
  <c r="DD820" i="1"/>
  <c r="DD819" i="1"/>
  <c r="DD818" i="1"/>
  <c r="DD116" i="1"/>
  <c r="DD817" i="1"/>
  <c r="DD816" i="1"/>
  <c r="DD822" i="1" l="1"/>
  <c r="DD825" i="1"/>
  <c r="DD824" i="1"/>
  <c r="DD684" i="1"/>
  <c r="BG472" i="1"/>
  <c r="DD471" i="1"/>
  <c r="DD815" i="1"/>
  <c r="DD122" i="1"/>
  <c r="DD115" i="1"/>
  <c r="DD826" i="1"/>
  <c r="DD827" i="1"/>
  <c r="DD667" i="1"/>
  <c r="BG478" i="1" l="1"/>
  <c r="BG117" i="1"/>
  <c r="AB35" i="21"/>
  <c r="AB36" i="21" s="1"/>
  <c r="BG811" i="1"/>
  <c r="BG465" i="1"/>
  <c r="BG810" i="1"/>
  <c r="BG118" i="1"/>
  <c r="DD472" i="1"/>
  <c r="BG483" i="1"/>
  <c r="BG480" i="1" l="1"/>
  <c r="BG482" i="1" s="1"/>
  <c r="DD478" i="1"/>
  <c r="DD480" i="1" s="1"/>
  <c r="BG490" i="1"/>
  <c r="BG497" i="1"/>
  <c r="BG711" i="1"/>
  <c r="DD465" i="1"/>
  <c r="DD811" i="1"/>
  <c r="DD117" i="1"/>
  <c r="DD810" i="1"/>
  <c r="AZ35" i="21"/>
  <c r="AZ36" i="21" s="1"/>
  <c r="DD118" i="1"/>
  <c r="DD483" i="1"/>
  <c r="DD711" i="1" l="1"/>
  <c r="BG712" i="1"/>
  <c r="AB38" i="21"/>
  <c r="BG493" i="1"/>
  <c r="DD490" i="1"/>
  <c r="BG130" i="1"/>
  <c r="AB40" i="21"/>
  <c r="BG500" i="1"/>
  <c r="DD497" i="1"/>
  <c r="DD130" i="1" l="1"/>
  <c r="DD129" i="1"/>
  <c r="AZ40" i="21"/>
  <c r="BG506" i="1"/>
  <c r="BG495" i="1"/>
  <c r="DD500" i="1"/>
  <c r="BG515" i="1"/>
  <c r="DD712" i="1"/>
  <c r="DD493" i="1"/>
  <c r="AZ38" i="21"/>
  <c r="AB41" i="21"/>
  <c r="AZ41" i="21" l="1"/>
  <c r="BG509" i="1"/>
  <c r="DD506" i="1"/>
  <c r="DD509" i="1" s="1"/>
  <c r="BG788" i="1"/>
  <c r="AB72" i="21" s="1"/>
  <c r="BG741" i="1"/>
  <c r="BG767" i="1" s="1"/>
  <c r="BG730" i="1"/>
  <c r="BG789" i="1"/>
  <c r="BG787" i="1"/>
  <c r="BG740" i="1"/>
  <c r="BG766" i="1" s="1"/>
  <c r="BG620" i="1"/>
  <c r="BG624" i="1" s="1"/>
  <c r="BG629" i="1" s="1"/>
  <c r="BG732" i="1"/>
  <c r="BG525" i="1"/>
  <c r="BG513" i="1"/>
  <c r="AB44" i="21"/>
  <c r="AB47" i="21" s="1"/>
  <c r="AB48" i="21" s="1"/>
  <c r="BG136" i="1"/>
  <c r="BG838" i="1" s="1"/>
  <c r="BG521" i="1"/>
  <c r="DD521" i="1" s="1"/>
  <c r="DD136" i="1"/>
  <c r="DD495" i="1"/>
  <c r="DD515" i="1"/>
  <c r="BG760" i="1" l="1"/>
  <c r="BG733" i="1"/>
  <c r="AB55" i="21"/>
  <c r="DD620" i="1"/>
  <c r="DD624" i="1" s="1"/>
  <c r="DD629" i="1" s="1"/>
  <c r="AZ44" i="21"/>
  <c r="AZ47" i="21" s="1"/>
  <c r="AZ48" i="21" s="1"/>
  <c r="DD732" i="1"/>
  <c r="DD789" i="1"/>
  <c r="DD513" i="1"/>
  <c r="DD788" i="1"/>
  <c r="DD730" i="1"/>
  <c r="DD740" i="1"/>
  <c r="DD766" i="1" s="1"/>
  <c r="DD741" i="1"/>
  <c r="DD767" i="1" s="1"/>
  <c r="DD787" i="1"/>
  <c r="AB51" i="21"/>
  <c r="AB50" i="21" s="1"/>
  <c r="BG529" i="1"/>
  <c r="BG729" i="1"/>
  <c r="BG728" i="1"/>
  <c r="DD525" i="1"/>
  <c r="BG676" i="1"/>
  <c r="BG731" i="1"/>
  <c r="AB54" i="21"/>
  <c r="BG840" i="1"/>
  <c r="BG759" i="1"/>
  <c r="BG137" i="1"/>
  <c r="BG510" i="1"/>
  <c r="BG758" i="1" l="1"/>
  <c r="DD137" i="1"/>
  <c r="BG839" i="1"/>
  <c r="AZ51" i="21"/>
  <c r="AZ50" i="21" s="1"/>
  <c r="DD728" i="1"/>
  <c r="DD729" i="1"/>
  <c r="DD510" i="1"/>
  <c r="DD838" i="1"/>
  <c r="DD731" i="1"/>
  <c r="DD759" i="1"/>
  <c r="AZ54" i="21"/>
  <c r="DD840" i="1"/>
  <c r="AZ72" i="21"/>
  <c r="U16" i="18"/>
  <c r="AZ55" i="21"/>
  <c r="DD760" i="1"/>
  <c r="DD733" i="1"/>
  <c r="BG757" i="1"/>
  <c r="BG534" i="1"/>
  <c r="DD529" i="1"/>
  <c r="U18" i="18"/>
  <c r="DD676" i="1"/>
  <c r="U21" i="18" l="1"/>
  <c r="U19" i="18"/>
  <c r="DD534" i="1"/>
  <c r="DD538" i="1" s="1"/>
  <c r="BG538" i="1"/>
  <c r="DD758" i="1"/>
  <c r="DD757" i="1"/>
  <c r="DD839" i="1"/>
  <c r="DD131" i="1"/>
  <c r="BG541" i="1" l="1"/>
  <c r="BG742" i="1"/>
  <c r="BG768" i="1" s="1"/>
  <c r="BH526" i="1"/>
  <c r="AB63" i="21"/>
  <c r="BG531" i="1"/>
  <c r="BH533" i="1"/>
  <c r="BG743" i="1"/>
  <c r="BG701" i="1"/>
  <c r="DE533" i="1"/>
  <c r="DD743" i="1"/>
  <c r="U23" i="18"/>
  <c r="DD531" i="1"/>
  <c r="DD742" i="1"/>
  <c r="DD541" i="1"/>
  <c r="AZ63" i="21"/>
  <c r="U34" i="18" l="1"/>
  <c r="U37" i="18"/>
  <c r="U25" i="18"/>
  <c r="U26" i="18" s="1"/>
  <c r="U30" i="18"/>
  <c r="DD768" i="1"/>
  <c r="BG769" i="1"/>
  <c r="DD550" i="1"/>
  <c r="DD564" i="1" s="1"/>
  <c r="BG702" i="1"/>
  <c r="BG785" i="1" s="1"/>
  <c r="BG841" i="1" s="1"/>
  <c r="BG700" i="1"/>
  <c r="DD701" i="1"/>
  <c r="BG783" i="1"/>
  <c r="AB73" i="21" s="1"/>
  <c r="AB74" i="21" s="1"/>
  <c r="BG782" i="1"/>
  <c r="BH621" i="1"/>
  <c r="BH675" i="1"/>
  <c r="DD769" i="1"/>
  <c r="BG550" i="1"/>
  <c r="BG564" i="1" s="1"/>
  <c r="BG674" i="1"/>
  <c r="BG673" i="1"/>
  <c r="BG671" i="1"/>
  <c r="DD702" i="1" l="1"/>
  <c r="DD785" i="1" s="1"/>
  <c r="DD841" i="1" s="1"/>
  <c r="DD783" i="1"/>
  <c r="AZ73" i="21" s="1"/>
  <c r="AZ74" i="21" s="1"/>
  <c r="DD782" i="1"/>
  <c r="DD674" i="1"/>
  <c r="BH261" i="1"/>
  <c r="BG672" i="1"/>
  <c r="U28" i="18"/>
  <c r="U27" i="18"/>
  <c r="DD671" i="1"/>
  <c r="BG567" i="1"/>
  <c r="BG568" i="1" s="1"/>
  <c r="BG587" i="1" s="1"/>
  <c r="DD673" i="1"/>
  <c r="BG699" i="1"/>
  <c r="DD700" i="1"/>
  <c r="BG836" i="1" l="1"/>
  <c r="BG589" i="1"/>
  <c r="DD589" i="1" s="1"/>
  <c r="BG599" i="1"/>
  <c r="DD567" i="1"/>
  <c r="DD568" i="1" s="1"/>
  <c r="DD587" i="1" s="1"/>
  <c r="DD672" i="1"/>
  <c r="BH260" i="1"/>
  <c r="DD699" i="1"/>
  <c r="BG725" i="1"/>
  <c r="BG704" i="1"/>
  <c r="DD599" i="1" l="1"/>
  <c r="DD604" i="1" s="1"/>
  <c r="BG604" i="1"/>
  <c r="DD725" i="1"/>
  <c r="BG590" i="1"/>
  <c r="DD704" i="1"/>
  <c r="DD590" i="1"/>
  <c r="DD836" i="1"/>
  <c r="DD607" i="1" l="1"/>
  <c r="U36" i="18"/>
  <c r="U38" i="18" s="1"/>
  <c r="DD834" i="1"/>
  <c r="DD150" i="1"/>
  <c r="DD548" i="1"/>
  <c r="DD595" i="1"/>
  <c r="BG607" i="1"/>
  <c r="BG595" i="1"/>
  <c r="BG150" i="1"/>
  <c r="BG591" i="1"/>
  <c r="DD591" i="1" s="1"/>
  <c r="DD593" i="1" s="1"/>
  <c r="DD835" i="1" s="1"/>
  <c r="BG834" i="1"/>
  <c r="BG548" i="1"/>
  <c r="DD837" i="1" l="1"/>
  <c r="AZ78" i="21" s="1"/>
  <c r="BG593" i="1"/>
  <c r="BG835" i="1" s="1"/>
  <c r="AZ77" i="21"/>
  <c r="BG630" i="1"/>
  <c r="BG786" i="1"/>
  <c r="BG784" i="1"/>
  <c r="BG744" i="1"/>
  <c r="BG837" i="1"/>
  <c r="AB77" i="21"/>
  <c r="DD784" i="1"/>
  <c r="DD786" i="1"/>
  <c r="DD744" i="1"/>
  <c r="AB78" i="21" l="1"/>
  <c r="DD630" i="1"/>
  <c r="DD631" i="1" s="1"/>
  <c r="BG631" i="1"/>
  <c r="DD618" i="1" l="1"/>
  <c r="DD639" i="1"/>
  <c r="BG618" i="1"/>
  <c r="BG639" i="1"/>
  <c r="BG4" i="1" s="1"/>
  <c r="BH323" i="1" l="1"/>
  <c r="BH381" i="1" l="1"/>
  <c r="BH319" i="1"/>
  <c r="BH377" i="1" s="1"/>
  <c r="BH269" i="1"/>
  <c r="BH81" i="1"/>
  <c r="AC70" i="21"/>
  <c r="BH322" i="1"/>
  <c r="BH325" i="1" l="1"/>
  <c r="BH390" i="1"/>
  <c r="BH99" i="1"/>
  <c r="BH391" i="1"/>
  <c r="BH387" i="1"/>
  <c r="BH327" i="1"/>
  <c r="BH380" i="1"/>
  <c r="BH419" i="1"/>
  <c r="AC8" i="21"/>
  <c r="AC9" i="21" s="1"/>
  <c r="AC7" i="21" l="1"/>
  <c r="BH389" i="1"/>
  <c r="BH794" i="1"/>
  <c r="BH792" i="1"/>
  <c r="BH426" i="1"/>
  <c r="BH454" i="1"/>
  <c r="BH793" i="1"/>
  <c r="AC71" i="21" s="1"/>
  <c r="BH612" i="1"/>
  <c r="BH613" i="1" l="1"/>
  <c r="BH614" i="1"/>
  <c r="BH461" i="1"/>
  <c r="BH734" i="1"/>
  <c r="BH761" i="1" s="1"/>
  <c r="AC19" i="21"/>
  <c r="AC20" i="21" s="1"/>
  <c r="BH428" i="1"/>
  <c r="BH814" i="1" l="1"/>
  <c r="AC62" i="21"/>
  <c r="BH616" i="1"/>
  <c r="BH121" i="1"/>
  <c r="BH625" i="1"/>
  <c r="BH703" i="1"/>
  <c r="AC32" i="21"/>
  <c r="AC33" i="21" s="1"/>
  <c r="BH463" i="1"/>
  <c r="BH817" i="1" l="1"/>
  <c r="BH820" i="1"/>
  <c r="BH819" i="1"/>
  <c r="BH821" i="1"/>
  <c r="BH818" i="1"/>
  <c r="BH816" i="1"/>
  <c r="BH685" i="1"/>
  <c r="BH598" i="1"/>
  <c r="BH120" i="1"/>
  <c r="BH826" i="1" s="1"/>
  <c r="BH827" i="1" l="1"/>
  <c r="BH824" i="1"/>
  <c r="BH825" i="1"/>
  <c r="BH822" i="1"/>
  <c r="BH667" i="1"/>
  <c r="BH122" i="1"/>
  <c r="BH115" i="1"/>
  <c r="BH815" i="1"/>
  <c r="BH471" i="1"/>
  <c r="BH684" i="1"/>
  <c r="BH823" i="1"/>
  <c r="BH472" i="1" l="1"/>
  <c r="BH117" i="1" l="1"/>
  <c r="BH810" i="1"/>
  <c r="BH478" i="1"/>
  <c r="BH118" i="1"/>
  <c r="BH465" i="1"/>
  <c r="BH811" i="1"/>
  <c r="AC35" i="21"/>
  <c r="AC36" i="21" s="1"/>
  <c r="BH483" i="1"/>
  <c r="BH497" i="1" l="1"/>
  <c r="BH490" i="1"/>
  <c r="BH480" i="1"/>
  <c r="BH482" i="1" s="1"/>
  <c r="BH711" i="1"/>
  <c r="BH712" i="1" l="1"/>
  <c r="BH493" i="1"/>
  <c r="AC38" i="21"/>
  <c r="AC40" i="21"/>
  <c r="BH500" i="1"/>
  <c r="BH130" i="1"/>
  <c r="BH495" i="1" l="1"/>
  <c r="BH506" i="1"/>
  <c r="BH515" i="1"/>
  <c r="AC41" i="21"/>
  <c r="BH509" i="1" l="1"/>
  <c r="BH521" i="1"/>
  <c r="BH136" i="1"/>
  <c r="BH838" i="1" s="1"/>
  <c r="BH740" i="1"/>
  <c r="BH766" i="1" s="1"/>
  <c r="BH730" i="1"/>
  <c r="BH741" i="1"/>
  <c r="BH767" i="1" s="1"/>
  <c r="BH525" i="1"/>
  <c r="BH789" i="1"/>
  <c r="BH788" i="1"/>
  <c r="AC72" i="21" s="1"/>
  <c r="BH620" i="1"/>
  <c r="BH624" i="1" s="1"/>
  <c r="BH629" i="1" s="1"/>
  <c r="BH513" i="1"/>
  <c r="BH787" i="1"/>
  <c r="BH732" i="1"/>
  <c r="AC44" i="21"/>
  <c r="AC47" i="21" s="1"/>
  <c r="AC48" i="21" s="1"/>
  <c r="BH729" i="1" l="1"/>
  <c r="BH529" i="1"/>
  <c r="AC51" i="21"/>
  <c r="AC50" i="21" s="1"/>
  <c r="BH728" i="1"/>
  <c r="BH676" i="1"/>
  <c r="BH840" i="1"/>
  <c r="BH759" i="1"/>
  <c r="AC54" i="21"/>
  <c r="BH731" i="1"/>
  <c r="BH137" i="1"/>
  <c r="BH510" i="1"/>
  <c r="BH733" i="1"/>
  <c r="BH760" i="1"/>
  <c r="AC55" i="21"/>
  <c r="BH758" i="1" l="1"/>
  <c r="BH534" i="1"/>
  <c r="BH839" i="1"/>
  <c r="BH757" i="1"/>
  <c r="BH538" i="1" l="1"/>
  <c r="BI533" i="1" l="1"/>
  <c r="BH531" i="1"/>
  <c r="BH541" i="1"/>
  <c r="AC63" i="21"/>
  <c r="BI526" i="1"/>
  <c r="BH742" i="1"/>
  <c r="BH768" i="1" s="1"/>
  <c r="BH743" i="1"/>
  <c r="BH701" i="1"/>
  <c r="BH700" i="1" l="1"/>
  <c r="BH702" i="1"/>
  <c r="BH785" i="1" s="1"/>
  <c r="BH841" i="1" s="1"/>
  <c r="BH783" i="1"/>
  <c r="AC73" i="21" s="1"/>
  <c r="AC74" i="21" s="1"/>
  <c r="BH782" i="1"/>
  <c r="BH769" i="1"/>
  <c r="BH550" i="1"/>
  <c r="BH564" i="1" s="1"/>
  <c r="BH674" i="1"/>
  <c r="BH671" i="1"/>
  <c r="BH673" i="1"/>
  <c r="BI621" i="1"/>
  <c r="DE526" i="1"/>
  <c r="BI675" i="1"/>
  <c r="DE621" i="1" l="1"/>
  <c r="BI261" i="1"/>
  <c r="BH672" i="1"/>
  <c r="BH699" i="1"/>
  <c r="DE675" i="1"/>
  <c r="BH567" i="1"/>
  <c r="BH568" i="1" s="1"/>
  <c r="BH587" i="1" s="1"/>
  <c r="BI260" i="1" l="1"/>
  <c r="BH725" i="1"/>
  <c r="BH704" i="1"/>
  <c r="BH836" i="1"/>
  <c r="BH589" i="1"/>
  <c r="BH590" i="1" s="1"/>
  <c r="BH599" i="1"/>
  <c r="BH604" i="1" s="1"/>
  <c r="BH607" i="1" l="1"/>
  <c r="BH837" i="1" s="1"/>
  <c r="BH595" i="1"/>
  <c r="BH548" i="1"/>
  <c r="BH150" i="1"/>
  <c r="BH834" i="1"/>
  <c r="BH591" i="1"/>
  <c r="BH593" i="1" s="1"/>
  <c r="BH835" i="1" s="1"/>
  <c r="DE260" i="1"/>
  <c r="DE261" i="1" s="1"/>
  <c r="AC77" i="21" l="1"/>
  <c r="AC78" i="21"/>
  <c r="BH630" i="1"/>
  <c r="BH784" i="1"/>
  <c r="BH786" i="1"/>
  <c r="BH744" i="1"/>
  <c r="BH631" i="1" l="1"/>
  <c r="BH618" i="1" l="1"/>
  <c r="BH639" i="1"/>
  <c r="BH4" i="1" s="1"/>
  <c r="BI323" i="1" l="1"/>
  <c r="DE323" i="1" l="1"/>
  <c r="BI269" i="1"/>
  <c r="AD70" i="21"/>
  <c r="BI381" i="1"/>
  <c r="BI322" i="1"/>
  <c r="BI81" i="1"/>
  <c r="BI319" i="1"/>
  <c r="BI377" i="1" s="1"/>
  <c r="DE377" i="1" s="1"/>
  <c r="BI325" i="1" l="1"/>
  <c r="BI380" i="1"/>
  <c r="BI387" i="1"/>
  <c r="BI391" i="1"/>
  <c r="BI327" i="1"/>
  <c r="BI99" i="1"/>
  <c r="BI390" i="1"/>
  <c r="BI419" i="1"/>
  <c r="AD8" i="21"/>
  <c r="AD9" i="21" s="1"/>
  <c r="DE381" i="1"/>
  <c r="DE269" i="1"/>
  <c r="DE322" i="1"/>
  <c r="DE319" i="1"/>
  <c r="DE325" i="1" s="1"/>
  <c r="BA70" i="21"/>
  <c r="DE81" i="1"/>
  <c r="BI389" i="1" l="1"/>
  <c r="DE387" i="1"/>
  <c r="DE389" i="1" s="1"/>
  <c r="DE419" i="1"/>
  <c r="DE327" i="1"/>
  <c r="BA8" i="21"/>
  <c r="BA9" i="21" s="1"/>
  <c r="DE99" i="1"/>
  <c r="DE391" i="1"/>
  <c r="BI454" i="1"/>
  <c r="BI426" i="1"/>
  <c r="BI792" i="1"/>
  <c r="BI794" i="1"/>
  <c r="BI793" i="1"/>
  <c r="AD71" i="21" s="1"/>
  <c r="BI612" i="1"/>
  <c r="AD7" i="21"/>
  <c r="DE380" i="1"/>
  <c r="DE794" i="1" l="1"/>
  <c r="DE426" i="1"/>
  <c r="DE454" i="1"/>
  <c r="DE793" i="1"/>
  <c r="BA71" i="21" s="1"/>
  <c r="DE792" i="1"/>
  <c r="AD19" i="21"/>
  <c r="AD20" i="21" s="1"/>
  <c r="BI428" i="1"/>
  <c r="BI613" i="1"/>
  <c r="DE612" i="1"/>
  <c r="BI614" i="1"/>
  <c r="BA7" i="21"/>
  <c r="BI461" i="1"/>
  <c r="BI734" i="1"/>
  <c r="BI761" i="1" s="1"/>
  <c r="BI463" i="1" l="1"/>
  <c r="AD32" i="21"/>
  <c r="AD33" i="21" s="1"/>
  <c r="BA19" i="21"/>
  <c r="BA20" i="21" s="1"/>
  <c r="DE428" i="1"/>
  <c r="DE614" i="1"/>
  <c r="DE147" i="1"/>
  <c r="DE613" i="1"/>
  <c r="BI121" i="1"/>
  <c r="AD62" i="21"/>
  <c r="BI814" i="1"/>
  <c r="BI616" i="1"/>
  <c r="BI625" i="1"/>
  <c r="DE625" i="1" s="1"/>
  <c r="BI703" i="1"/>
  <c r="DE703" i="1" s="1"/>
  <c r="DE734" i="1"/>
  <c r="DE761" i="1" s="1"/>
  <c r="DE461" i="1"/>
  <c r="BI818" i="1" l="1"/>
  <c r="BI817" i="1"/>
  <c r="BI816" i="1"/>
  <c r="BI819" i="1"/>
  <c r="BI820" i="1"/>
  <c r="BI821" i="1"/>
  <c r="DE121" i="1"/>
  <c r="BI685" i="1"/>
  <c r="BI598" i="1"/>
  <c r="BI120" i="1"/>
  <c r="BI822" i="1" s="1"/>
  <c r="V32" i="18"/>
  <c r="V33" i="18" s="1"/>
  <c r="DE814" i="1"/>
  <c r="BA62" i="21"/>
  <c r="DE616" i="1"/>
  <c r="DE463" i="1"/>
  <c r="BA32" i="21"/>
  <c r="BA33" i="21" s="1"/>
  <c r="BI122" i="1" l="1"/>
  <c r="BI115" i="1"/>
  <c r="BI667" i="1"/>
  <c r="BI815" i="1"/>
  <c r="DE120" i="1"/>
  <c r="DE822" i="1" s="1"/>
  <c r="BI471" i="1"/>
  <c r="BI684" i="1"/>
  <c r="BI825" i="1"/>
  <c r="DE598" i="1"/>
  <c r="BI827" i="1"/>
  <c r="DE685" i="1"/>
  <c r="DE821" i="1"/>
  <c r="DE819" i="1"/>
  <c r="DE817" i="1"/>
  <c r="DE818" i="1"/>
  <c r="DE816" i="1"/>
  <c r="DE116" i="1"/>
  <c r="DE820" i="1"/>
  <c r="BI824" i="1"/>
  <c r="BI823" i="1"/>
  <c r="BI826" i="1"/>
  <c r="DE824" i="1" l="1"/>
  <c r="DE823" i="1"/>
  <c r="DE827" i="1"/>
  <c r="DE826" i="1"/>
  <c r="DE825" i="1"/>
  <c r="DE684" i="1"/>
  <c r="DE667" i="1"/>
  <c r="DE115" i="1"/>
  <c r="DE815" i="1"/>
  <c r="DE122" i="1"/>
  <c r="BI472" i="1"/>
  <c r="DE471" i="1"/>
  <c r="BI810" i="1" l="1"/>
  <c r="AD35" i="21"/>
  <c r="AD36" i="21" s="1"/>
  <c r="BI811" i="1"/>
  <c r="BI478" i="1"/>
  <c r="BI117" i="1"/>
  <c r="BI465" i="1"/>
  <c r="BI118" i="1"/>
  <c r="DE472" i="1"/>
  <c r="BI483" i="1"/>
  <c r="DE117" i="1" l="1"/>
  <c r="DE811" i="1"/>
  <c r="DE810" i="1"/>
  <c r="BA35" i="21"/>
  <c r="BA36" i="21" s="1"/>
  <c r="DE465" i="1"/>
  <c r="DE118" i="1"/>
  <c r="DE483" i="1"/>
  <c r="BI497" i="1"/>
  <c r="BI490" i="1"/>
  <c r="BI480" i="1"/>
  <c r="BI482" i="1" s="1"/>
  <c r="DE478" i="1"/>
  <c r="DE480" i="1" s="1"/>
  <c r="BI711" i="1"/>
  <c r="DE490" i="1" l="1"/>
  <c r="BI493" i="1"/>
  <c r="AD38" i="21"/>
  <c r="DE711" i="1"/>
  <c r="BI500" i="1"/>
  <c r="AD40" i="21"/>
  <c r="BI130" i="1"/>
  <c r="DE497" i="1"/>
  <c r="BI712" i="1"/>
  <c r="BI506" i="1" l="1"/>
  <c r="BI495" i="1"/>
  <c r="DE500" i="1"/>
  <c r="BI515" i="1"/>
  <c r="DE712" i="1"/>
  <c r="DE129" i="1"/>
  <c r="BA40" i="21"/>
  <c r="DE130" i="1"/>
  <c r="AD41" i="21"/>
  <c r="DE493" i="1"/>
  <c r="BA38" i="21"/>
  <c r="BA41" i="21" l="1"/>
  <c r="BI741" i="1"/>
  <c r="BI767" i="1" s="1"/>
  <c r="BI789" i="1"/>
  <c r="BI620" i="1"/>
  <c r="BI624" i="1" s="1"/>
  <c r="BI629" i="1" s="1"/>
  <c r="BI730" i="1"/>
  <c r="BI525" i="1"/>
  <c r="BI136" i="1"/>
  <c r="BI838" i="1" s="1"/>
  <c r="BI521" i="1"/>
  <c r="DE521" i="1" s="1"/>
  <c r="BI787" i="1"/>
  <c r="BI732" i="1"/>
  <c r="BI740" i="1"/>
  <c r="BI766" i="1" s="1"/>
  <c r="AD44" i="21"/>
  <c r="AD47" i="21" s="1"/>
  <c r="AD48" i="21" s="1"/>
  <c r="BI513" i="1"/>
  <c r="BI788" i="1"/>
  <c r="AD72" i="21" s="1"/>
  <c r="DE136" i="1"/>
  <c r="DE495" i="1"/>
  <c r="DE515" i="1"/>
  <c r="BI509" i="1"/>
  <c r="DE506" i="1"/>
  <c r="DE509" i="1" s="1"/>
  <c r="AD54" i="21" l="1"/>
  <c r="BI759" i="1"/>
  <c r="BI840" i="1"/>
  <c r="BI731" i="1"/>
  <c r="DE620" i="1"/>
  <c r="DE624" i="1" s="1"/>
  <c r="DE629" i="1" s="1"/>
  <c r="DE513" i="1"/>
  <c r="DE741" i="1"/>
  <c r="DE767" i="1" s="1"/>
  <c r="DE740" i="1"/>
  <c r="DE766" i="1" s="1"/>
  <c r="DE787" i="1"/>
  <c r="DE789" i="1"/>
  <c r="DE732" i="1"/>
  <c r="DE730" i="1"/>
  <c r="BA44" i="21"/>
  <c r="BA47" i="21" s="1"/>
  <c r="BA48" i="21" s="1"/>
  <c r="DE788" i="1"/>
  <c r="BI733" i="1"/>
  <c r="BI760" i="1"/>
  <c r="AD55" i="21"/>
  <c r="BI529" i="1"/>
  <c r="BI729" i="1"/>
  <c r="BI728" i="1"/>
  <c r="AD51" i="21"/>
  <c r="AD50" i="21" s="1"/>
  <c r="DE525" i="1"/>
  <c r="BI676" i="1"/>
  <c r="BI137" i="1"/>
  <c r="BI510" i="1"/>
  <c r="BA72" i="21" l="1"/>
  <c r="V16" i="18"/>
  <c r="BA51" i="21"/>
  <c r="BA50" i="21" s="1"/>
  <c r="DE728" i="1"/>
  <c r="DE729" i="1"/>
  <c r="BI534" i="1"/>
  <c r="DE529" i="1"/>
  <c r="V18" i="18"/>
  <c r="DE137" i="1"/>
  <c r="BI839" i="1"/>
  <c r="DE731" i="1"/>
  <c r="BA54" i="21"/>
  <c r="DE838" i="1"/>
  <c r="DE759" i="1"/>
  <c r="DE840" i="1"/>
  <c r="BI757" i="1"/>
  <c r="DE676" i="1"/>
  <c r="BI758" i="1"/>
  <c r="BA55" i="21"/>
  <c r="DE733" i="1"/>
  <c r="DE760" i="1"/>
  <c r="DE510" i="1"/>
  <c r="V19" i="18" l="1"/>
  <c r="V21" i="18"/>
  <c r="DE758" i="1"/>
  <c r="DE757" i="1"/>
  <c r="DE839" i="1"/>
  <c r="DE131" i="1"/>
  <c r="DE534" i="1"/>
  <c r="DE538" i="1" s="1"/>
  <c r="BI538" i="1"/>
  <c r="BJ526" i="1" l="1"/>
  <c r="BI541" i="1"/>
  <c r="BI531" i="1"/>
  <c r="BJ533" i="1"/>
  <c r="BI743" i="1"/>
  <c r="AD63" i="21"/>
  <c r="BI742" i="1"/>
  <c r="BI768" i="1" s="1"/>
  <c r="BI701" i="1"/>
  <c r="DF533" i="1"/>
  <c r="DE742" i="1"/>
  <c r="DE541" i="1"/>
  <c r="BA63" i="21"/>
  <c r="V23" i="18"/>
  <c r="DE531" i="1"/>
  <c r="DE743" i="1"/>
  <c r="DE769" i="1" l="1"/>
  <c r="BI702" i="1"/>
  <c r="BI785" i="1" s="1"/>
  <c r="BI841" i="1" s="1"/>
  <c r="BI700" i="1"/>
  <c r="DE701" i="1"/>
  <c r="BI783" i="1"/>
  <c r="AD73" i="21" s="1"/>
  <c r="AD74" i="21" s="1"/>
  <c r="BI782" i="1"/>
  <c r="DE550" i="1"/>
  <c r="DE564" i="1" s="1"/>
  <c r="BI550" i="1"/>
  <c r="BI564" i="1" s="1"/>
  <c r="BI671" i="1"/>
  <c r="BI673" i="1"/>
  <c r="BI674" i="1"/>
  <c r="DE768" i="1"/>
  <c r="BI769" i="1"/>
  <c r="BJ621" i="1"/>
  <c r="BJ675" i="1"/>
  <c r="V37" i="18"/>
  <c r="V34" i="18"/>
  <c r="V25" i="18"/>
  <c r="V26" i="18" s="1"/>
  <c r="V30" i="18"/>
  <c r="BI699" i="1" l="1"/>
  <c r="DE700" i="1"/>
  <c r="BJ261" i="1"/>
  <c r="BI567" i="1"/>
  <c r="BI568" i="1" s="1"/>
  <c r="BI587" i="1" s="1"/>
  <c r="DE671" i="1"/>
  <c r="V27" i="18"/>
  <c r="V28" i="18"/>
  <c r="DE673" i="1"/>
  <c r="DE674" i="1"/>
  <c r="BI672" i="1"/>
  <c r="DE702" i="1"/>
  <c r="DE785" i="1" s="1"/>
  <c r="DE841" i="1" s="1"/>
  <c r="DE783" i="1"/>
  <c r="BA73" i="21" s="1"/>
  <c r="BA74" i="21" s="1"/>
  <c r="DE782" i="1"/>
  <c r="DE699" i="1" l="1"/>
  <c r="BI725" i="1"/>
  <c r="BI704" i="1"/>
  <c r="BI836" i="1"/>
  <c r="DE567" i="1"/>
  <c r="DE568" i="1" s="1"/>
  <c r="DE587" i="1" s="1"/>
  <c r="BI599" i="1"/>
  <c r="BI589" i="1"/>
  <c r="DE589" i="1" s="1"/>
  <c r="BJ260" i="1"/>
  <c r="DE672" i="1"/>
  <c r="DE725" i="1" l="1"/>
  <c r="DE599" i="1"/>
  <c r="DE604" i="1" s="1"/>
  <c r="BI604" i="1"/>
  <c r="DE590" i="1"/>
  <c r="DE836" i="1"/>
  <c r="DE704" i="1"/>
  <c r="BI590" i="1"/>
  <c r="V36" i="18" l="1"/>
  <c r="V38" i="18" s="1"/>
  <c r="BI595" i="1"/>
  <c r="BI591" i="1"/>
  <c r="DE591" i="1" s="1"/>
  <c r="DE593" i="1" s="1"/>
  <c r="DE835" i="1" s="1"/>
  <c r="BI834" i="1"/>
  <c r="BI150" i="1"/>
  <c r="BI548" i="1"/>
  <c r="DE607" i="1"/>
  <c r="DE834" i="1"/>
  <c r="DE150" i="1"/>
  <c r="DE548" i="1"/>
  <c r="DE595" i="1"/>
  <c r="BI607" i="1"/>
  <c r="DE786" i="1" l="1"/>
  <c r="DE784" i="1"/>
  <c r="DE744" i="1"/>
  <c r="AD77" i="21"/>
  <c r="BI630" i="1"/>
  <c r="BI786" i="1"/>
  <c r="BI784" i="1"/>
  <c r="BI744" i="1"/>
  <c r="BI837" i="1"/>
  <c r="BA77" i="21"/>
  <c r="BI593" i="1"/>
  <c r="BI835" i="1" s="1"/>
  <c r="DE837" i="1"/>
  <c r="DE630" i="1" l="1"/>
  <c r="DE631" i="1" s="1"/>
  <c r="BI631" i="1"/>
  <c r="AD78" i="21"/>
  <c r="BA78" i="21"/>
  <c r="BI618" i="1" l="1"/>
  <c r="BI639" i="1"/>
  <c r="BI4" i="1" s="1"/>
  <c r="DE618" i="1"/>
  <c r="DE639" i="1"/>
  <c r="BJ323" i="1" l="1"/>
  <c r="BJ319" i="1" l="1"/>
  <c r="BJ377" i="1" s="1"/>
  <c r="BJ81" i="1"/>
  <c r="AE70" i="21"/>
  <c r="BJ381" i="1"/>
  <c r="BJ322" i="1"/>
  <c r="BJ269" i="1"/>
  <c r="BJ380" i="1" l="1"/>
  <c r="BJ387" i="1"/>
  <c r="BJ327" i="1"/>
  <c r="BJ419" i="1"/>
  <c r="BJ390" i="1"/>
  <c r="BJ99" i="1"/>
  <c r="AE8" i="21"/>
  <c r="AE9" i="21" s="1"/>
  <c r="BJ391" i="1"/>
  <c r="BJ325" i="1"/>
  <c r="BJ792" i="1" l="1"/>
  <c r="BJ454" i="1"/>
  <c r="BJ426" i="1"/>
  <c r="BJ793" i="1"/>
  <c r="AE71" i="21" s="1"/>
  <c r="BJ794" i="1"/>
  <c r="BJ612" i="1"/>
  <c r="BJ389" i="1"/>
  <c r="AE7" i="21"/>
  <c r="BJ613" i="1" l="1"/>
  <c r="BJ614" i="1"/>
  <c r="BJ461" i="1"/>
  <c r="BJ734" i="1"/>
  <c r="BJ761" i="1" s="1"/>
  <c r="BJ428" i="1"/>
  <c r="AE19" i="21"/>
  <c r="AE20" i="21" s="1"/>
  <c r="AE32" i="21" l="1"/>
  <c r="AE33" i="21" s="1"/>
  <c r="BJ463" i="1"/>
  <c r="BJ616" i="1"/>
  <c r="AE62" i="21"/>
  <c r="BJ814" i="1"/>
  <c r="BJ121" i="1"/>
  <c r="BJ625" i="1"/>
  <c r="BJ703" i="1"/>
  <c r="BJ820" i="1" l="1"/>
  <c r="BJ816" i="1"/>
  <c r="BJ818" i="1"/>
  <c r="BJ821" i="1"/>
  <c r="BJ819" i="1"/>
  <c r="BJ817" i="1"/>
  <c r="BJ685" i="1"/>
  <c r="BJ120" i="1"/>
  <c r="BJ826" i="1" s="1"/>
  <c r="BJ598" i="1"/>
  <c r="BJ667" i="1" l="1"/>
  <c r="BJ115" i="1"/>
  <c r="BJ815" i="1"/>
  <c r="BJ122" i="1"/>
  <c r="BJ471" i="1"/>
  <c r="BJ684" i="1"/>
  <c r="BJ822" i="1"/>
  <c r="BJ823" i="1"/>
  <c r="BJ824" i="1"/>
  <c r="BJ825" i="1"/>
  <c r="BJ827" i="1"/>
  <c r="BJ472" i="1" l="1"/>
  <c r="AE35" i="21" l="1"/>
  <c r="BJ478" i="1"/>
  <c r="BJ117" i="1"/>
  <c r="BJ810" i="1"/>
  <c r="BJ465" i="1"/>
  <c r="BJ118" i="1"/>
  <c r="BJ811" i="1"/>
  <c r="BJ483" i="1"/>
  <c r="BJ490" i="1" l="1"/>
  <c r="BJ497" i="1"/>
  <c r="BJ480" i="1"/>
  <c r="BJ482" i="1" s="1"/>
  <c r="BJ711" i="1"/>
  <c r="BJ712" i="1" s="1"/>
  <c r="BJ500" i="1" l="1"/>
  <c r="AE40" i="21"/>
  <c r="BJ130" i="1"/>
  <c r="AE38" i="21"/>
  <c r="BJ493" i="1"/>
  <c r="AE41" i="21" l="1"/>
  <c r="BJ495" i="1"/>
  <c r="BJ506" i="1"/>
  <c r="BJ515" i="1"/>
  <c r="BJ788" i="1" l="1"/>
  <c r="AE72" i="21" s="1"/>
  <c r="BJ620" i="1"/>
  <c r="BJ624" i="1" s="1"/>
  <c r="BJ629" i="1" s="1"/>
  <c r="BJ136" i="1"/>
  <c r="BJ838" i="1" s="1"/>
  <c r="BJ730" i="1"/>
  <c r="BJ513" i="1"/>
  <c r="BJ787" i="1"/>
  <c r="BJ741" i="1"/>
  <c r="BJ767" i="1" s="1"/>
  <c r="BJ525" i="1"/>
  <c r="BJ740" i="1"/>
  <c r="BJ766" i="1" s="1"/>
  <c r="AE44" i="21"/>
  <c r="AE47" i="21" s="1"/>
  <c r="AE48" i="21" s="1"/>
  <c r="BJ789" i="1"/>
  <c r="BJ521" i="1"/>
  <c r="BJ732" i="1"/>
  <c r="BJ509" i="1"/>
  <c r="BJ529" i="1" l="1"/>
  <c r="BJ729" i="1"/>
  <c r="BJ728" i="1"/>
  <c r="AE51" i="21"/>
  <c r="AE50" i="21" s="1"/>
  <c r="BJ676" i="1"/>
  <c r="AE54" i="21"/>
  <c r="BJ840" i="1"/>
  <c r="BJ759" i="1"/>
  <c r="BJ731" i="1"/>
  <c r="BJ137" i="1"/>
  <c r="BJ510" i="1"/>
  <c r="AE55" i="21"/>
  <c r="BJ760" i="1"/>
  <c r="BJ733" i="1"/>
  <c r="BJ757" i="1" l="1"/>
  <c r="BJ839" i="1"/>
  <c r="BJ534" i="1"/>
  <c r="BJ758" i="1"/>
  <c r="BJ538" i="1" l="1"/>
  <c r="BK533" i="1" l="1"/>
  <c r="BK526" i="1"/>
  <c r="AE63" i="21"/>
  <c r="BJ531" i="1"/>
  <c r="BJ541" i="1"/>
  <c r="BJ742" i="1"/>
  <c r="BJ768" i="1" s="1"/>
  <c r="BJ743" i="1"/>
  <c r="BJ701" i="1"/>
  <c r="BJ550" i="1" l="1"/>
  <c r="BJ564" i="1" s="1"/>
  <c r="BJ674" i="1"/>
  <c r="BJ671" i="1"/>
  <c r="BJ673" i="1"/>
  <c r="BJ702" i="1"/>
  <c r="BJ785" i="1" s="1"/>
  <c r="BJ841" i="1" s="1"/>
  <c r="BJ700" i="1"/>
  <c r="BJ783" i="1"/>
  <c r="AE73" i="21" s="1"/>
  <c r="AE74" i="21" s="1"/>
  <c r="BJ782" i="1"/>
  <c r="BK621" i="1"/>
  <c r="DF526" i="1"/>
  <c r="BK675" i="1"/>
  <c r="BJ769" i="1"/>
  <c r="BJ672" i="1" l="1"/>
  <c r="DF621" i="1"/>
  <c r="BK261" i="1"/>
  <c r="BJ567" i="1"/>
  <c r="BJ568" i="1" s="1"/>
  <c r="BJ587" i="1" s="1"/>
  <c r="DF675" i="1"/>
  <c r="BJ699" i="1"/>
  <c r="BK260" i="1" l="1"/>
  <c r="BJ836" i="1"/>
  <c r="BJ589" i="1"/>
  <c r="BJ590" i="1" s="1"/>
  <c r="BJ599" i="1"/>
  <c r="BJ604" i="1" s="1"/>
  <c r="BJ725" i="1"/>
  <c r="BJ704" i="1"/>
  <c r="BJ607" i="1" l="1"/>
  <c r="BJ150" i="1"/>
  <c r="BJ595" i="1"/>
  <c r="BJ591" i="1"/>
  <c r="BJ593" i="1" s="1"/>
  <c r="BJ835" i="1" s="1"/>
  <c r="BJ548" i="1"/>
  <c r="BJ834" i="1"/>
  <c r="DF260" i="1"/>
  <c r="DF261" i="1" s="1"/>
  <c r="BJ837" i="1" l="1"/>
  <c r="AE78" i="21" s="1"/>
  <c r="BJ630" i="1"/>
  <c r="BJ786" i="1"/>
  <c r="BJ784" i="1"/>
  <c r="BJ744" i="1"/>
  <c r="AE77" i="21"/>
  <c r="BJ631" i="1" l="1"/>
  <c r="BJ618" i="1" l="1"/>
  <c r="BJ639" i="1"/>
  <c r="BJ4" i="1" s="1"/>
  <c r="BK323" i="1" l="1"/>
  <c r="BK319" i="1" l="1"/>
  <c r="BK377" i="1" s="1"/>
  <c r="DF377" i="1" s="1"/>
  <c r="BK269" i="1"/>
  <c r="BK381" i="1"/>
  <c r="AF70" i="21"/>
  <c r="BK322" i="1"/>
  <c r="BK81" i="1"/>
  <c r="DF323" i="1"/>
  <c r="BK327" i="1" l="1"/>
  <c r="BK419" i="1"/>
  <c r="BK387" i="1"/>
  <c r="BK391" i="1"/>
  <c r="BK380" i="1"/>
  <c r="BK99" i="1"/>
  <c r="BK390" i="1"/>
  <c r="AF8" i="21"/>
  <c r="AF9" i="21" s="1"/>
  <c r="DF381" i="1"/>
  <c r="BB70" i="21"/>
  <c r="DF319" i="1"/>
  <c r="DF325" i="1" s="1"/>
  <c r="DF81" i="1"/>
  <c r="DF322" i="1"/>
  <c r="DF269" i="1"/>
  <c r="BK325" i="1"/>
  <c r="BK389" i="1" l="1"/>
  <c r="DF387" i="1"/>
  <c r="DF389" i="1" s="1"/>
  <c r="BB8" i="21"/>
  <c r="DF419" i="1"/>
  <c r="DF391" i="1"/>
  <c r="DF327" i="1"/>
  <c r="DF99" i="1"/>
  <c r="BK454" i="1"/>
  <c r="BK794" i="1"/>
  <c r="BK426" i="1"/>
  <c r="BK793" i="1"/>
  <c r="AF71" i="21" s="1"/>
  <c r="BK792" i="1"/>
  <c r="BK612" i="1"/>
  <c r="AF7" i="21"/>
  <c r="DF380" i="1"/>
  <c r="BK461" i="1" l="1"/>
  <c r="BK734" i="1"/>
  <c r="BK761" i="1" s="1"/>
  <c r="BB7" i="21"/>
  <c r="DF612" i="1"/>
  <c r="BK613" i="1"/>
  <c r="BK614" i="1"/>
  <c r="DF426" i="1"/>
  <c r="DF792" i="1"/>
  <c r="DF454" i="1"/>
  <c r="DF794" i="1"/>
  <c r="DF793" i="1"/>
  <c r="BB71" i="21" s="1"/>
  <c r="AF19" i="21"/>
  <c r="AF20" i="21" s="1"/>
  <c r="BK428" i="1"/>
  <c r="DF613" i="1" l="1"/>
  <c r="DF147" i="1"/>
  <c r="AF32" i="21"/>
  <c r="AF33" i="21" s="1"/>
  <c r="BK463" i="1"/>
  <c r="BB19" i="21"/>
  <c r="DF428" i="1"/>
  <c r="DF614" i="1"/>
  <c r="DF734" i="1"/>
  <c r="DF761" i="1" s="1"/>
  <c r="DF461" i="1"/>
  <c r="AF62" i="21"/>
  <c r="BK616" i="1"/>
  <c r="BK814" i="1"/>
  <c r="BK121" i="1"/>
  <c r="BK625" i="1"/>
  <c r="DF625" i="1" s="1"/>
  <c r="BK703" i="1"/>
  <c r="DF703" i="1" s="1"/>
  <c r="BK821" i="1" l="1"/>
  <c r="BK817" i="1"/>
  <c r="BK816" i="1"/>
  <c r="DF121" i="1"/>
  <c r="BK818" i="1"/>
  <c r="BK820" i="1"/>
  <c r="BK819" i="1"/>
  <c r="BK685" i="1"/>
  <c r="BK598" i="1"/>
  <c r="BK120" i="1"/>
  <c r="BK822" i="1" s="1"/>
  <c r="DF463" i="1"/>
  <c r="BB32" i="21"/>
  <c r="DF814" i="1"/>
  <c r="DF616" i="1"/>
  <c r="BB62" i="21"/>
  <c r="W32" i="18"/>
  <c r="W33" i="18" s="1"/>
  <c r="BK827" i="1" l="1"/>
  <c r="BK122" i="1"/>
  <c r="DF120" i="1"/>
  <c r="DF825" i="1" s="1"/>
  <c r="BK815" i="1"/>
  <c r="BK667" i="1"/>
  <c r="BK115" i="1"/>
  <c r="BK471" i="1"/>
  <c r="BK684" i="1"/>
  <c r="DF685" i="1"/>
  <c r="BK823" i="1"/>
  <c r="DF598" i="1"/>
  <c r="BK824" i="1"/>
  <c r="BK825" i="1"/>
  <c r="DF816" i="1"/>
  <c r="DF821" i="1"/>
  <c r="DF818" i="1"/>
  <c r="DF820" i="1"/>
  <c r="DF819" i="1"/>
  <c r="DF817" i="1"/>
  <c r="DF116" i="1"/>
  <c r="BK826" i="1"/>
  <c r="DF827" i="1" l="1"/>
  <c r="DF667" i="1"/>
  <c r="DF684" i="1"/>
  <c r="BK472" i="1"/>
  <c r="DF471" i="1"/>
  <c r="DF115" i="1"/>
  <c r="DF122" i="1"/>
  <c r="DF815" i="1"/>
  <c r="DF823" i="1"/>
  <c r="DF826" i="1"/>
  <c r="DF822" i="1"/>
  <c r="DF824" i="1"/>
  <c r="BK478" i="1" l="1"/>
  <c r="BK811" i="1"/>
  <c r="BK810" i="1"/>
  <c r="BK117" i="1"/>
  <c r="BK465" i="1"/>
  <c r="AF35" i="21"/>
  <c r="BK118" i="1"/>
  <c r="DF472" i="1"/>
  <c r="BK483" i="1"/>
  <c r="BK711" i="1" l="1"/>
  <c r="BK712" i="1" s="1"/>
  <c r="BK490" i="1"/>
  <c r="BK497" i="1"/>
  <c r="BK480" i="1"/>
  <c r="BK482" i="1" s="1"/>
  <c r="DF478" i="1"/>
  <c r="DF480" i="1" s="1"/>
  <c r="BB35" i="21"/>
  <c r="BB36" i="21" s="1"/>
  <c r="DF465" i="1"/>
  <c r="DF811" i="1"/>
  <c r="DF117" i="1"/>
  <c r="DF810" i="1"/>
  <c r="DF118" i="1"/>
  <c r="DF483" i="1"/>
  <c r="DF712" i="1" l="1"/>
  <c r="BK493" i="1"/>
  <c r="AF38" i="21"/>
  <c r="DF490" i="1"/>
  <c r="DF711" i="1"/>
  <c r="AF40" i="21"/>
  <c r="BK500" i="1"/>
  <c r="BK130" i="1"/>
  <c r="DF497" i="1"/>
  <c r="DF130" i="1" l="1"/>
  <c r="DF129" i="1"/>
  <c r="BB40" i="21"/>
  <c r="BK506" i="1"/>
  <c r="BK495" i="1"/>
  <c r="DF500" i="1"/>
  <c r="BK515" i="1"/>
  <c r="BB38" i="21"/>
  <c r="DF493" i="1"/>
  <c r="AF41" i="21"/>
  <c r="BK136" i="1" l="1"/>
  <c r="BK838" i="1" s="1"/>
  <c r="BK513" i="1"/>
  <c r="BK788" i="1"/>
  <c r="AF72" i="21" s="1"/>
  <c r="BK741" i="1"/>
  <c r="BK767" i="1" s="1"/>
  <c r="AF44" i="21"/>
  <c r="AF47" i="21" s="1"/>
  <c r="AF48" i="21" s="1"/>
  <c r="BK620" i="1"/>
  <c r="BK624" i="1" s="1"/>
  <c r="BK629" i="1" s="1"/>
  <c r="BK525" i="1"/>
  <c r="BK730" i="1"/>
  <c r="BK732" i="1"/>
  <c r="BK740" i="1"/>
  <c r="BK766" i="1" s="1"/>
  <c r="BK787" i="1"/>
  <c r="BK521" i="1"/>
  <c r="DF521" i="1" s="1"/>
  <c r="BK789" i="1"/>
  <c r="DF136" i="1"/>
  <c r="BB41" i="21"/>
  <c r="DF495" i="1"/>
  <c r="DF515" i="1"/>
  <c r="BK509" i="1"/>
  <c r="DF506" i="1"/>
  <c r="DF509" i="1" s="1"/>
  <c r="DF732" i="1" l="1"/>
  <c r="DF740" i="1"/>
  <c r="DF766" i="1" s="1"/>
  <c r="DF730" i="1"/>
  <c r="DF787" i="1"/>
  <c r="DF620" i="1"/>
  <c r="DF624" i="1" s="1"/>
  <c r="DF629" i="1" s="1"/>
  <c r="DF788" i="1"/>
  <c r="DF513" i="1"/>
  <c r="BB44" i="21"/>
  <c r="BB47" i="21" s="1"/>
  <c r="DF789" i="1"/>
  <c r="DF741" i="1"/>
  <c r="DF767" i="1" s="1"/>
  <c r="BK759" i="1"/>
  <c r="BK731" i="1"/>
  <c r="AF54" i="21"/>
  <c r="BK840" i="1"/>
  <c r="BK760" i="1"/>
  <c r="BK733" i="1"/>
  <c r="AF55" i="21"/>
  <c r="BK529" i="1"/>
  <c r="AF51" i="21"/>
  <c r="AF50" i="21" s="1"/>
  <c r="BK729" i="1"/>
  <c r="BK728" i="1"/>
  <c r="DF525" i="1"/>
  <c r="BK676" i="1"/>
  <c r="BK137" i="1"/>
  <c r="BK510" i="1"/>
  <c r="BK534" i="1" l="1"/>
  <c r="DF529" i="1"/>
  <c r="DF676" i="1"/>
  <c r="W18" i="18"/>
  <c r="DF840" i="1"/>
  <c r="BB54" i="21"/>
  <c r="DF759" i="1"/>
  <c r="DF838" i="1"/>
  <c r="DF731" i="1"/>
  <c r="BK757" i="1"/>
  <c r="W16" i="18"/>
  <c r="BB72" i="21"/>
  <c r="DF729" i="1"/>
  <c r="BB51" i="21"/>
  <c r="BB50" i="21" s="1"/>
  <c r="DF728" i="1"/>
  <c r="BK758" i="1"/>
  <c r="BB55" i="21"/>
  <c r="DF733" i="1"/>
  <c r="DF760" i="1"/>
  <c r="DF137" i="1"/>
  <c r="BK839" i="1"/>
  <c r="DF510" i="1"/>
  <c r="W21" i="18" l="1"/>
  <c r="W19" i="18"/>
  <c r="DF758" i="1"/>
  <c r="DF757" i="1"/>
  <c r="DF839" i="1"/>
  <c r="DF131" i="1"/>
  <c r="DF534" i="1"/>
  <c r="DF538" i="1" s="1"/>
  <c r="BK538" i="1"/>
  <c r="DG533" i="1" l="1"/>
  <c r="DF742" i="1"/>
  <c r="W23" i="18"/>
  <c r="DF541" i="1"/>
  <c r="DF531" i="1"/>
  <c r="BB63" i="21"/>
  <c r="DF743" i="1"/>
  <c r="BL533" i="1"/>
  <c r="BK541" i="1"/>
  <c r="BK531" i="1"/>
  <c r="BK743" i="1"/>
  <c r="AF63" i="21"/>
  <c r="BK742" i="1"/>
  <c r="BK768" i="1" s="1"/>
  <c r="BL526" i="1"/>
  <c r="BK701" i="1"/>
  <c r="DF550" i="1" l="1"/>
  <c r="DF564" i="1" s="1"/>
  <c r="BK702" i="1"/>
  <c r="BK785" i="1" s="1"/>
  <c r="BK841" i="1" s="1"/>
  <c r="BK700" i="1"/>
  <c r="DF701" i="1"/>
  <c r="BK783" i="1"/>
  <c r="AF73" i="21" s="1"/>
  <c r="AF74" i="21" s="1"/>
  <c r="BK782" i="1"/>
  <c r="DF769" i="1"/>
  <c r="W25" i="18"/>
  <c r="W26" i="18" s="1"/>
  <c r="W34" i="18"/>
  <c r="W37" i="18"/>
  <c r="W30" i="18"/>
  <c r="DF768" i="1"/>
  <c r="BK769" i="1"/>
  <c r="BL621" i="1"/>
  <c r="BL675" i="1"/>
  <c r="BK550" i="1"/>
  <c r="BK564" i="1" s="1"/>
  <c r="BK673" i="1"/>
  <c r="BK671" i="1"/>
  <c r="BK674" i="1"/>
  <c r="BK672" i="1" l="1"/>
  <c r="BK567" i="1"/>
  <c r="BK568" i="1" s="1"/>
  <c r="BK587" i="1" s="1"/>
  <c r="W28" i="18"/>
  <c r="W27" i="18"/>
  <c r="BK699" i="1"/>
  <c r="DF700" i="1"/>
  <c r="DF673" i="1"/>
  <c r="DF702" i="1"/>
  <c r="DF785" i="1" s="1"/>
  <c r="DF841" i="1" s="1"/>
  <c r="DF783" i="1"/>
  <c r="BB73" i="21" s="1"/>
  <c r="BB74" i="21" s="1"/>
  <c r="DF782" i="1"/>
  <c r="BL261" i="1"/>
  <c r="DF674" i="1"/>
  <c r="DF671" i="1"/>
  <c r="DF672" i="1" l="1"/>
  <c r="BL260" i="1"/>
  <c r="DF699" i="1"/>
  <c r="DF567" i="1"/>
  <c r="DF568" i="1" s="1"/>
  <c r="DF587" i="1" s="1"/>
  <c r="BK599" i="1"/>
  <c r="BK589" i="1"/>
  <c r="DF589" i="1" s="1"/>
  <c r="BK836" i="1"/>
  <c r="BK725" i="1"/>
  <c r="BK704" i="1"/>
  <c r="DF704" i="1" l="1"/>
  <c r="DF599" i="1"/>
  <c r="DF604" i="1" s="1"/>
  <c r="BK604" i="1"/>
  <c r="DF590" i="1"/>
  <c r="DF836" i="1"/>
  <c r="DF725" i="1"/>
  <c r="BK590" i="1"/>
  <c r="BK607" i="1" l="1"/>
  <c r="BK595" i="1"/>
  <c r="BK834" i="1"/>
  <c r="BK548" i="1"/>
  <c r="BK150" i="1"/>
  <c r="BK591" i="1"/>
  <c r="DF591" i="1" s="1"/>
  <c r="DF593" i="1" s="1"/>
  <c r="DF835" i="1" s="1"/>
  <c r="W36" i="18"/>
  <c r="W38" i="18" s="1"/>
  <c r="DF607" i="1"/>
  <c r="DF834" i="1"/>
  <c r="DF548" i="1"/>
  <c r="DF150" i="1"/>
  <c r="DF595" i="1"/>
  <c r="BK593" i="1" l="1"/>
  <c r="BK835" i="1" s="1"/>
  <c r="DF837" i="1"/>
  <c r="DF784" i="1"/>
  <c r="DF786" i="1"/>
  <c r="DF744" i="1"/>
  <c r="BB77" i="21"/>
  <c r="AF77" i="21"/>
  <c r="BK837" i="1"/>
  <c r="BK630" i="1"/>
  <c r="BK784" i="1"/>
  <c r="BK786" i="1"/>
  <c r="BK744" i="1"/>
  <c r="AF78" i="21" l="1"/>
  <c r="DF630" i="1"/>
  <c r="DF631" i="1" s="1"/>
  <c r="BK631" i="1"/>
  <c r="BB78" i="21"/>
  <c r="BK618" i="1" l="1"/>
  <c r="BK639" i="1"/>
  <c r="BK4" i="1" s="1"/>
  <c r="DF639" i="1"/>
  <c r="DF618" i="1"/>
  <c r="BL323" i="1" l="1"/>
  <c r="BL381" i="1" l="1"/>
  <c r="AG70" i="21"/>
  <c r="BL81" i="1"/>
  <c r="BL322" i="1"/>
  <c r="BL269" i="1"/>
  <c r="BL319" i="1"/>
  <c r="BL377" i="1" s="1"/>
  <c r="BL419" i="1" l="1"/>
  <c r="BL387" i="1"/>
  <c r="BL327" i="1"/>
  <c r="BL99" i="1"/>
  <c r="BL391" i="1"/>
  <c r="BL390" i="1"/>
  <c r="BL380" i="1"/>
  <c r="AG8" i="21"/>
  <c r="AG9" i="21" s="1"/>
  <c r="BL325" i="1"/>
  <c r="BL389" i="1" l="1"/>
  <c r="BL792" i="1"/>
  <c r="BL793" i="1"/>
  <c r="AG71" i="21" s="1"/>
  <c r="BL454" i="1"/>
  <c r="BL794" i="1"/>
  <c r="BL426" i="1"/>
  <c r="BL612" i="1"/>
  <c r="AG7" i="21"/>
  <c r="BL613" i="1" l="1"/>
  <c r="BL614" i="1"/>
  <c r="BL428" i="1"/>
  <c r="AG19" i="21"/>
  <c r="AG20" i="21" s="1"/>
  <c r="BL734" i="1"/>
  <c r="BL761" i="1" s="1"/>
  <c r="BL461" i="1"/>
  <c r="BL616" i="1" l="1"/>
  <c r="BL814" i="1"/>
  <c r="AG62" i="21"/>
  <c r="BL121" i="1"/>
  <c r="BL625" i="1"/>
  <c r="BL703" i="1"/>
  <c r="BL463" i="1"/>
  <c r="AG32" i="21"/>
  <c r="AG33" i="21" s="1"/>
  <c r="BL816" i="1" l="1"/>
  <c r="BL819" i="1"/>
  <c r="BL817" i="1"/>
  <c r="BL820" i="1"/>
  <c r="BL818" i="1"/>
  <c r="BL821" i="1"/>
  <c r="BL120" i="1"/>
  <c r="BL824" i="1" s="1"/>
  <c r="BL685" i="1"/>
  <c r="BL598" i="1"/>
  <c r="BL825" i="1" l="1"/>
  <c r="BL815" i="1"/>
  <c r="BL115" i="1"/>
  <c r="BL122" i="1"/>
  <c r="BL667" i="1"/>
  <c r="BL471" i="1"/>
  <c r="BL684" i="1"/>
  <c r="BL826" i="1"/>
  <c r="BL827" i="1"/>
  <c r="BL822" i="1"/>
  <c r="BL823" i="1"/>
  <c r="BL472" i="1" l="1"/>
  <c r="BL118" i="1" l="1"/>
  <c r="BL811" i="1"/>
  <c r="BL117" i="1"/>
  <c r="BL478" i="1"/>
  <c r="BL810" i="1"/>
  <c r="BL465" i="1"/>
  <c r="AG35" i="21"/>
  <c r="BL483" i="1"/>
  <c r="BL480" i="1" l="1"/>
  <c r="BL482" i="1" s="1"/>
  <c r="BL497" i="1"/>
  <c r="BL490" i="1"/>
  <c r="BL711" i="1"/>
  <c r="BL712" i="1" s="1"/>
  <c r="BL493" i="1" l="1"/>
  <c r="AG38" i="21"/>
  <c r="BL130" i="1"/>
  <c r="BL500" i="1"/>
  <c r="AG40" i="21"/>
  <c r="AG41" i="21" l="1"/>
  <c r="BL506" i="1"/>
  <c r="BL495" i="1"/>
  <c r="BL515" i="1"/>
  <c r="BL521" i="1" l="1"/>
  <c r="BL620" i="1"/>
  <c r="BL624" i="1" s="1"/>
  <c r="BL629" i="1" s="1"/>
  <c r="BL525" i="1"/>
  <c r="BL741" i="1"/>
  <c r="BL767" i="1" s="1"/>
  <c r="BL788" i="1"/>
  <c r="AG72" i="21" s="1"/>
  <c r="AG44" i="21"/>
  <c r="AG47" i="21" s="1"/>
  <c r="AG48" i="21" s="1"/>
  <c r="BL136" i="1"/>
  <c r="BL838" i="1" s="1"/>
  <c r="BL787" i="1"/>
  <c r="BL789" i="1"/>
  <c r="BL730" i="1"/>
  <c r="BL732" i="1"/>
  <c r="BL740" i="1"/>
  <c r="BL766" i="1" s="1"/>
  <c r="BL513" i="1"/>
  <c r="BL509" i="1"/>
  <c r="BL137" i="1" l="1"/>
  <c r="BL510" i="1"/>
  <c r="BL733" i="1"/>
  <c r="BL760" i="1"/>
  <c r="AG55" i="21"/>
  <c r="AG54" i="21"/>
  <c r="BL759" i="1"/>
  <c r="BL731" i="1"/>
  <c r="BL840" i="1"/>
  <c r="AG51" i="21"/>
  <c r="AG50" i="21" s="1"/>
  <c r="BL529" i="1"/>
  <c r="BL729" i="1"/>
  <c r="BL728" i="1"/>
  <c r="BL676" i="1"/>
  <c r="BL757" i="1" l="1"/>
  <c r="BL758" i="1"/>
  <c r="BL534" i="1"/>
  <c r="BL839" i="1"/>
  <c r="BL538" i="1" l="1"/>
  <c r="BM533" i="1" l="1"/>
  <c r="BM526" i="1"/>
  <c r="BL743" i="1"/>
  <c r="BL742" i="1"/>
  <c r="BL768" i="1" s="1"/>
  <c r="BL541" i="1"/>
  <c r="BL531" i="1"/>
  <c r="AG63" i="21"/>
  <c r="BL701" i="1"/>
  <c r="BL700" i="1" l="1"/>
  <c r="BL702" i="1"/>
  <c r="BL785" i="1" s="1"/>
  <c r="BL841" i="1" s="1"/>
  <c r="BL783" i="1"/>
  <c r="AG73" i="21" s="1"/>
  <c r="AG74" i="21" s="1"/>
  <c r="BL782" i="1"/>
  <c r="BL769" i="1"/>
  <c r="BM621" i="1"/>
  <c r="DG526" i="1"/>
  <c r="BM675" i="1"/>
  <c r="BL550" i="1"/>
  <c r="BL564" i="1" s="1"/>
  <c r="BL674" i="1"/>
  <c r="BL673" i="1"/>
  <c r="BL671" i="1"/>
  <c r="BL672" i="1" l="1"/>
  <c r="BL567" i="1"/>
  <c r="DG621" i="1"/>
  <c r="BM261" i="1"/>
  <c r="DG675" i="1"/>
  <c r="BL699" i="1"/>
  <c r="BL589" i="1" l="1"/>
  <c r="BL599" i="1"/>
  <c r="BL604" i="1" s="1"/>
  <c r="BM260" i="1"/>
  <c r="BL725" i="1"/>
  <c r="BL704" i="1"/>
  <c r="BL568" i="1"/>
  <c r="BL587" i="1" s="1"/>
  <c r="BL836" i="1" l="1"/>
  <c r="BL590" i="1"/>
  <c r="BL607" i="1"/>
  <c r="DG260" i="1"/>
  <c r="DG261" i="1" s="1"/>
  <c r="BL837" i="1" l="1"/>
  <c r="BL595" i="1"/>
  <c r="BL548" i="1"/>
  <c r="BL150" i="1"/>
  <c r="BL591" i="1"/>
  <c r="BL593" i="1" s="1"/>
  <c r="BL835" i="1" s="1"/>
  <c r="BL834" i="1"/>
  <c r="BL630" i="1" l="1"/>
  <c r="BL786" i="1"/>
  <c r="BL784" i="1"/>
  <c r="BL744" i="1"/>
  <c r="AG77" i="21"/>
  <c r="AG78" i="21"/>
  <c r="BL631" i="1" l="1"/>
  <c r="BL618" i="1" l="1"/>
  <c r="BL639" i="1"/>
  <c r="BL4" i="1" s="1"/>
  <c r="BM323" i="1" l="1"/>
  <c r="BM81" i="1" l="1"/>
  <c r="BM269" i="1"/>
  <c r="BM319" i="1"/>
  <c r="BM377" i="1" s="1"/>
  <c r="DG377" i="1" s="1"/>
  <c r="BM381" i="1"/>
  <c r="AH70" i="21"/>
  <c r="BM322" i="1"/>
  <c r="DG323" i="1"/>
  <c r="BM391" i="1" l="1"/>
  <c r="BM419" i="1"/>
  <c r="AH8" i="21"/>
  <c r="AH9" i="21" s="1"/>
  <c r="BM380" i="1"/>
  <c r="BM387" i="1"/>
  <c r="BM99" i="1"/>
  <c r="BM390" i="1"/>
  <c r="BM327" i="1"/>
  <c r="DG381" i="1"/>
  <c r="DG269" i="1"/>
  <c r="DG81" i="1"/>
  <c r="DG319" i="1"/>
  <c r="DG325" i="1" s="1"/>
  <c r="BC70" i="21"/>
  <c r="DG322" i="1"/>
  <c r="BM325" i="1"/>
  <c r="BM454" i="1" l="1"/>
  <c r="BM792" i="1"/>
  <c r="BM426" i="1"/>
  <c r="BM793" i="1"/>
  <c r="AH71" i="21" s="1"/>
  <c r="BM794" i="1"/>
  <c r="BM612" i="1"/>
  <c r="DG419" i="1"/>
  <c r="DG391" i="1"/>
  <c r="BC8" i="21"/>
  <c r="DG327" i="1"/>
  <c r="DG99" i="1"/>
  <c r="AH7" i="21"/>
  <c r="DG380" i="1"/>
  <c r="BM389" i="1"/>
  <c r="DG387" i="1"/>
  <c r="DG389" i="1" s="1"/>
  <c r="BC7" i="21" l="1"/>
  <c r="DG612" i="1"/>
  <c r="BM613" i="1"/>
  <c r="BM614" i="1"/>
  <c r="BM734" i="1"/>
  <c r="BM761" i="1" s="1"/>
  <c r="BM461" i="1"/>
  <c r="DG454" i="1"/>
  <c r="DG793" i="1"/>
  <c r="BC71" i="21" s="1"/>
  <c r="DG426" i="1"/>
  <c r="DG794" i="1"/>
  <c r="DG792" i="1"/>
  <c r="AH19" i="21"/>
  <c r="AH20" i="21" s="1"/>
  <c r="BM428" i="1"/>
  <c r="DG613" i="1" l="1"/>
  <c r="DG147" i="1"/>
  <c r="DG734" i="1"/>
  <c r="DG761" i="1" s="1"/>
  <c r="DG461" i="1"/>
  <c r="AH32" i="21"/>
  <c r="AH33" i="21" s="1"/>
  <c r="BM463" i="1"/>
  <c r="DG614" i="1"/>
  <c r="DG428" i="1"/>
  <c r="BC19" i="21"/>
  <c r="BM121" i="1"/>
  <c r="BM616" i="1"/>
  <c r="BM814" i="1"/>
  <c r="AH62" i="21"/>
  <c r="BM625" i="1"/>
  <c r="DG625" i="1" s="1"/>
  <c r="BM703" i="1"/>
  <c r="DG703" i="1" s="1"/>
  <c r="BM821" i="1" l="1"/>
  <c r="BM820" i="1"/>
  <c r="DG121" i="1"/>
  <c r="BM817" i="1"/>
  <c r="BM818" i="1"/>
  <c r="BM816" i="1"/>
  <c r="BM819" i="1"/>
  <c r="BM598" i="1"/>
  <c r="BM685" i="1"/>
  <c r="BM120" i="1"/>
  <c r="BM825" i="1" s="1"/>
  <c r="BC32" i="21"/>
  <c r="DG463" i="1"/>
  <c r="BC62" i="21"/>
  <c r="DG814" i="1"/>
  <c r="DG616" i="1"/>
  <c r="X32" i="18"/>
  <c r="X33" i="18" s="1"/>
  <c r="DG821" i="1" l="1"/>
  <c r="DG817" i="1"/>
  <c r="DG818" i="1"/>
  <c r="DG116" i="1"/>
  <c r="DG819" i="1"/>
  <c r="DG820" i="1"/>
  <c r="DG816" i="1"/>
  <c r="DG685" i="1"/>
  <c r="BM826" i="1"/>
  <c r="BM822" i="1"/>
  <c r="BM667" i="1"/>
  <c r="BM115" i="1"/>
  <c r="BM122" i="1"/>
  <c r="DG120" i="1"/>
  <c r="DG822" i="1" s="1"/>
  <c r="BM815" i="1"/>
  <c r="BM471" i="1"/>
  <c r="BM684" i="1"/>
  <c r="BM827" i="1"/>
  <c r="DG598" i="1"/>
  <c r="BM823" i="1"/>
  <c r="BM824" i="1"/>
  <c r="DG823" i="1" l="1"/>
  <c r="DG824" i="1"/>
  <c r="BM472" i="1"/>
  <c r="DG471" i="1"/>
  <c r="DG684" i="1"/>
  <c r="DG667" i="1"/>
  <c r="DG122" i="1"/>
  <c r="DG815" i="1"/>
  <c r="DG115" i="1"/>
  <c r="DG827" i="1"/>
  <c r="DG826" i="1"/>
  <c r="DG825" i="1"/>
  <c r="AH35" i="21" l="1"/>
  <c r="BM478" i="1"/>
  <c r="BM465" i="1"/>
  <c r="BM810" i="1"/>
  <c r="BM811" i="1"/>
  <c r="BM118" i="1"/>
  <c r="BM117" i="1"/>
  <c r="DG472" i="1"/>
  <c r="BM483" i="1"/>
  <c r="BM490" i="1" l="1"/>
  <c r="BM497" i="1"/>
  <c r="DG118" i="1"/>
  <c r="DG117" i="1"/>
  <c r="BC35" i="21"/>
  <c r="BC36" i="21" s="1"/>
  <c r="DG811" i="1"/>
  <c r="DG810" i="1"/>
  <c r="DG465" i="1"/>
  <c r="DG483" i="1"/>
  <c r="BM711" i="1"/>
  <c r="BM712" i="1" s="1"/>
  <c r="BM480" i="1"/>
  <c r="BM482" i="1" s="1"/>
  <c r="DG478" i="1"/>
  <c r="DG480" i="1" s="1"/>
  <c r="DG712" i="1" l="1"/>
  <c r="DG490" i="1"/>
  <c r="BM500" i="1"/>
  <c r="AH40" i="21"/>
  <c r="BM130" i="1"/>
  <c r="DG497" i="1"/>
  <c r="DG711" i="1"/>
  <c r="AH38" i="21"/>
  <c r="BM493" i="1"/>
  <c r="BC40" i="21" l="1"/>
  <c r="DG129" i="1"/>
  <c r="DG130" i="1"/>
  <c r="AH41" i="21"/>
  <c r="DG493" i="1"/>
  <c r="BC38" i="21"/>
  <c r="BM495" i="1"/>
  <c r="BM506" i="1"/>
  <c r="DG500" i="1"/>
  <c r="BM515" i="1"/>
  <c r="BM620" i="1" l="1"/>
  <c r="BM624" i="1" s="1"/>
  <c r="BM629" i="1" s="1"/>
  <c r="BM740" i="1"/>
  <c r="BM766" i="1" s="1"/>
  <c r="BM787" i="1"/>
  <c r="BM789" i="1"/>
  <c r="BM732" i="1"/>
  <c r="AH44" i="21"/>
  <c r="AH47" i="21" s="1"/>
  <c r="AH48" i="21" s="1"/>
  <c r="BM741" i="1"/>
  <c r="BM767" i="1" s="1"/>
  <c r="BM136" i="1"/>
  <c r="BM838" i="1" s="1"/>
  <c r="BM513" i="1"/>
  <c r="BM730" i="1"/>
  <c r="BM525" i="1"/>
  <c r="BM788" i="1"/>
  <c r="AH72" i="21" s="1"/>
  <c r="BM521" i="1"/>
  <c r="DG521" i="1" s="1"/>
  <c r="DG136" i="1"/>
  <c r="DG495" i="1"/>
  <c r="DG515" i="1"/>
  <c r="BM509" i="1"/>
  <c r="DG506" i="1"/>
  <c r="DG509" i="1" s="1"/>
  <c r="BC41" i="21"/>
  <c r="BM137" i="1" l="1"/>
  <c r="BM510" i="1"/>
  <c r="BM731" i="1"/>
  <c r="BM840" i="1"/>
  <c r="AH54" i="21"/>
  <c r="BM759" i="1"/>
  <c r="BM728" i="1"/>
  <c r="BM529" i="1"/>
  <c r="BM729" i="1"/>
  <c r="AH51" i="21"/>
  <c r="AH50" i="21" s="1"/>
  <c r="DG525" i="1"/>
  <c r="BM676" i="1"/>
  <c r="DG620" i="1"/>
  <c r="DG624" i="1" s="1"/>
  <c r="DG629" i="1" s="1"/>
  <c r="DG732" i="1"/>
  <c r="BC44" i="21"/>
  <c r="BC47" i="21" s="1"/>
  <c r="DG730" i="1"/>
  <c r="DG787" i="1"/>
  <c r="DG741" i="1"/>
  <c r="DG767" i="1" s="1"/>
  <c r="DG788" i="1"/>
  <c r="DG740" i="1"/>
  <c r="DG766" i="1" s="1"/>
  <c r="DG513" i="1"/>
  <c r="DG789" i="1"/>
  <c r="AH55" i="21"/>
  <c r="BM733" i="1"/>
  <c r="BM760" i="1"/>
  <c r="DG731" i="1" l="1"/>
  <c r="DG838" i="1"/>
  <c r="DG840" i="1"/>
  <c r="BC54" i="21"/>
  <c r="DG759" i="1"/>
  <c r="X16" i="18"/>
  <c r="BC72" i="21"/>
  <c r="DG676" i="1"/>
  <c r="DG728" i="1"/>
  <c r="DG729" i="1"/>
  <c r="BC51" i="21"/>
  <c r="BC50" i="21" s="1"/>
  <c r="DG510" i="1"/>
  <c r="BM534" i="1"/>
  <c r="DG529" i="1"/>
  <c r="BM757" i="1"/>
  <c r="BC55" i="21"/>
  <c r="DG733" i="1"/>
  <c r="DG760" i="1"/>
  <c r="X18" i="18"/>
  <c r="BM758" i="1"/>
  <c r="BM839" i="1"/>
  <c r="DG137" i="1"/>
  <c r="DG839" i="1" l="1"/>
  <c r="DG131" i="1"/>
  <c r="DG534" i="1"/>
  <c r="DG538" i="1" s="1"/>
  <c r="BM538" i="1"/>
  <c r="X19" i="18"/>
  <c r="X21" i="18"/>
  <c r="DG758" i="1"/>
  <c r="DG757" i="1"/>
  <c r="BN533" i="1" l="1"/>
  <c r="BM531" i="1"/>
  <c r="BM743" i="1"/>
  <c r="AH63" i="21"/>
  <c r="BN526" i="1"/>
  <c r="BM541" i="1"/>
  <c r="BM742" i="1"/>
  <c r="BM768" i="1" s="1"/>
  <c r="BM701" i="1"/>
  <c r="DH533" i="1"/>
  <c r="DG743" i="1"/>
  <c r="X23" i="18"/>
  <c r="DG531" i="1"/>
  <c r="BC63" i="21"/>
  <c r="DG541" i="1"/>
  <c r="DG742" i="1"/>
  <c r="X25" i="18" l="1"/>
  <c r="X26" i="18" s="1"/>
  <c r="X37" i="18"/>
  <c r="X34" i="18"/>
  <c r="X30" i="18"/>
  <c r="BM769" i="1"/>
  <c r="BN621" i="1"/>
  <c r="BN675" i="1"/>
  <c r="BM700" i="1"/>
  <c r="BM702" i="1"/>
  <c r="BM785" i="1" s="1"/>
  <c r="BM841" i="1" s="1"/>
  <c r="DG701" i="1"/>
  <c r="BM783" i="1"/>
  <c r="AH73" i="21" s="1"/>
  <c r="AH74" i="21" s="1"/>
  <c r="BM782" i="1"/>
  <c r="DG550" i="1"/>
  <c r="DG564" i="1" s="1"/>
  <c r="BM550" i="1"/>
  <c r="BM564" i="1" s="1"/>
  <c r="BM671" i="1"/>
  <c r="BM674" i="1"/>
  <c r="BM673" i="1"/>
  <c r="DG769" i="1"/>
  <c r="DG768" i="1"/>
  <c r="DG673" i="1" l="1"/>
  <c r="BM567" i="1"/>
  <c r="BM568" i="1" s="1"/>
  <c r="BM587" i="1" s="1"/>
  <c r="DG674" i="1"/>
  <c r="BM699" i="1"/>
  <c r="DG700" i="1"/>
  <c r="BM672" i="1"/>
  <c r="DG671" i="1"/>
  <c r="DG702" i="1"/>
  <c r="DG785" i="1" s="1"/>
  <c r="DG841" i="1" s="1"/>
  <c r="DG783" i="1"/>
  <c r="BC73" i="21" s="1"/>
  <c r="BC74" i="21" s="1"/>
  <c r="DG782" i="1"/>
  <c r="BN261" i="1"/>
  <c r="X27" i="18"/>
  <c r="X28" i="18"/>
  <c r="DG672" i="1" l="1"/>
  <c r="BM725" i="1"/>
  <c r="BM704" i="1"/>
  <c r="BN260" i="1"/>
  <c r="BM836" i="1"/>
  <c r="BM589" i="1"/>
  <c r="DG589" i="1" s="1"/>
  <c r="DG567" i="1"/>
  <c r="DG568" i="1" s="1"/>
  <c r="DG587" i="1" s="1"/>
  <c r="BM599" i="1"/>
  <c r="DG699" i="1"/>
  <c r="BM590" i="1" l="1"/>
  <c r="BM150" i="1" s="1"/>
  <c r="DG836" i="1"/>
  <c r="DG590" i="1"/>
  <c r="DG599" i="1"/>
  <c r="DG604" i="1" s="1"/>
  <c r="BM604" i="1"/>
  <c r="DG704" i="1"/>
  <c r="DG725" i="1"/>
  <c r="BM548" i="1" l="1"/>
  <c r="BM834" i="1"/>
  <c r="AH77" i="21" s="1"/>
  <c r="BM595" i="1"/>
  <c r="BM744" i="1" s="1"/>
  <c r="BM591" i="1"/>
  <c r="DG591" i="1" s="1"/>
  <c r="DG593" i="1" s="1"/>
  <c r="DG835" i="1" s="1"/>
  <c r="BM607" i="1"/>
  <c r="DG834" i="1"/>
  <c r="DG595" i="1"/>
  <c r="DG150" i="1"/>
  <c r="DG548" i="1"/>
  <c r="DG607" i="1"/>
  <c r="X36" i="18"/>
  <c r="X38" i="18" s="1"/>
  <c r="BM784" i="1" l="1"/>
  <c r="BM786" i="1"/>
  <c r="BM630" i="1"/>
  <c r="DG630" i="1" s="1"/>
  <c r="DG631" i="1" s="1"/>
  <c r="BM593" i="1"/>
  <c r="BM835" i="1" s="1"/>
  <c r="DG786" i="1"/>
  <c r="DG784" i="1"/>
  <c r="DG744" i="1"/>
  <c r="BC77" i="21"/>
  <c r="DG837" i="1"/>
  <c r="BM837" i="1"/>
  <c r="BM631" i="1" l="1"/>
  <c r="BM618" i="1" s="1"/>
  <c r="DG639" i="1"/>
  <c r="DG618" i="1"/>
  <c r="BC78" i="21"/>
  <c r="AH78" i="21"/>
  <c r="BM639" i="1" l="1"/>
  <c r="BM4" i="1" s="1"/>
  <c r="BN323" i="1"/>
  <c r="BN319" i="1" l="1"/>
  <c r="BN377" i="1" s="1"/>
  <c r="BN381" i="1"/>
  <c r="BN269" i="1"/>
  <c r="AI70" i="21"/>
  <c r="BN81" i="1"/>
  <c r="BN322" i="1"/>
  <c r="BN325" i="1" l="1"/>
  <c r="BN99" i="1"/>
  <c r="BN390" i="1"/>
  <c r="BN391" i="1"/>
  <c r="BN419" i="1"/>
  <c r="BN327" i="1"/>
  <c r="BN380" i="1"/>
  <c r="BN387" i="1"/>
  <c r="AI8" i="21"/>
  <c r="AI9" i="21" s="1"/>
  <c r="AI7" i="21" l="1"/>
  <c r="BN793" i="1"/>
  <c r="AI71" i="21" s="1"/>
  <c r="BN792" i="1"/>
  <c r="BN794" i="1"/>
  <c r="BN426" i="1"/>
  <c r="BN454" i="1"/>
  <c r="BN612" i="1"/>
  <c r="BN389" i="1"/>
  <c r="BN613" i="1" l="1"/>
  <c r="BN614" i="1"/>
  <c r="BN461" i="1"/>
  <c r="BN734" i="1"/>
  <c r="BN761" i="1" s="1"/>
  <c r="AI19" i="21"/>
  <c r="AI20" i="21" s="1"/>
  <c r="BN428" i="1"/>
  <c r="AI62" i="21" l="1"/>
  <c r="BN814" i="1"/>
  <c r="BN121" i="1"/>
  <c r="BN616" i="1"/>
  <c r="BN625" i="1"/>
  <c r="BN703" i="1"/>
  <c r="AI32" i="21"/>
  <c r="AI33" i="21" s="1"/>
  <c r="BN463" i="1"/>
  <c r="BN819" i="1" l="1"/>
  <c r="BN820" i="1"/>
  <c r="BN816" i="1"/>
  <c r="BN818" i="1"/>
  <c r="BN821" i="1"/>
  <c r="BN817" i="1"/>
  <c r="BN598" i="1"/>
  <c r="BN685" i="1"/>
  <c r="BN120" i="1"/>
  <c r="BN823" i="1" s="1"/>
  <c r="BN825" i="1" l="1"/>
  <c r="BN827" i="1"/>
  <c r="BN822" i="1"/>
  <c r="BN824" i="1"/>
  <c r="BN826" i="1"/>
  <c r="BN667" i="1"/>
  <c r="BN115" i="1"/>
  <c r="BN122" i="1"/>
  <c r="BN815" i="1"/>
  <c r="BN471" i="1"/>
  <c r="BN684" i="1"/>
  <c r="BN472" i="1" l="1"/>
  <c r="BN118" i="1" l="1"/>
  <c r="BN478" i="1"/>
  <c r="BN810" i="1"/>
  <c r="BN117" i="1"/>
  <c r="BN465" i="1"/>
  <c r="BN811" i="1"/>
  <c r="AI35" i="21"/>
  <c r="BN483" i="1"/>
  <c r="BN490" i="1" l="1"/>
  <c r="BN497" i="1"/>
  <c r="BN480" i="1"/>
  <c r="BN482" i="1" s="1"/>
  <c r="BN711" i="1"/>
  <c r="BN500" i="1" l="1"/>
  <c r="AI40" i="21"/>
  <c r="BN130" i="1"/>
  <c r="BN712" i="1"/>
  <c r="BN493" i="1"/>
  <c r="AI38" i="21"/>
  <c r="AI41" i="21" l="1"/>
  <c r="BN506" i="1"/>
  <c r="BN495" i="1"/>
  <c r="BN515" i="1"/>
  <c r="BN521" i="1" l="1"/>
  <c r="BN620" i="1"/>
  <c r="BN624" i="1" s="1"/>
  <c r="BN629" i="1" s="1"/>
  <c r="BN525" i="1"/>
  <c r="BN788" i="1"/>
  <c r="AI72" i="21" s="1"/>
  <c r="BN741" i="1"/>
  <c r="BN767" i="1" s="1"/>
  <c r="BN730" i="1"/>
  <c r="BN789" i="1"/>
  <c r="BN787" i="1"/>
  <c r="BN136" i="1"/>
  <c r="BN838" i="1" s="1"/>
  <c r="AI44" i="21"/>
  <c r="AI47" i="21" s="1"/>
  <c r="AI48" i="21" s="1"/>
  <c r="BN513" i="1"/>
  <c r="BN732" i="1"/>
  <c r="BN740" i="1"/>
  <c r="BN766" i="1" s="1"/>
  <c r="BN509" i="1"/>
  <c r="BN529" i="1" l="1"/>
  <c r="BN729" i="1"/>
  <c r="BN728" i="1"/>
  <c r="AI51" i="21"/>
  <c r="AI50" i="21" s="1"/>
  <c r="BN676" i="1"/>
  <c r="BN759" i="1"/>
  <c r="BN731" i="1"/>
  <c r="BN840" i="1"/>
  <c r="AI54" i="21"/>
  <c r="BN733" i="1"/>
  <c r="BN760" i="1"/>
  <c r="AI55" i="21"/>
  <c r="BN137" i="1"/>
  <c r="BN510" i="1"/>
  <c r="BN757" i="1" l="1"/>
  <c r="BN758" i="1"/>
  <c r="BN534" i="1"/>
  <c r="BN839" i="1"/>
  <c r="BN538" i="1" l="1"/>
  <c r="BO533" i="1" l="1"/>
  <c r="BN742" i="1"/>
  <c r="BN768" i="1" s="1"/>
  <c r="BN541" i="1"/>
  <c r="BN531" i="1"/>
  <c r="BO526" i="1"/>
  <c r="AI63" i="21"/>
  <c r="BN743" i="1"/>
  <c r="BN701" i="1"/>
  <c r="BN769" i="1" l="1"/>
  <c r="BN702" i="1"/>
  <c r="BN785" i="1" s="1"/>
  <c r="BN841" i="1" s="1"/>
  <c r="BN700" i="1"/>
  <c r="BN783" i="1"/>
  <c r="AI73" i="21" s="1"/>
  <c r="AI74" i="21" s="1"/>
  <c r="BN782" i="1"/>
  <c r="BO621" i="1"/>
  <c r="DH526" i="1"/>
  <c r="BO675" i="1"/>
  <c r="BN550" i="1"/>
  <c r="BN564" i="1" s="1"/>
  <c r="BN673" i="1"/>
  <c r="BN671" i="1"/>
  <c r="BN674" i="1"/>
  <c r="BN699" i="1" l="1"/>
  <c r="DH675" i="1"/>
  <c r="BN567" i="1"/>
  <c r="DH621" i="1"/>
  <c r="BO261" i="1"/>
  <c r="BN672" i="1"/>
  <c r="BN725" i="1" l="1"/>
  <c r="BN704" i="1"/>
  <c r="BN589" i="1"/>
  <c r="BN599" i="1"/>
  <c r="BN604" i="1" s="1"/>
  <c r="BO260" i="1"/>
  <c r="BN568" i="1"/>
  <c r="BN587" i="1" s="1"/>
  <c r="BN607" i="1" l="1"/>
  <c r="BN836" i="1"/>
  <c r="BN590" i="1"/>
  <c r="DH260" i="1"/>
  <c r="DH261" i="1" s="1"/>
  <c r="BN837" i="1" l="1"/>
  <c r="BN595" i="1"/>
  <c r="BN548" i="1"/>
  <c r="BN834" i="1"/>
  <c r="BN150" i="1"/>
  <c r="BN591" i="1"/>
  <c r="BN593" i="1" s="1"/>
  <c r="BN835" i="1" s="1"/>
  <c r="BN630" i="1" l="1"/>
  <c r="BN784" i="1"/>
  <c r="BN786" i="1"/>
  <c r="BN744" i="1"/>
  <c r="AI77" i="21"/>
  <c r="AI78" i="21"/>
  <c r="BN631" i="1" l="1"/>
  <c r="BN639" i="1" l="1"/>
  <c r="BN4" i="1" s="1"/>
  <c r="BN618" i="1"/>
  <c r="BO323" i="1" l="1"/>
  <c r="DH323" i="1" l="1"/>
  <c r="BO269" i="1"/>
  <c r="BO81" i="1"/>
  <c r="BO381" i="1"/>
  <c r="BO322" i="1"/>
  <c r="BO319" i="1"/>
  <c r="BO377" i="1" s="1"/>
  <c r="DH377" i="1" s="1"/>
  <c r="AJ70" i="21"/>
  <c r="BO325" i="1" l="1"/>
  <c r="DH269" i="1"/>
  <c r="BD70" i="21"/>
  <c r="DH322" i="1"/>
  <c r="DH81" i="1"/>
  <c r="DH319" i="1"/>
  <c r="DH325" i="1" s="1"/>
  <c r="BO99" i="1"/>
  <c r="BO380" i="1"/>
  <c r="BO419" i="1"/>
  <c r="AJ8" i="21"/>
  <c r="AJ9" i="21" s="1"/>
  <c r="BO391" i="1"/>
  <c r="BO387" i="1"/>
  <c r="BO390" i="1"/>
  <c r="BO327" i="1"/>
  <c r="DH381" i="1"/>
  <c r="DH391" i="1" l="1"/>
  <c r="BD8" i="21"/>
  <c r="DH99" i="1"/>
  <c r="DH419" i="1"/>
  <c r="DH327" i="1"/>
  <c r="BO389" i="1"/>
  <c r="DH387" i="1"/>
  <c r="DH389" i="1" s="1"/>
  <c r="BO454" i="1"/>
  <c r="BO793" i="1"/>
  <c r="AJ71" i="21" s="1"/>
  <c r="BO426" i="1"/>
  <c r="BO792" i="1"/>
  <c r="BO794" i="1"/>
  <c r="BO612" i="1"/>
  <c r="AJ7" i="21"/>
  <c r="DH380" i="1"/>
  <c r="BD7" i="21" l="1"/>
  <c r="BO461" i="1"/>
  <c r="BO734" i="1"/>
  <c r="BO761" i="1" s="1"/>
  <c r="DH612" i="1"/>
  <c r="BO613" i="1"/>
  <c r="BO614" i="1"/>
  <c r="AJ19" i="21"/>
  <c r="AJ20" i="21" s="1"/>
  <c r="BO428" i="1"/>
  <c r="DH792" i="1"/>
  <c r="DH426" i="1"/>
  <c r="DH454" i="1"/>
  <c r="DH793" i="1"/>
  <c r="BD71" i="21" s="1"/>
  <c r="DH794" i="1"/>
  <c r="AJ32" i="21" l="1"/>
  <c r="AJ33" i="21" s="1"/>
  <c r="BO463" i="1"/>
  <c r="DH614" i="1"/>
  <c r="BO121" i="1"/>
  <c r="BO616" i="1"/>
  <c r="AJ62" i="21"/>
  <c r="BO814" i="1"/>
  <c r="BO703" i="1"/>
  <c r="DH703" i="1" s="1"/>
  <c r="BO625" i="1"/>
  <c r="DH625" i="1" s="1"/>
  <c r="DH734" i="1"/>
  <c r="DH761" i="1" s="1"/>
  <c r="DH461" i="1"/>
  <c r="DH613" i="1"/>
  <c r="DH147" i="1"/>
  <c r="BD19" i="21"/>
  <c r="DH428" i="1"/>
  <c r="DH463" i="1" l="1"/>
  <c r="BD32" i="21"/>
  <c r="BD62" i="21"/>
  <c r="Y32" i="18"/>
  <c r="Y33" i="18" s="1"/>
  <c r="DH616" i="1"/>
  <c r="DH814" i="1"/>
  <c r="BO816" i="1"/>
  <c r="BO818" i="1"/>
  <c r="BO819" i="1"/>
  <c r="DH121" i="1"/>
  <c r="BO817" i="1"/>
  <c r="BO821" i="1"/>
  <c r="BO820" i="1"/>
  <c r="BO685" i="1"/>
  <c r="BO598" i="1"/>
  <c r="BO120" i="1"/>
  <c r="BO822" i="1" s="1"/>
  <c r="BO826" i="1" l="1"/>
  <c r="BO823" i="1"/>
  <c r="DH817" i="1"/>
  <c r="DH819" i="1"/>
  <c r="DH821" i="1"/>
  <c r="DH820" i="1"/>
  <c r="DH816" i="1"/>
  <c r="DH818" i="1"/>
  <c r="DH116" i="1"/>
  <c r="BO667" i="1"/>
  <c r="DH120" i="1"/>
  <c r="DH825" i="1" s="1"/>
  <c r="BO815" i="1"/>
  <c r="BO115" i="1"/>
  <c r="BO122" i="1"/>
  <c r="BO471" i="1"/>
  <c r="BO684" i="1"/>
  <c r="BO827" i="1"/>
  <c r="DH598" i="1"/>
  <c r="DH685" i="1"/>
  <c r="BO825" i="1"/>
  <c r="BO824" i="1"/>
  <c r="DH827" i="1" l="1"/>
  <c r="DH822" i="1"/>
  <c r="DH684" i="1"/>
  <c r="DH667" i="1"/>
  <c r="BO472" i="1"/>
  <c r="DH471" i="1"/>
  <c r="DH122" i="1"/>
  <c r="DH115" i="1"/>
  <c r="DH815" i="1"/>
  <c r="DH823" i="1"/>
  <c r="DH826" i="1"/>
  <c r="DH824" i="1"/>
  <c r="BO117" i="1" l="1"/>
  <c r="AJ35" i="21"/>
  <c r="BO811" i="1"/>
  <c r="BO465" i="1"/>
  <c r="BO810" i="1"/>
  <c r="BO478" i="1"/>
  <c r="BO118" i="1"/>
  <c r="DH472" i="1"/>
  <c r="BO483" i="1"/>
  <c r="BO497" i="1" l="1"/>
  <c r="BO490" i="1"/>
  <c r="BO711" i="1"/>
  <c r="BO712" i="1" s="1"/>
  <c r="DH811" i="1"/>
  <c r="DH810" i="1"/>
  <c r="DH118" i="1"/>
  <c r="DH117" i="1"/>
  <c r="DH465" i="1"/>
  <c r="BD35" i="21"/>
  <c r="BD36" i="21" s="1"/>
  <c r="DH483" i="1"/>
  <c r="BO480" i="1"/>
  <c r="BO482" i="1" s="1"/>
  <c r="DH478" i="1"/>
  <c r="DH480" i="1" s="1"/>
  <c r="DH490" i="1" l="1"/>
  <c r="AJ38" i="21"/>
  <c r="BO493" i="1"/>
  <c r="DH711" i="1"/>
  <c r="BO500" i="1"/>
  <c r="BO130" i="1"/>
  <c r="AJ40" i="21"/>
  <c r="DH497" i="1"/>
  <c r="DH712" i="1"/>
  <c r="AJ41" i="21" l="1"/>
  <c r="BO506" i="1"/>
  <c r="BO495" i="1"/>
  <c r="DH500" i="1"/>
  <c r="BO515" i="1"/>
  <c r="DH129" i="1"/>
  <c r="BD40" i="21"/>
  <c r="DH130" i="1"/>
  <c r="DH493" i="1"/>
  <c r="BD38" i="21"/>
  <c r="BD41" i="21" l="1"/>
  <c r="BO787" i="1"/>
  <c r="BO620" i="1"/>
  <c r="BO624" i="1" s="1"/>
  <c r="BO629" i="1" s="1"/>
  <c r="BO732" i="1"/>
  <c r="BO788" i="1"/>
  <c r="AJ72" i="21" s="1"/>
  <c r="BO730" i="1"/>
  <c r="BO513" i="1"/>
  <c r="AJ44" i="21"/>
  <c r="AJ47" i="21" s="1"/>
  <c r="AJ48" i="21" s="1"/>
  <c r="BO521" i="1"/>
  <c r="DH521" i="1" s="1"/>
  <c r="BO136" i="1"/>
  <c r="BO838" i="1" s="1"/>
  <c r="BO525" i="1"/>
  <c r="BO740" i="1"/>
  <c r="BO766" i="1" s="1"/>
  <c r="BO741" i="1"/>
  <c r="BO767" i="1" s="1"/>
  <c r="BO789" i="1"/>
  <c r="DH136" i="1"/>
  <c r="BO509" i="1"/>
  <c r="DH506" i="1"/>
  <c r="DH509" i="1" s="1"/>
  <c r="DH495" i="1"/>
  <c r="DH515" i="1"/>
  <c r="DH620" i="1" l="1"/>
  <c r="DH624" i="1" s="1"/>
  <c r="DH629" i="1" s="1"/>
  <c r="DH788" i="1"/>
  <c r="DH730" i="1"/>
  <c r="DH732" i="1"/>
  <c r="BD44" i="21"/>
  <c r="BD47" i="21" s="1"/>
  <c r="DH513" i="1"/>
  <c r="DH740" i="1"/>
  <c r="DH766" i="1" s="1"/>
  <c r="DH741" i="1"/>
  <c r="DH767" i="1" s="1"/>
  <c r="DH787" i="1"/>
  <c r="DH789" i="1"/>
  <c r="BO760" i="1"/>
  <c r="AJ55" i="21"/>
  <c r="BO733" i="1"/>
  <c r="BO137" i="1"/>
  <c r="BO510" i="1"/>
  <c r="BO728" i="1"/>
  <c r="BO529" i="1"/>
  <c r="AJ51" i="21"/>
  <c r="AJ50" i="21" s="1"/>
  <c r="BO729" i="1"/>
  <c r="DH525" i="1"/>
  <c r="BO676" i="1"/>
  <c r="BO840" i="1"/>
  <c r="BO731" i="1"/>
  <c r="AJ54" i="21"/>
  <c r="BO759" i="1"/>
  <c r="DH137" i="1" l="1"/>
  <c r="BO839" i="1"/>
  <c r="BO757" i="1"/>
  <c r="Y16" i="18"/>
  <c r="BD72" i="21"/>
  <c r="BO534" i="1"/>
  <c r="DH529" i="1"/>
  <c r="Y18" i="18"/>
  <c r="DH676" i="1"/>
  <c r="DH729" i="1"/>
  <c r="DH728" i="1"/>
  <c r="BD51" i="21"/>
  <c r="BD50" i="21" s="1"/>
  <c r="DH733" i="1"/>
  <c r="BD55" i="21"/>
  <c r="DH760" i="1"/>
  <c r="BO758" i="1"/>
  <c r="DH759" i="1"/>
  <c r="DH731" i="1"/>
  <c r="DH838" i="1"/>
  <c r="DH840" i="1"/>
  <c r="BD54" i="21"/>
  <c r="DH510" i="1"/>
  <c r="DH758" i="1" l="1"/>
  <c r="DH534" i="1"/>
  <c r="DH538" i="1" s="1"/>
  <c r="BO538" i="1"/>
  <c r="DH757" i="1"/>
  <c r="Y19" i="18"/>
  <c r="Y21" i="18"/>
  <c r="DH839" i="1"/>
  <c r="DH131" i="1"/>
  <c r="DI533" i="1" l="1"/>
  <c r="DH743" i="1"/>
  <c r="DH531" i="1"/>
  <c r="BD63" i="21"/>
  <c r="DH541" i="1"/>
  <c r="Y23" i="18"/>
  <c r="DH742" i="1"/>
  <c r="BO541" i="1"/>
  <c r="BP533" i="1"/>
  <c r="BO743" i="1"/>
  <c r="BO742" i="1"/>
  <c r="BO768" i="1" s="1"/>
  <c r="BO531" i="1"/>
  <c r="AJ63" i="21"/>
  <c r="BP526" i="1"/>
  <c r="BO701" i="1"/>
  <c r="BO769" i="1" l="1"/>
  <c r="Y25" i="18"/>
  <c r="Y26" i="18" s="1"/>
  <c r="Y37" i="18"/>
  <c r="Y34" i="18"/>
  <c r="Y30" i="18"/>
  <c r="BO550" i="1"/>
  <c r="BO564" i="1" s="1"/>
  <c r="BO674" i="1"/>
  <c r="BO673" i="1"/>
  <c r="BO671" i="1"/>
  <c r="DH768" i="1"/>
  <c r="BP621" i="1"/>
  <c r="BP675" i="1"/>
  <c r="DH769" i="1"/>
  <c r="DH550" i="1"/>
  <c r="DH564" i="1" s="1"/>
  <c r="BO700" i="1"/>
  <c r="BO702" i="1"/>
  <c r="BO785" i="1" s="1"/>
  <c r="BO841" i="1" s="1"/>
  <c r="DH701" i="1"/>
  <c r="BO783" i="1"/>
  <c r="AJ73" i="21" s="1"/>
  <c r="AJ74" i="21" s="1"/>
  <c r="BO782" i="1"/>
  <c r="BO672" i="1" l="1"/>
  <c r="DH671" i="1"/>
  <c r="BO699" i="1"/>
  <c r="DH700" i="1"/>
  <c r="BP261" i="1"/>
  <c r="DH673" i="1"/>
  <c r="BO567" i="1"/>
  <c r="BO568" i="1" s="1"/>
  <c r="BO587" i="1" s="1"/>
  <c r="DH702" i="1"/>
  <c r="DH785" i="1" s="1"/>
  <c r="DH841" i="1" s="1"/>
  <c r="DH783" i="1"/>
  <c r="BD73" i="21" s="1"/>
  <c r="BD74" i="21" s="1"/>
  <c r="DH782" i="1"/>
  <c r="Y27" i="18"/>
  <c r="Y28" i="18"/>
  <c r="DH674" i="1"/>
  <c r="DH672" i="1" l="1"/>
  <c r="BO836" i="1"/>
  <c r="DH699" i="1"/>
  <c r="BP260" i="1"/>
  <c r="BO725" i="1"/>
  <c r="BO704" i="1"/>
  <c r="BO599" i="1"/>
  <c r="BO589" i="1"/>
  <c r="DH589" i="1" s="1"/>
  <c r="DH567" i="1"/>
  <c r="DH568" i="1" s="1"/>
  <c r="DH587" i="1" s="1"/>
  <c r="BO590" i="1" l="1"/>
  <c r="DH725" i="1"/>
  <c r="DH599" i="1"/>
  <c r="DH604" i="1" s="1"/>
  <c r="BO604" i="1"/>
  <c r="DH704" i="1"/>
  <c r="DH836" i="1"/>
  <c r="DH590" i="1"/>
  <c r="DH607" i="1" l="1"/>
  <c r="BO595" i="1"/>
  <c r="BO150" i="1"/>
  <c r="BO591" i="1"/>
  <c r="DH591" i="1" s="1"/>
  <c r="DH593" i="1" s="1"/>
  <c r="DH835" i="1" s="1"/>
  <c r="BO548" i="1"/>
  <c r="BO834" i="1"/>
  <c r="DH595" i="1"/>
  <c r="DH150" i="1"/>
  <c r="DH834" i="1"/>
  <c r="DH548" i="1"/>
  <c r="BO607" i="1"/>
  <c r="Y36" i="18"/>
  <c r="Y38" i="18" s="1"/>
  <c r="DH837" i="1" l="1"/>
  <c r="BD78" i="21" s="1"/>
  <c r="DH784" i="1"/>
  <c r="DH786" i="1"/>
  <c r="DH744" i="1"/>
  <c r="BO630" i="1"/>
  <c r="BO786" i="1"/>
  <c r="BO784" i="1"/>
  <c r="BO744" i="1"/>
  <c r="BO593" i="1"/>
  <c r="BO835" i="1" s="1"/>
  <c r="BO837" i="1"/>
  <c r="BD77" i="21"/>
  <c r="AJ77" i="21"/>
  <c r="AJ78" i="21" l="1"/>
  <c r="DH630" i="1"/>
  <c r="DH631" i="1" s="1"/>
  <c r="BO631" i="1"/>
  <c r="BO618" i="1" l="1"/>
  <c r="BO639" i="1"/>
  <c r="BO4" i="1" s="1"/>
  <c r="DH639" i="1"/>
  <c r="DH618" i="1"/>
  <c r="BP323" i="1" l="1"/>
  <c r="BP319" i="1" l="1"/>
  <c r="BP377" i="1" s="1"/>
  <c r="BP322" i="1"/>
  <c r="BP381" i="1"/>
  <c r="BP81" i="1"/>
  <c r="BP269" i="1"/>
  <c r="AK70" i="21"/>
  <c r="BP327" i="1" l="1"/>
  <c r="BP380" i="1"/>
  <c r="BP419" i="1"/>
  <c r="BP391" i="1"/>
  <c r="BP390" i="1"/>
  <c r="BP99" i="1"/>
  <c r="AK8" i="21"/>
  <c r="AK9" i="21" s="1"/>
  <c r="BP387" i="1"/>
  <c r="BP325" i="1"/>
  <c r="BP792" i="1" l="1"/>
  <c r="BP426" i="1"/>
  <c r="BP454" i="1"/>
  <c r="BP793" i="1"/>
  <c r="AK71" i="21" s="1"/>
  <c r="BP794" i="1"/>
  <c r="BP612" i="1"/>
  <c r="BP389" i="1"/>
  <c r="AK7" i="21"/>
  <c r="BP613" i="1" l="1"/>
  <c r="BP614" i="1"/>
  <c r="AK19" i="21"/>
  <c r="AK20" i="21" s="1"/>
  <c r="BP428" i="1"/>
  <c r="BP461" i="1"/>
  <c r="BP734" i="1"/>
  <c r="BP761" i="1" s="1"/>
  <c r="AK62" i="21" l="1"/>
  <c r="BP616" i="1"/>
  <c r="BP814" i="1"/>
  <c r="BP121" i="1"/>
  <c r="BP703" i="1"/>
  <c r="BP625" i="1"/>
  <c r="AK32" i="21"/>
  <c r="AK33" i="21" s="1"/>
  <c r="BP463" i="1"/>
  <c r="BP816" i="1" l="1"/>
  <c r="BP817" i="1"/>
  <c r="BP819" i="1"/>
  <c r="BP820" i="1"/>
  <c r="BP818" i="1"/>
  <c r="BP821" i="1"/>
  <c r="BP598" i="1"/>
  <c r="BP685" i="1"/>
  <c r="BP120" i="1"/>
  <c r="BP826" i="1" s="1"/>
  <c r="BP822" i="1" l="1"/>
  <c r="BP825" i="1"/>
  <c r="BP823" i="1"/>
  <c r="BP824" i="1"/>
  <c r="BP827" i="1"/>
  <c r="BP122" i="1"/>
  <c r="BP667" i="1"/>
  <c r="BP815" i="1"/>
  <c r="BP115" i="1"/>
  <c r="BP471" i="1"/>
  <c r="BP684" i="1"/>
  <c r="BP472" i="1" l="1"/>
  <c r="BP465" i="1" l="1"/>
  <c r="BP810" i="1"/>
  <c r="BP118" i="1"/>
  <c r="BP478" i="1"/>
  <c r="BP117" i="1"/>
  <c r="BP811" i="1"/>
  <c r="AK35" i="21"/>
  <c r="BP483" i="1"/>
  <c r="BP711" i="1" l="1"/>
  <c r="BP480" i="1"/>
  <c r="BP482" i="1" s="1"/>
  <c r="BP490" i="1"/>
  <c r="BP497" i="1"/>
  <c r="BP712" i="1" l="1"/>
  <c r="AK40" i="21"/>
  <c r="BP130" i="1"/>
  <c r="BP500" i="1"/>
  <c r="BP493" i="1"/>
  <c r="AK38" i="21"/>
  <c r="AK41" i="21" l="1"/>
  <c r="BP506" i="1"/>
  <c r="BP495" i="1"/>
  <c r="BP515" i="1"/>
  <c r="BP509" i="1" l="1"/>
  <c r="BP521" i="1"/>
  <c r="BP620" i="1"/>
  <c r="BP624" i="1" s="1"/>
  <c r="BP629" i="1" s="1"/>
  <c r="BP732" i="1"/>
  <c r="BP741" i="1"/>
  <c r="BP767" i="1" s="1"/>
  <c r="BP136" i="1"/>
  <c r="BP838" i="1" s="1"/>
  <c r="BP525" i="1"/>
  <c r="BP513" i="1"/>
  <c r="BP788" i="1"/>
  <c r="AK72" i="21" s="1"/>
  <c r="BP730" i="1"/>
  <c r="BP789" i="1"/>
  <c r="BP740" i="1"/>
  <c r="BP766" i="1" s="1"/>
  <c r="AK44" i="21"/>
  <c r="AK47" i="21" s="1"/>
  <c r="AK48" i="21" s="1"/>
  <c r="BP787" i="1"/>
  <c r="BP760" i="1" l="1"/>
  <c r="AK55" i="21"/>
  <c r="BP733" i="1"/>
  <c r="AK51" i="21"/>
  <c r="AK50" i="21" s="1"/>
  <c r="BP728" i="1"/>
  <c r="BP729" i="1"/>
  <c r="BP529" i="1"/>
  <c r="BP676" i="1"/>
  <c r="BP759" i="1"/>
  <c r="BP840" i="1"/>
  <c r="AK54" i="21"/>
  <c r="BP731" i="1"/>
  <c r="BP137" i="1"/>
  <c r="BP510" i="1"/>
  <c r="BP839" i="1" l="1"/>
  <c r="BP534" i="1"/>
  <c r="BP757" i="1"/>
  <c r="BP758" i="1"/>
  <c r="BP538" i="1" l="1"/>
  <c r="BP541" i="1" l="1"/>
  <c r="BP743" i="1"/>
  <c r="BQ533" i="1"/>
  <c r="BP531" i="1"/>
  <c r="BQ526" i="1"/>
  <c r="AK63" i="21"/>
  <c r="BP742" i="1"/>
  <c r="BP768" i="1" s="1"/>
  <c r="BP701" i="1"/>
  <c r="BP702" i="1" l="1"/>
  <c r="BP785" i="1" s="1"/>
  <c r="BP841" i="1" s="1"/>
  <c r="BP700" i="1"/>
  <c r="BP783" i="1"/>
  <c r="AK73" i="21" s="1"/>
  <c r="AK74" i="21" s="1"/>
  <c r="BP782" i="1"/>
  <c r="BP769" i="1"/>
  <c r="BQ621" i="1"/>
  <c r="DI526" i="1"/>
  <c r="BQ675" i="1"/>
  <c r="BP550" i="1"/>
  <c r="BP564" i="1" s="1"/>
  <c r="BP674" i="1"/>
  <c r="BP673" i="1"/>
  <c r="BP671" i="1"/>
  <c r="DI675" i="1" l="1"/>
  <c r="DI621" i="1"/>
  <c r="BQ261" i="1"/>
  <c r="BP699" i="1"/>
  <c r="BP567" i="1"/>
  <c r="BP568" i="1" s="1"/>
  <c r="BP587" i="1" s="1"/>
  <c r="BP672" i="1"/>
  <c r="BP836" i="1" l="1"/>
  <c r="BP725" i="1"/>
  <c r="BP704" i="1"/>
  <c r="BQ260" i="1"/>
  <c r="BP589" i="1"/>
  <c r="BP590" i="1" s="1"/>
  <c r="BP599" i="1"/>
  <c r="BP604" i="1" s="1"/>
  <c r="BP595" i="1" l="1"/>
  <c r="BP834" i="1"/>
  <c r="BP150" i="1"/>
  <c r="BP548" i="1"/>
  <c r="BP591" i="1"/>
  <c r="BP593" i="1" s="1"/>
  <c r="BP835" i="1" s="1"/>
  <c r="BP607" i="1"/>
  <c r="DI260" i="1"/>
  <c r="DI261" i="1" s="1"/>
  <c r="AK77" i="21" l="1"/>
  <c r="BP837" i="1"/>
  <c r="BP630" i="1"/>
  <c r="BP784" i="1"/>
  <c r="BP786" i="1"/>
  <c r="BP744" i="1"/>
  <c r="AK78" i="21" l="1"/>
  <c r="BQ323" i="1"/>
  <c r="BP631" i="1"/>
  <c r="BP618" i="1" l="1"/>
  <c r="BP639" i="1"/>
  <c r="BP4" i="1" s="1"/>
  <c r="DI323" i="1"/>
  <c r="BQ322" i="1"/>
  <c r="BQ319" i="1"/>
  <c r="BQ377" i="1" s="1"/>
  <c r="DI377" i="1" s="1"/>
  <c r="BQ269" i="1"/>
  <c r="BQ381" i="1"/>
  <c r="BQ81" i="1"/>
  <c r="AL70" i="21"/>
  <c r="BQ325" i="1" l="1"/>
  <c r="DI322" i="1"/>
  <c r="DI319" i="1"/>
  <c r="DI325" i="1" s="1"/>
  <c r="DI269" i="1"/>
  <c r="DI81" i="1"/>
  <c r="BE70" i="21"/>
  <c r="BQ391" i="1"/>
  <c r="BQ380" i="1"/>
  <c r="BQ419" i="1"/>
  <c r="AL8" i="21"/>
  <c r="AL9" i="21" s="1"/>
  <c r="BQ387" i="1"/>
  <c r="BQ99" i="1"/>
  <c r="BQ390" i="1"/>
  <c r="BQ327" i="1"/>
  <c r="DI381" i="1"/>
  <c r="BQ389" i="1" l="1"/>
  <c r="DI387" i="1"/>
  <c r="DI389" i="1" s="1"/>
  <c r="BQ426" i="1"/>
  <c r="BQ792" i="1"/>
  <c r="BQ794" i="1"/>
  <c r="BQ454" i="1"/>
  <c r="BQ793" i="1"/>
  <c r="AL71" i="21" s="1"/>
  <c r="BQ612" i="1"/>
  <c r="AL7" i="21"/>
  <c r="DI380" i="1"/>
  <c r="DI419" i="1"/>
  <c r="BE8" i="21"/>
  <c r="DI99" i="1"/>
  <c r="DI327" i="1"/>
  <c r="DI391" i="1"/>
  <c r="BQ428" i="1" l="1"/>
  <c r="AL19" i="21"/>
  <c r="AL20" i="21" s="1"/>
  <c r="BE7" i="21"/>
  <c r="BQ734" i="1"/>
  <c r="BQ761" i="1" s="1"/>
  <c r="BQ461" i="1"/>
  <c r="DI792" i="1"/>
  <c r="DI794" i="1"/>
  <c r="DI426" i="1"/>
  <c r="DI454" i="1"/>
  <c r="DI793" i="1"/>
  <c r="BE71" i="21" s="1"/>
  <c r="DI612" i="1"/>
  <c r="BQ613" i="1"/>
  <c r="BQ614" i="1"/>
  <c r="DI614" i="1" s="1"/>
  <c r="AL32" i="21" l="1"/>
  <c r="AL33" i="21" s="1"/>
  <c r="BQ463" i="1"/>
  <c r="DI461" i="1"/>
  <c r="DI734" i="1"/>
  <c r="DI761" i="1" s="1"/>
  <c r="DI428" i="1"/>
  <c r="BE19" i="21"/>
  <c r="AL62" i="21"/>
  <c r="BQ616" i="1"/>
  <c r="BQ121" i="1"/>
  <c r="BQ814" i="1"/>
  <c r="BQ625" i="1"/>
  <c r="DI625" i="1" s="1"/>
  <c r="BQ703" i="1"/>
  <c r="DI703" i="1" s="1"/>
  <c r="DI613" i="1"/>
  <c r="DI147" i="1"/>
  <c r="BE62" i="21" l="1"/>
  <c r="DI616" i="1"/>
  <c r="DI814" i="1"/>
  <c r="Z32" i="18"/>
  <c r="Z33" i="18" s="1"/>
  <c r="AA33" i="18" s="1"/>
  <c r="AA32" i="18" s="1"/>
  <c r="BE32" i="21"/>
  <c r="DI463" i="1"/>
  <c r="BQ818" i="1"/>
  <c r="BQ821" i="1"/>
  <c r="DI121" i="1"/>
  <c r="BQ820" i="1"/>
  <c r="BQ816" i="1"/>
  <c r="BQ817" i="1"/>
  <c r="BQ819" i="1"/>
  <c r="BQ598" i="1"/>
  <c r="BQ120" i="1"/>
  <c r="BQ826" i="1" s="1"/>
  <c r="BQ685" i="1"/>
  <c r="BQ823" i="1" l="1"/>
  <c r="BQ825" i="1"/>
  <c r="DI685" i="1"/>
  <c r="DI816" i="1"/>
  <c r="DI820" i="1"/>
  <c r="DI817" i="1"/>
  <c r="DI821" i="1"/>
  <c r="DI818" i="1"/>
  <c r="DI116" i="1"/>
  <c r="DI819" i="1"/>
  <c r="BQ122" i="1"/>
  <c r="BQ667" i="1"/>
  <c r="DI120" i="1"/>
  <c r="DI822" i="1" s="1"/>
  <c r="BQ815" i="1"/>
  <c r="BQ115" i="1"/>
  <c r="BQ471" i="1"/>
  <c r="BQ684" i="1"/>
  <c r="BQ822" i="1"/>
  <c r="DI598" i="1"/>
  <c r="BQ827" i="1"/>
  <c r="BQ824" i="1"/>
  <c r="DI827" i="1" l="1"/>
  <c r="DI825" i="1"/>
  <c r="DI826" i="1"/>
  <c r="DI667" i="1"/>
  <c r="DI684" i="1"/>
  <c r="DI115" i="1"/>
  <c r="DI122" i="1"/>
  <c r="DI815" i="1"/>
  <c r="DI824" i="1"/>
  <c r="DI823" i="1"/>
  <c r="BQ472" i="1"/>
  <c r="DI471" i="1"/>
  <c r="BQ810" i="1" l="1"/>
  <c r="BQ118" i="1"/>
  <c r="BQ478" i="1"/>
  <c r="BQ811" i="1"/>
  <c r="AL35" i="21"/>
  <c r="BQ465" i="1"/>
  <c r="BQ117" i="1"/>
  <c r="DI472" i="1"/>
  <c r="BQ483" i="1"/>
  <c r="BQ497" i="1" l="1"/>
  <c r="BQ490" i="1"/>
  <c r="BQ480" i="1"/>
  <c r="BQ482" i="1" s="1"/>
  <c r="DI478" i="1"/>
  <c r="DI480" i="1" s="1"/>
  <c r="BQ711" i="1"/>
  <c r="DI811" i="1"/>
  <c r="DI117" i="1"/>
  <c r="DI118" i="1"/>
  <c r="DI810" i="1"/>
  <c r="BE35" i="21"/>
  <c r="BE36" i="21" s="1"/>
  <c r="DI465" i="1"/>
  <c r="DI483" i="1"/>
  <c r="DI711" i="1" l="1"/>
  <c r="BQ493" i="1"/>
  <c r="AL38" i="21"/>
  <c r="BQ712" i="1"/>
  <c r="AL40" i="21"/>
  <c r="BQ500" i="1"/>
  <c r="BQ130" i="1"/>
  <c r="DI497" i="1"/>
  <c r="DI490" i="1"/>
  <c r="AL41" i="21" l="1"/>
  <c r="DI493" i="1"/>
  <c r="BE38" i="21"/>
  <c r="DI129" i="1"/>
  <c r="BE40" i="21"/>
  <c r="BE41" i="21" s="1"/>
  <c r="DI130" i="1"/>
  <c r="DI712" i="1"/>
  <c r="BQ506" i="1"/>
  <c r="BQ495" i="1"/>
  <c r="DI500" i="1"/>
  <c r="BQ515" i="1"/>
  <c r="BQ620" i="1" l="1"/>
  <c r="BQ624" i="1" s="1"/>
  <c r="BQ629" i="1" s="1"/>
  <c r="BQ136" i="1"/>
  <c r="BQ838" i="1" s="1"/>
  <c r="AL44" i="21"/>
  <c r="AL47" i="21" s="1"/>
  <c r="AL48" i="21" s="1"/>
  <c r="BQ740" i="1"/>
  <c r="BQ766" i="1" s="1"/>
  <c r="BQ788" i="1"/>
  <c r="AL72" i="21" s="1"/>
  <c r="BQ525" i="1"/>
  <c r="BQ732" i="1"/>
  <c r="BQ741" i="1"/>
  <c r="BQ767" i="1" s="1"/>
  <c r="BQ787" i="1"/>
  <c r="BQ789" i="1"/>
  <c r="BQ730" i="1"/>
  <c r="BQ513" i="1"/>
  <c r="BQ521" i="1"/>
  <c r="DI521" i="1" s="1"/>
  <c r="DI136" i="1"/>
  <c r="DI495" i="1"/>
  <c r="DI515" i="1"/>
  <c r="BQ509" i="1"/>
  <c r="DI506" i="1"/>
  <c r="DI509" i="1" s="1"/>
  <c r="BQ137" i="1" l="1"/>
  <c r="BQ510" i="1"/>
  <c r="BQ759" i="1"/>
  <c r="AL54" i="21"/>
  <c r="BQ731" i="1"/>
  <c r="BQ840" i="1"/>
  <c r="BQ760" i="1"/>
  <c r="AL55" i="21"/>
  <c r="BQ733" i="1"/>
  <c r="BQ728" i="1"/>
  <c r="BQ729" i="1"/>
  <c r="BQ529" i="1"/>
  <c r="AL51" i="21"/>
  <c r="AL50" i="21" s="1"/>
  <c r="DI525" i="1"/>
  <c r="BQ676" i="1"/>
  <c r="DI620" i="1"/>
  <c r="DI624" i="1" s="1"/>
  <c r="DI629" i="1" s="1"/>
  <c r="DI788" i="1"/>
  <c r="DI787" i="1"/>
  <c r="DI730" i="1"/>
  <c r="DI732" i="1"/>
  <c r="DI741" i="1"/>
  <c r="DI767" i="1" s="1"/>
  <c r="BE44" i="21"/>
  <c r="BE47" i="21" s="1"/>
  <c r="DI513" i="1"/>
  <c r="DI789" i="1"/>
  <c r="DI740" i="1"/>
  <c r="DI766" i="1" s="1"/>
  <c r="DI759" i="1" l="1"/>
  <c r="DI840" i="1"/>
  <c r="BE54" i="21"/>
  <c r="DI838" i="1"/>
  <c r="DI731" i="1"/>
  <c r="DI728" i="1"/>
  <c r="DI729" i="1"/>
  <c r="BE51" i="21"/>
  <c r="BE50" i="21" s="1"/>
  <c r="DI510" i="1"/>
  <c r="BQ757" i="1"/>
  <c r="Z18" i="18"/>
  <c r="DI733" i="1"/>
  <c r="DI760" i="1"/>
  <c r="BE55" i="21"/>
  <c r="BQ534" i="1"/>
  <c r="DI529" i="1"/>
  <c r="Z16" i="18"/>
  <c r="AA16" i="18" s="1"/>
  <c r="BE72" i="21"/>
  <c r="DI676" i="1"/>
  <c r="BQ758" i="1"/>
  <c r="DI137" i="1"/>
  <c r="BQ839" i="1"/>
  <c r="DI758" i="1" l="1"/>
  <c r="DI757" i="1"/>
  <c r="DI839" i="1"/>
  <c r="DI131" i="1"/>
  <c r="Z21" i="18"/>
  <c r="AA21" i="18" s="1"/>
  <c r="Z19" i="18"/>
  <c r="AA18" i="18"/>
  <c r="AD16" i="18"/>
  <c r="DI534" i="1"/>
  <c r="DI538" i="1" s="1"/>
  <c r="BQ538" i="1"/>
  <c r="AD21" i="18" l="1"/>
  <c r="AD18" i="18"/>
  <c r="AA20" i="18"/>
  <c r="AA22" i="18" s="1"/>
  <c r="AA52" i="18" s="1"/>
  <c r="AA54" i="18" s="1"/>
  <c r="AA19" i="18"/>
  <c r="AB18" i="18"/>
  <c r="BQ743" i="1"/>
  <c r="BQ742" i="1"/>
  <c r="BQ768" i="1" s="1"/>
  <c r="BQ531" i="1"/>
  <c r="AL63" i="21"/>
  <c r="BQ541" i="1"/>
  <c r="BQ701" i="1"/>
  <c r="DI742" i="1"/>
  <c r="DI541" i="1"/>
  <c r="BE63" i="21"/>
  <c r="DI743" i="1"/>
  <c r="Z23" i="18"/>
  <c r="DI531" i="1"/>
  <c r="BQ702" i="1" l="1"/>
  <c r="BQ785" i="1" s="1"/>
  <c r="BQ841" i="1" s="1"/>
  <c r="BQ700" i="1"/>
  <c r="DI701" i="1"/>
  <c r="BQ783" i="1"/>
  <c r="AL73" i="21" s="1"/>
  <c r="AL74" i="21" s="1"/>
  <c r="BQ782" i="1"/>
  <c r="BQ769" i="1"/>
  <c r="DI769" i="1"/>
  <c r="Z25" i="18"/>
  <c r="Z26" i="18" s="1"/>
  <c r="AA23" i="18"/>
  <c r="Z34" i="18"/>
  <c r="Z37" i="18"/>
  <c r="Z30" i="18"/>
  <c r="BQ550" i="1"/>
  <c r="BQ564" i="1" s="1"/>
  <c r="BQ671" i="1"/>
  <c r="BQ674" i="1"/>
  <c r="BQ673" i="1"/>
  <c r="DI550" i="1"/>
  <c r="DI564" i="1" s="1"/>
  <c r="DI768" i="1"/>
  <c r="AB20" i="18"/>
  <c r="AB22" i="18" s="1"/>
  <c r="AB52" i="18" s="1"/>
  <c r="AB54" i="18" s="1"/>
  <c r="DI673" i="1" l="1"/>
  <c r="AA37" i="18"/>
  <c r="AA34" i="18"/>
  <c r="AD34" i="18" s="1"/>
  <c r="AA25" i="18"/>
  <c r="AA26" i="18" s="1"/>
  <c r="AB40" i="18"/>
  <c r="AA30" i="18"/>
  <c r="Z28" i="18"/>
  <c r="Z27" i="18"/>
  <c r="BQ699" i="1"/>
  <c r="DI700" i="1"/>
  <c r="DI674" i="1"/>
  <c r="BQ567" i="1"/>
  <c r="BQ568" i="1" s="1"/>
  <c r="BQ587" i="1" s="1"/>
  <c r="DI671" i="1"/>
  <c r="DI702" i="1"/>
  <c r="DI785" i="1" s="1"/>
  <c r="DI783" i="1"/>
  <c r="BE73" i="21" s="1"/>
  <c r="BE74" i="21" s="1"/>
  <c r="DI782" i="1"/>
  <c r="BQ672" i="1"/>
  <c r="BQ836" i="1" l="1"/>
  <c r="AA28" i="18"/>
  <c r="AB41" i="18" s="1"/>
  <c r="AA27" i="18"/>
  <c r="DI672" i="1"/>
  <c r="K125" i="2"/>
  <c r="DI841" i="1"/>
  <c r="BQ725" i="1"/>
  <c r="BQ704" i="1"/>
  <c r="BQ599" i="1"/>
  <c r="BQ589" i="1"/>
  <c r="DI589" i="1" s="1"/>
  <c r="DI567" i="1"/>
  <c r="DI568" i="1" s="1"/>
  <c r="DI587" i="1" s="1"/>
  <c r="DI699" i="1"/>
  <c r="AB30" i="18"/>
  <c r="AB23" i="18" s="1"/>
  <c r="AB25" i="18" s="1"/>
  <c r="AB26" i="18" s="1"/>
  <c r="AB28" i="18" s="1"/>
  <c r="AB42" i="18" s="1"/>
  <c r="AD30" i="18"/>
  <c r="BQ590" i="1" l="1"/>
  <c r="BQ834" i="1" s="1"/>
  <c r="DI704" i="1"/>
  <c r="DI725" i="1"/>
  <c r="DI590" i="1"/>
  <c r="DI836" i="1"/>
  <c r="DI599" i="1"/>
  <c r="DI604" i="1" s="1"/>
  <c r="BQ604" i="1"/>
  <c r="AB43" i="18"/>
  <c r="AC41" i="18" s="1"/>
  <c r="BQ150" i="1" l="1"/>
  <c r="BQ591" i="1"/>
  <c r="DI591" i="1" s="1"/>
  <c r="DI593" i="1" s="1"/>
  <c r="DI835" i="1" s="1"/>
  <c r="BQ548" i="1"/>
  <c r="BQ595" i="1"/>
  <c r="BQ784" i="1" s="1"/>
  <c r="AC42" i="18"/>
  <c r="DI607" i="1"/>
  <c r="DI837" i="1" s="1"/>
  <c r="Z36" i="18"/>
  <c r="Z38" i="18" s="1"/>
  <c r="AA38" i="18" s="1"/>
  <c r="AA36" i="18" s="1"/>
  <c r="AB44" i="18"/>
  <c r="AB48" i="18"/>
  <c r="AC40" i="18"/>
  <c r="BQ607" i="1"/>
  <c r="DI595" i="1"/>
  <c r="DI150" i="1"/>
  <c r="DI834" i="1"/>
  <c r="DI548" i="1"/>
  <c r="AL77" i="21"/>
  <c r="BQ593" i="1" l="1"/>
  <c r="BQ835" i="1" s="1"/>
  <c r="BQ786" i="1"/>
  <c r="BQ630" i="1"/>
  <c r="BQ744" i="1"/>
  <c r="DC644" i="1"/>
  <c r="G131" i="2" s="1"/>
  <c r="DA644" i="1"/>
  <c r="E131" i="2" s="1"/>
  <c r="CX644" i="1"/>
  <c r="DH644" i="1"/>
  <c r="DI784" i="1"/>
  <c r="CV644" i="1"/>
  <c r="DD644" i="1"/>
  <c r="CY644" i="1"/>
  <c r="C131" i="2" s="1"/>
  <c r="DE644" i="1"/>
  <c r="DB644" i="1"/>
  <c r="F131" i="2" s="1"/>
  <c r="CZ644" i="1"/>
  <c r="D131" i="2" s="1"/>
  <c r="DI786" i="1"/>
  <c r="DI644" i="1"/>
  <c r="DI645" i="1" s="1"/>
  <c r="DI651" i="1" s="1"/>
  <c r="DG644" i="1"/>
  <c r="DF644" i="1"/>
  <c r="CW644" i="1"/>
  <c r="DI744" i="1"/>
  <c r="C150" i="2"/>
  <c r="AB46" i="18"/>
  <c r="DI630" i="1"/>
  <c r="DI631" i="1" s="1"/>
  <c r="BQ631" i="1"/>
  <c r="BE78" i="21"/>
  <c r="BE77" i="21"/>
  <c r="BQ837" i="1"/>
  <c r="BQ618" i="1" l="1"/>
  <c r="BQ639" i="1"/>
  <c r="BQ4" i="1" s="1"/>
  <c r="F124" i="2"/>
  <c r="J124" i="2" s="1"/>
  <c r="O124" i="2"/>
  <c r="AL78" i="21"/>
  <c r="DI618" i="1"/>
  <c r="DH643" i="1"/>
  <c r="DH645" i="1" s="1"/>
  <c r="DH651" i="1" s="1"/>
  <c r="DI655" i="1" s="1"/>
  <c r="DI639" i="1"/>
  <c r="CY643" i="1"/>
  <c r="CX643" i="1"/>
  <c r="CX645" i="1" s="1"/>
  <c r="CX651" i="1" s="1"/>
  <c r="CV643" i="1"/>
  <c r="CV645" i="1" s="1"/>
  <c r="CV651" i="1" s="1"/>
  <c r="CV653" i="1" s="1"/>
  <c r="CV641" i="1" s="1"/>
  <c r="CZ643" i="1"/>
  <c r="CW643" i="1"/>
  <c r="CW645" i="1" s="1"/>
  <c r="CW651" i="1" s="1"/>
  <c r="DA643" i="1"/>
  <c r="DB643" i="1"/>
  <c r="DE643" i="1"/>
  <c r="DE645" i="1" s="1"/>
  <c r="DE651" i="1" s="1"/>
  <c r="DD643" i="1"/>
  <c r="DD645" i="1" s="1"/>
  <c r="DD651" i="1" s="1"/>
  <c r="DG643" i="1"/>
  <c r="DG645" i="1" s="1"/>
  <c r="DG651" i="1" s="1"/>
  <c r="DC643" i="1"/>
  <c r="DF643" i="1"/>
  <c r="DF645" i="1" s="1"/>
  <c r="DF651" i="1" s="1"/>
  <c r="K12" i="22"/>
  <c r="N72" i="7"/>
  <c r="DI653" i="1"/>
  <c r="DI641" i="1" s="1"/>
  <c r="DE655" i="1" l="1"/>
  <c r="DE4" i="1" s="1"/>
  <c r="DE653" i="1"/>
  <c r="DE641" i="1" s="1"/>
  <c r="CX653" i="1"/>
  <c r="CX641" i="1" s="1"/>
  <c r="CX655" i="1"/>
  <c r="CX4" i="1" s="1"/>
  <c r="CY645" i="1"/>
  <c r="CY651" i="1" s="1"/>
  <c r="C130" i="2"/>
  <c r="C132" i="2" s="1"/>
  <c r="DB645" i="1"/>
  <c r="DB651" i="1" s="1"/>
  <c r="F130" i="2"/>
  <c r="F132" i="2" s="1"/>
  <c r="DA645" i="1"/>
  <c r="DA651" i="1" s="1"/>
  <c r="E130" i="2"/>
  <c r="E132" i="2" s="1"/>
  <c r="DI4" i="1"/>
  <c r="G130" i="2"/>
  <c r="G132" i="2" s="1"/>
  <c r="DC645" i="1"/>
  <c r="DC651" i="1" s="1"/>
  <c r="DH653" i="1"/>
  <c r="DH641" i="1" s="1"/>
  <c r="DH655" i="1"/>
  <c r="DH4" i="1" s="1"/>
  <c r="DG653" i="1"/>
  <c r="DG641" i="1" s="1"/>
  <c r="DG655" i="1"/>
  <c r="DG4" i="1" s="1"/>
  <c r="CZ645" i="1"/>
  <c r="CZ651" i="1" s="1"/>
  <c r="D130" i="2"/>
  <c r="D132" i="2" s="1"/>
  <c r="DF653" i="1"/>
  <c r="DF641" i="1" s="1"/>
  <c r="DF655" i="1"/>
  <c r="DF4" i="1" s="1"/>
  <c r="CW655" i="1"/>
  <c r="CW4" i="1" s="1"/>
  <c r="CW653" i="1"/>
  <c r="CW641" i="1" s="1"/>
  <c r="DD653" i="1"/>
  <c r="DD641" i="1" s="1"/>
  <c r="DD655" i="1"/>
  <c r="DD4" i="1" s="1"/>
  <c r="G133" i="2" l="1"/>
  <c r="G140" i="2"/>
  <c r="G141" i="2" s="1"/>
  <c r="C140" i="2"/>
  <c r="C133" i="2"/>
  <c r="Q78" i="7"/>
  <c r="CY653" i="1"/>
  <c r="CY641" i="1" s="1"/>
  <c r="CY655" i="1"/>
  <c r="CY4" i="1" s="1"/>
  <c r="CZ653" i="1"/>
  <c r="CZ641" i="1" s="1"/>
  <c r="CZ655" i="1"/>
  <c r="CZ4" i="1" s="1"/>
  <c r="DA653" i="1"/>
  <c r="DA641" i="1" s="1"/>
  <c r="DA655" i="1"/>
  <c r="DA4" i="1" s="1"/>
  <c r="F140" i="2"/>
  <c r="F141" i="2" s="1"/>
  <c r="F133" i="2"/>
  <c r="E133" i="2"/>
  <c r="E140" i="2"/>
  <c r="E141" i="2" s="1"/>
  <c r="D140" i="2"/>
  <c r="D141" i="2" s="1"/>
  <c r="D133" i="2"/>
  <c r="DC653" i="1"/>
  <c r="DC641" i="1" s="1"/>
  <c r="DC655" i="1"/>
  <c r="DC4" i="1" s="1"/>
  <c r="DB655" i="1"/>
  <c r="DB4" i="1" s="1"/>
  <c r="DB653" i="1"/>
  <c r="DB641" i="1" s="1"/>
  <c r="Q80" i="7" l="1"/>
  <c r="C141" i="2"/>
  <c r="Q82" i="7"/>
  <c r="G145" i="2"/>
  <c r="C149" i="2" l="1"/>
  <c r="N71" i="7" l="1"/>
  <c r="C153" i="2"/>
  <c r="K13" i="22" l="1"/>
  <c r="G9" i="2"/>
  <c r="C154" i="2"/>
  <c r="N75" i="7"/>
  <c r="J9" i="7" l="1"/>
  <c r="J10" i="7" l="1"/>
  <c r="O6" i="22"/>
  <c r="N26" i="22" l="1"/>
  <c r="M29" i="22"/>
  <c r="O26" i="22"/>
  <c r="O7" i="22"/>
  <c r="N30" i="22"/>
  <c r="N28" i="22"/>
  <c r="M28" i="22"/>
  <c r="L28" i="22"/>
  <c r="O29" i="22"/>
  <c r="K29" i="22"/>
  <c r="N29" i="22"/>
  <c r="K26" i="22"/>
  <c r="O28" i="22"/>
  <c r="L27" i="22"/>
  <c r="L30" i="22"/>
  <c r="O30" i="22"/>
  <c r="M26" i="22"/>
  <c r="K30" i="22"/>
  <c r="L26" i="22"/>
  <c r="M27" i="22"/>
  <c r="L29" i="22"/>
  <c r="K27" i="22"/>
  <c r="N27" i="22"/>
  <c r="O27" i="22"/>
  <c r="K28" i="22"/>
  <c r="M30" i="22"/>
  <c r="J11" i="7"/>
  <c r="J1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J-Lo</author>
  </authors>
  <commentList>
    <comment ref="AB1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J-Lo:</t>
        </r>
        <r>
          <rPr>
            <sz val="8"/>
            <color indexed="81"/>
            <rFont val="Tahoma"/>
            <family val="2"/>
          </rPr>
          <t xml:space="preserve">
only OEIs, not prefs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Lyons</author>
  </authors>
  <commentList>
    <comment ref="I12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=VLOOKUP("CET1_Surplus",Model!$1:$1048576,MATCH("FY"&amp;RIGHT(Summary!C$121-1,2)&amp;"E",Model!$1:$1,0),FALSE) / VLOOKUP("OrdEqu_SOIEOP",Model!$1:$1048576,MATCH("FY"&amp;RIGHT(Summary!C$121-1,2)&amp;"E",Model!$1:$1,0),FALSE) * Summary!C120 +
VLOOKUP("CET1_Surplus",Model!$1:$1048576,MATCH("FY"&amp;RIGHT(Summary!D$121-1,2)&amp;"E",Model!$1:$1,0),FALSE) / VLOOKUP("OrdEqu_SOIEOP",Model!$1:$1048576,MATCH("FY"&amp;RIGHT(Summary!D$121-1,2)&amp;"E",Model!$1:$1,0),FALSE) * Summary!D120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Lyons, Andrew [GIR]</author>
    <author>Authorized User</author>
    <author>Chu, Dylan [GIR]</author>
    <author>Andrew Lyons</author>
    <author>J-Lo</author>
    <author>Jien Goh</author>
    <author>Li, John Y [GIR]</author>
    <author>Sproules, Brendan A</author>
  </authors>
  <commentList>
    <comment ref="B8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Targeting 3% (my read is in 5 years)</t>
        </r>
      </text>
    </comment>
    <comment ref="B99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Targeting towards 30% (my read is in 5 years)</t>
        </r>
      </text>
    </comment>
    <comment ref="CR103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Authorized User:</t>
        </r>
        <r>
          <rPr>
            <sz val="8"/>
            <color indexed="81"/>
            <rFont val="Tahoma"/>
            <family val="2"/>
          </rPr>
          <t xml:space="preserve">
Peaks at cA$500m</t>
        </r>
      </text>
    </comment>
    <comment ref="BZ106" authorId="2" shapeId="0" xr:uid="{00000000-0006-0000-0A00-000005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Application software not separated from data processing equipment - pdf p.101 of 2001 fin rep.</t>
        </r>
      </text>
    </comment>
    <comment ref="CQ106" authorId="3" shapeId="0" xr:uid="{00000000-0006-0000-0A00-000006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Peaks at A$2.5bn</t>
        </r>
      </text>
    </comment>
    <comment ref="AU116" authorId="0" shapeId="0" xr:uid="{BD5DD6B8-AE3A-4590-9160-3644C36D1026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15 bp of CP build + 15 bp adjustment for CRWA changes due to new capital standards</t>
        </r>
      </text>
    </comment>
    <comment ref="B118" authorId="3" shapeId="0" xr:uid="{00000000-0006-0000-0A00-000007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Company suggests benign period BDD/NHL = 45bp (we use 52bp; 28bp / TL); mid-cycle is 65bp (28bp of TL, broadly consistent with ours)</t>
        </r>
      </text>
    </comment>
    <comment ref="AT129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Director of Finance noted a few non-deductibles that will keep tax rate slightly above 30%</t>
        </r>
      </text>
    </comment>
    <comment ref="BZ138" authorId="2" shapeId="0" xr:uid="{00000000-0006-0000-0A00-000009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from IRESS and website: http://www.nab.com.au/about-us/shareholder-centre/dividend-information/nab-s-dividend-paymenthistory</t>
        </r>
      </text>
    </comment>
    <comment ref="AU146" authorId="0" shapeId="0" xr:uid="{787F5DB6-0D28-4DE1-B18C-25FEE239A852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New capital standards</t>
        </r>
      </text>
    </comment>
    <comment ref="B151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Implied from company discussion on ROE targets, per initiation document</t>
        </r>
      </text>
    </comment>
    <comment ref="AU151" authorId="0" shapeId="0" xr:uid="{61A9CC07-AFC8-40A5-B95B-0BA77B3733E2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In between regionals (towards 11%) and majors (12%)</t>
        </r>
      </text>
    </comment>
    <comment ref="B163" authorId="4" shapeId="0" xr:uid="{00000000-0006-0000-0A00-00000B000000}">
      <text>
        <r>
          <rPr>
            <b/>
            <sz val="8"/>
            <color indexed="81"/>
            <rFont val="Tahoma"/>
            <family val="2"/>
          </rPr>
          <t>J-Lo:</t>
        </r>
        <r>
          <rPr>
            <sz val="8"/>
            <color indexed="81"/>
            <rFont val="Tahoma"/>
            <family val="2"/>
          </rPr>
          <t xml:space="preserve">
Pre 1H15A: NZ (but also US &amp; Asia encompassed here)
Post and including 1H15A; just NZ</t>
        </r>
      </text>
    </comment>
    <comment ref="B169" authorId="4" shapeId="0" xr:uid="{00000000-0006-0000-0A00-00000C000000}">
      <text>
        <r>
          <rPr>
            <b/>
            <sz val="8"/>
            <color indexed="81"/>
            <rFont val="Tahoma"/>
            <family val="2"/>
          </rPr>
          <t>J-Lo:</t>
        </r>
        <r>
          <rPr>
            <sz val="8"/>
            <color indexed="81"/>
            <rFont val="Tahoma"/>
            <family val="2"/>
          </rPr>
          <t xml:space="preserve">
Pre 1H15A: Europe
Post 1H15A; other international</t>
        </r>
      </text>
    </comment>
    <comment ref="BU170" authorId="5" shapeId="0" xr:uid="{00000000-0006-0000-0A00-00000D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no breakdown of offshore, assume similar growth to total offshore loans, as per 1994 AR</t>
        </r>
      </text>
    </comment>
    <comment ref="BU172" authorId="5" shapeId="0" xr:uid="{00000000-0006-0000-0A00-00000E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no breakdown of offshore, assume similar growth to total offshore loans, as per 1994 AR</t>
        </r>
      </text>
    </comment>
    <comment ref="BS173" authorId="5" shapeId="0" xr:uid="{00000000-0006-0000-0A00-00000F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no breakdown of offshore, assume similar growth to total offshore loans, as per 1994 AR</t>
        </r>
      </text>
    </comment>
    <comment ref="BT173" authorId="5" shapeId="0" xr:uid="{00000000-0006-0000-0A00-000010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1992 AR, "United Kingdom &amp; Irish Banking" divisional section</t>
        </r>
      </text>
    </comment>
    <comment ref="BU173" authorId="5" shapeId="0" xr:uid="{00000000-0006-0000-0A00-000011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1993 AR, "United Kingdom &amp; Irish Banking" divisional section</t>
        </r>
      </text>
    </comment>
    <comment ref="B186" authorId="0" shapeId="0" xr:uid="{00000000-0006-0000-0A00-00001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Long-term goal (post TFF) to fund 70-75% of assets from deposits</t>
        </r>
      </text>
    </comment>
    <comment ref="BV198" authorId="5" shapeId="0" xr:uid="{00000000-0006-0000-0A00-000013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changed disclosures</t>
        </r>
      </text>
    </comment>
    <comment ref="BZ210" authorId="2" shapeId="0" xr:uid="{00000000-0006-0000-0A00-000014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Pre-MLC: also including assets on trust - not comparable to post FY02 periods. </t>
        </r>
      </text>
    </comment>
    <comment ref="CA210" authorId="2" shapeId="0" xr:uid="{00000000-0006-0000-0A00-000015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Including assets on trust - not comparable to subsequent periods. </t>
        </r>
      </text>
    </comment>
    <comment ref="B261" authorId="0" shapeId="0" xr:uid="{00000000-0006-0000-0A00-000017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Assumed equity component of funding</t>
        </r>
      </text>
    </comment>
    <comment ref="BZ398" authorId="2" shapeId="0" xr:uid="{00000000-0006-0000-0A00-000018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Not separately disclosed</t>
        </r>
      </text>
    </comment>
    <comment ref="CB398" authorId="5" shapeId="0" xr:uid="{00000000-0006-0000-0A00-000019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fee revenue in premiums and other income in the non-life non-investment liniked busineses (pdf pg 154 of 2001 AR)</t>
        </r>
      </text>
    </comment>
    <comment ref="CB399" authorId="2" shapeId="0" xr:uid="{00000000-0006-0000-0A00-00001A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Life company operating margins - pdf p.42 of 2H01 result</t>
        </r>
      </text>
    </comment>
    <comment ref="CP405" authorId="3" shapeId="0" xr:uid="{00000000-0006-0000-0A00-00001B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Assumes all list non-interest income from UK was In other income</t>
        </r>
      </text>
    </comment>
    <comment ref="CB433" authorId="5" shapeId="0" xr:uid="{00000000-0006-0000-0A00-00001C000000}">
      <text>
        <r>
          <rPr>
            <b/>
            <sz val="9"/>
            <color indexed="81"/>
            <rFont val="Tahoma"/>
            <family val="2"/>
          </rPr>
          <t>Jien Goh:</t>
        </r>
        <r>
          <rPr>
            <sz val="9"/>
            <color indexed="81"/>
            <rFont val="Tahoma"/>
            <family val="2"/>
          </rPr>
          <t xml:space="preserve">
non life non investment linked expenses ex claims ex change in policy liability (2001 AR, page 154)</t>
        </r>
      </text>
    </comment>
    <comment ref="BY537" authorId="2" shapeId="0" xr:uid="{00000000-0006-0000-0A00-00001D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Including 'transfer from share premium reserve'</t>
        </r>
      </text>
    </comment>
    <comment ref="AT544" authorId="6" shapeId="0" xr:uid="{C68943F4-C82E-4647-AFDD-1842B5C75A53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calcualted based off diluated cash EPS of A$3.2</t>
        </r>
      </text>
    </comment>
    <comment ref="AX546" authorId="7" shapeId="0" xr:uid="{1DB45658-C7BC-480A-81D7-F2EF4281B9F3}">
      <text>
        <r>
          <rPr>
            <b/>
            <sz val="9"/>
            <color indexed="81"/>
            <rFont val="Tahoma"/>
            <family val="2"/>
          </rPr>
          <t>Sproules, Brendan A:</t>
        </r>
        <r>
          <rPr>
            <sz val="9"/>
            <color indexed="81"/>
            <rFont val="Tahoma"/>
            <family val="2"/>
          </rPr>
          <t xml:space="preserve">
Estimated</t>
        </r>
      </text>
    </comment>
    <comment ref="B592" authorId="4" shapeId="0" xr:uid="{00000000-0006-0000-0A00-00001E000000}">
      <text>
        <r>
          <rPr>
            <b/>
            <sz val="9"/>
            <color indexed="81"/>
            <rFont val="Tahoma"/>
            <family val="2"/>
          </rPr>
          <t>J-Lo:</t>
        </r>
        <r>
          <rPr>
            <sz val="9"/>
            <color indexed="81"/>
            <rFont val="Tahoma"/>
            <family val="2"/>
          </rPr>
          <t xml:space="preserve">
This includes WM NTAs, DTA, Equity Investments &amp; Other</t>
        </r>
      </text>
    </comment>
    <comment ref="B610" authorId="0" shapeId="0" xr:uid="{00000000-0006-0000-0A00-00001F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While they do housing, they are purely cross-collateralised SME loans, so act more like SME loans form a capital perspective</t>
        </r>
      </text>
    </comment>
    <comment ref="B615" authorId="4" shapeId="0" xr:uid="{00000000-0006-0000-0A00-000020000000}">
      <text>
        <r>
          <rPr>
            <b/>
            <sz val="9"/>
            <color indexed="81"/>
            <rFont val="Tahoma"/>
            <family val="2"/>
          </rPr>
          <t>J-Lo:</t>
        </r>
        <r>
          <rPr>
            <sz val="9"/>
            <color indexed="81"/>
            <rFont val="Tahoma"/>
            <family val="2"/>
          </rPr>
          <t xml:space="preserve">
This includes mortgage LGDs normalised to min 10% and other diff incl. treatment of spec. lending</t>
        </r>
      </text>
    </comment>
    <comment ref="AS660" authorId="0" shapeId="0" xr:uid="{00000000-0006-0000-0A00-000021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Refer JDO balance sheet evolution</t>
        </r>
      </text>
    </comment>
    <comment ref="AT660" authorId="0" shapeId="0" xr:uid="{00000000-0006-0000-0A00-000022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Refer JDO balance sheet evolution</t>
        </r>
      </text>
    </comment>
    <comment ref="AU660" authorId="0" shapeId="0" xr:uid="{00000000-0006-0000-0A00-000023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Refer JDO balance sheet evolution</t>
        </r>
      </text>
    </comment>
    <comment ref="AV660" authorId="0" shapeId="0" xr:uid="{00000000-0006-0000-0A00-000024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Refer JDO balance sheet evolution</t>
        </r>
      </text>
    </comment>
    <comment ref="AW660" authorId="0" shapeId="0" xr:uid="{00000000-0006-0000-0A00-000025000000}">
      <text>
        <r>
          <rPr>
            <b/>
            <sz val="9"/>
            <color indexed="81"/>
            <rFont val="Tahoma"/>
            <family val="2"/>
          </rPr>
          <t>Lyons, Andrew [GIR]:</t>
        </r>
        <r>
          <rPr>
            <sz val="9"/>
            <color indexed="81"/>
            <rFont val="Tahoma"/>
            <family val="2"/>
          </rPr>
          <t xml:space="preserve">
This is the A$1.2 bn preserved TFF that goes to zero by Jun-24</t>
        </r>
      </text>
    </comment>
    <comment ref="B661" authorId="4" shapeId="0" xr:uid="{00000000-0006-0000-0A00-000026000000}">
      <text>
        <r>
          <rPr>
            <b/>
            <sz val="8"/>
            <color indexed="81"/>
            <rFont val="Tahoma"/>
            <family val="2"/>
          </rPr>
          <t>J-Lo:</t>
        </r>
        <r>
          <rPr>
            <sz val="8"/>
            <color indexed="81"/>
            <rFont val="Tahoma"/>
            <family val="2"/>
          </rPr>
          <t xml:space="preserve">
GS defn excludes capitalised software from intangibles</t>
        </r>
      </text>
    </comment>
    <comment ref="CB661" authorId="2" shapeId="0" xr:uid="{00000000-0006-0000-0A00-000027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Only goodwill</t>
        </r>
      </text>
    </comment>
    <comment ref="BX701" authorId="2" shapeId="0" xr:uid="{00000000-0006-0000-0A00-000028000000}">
      <text>
        <r>
          <rPr>
            <b/>
            <sz val="9"/>
            <color indexed="81"/>
            <rFont val="Tahoma"/>
            <family val="2"/>
          </rPr>
          <t>Chu, Dylan [GIR]:</t>
        </r>
        <r>
          <rPr>
            <sz val="9"/>
            <color indexed="81"/>
            <rFont val="Tahoma"/>
            <family val="2"/>
          </rPr>
          <t xml:space="preserve">
Different from company disclosure (pdf p.54 of FY97 ann rep)</t>
        </r>
      </text>
    </comment>
    <comment ref="AU711" authorId="6" shapeId="0" xr:uid="{D3F81633-9A17-48B7-B6C2-D54929BEB8EC}">
      <text>
        <r>
          <rPr>
            <b/>
            <sz val="9"/>
            <color indexed="81"/>
            <rFont val="Tahoma"/>
            <family val="2"/>
          </rPr>
          <t>Li, John Y [GIR]:</t>
        </r>
        <r>
          <rPr>
            <sz val="9"/>
            <color indexed="81"/>
            <rFont val="Tahoma"/>
            <family val="2"/>
          </rPr>
          <t xml:space="preserve">
yes this large number is for the half year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Lyons</author>
  </authors>
  <commentList>
    <comment ref="AH129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Andrew Lyons:</t>
        </r>
        <r>
          <rPr>
            <sz val="9"/>
            <color indexed="81"/>
            <rFont val="Tahoma"/>
            <family val="2"/>
          </rPr>
          <t xml:space="preserve">
"We think somewhwre between 28 and 29 per cent", CFO post 2H16 results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Fisher, Ryan</author>
    <author>Ryan Fisher</author>
    <author>Rogers, Elizabeth</author>
    <author>Groer, Ingrid</author>
    <author>Leong, YuChuan [GIR]</author>
  </authors>
  <commentList>
    <comment ref="L9" authorId="0" shapeId="0" xr:uid="{00000000-0006-0000-0F00-000001000000}">
      <text>
        <r>
          <rPr>
            <b/>
            <sz val="10"/>
            <color indexed="81"/>
            <rFont val="Tahoma"/>
            <family val="2"/>
          </rPr>
          <t>Fisher, Ryan:</t>
        </r>
        <r>
          <rPr>
            <sz val="10"/>
            <color indexed="81"/>
            <rFont val="Tahoma"/>
            <family val="2"/>
          </rPr>
          <t xml:space="preserve">
-21 from straight MTM (see calcs below) + another $15m loss (est) from discount rate movements</t>
        </r>
      </text>
    </comment>
    <comment ref="AD9" authorId="1" shapeId="0" xr:uid="{00000000-0006-0000-0F00-000002000000}">
      <text>
        <r>
          <rPr>
            <b/>
            <sz val="9"/>
            <color indexed="81"/>
            <rFont val="Tahoma"/>
            <family val="2"/>
          </rPr>
          <t>Ryan Fisher:</t>
        </r>
        <r>
          <rPr>
            <sz val="9"/>
            <color indexed="81"/>
            <rFont val="Tahoma"/>
            <family val="2"/>
          </rPr>
          <t xml:space="preserve">
adjustment from here on</t>
        </r>
      </text>
    </comment>
    <comment ref="AC20" authorId="1" shapeId="0" xr:uid="{00000000-0006-0000-0F00-000003000000}">
      <text>
        <r>
          <rPr>
            <b/>
            <sz val="9"/>
            <color indexed="81"/>
            <rFont val="Tahoma"/>
            <family val="2"/>
          </rPr>
          <t>Ryan Fisher:</t>
        </r>
        <r>
          <rPr>
            <sz val="9"/>
            <color indexed="81"/>
            <rFont val="Tahoma"/>
            <family val="2"/>
          </rPr>
          <t xml:space="preserve">
491 actual</t>
        </r>
      </text>
    </comment>
    <comment ref="AC22" authorId="1" shapeId="0" xr:uid="{00000000-0006-0000-0F00-000004000000}">
      <text>
        <r>
          <rPr>
            <b/>
            <sz val="9"/>
            <color indexed="81"/>
            <rFont val="Tahoma"/>
            <family val="2"/>
          </rPr>
          <t>Ryan Fisher:</t>
        </r>
        <r>
          <rPr>
            <sz val="9"/>
            <color indexed="81"/>
            <rFont val="Tahoma"/>
            <family val="2"/>
          </rPr>
          <t xml:space="preserve">
58 actual</t>
        </r>
      </text>
    </comment>
    <comment ref="Q33" authorId="2" shapeId="0" xr:uid="{00000000-0006-0000-0F00-000005000000}">
      <text>
        <r>
          <rPr>
            <b/>
            <sz val="8"/>
            <color indexed="81"/>
            <rFont val="Tahoma"/>
            <family val="2"/>
          </rPr>
          <t>Rogers, Elizabeth:</t>
        </r>
        <r>
          <rPr>
            <sz val="8"/>
            <color indexed="81"/>
            <rFont val="Tahoma"/>
            <family val="2"/>
          </rPr>
          <t xml:space="preserve">
Possible line to move</t>
        </r>
      </text>
    </comment>
    <comment ref="X34" authorId="1" shapeId="0" xr:uid="{00000000-0006-0000-0F00-000006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strong markets in 1H would have boosted minorities</t>
        </r>
      </text>
    </comment>
    <comment ref="K46" authorId="3" shapeId="0" xr:uid="{00000000-0006-0000-0F00-000007000000}">
      <text>
        <r>
          <rPr>
            <sz val="10"/>
            <color indexed="81"/>
            <rFont val="Tahoma"/>
            <family val="2"/>
          </rPr>
          <t>96,707 ex CMT, trustee</t>
        </r>
      </text>
    </comment>
    <comment ref="M46" authorId="3" shapeId="0" xr:uid="{00000000-0006-0000-0F00-000008000000}">
      <text>
        <r>
          <rPr>
            <sz val="10"/>
            <color indexed="81"/>
            <rFont val="Tahoma"/>
            <family val="2"/>
          </rPr>
          <t>89,160 ex CMT, trustee</t>
        </r>
      </text>
    </comment>
    <comment ref="N46" authorId="3" shapeId="0" xr:uid="{00000000-0006-0000-0F00-000009000000}">
      <text>
        <r>
          <rPr>
            <sz val="10"/>
            <color indexed="81"/>
            <rFont val="Tahoma"/>
            <family val="2"/>
          </rPr>
          <t>Ex CMT, trustee from 1H09</t>
        </r>
      </text>
    </comment>
    <comment ref="W50" authorId="1" shapeId="0" xr:uid="{00000000-0006-0000-0F00-00000A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includes 4bp from positive annuity experience</t>
        </r>
      </text>
    </comment>
    <comment ref="X50" authorId="1" shapeId="0" xr:uid="{00000000-0006-0000-0F00-00000B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includes an additional 3bp from positive annuity experience
also includes $9m of performance fees</t>
        </r>
      </text>
    </comment>
    <comment ref="Z50" authorId="1" shapeId="0" xr:uid="{00000000-0006-0000-0F00-00000C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includes 5bp reversal of previously positive annuity experience</t>
        </r>
      </text>
    </comment>
    <comment ref="AA50" authorId="1" shapeId="0" xr:uid="{00000000-0006-0000-0F00-00000D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includes 5bp reversal of previously positive annuity experience</t>
        </r>
      </text>
    </comment>
    <comment ref="K52" authorId="0" shapeId="0" xr:uid="{00000000-0006-0000-0F00-00000E000000}">
      <text>
        <r>
          <rPr>
            <b/>
            <sz val="10"/>
            <color indexed="81"/>
            <rFont val="Tahoma"/>
            <family val="2"/>
          </rPr>
          <t>Fisher, Ryan:</t>
        </r>
        <r>
          <rPr>
            <sz val="10"/>
            <color indexed="81"/>
            <rFont val="Tahoma"/>
            <family val="2"/>
          </rPr>
          <t xml:space="preserve">
$7m mismatch loss of annuities - NAB indicated would have been ~84bp ex this (still down on 2H07 due to wholesale flwos)
But this doesn’t seem to make sense - $7m is only equal to 1.3bp</t>
        </r>
      </text>
    </comment>
    <comment ref="L52" authorId="0" shapeId="0" xr:uid="{00000000-0006-0000-0F00-00000F000000}">
      <text>
        <r>
          <rPr>
            <b/>
            <sz val="10"/>
            <color indexed="81"/>
            <rFont val="Tahoma"/>
            <family val="2"/>
          </rPr>
          <t>Fisher, Ryan:</t>
        </r>
        <r>
          <rPr>
            <sz val="10"/>
            <color indexed="81"/>
            <rFont val="Tahoma"/>
            <family val="2"/>
          </rPr>
          <t xml:space="preserve">
effectively assumes a similar annuities mismatch loss as in 1H, plus additional margin pressure as higher wholesale FUM accrues for the whole period</t>
        </r>
      </text>
    </comment>
    <comment ref="N52" authorId="0" shapeId="0" xr:uid="{00000000-0006-0000-0F00-000010000000}">
      <text>
        <r>
          <rPr>
            <b/>
            <sz val="10"/>
            <color indexed="81"/>
            <rFont val="Tahoma"/>
            <family val="2"/>
          </rPr>
          <t>Had assumed 0.79% with CMT, trustee - Fisher, Ryan:</t>
        </r>
        <r>
          <rPr>
            <sz val="10"/>
            <color indexed="81"/>
            <rFont val="Tahoma"/>
            <family val="2"/>
          </rPr>
          <t xml:space="preserve">
add back 13bp for the annuities mismatch, then apply normal fee pressure</t>
        </r>
      </text>
    </comment>
    <comment ref="H56" authorId="0" shapeId="0" xr:uid="{00000000-0006-0000-0F00-000011000000}">
      <text>
        <r>
          <rPr>
            <b/>
            <sz val="10"/>
            <color indexed="81"/>
            <rFont val="Tahoma"/>
            <family val="2"/>
          </rPr>
          <t>Fisher, Ryan:</t>
        </r>
        <r>
          <rPr>
            <sz val="10"/>
            <color indexed="81"/>
            <rFont val="Tahoma"/>
            <family val="2"/>
          </rPr>
          <t xml:space="preserve">
$7m reduction in project expenditure vs 2H06
$8m increase vs pcp</t>
        </r>
      </text>
    </comment>
    <comment ref="AA99" authorId="1" shapeId="0" xr:uid="{00000000-0006-0000-0F00-000012000000}">
      <text>
        <r>
          <rPr>
            <b/>
            <sz val="9"/>
            <color indexed="81"/>
            <rFont val="Tahoma"/>
            <family val="2"/>
          </rPr>
          <t>Ryan Fisher:</t>
        </r>
        <r>
          <rPr>
            <sz val="9"/>
            <color indexed="81"/>
            <rFont val="Tahoma"/>
            <family val="2"/>
          </rPr>
          <t xml:space="preserve">
$2.2bn or 1.6% increase in the 3Q
implies forex benefits were muted/hedged
also that flows musn't have been great</t>
        </r>
      </text>
    </comment>
    <comment ref="W137" authorId="1" shapeId="0" xr:uid="{00000000-0006-0000-0F00-000013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nabinvest purchases, including Avivia = $4.6bn</t>
        </r>
      </text>
    </comment>
    <comment ref="AI137" authorId="4" shapeId="0" xr:uid="{00000000-0006-0000-0F00-000014000000}">
      <text>
        <r>
          <rPr>
            <b/>
            <sz val="9"/>
            <color indexed="81"/>
            <rFont val="Tahoma"/>
            <family val="2"/>
          </rPr>
          <t>Leong, YuChuan [GIR]:</t>
        </r>
        <r>
          <rPr>
            <sz val="9"/>
            <color indexed="81"/>
            <rFont val="Tahoma"/>
            <family val="2"/>
          </rPr>
          <t xml:space="preserve">
FUM includes a boutique fund manager purchased during the March 2015 half and JBWere FUM, 100% owned from January 2016.</t>
        </r>
      </text>
    </comment>
    <comment ref="T151" authorId="0" shapeId="0" xr:uid="{00000000-0006-0000-0F00-000015000000}">
      <text>
        <r>
          <rPr>
            <b/>
            <sz val="8"/>
            <color indexed="81"/>
            <rFont val="Tahoma"/>
            <family val="2"/>
          </rPr>
          <t>Fisher, Ryan:</t>
        </r>
        <r>
          <rPr>
            <sz val="8"/>
            <color indexed="81"/>
            <rFont val="Tahoma"/>
            <family val="2"/>
          </rPr>
          <t xml:space="preserve">
26m experience profit</t>
        </r>
      </text>
    </comment>
    <comment ref="U151" authorId="0" shapeId="0" xr:uid="{00000000-0006-0000-0F00-000016000000}">
      <text>
        <r>
          <rPr>
            <b/>
            <sz val="8"/>
            <color indexed="81"/>
            <rFont val="Tahoma"/>
            <family val="2"/>
          </rPr>
          <t>Fisher, Ryan:</t>
        </r>
        <r>
          <rPr>
            <sz val="8"/>
            <color indexed="81"/>
            <rFont val="Tahoma"/>
            <family val="2"/>
          </rPr>
          <t xml:space="preserve">
-12m experience loss</t>
        </r>
      </text>
    </comment>
    <comment ref="W151" authorId="0" shapeId="0" xr:uid="{00000000-0006-0000-0F00-000017000000}">
      <text>
        <r>
          <rPr>
            <b/>
            <sz val="8"/>
            <color indexed="81"/>
            <rFont val="Tahoma"/>
            <family val="2"/>
          </rPr>
          <t>Fisher, Ryan:</t>
        </r>
        <r>
          <rPr>
            <sz val="8"/>
            <color indexed="81"/>
            <rFont val="Tahoma"/>
            <family val="2"/>
          </rPr>
          <t xml:space="preserve">
includes small experience profit - from investment gains on PH funds
claims positive, lapses negative</t>
        </r>
      </text>
    </comment>
    <comment ref="X151" authorId="1" shapeId="0" xr:uid="{00000000-0006-0000-0F00-000018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12m experience loss
lapses</t>
        </r>
      </text>
    </comment>
    <comment ref="Z151" authorId="1" shapeId="0" xr:uid="{00000000-0006-0000-0F00-000019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33m experience loss</t>
        </r>
      </text>
    </comment>
    <comment ref="Z156" authorId="1" shapeId="0" xr:uid="{00000000-0006-0000-0F00-00001A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33m of experience losses</t>
        </r>
      </text>
    </comment>
    <comment ref="AA156" authorId="1" shapeId="0" xr:uid="{00000000-0006-0000-0F00-00001B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assume 30m experience loss…refer line 163</t>
        </r>
      </text>
    </comment>
    <comment ref="AC156" authorId="1" shapeId="0" xr:uid="{00000000-0006-0000-0F00-00001C000000}">
      <text>
        <r>
          <rPr>
            <b/>
            <sz val="9"/>
            <color indexed="81"/>
            <rFont val="Tahoma"/>
            <family val="2"/>
          </rPr>
          <t>Ryan Fisher:</t>
        </r>
        <r>
          <rPr>
            <sz val="9"/>
            <color indexed="81"/>
            <rFont val="Tahoma"/>
            <family val="2"/>
          </rPr>
          <t xml:space="preserve">
34m of experience losses
incl. 14m of assumption changes</t>
        </r>
      </text>
    </comment>
    <comment ref="S158" authorId="0" shapeId="0" xr:uid="{00000000-0006-0000-0F00-00001D000000}">
      <text>
        <r>
          <rPr>
            <b/>
            <sz val="8"/>
            <color indexed="81"/>
            <rFont val="Tahoma"/>
            <family val="2"/>
          </rPr>
          <t>Fisher, Ryan:</t>
        </r>
        <r>
          <rPr>
            <sz val="8"/>
            <color indexed="81"/>
            <rFont val="Tahoma"/>
            <family val="2"/>
          </rPr>
          <t xml:space="preserve">
1167.8??</t>
        </r>
      </text>
    </comment>
    <comment ref="Q163" authorId="0" shapeId="0" xr:uid="{00000000-0006-0000-0F00-00001E000000}">
      <text>
        <r>
          <rPr>
            <b/>
            <sz val="8"/>
            <color indexed="81"/>
            <rFont val="Tahoma"/>
            <family val="2"/>
          </rPr>
          <t>Fisher, Ryan:</t>
        </r>
        <r>
          <rPr>
            <sz val="8"/>
            <color indexed="81"/>
            <rFont val="Tahoma"/>
            <family val="2"/>
          </rPr>
          <t xml:space="preserve">
disability claims captured here</t>
        </r>
      </text>
    </comment>
    <comment ref="T163" authorId="0" shapeId="0" xr:uid="{00000000-0006-0000-0F00-00001F000000}">
      <text>
        <r>
          <rPr>
            <b/>
            <sz val="8"/>
            <color indexed="81"/>
            <rFont val="Tahoma"/>
            <family val="2"/>
          </rPr>
          <t>Fisher, Ryan:</t>
        </r>
        <r>
          <rPr>
            <sz val="8"/>
            <color indexed="81"/>
            <rFont val="Tahoma"/>
            <family val="2"/>
          </rPr>
          <t xml:space="preserve">
adjust for clms</t>
        </r>
      </text>
    </comment>
    <comment ref="X163" authorId="1" shapeId="0" xr:uid="{00000000-0006-0000-0F00-000020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swing from experience profit in 1H to experience loss in 2H</t>
        </r>
      </text>
    </comment>
    <comment ref="K186" authorId="3" shapeId="0" xr:uid="{00000000-0006-0000-0F00-000021000000}">
      <text>
        <r>
          <rPr>
            <sz val="10"/>
            <color indexed="81"/>
            <rFont val="Tahoma"/>
            <family val="2"/>
          </rPr>
          <t>New  definition</t>
        </r>
      </text>
    </comment>
    <comment ref="X243" authorId="1" shapeId="0" xr:uid="{00000000-0006-0000-0F00-000022000000}">
      <text>
        <r>
          <rPr>
            <b/>
            <sz val="8"/>
            <color indexed="81"/>
            <rFont val="Tahoma"/>
            <family val="2"/>
          </rPr>
          <t>Ryan Fisher:</t>
        </r>
        <r>
          <rPr>
            <sz val="8"/>
            <color indexed="81"/>
            <rFont val="Tahoma"/>
            <family val="2"/>
          </rPr>
          <t xml:space="preserve">
grew with Direct Asset Mgt fees + wholesale product distribution fees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<sst xmlns="http://schemas.openxmlformats.org/spreadsheetml/2006/main" count="7583" uniqueCount="2716">
  <si>
    <t>OE_NonRecurring</t>
  </si>
  <si>
    <t>OE_Total</t>
  </si>
  <si>
    <t>OE_NIIAdjustment</t>
  </si>
  <si>
    <t>OE_BDDAdjustment</t>
  </si>
  <si>
    <t>OE_TXandOtherAdjustment</t>
  </si>
  <si>
    <t>OE_CashAdjustment</t>
  </si>
  <si>
    <t>DCF_DistCFTotalTerminal</t>
  </si>
  <si>
    <t>AD_CapitalAdd7</t>
  </si>
  <si>
    <t>AD_CapitalAdd8</t>
  </si>
  <si>
    <t>AD_CapitalAdd9</t>
  </si>
  <si>
    <t>AD_CapitalAdd10</t>
  </si>
  <si>
    <t>CET1_DednAdd4</t>
  </si>
  <si>
    <t>AD_PSAdd6</t>
  </si>
  <si>
    <t>AD_PSAdd7</t>
  </si>
  <si>
    <t>AD_PSAdd8</t>
  </si>
  <si>
    <t>AD_PSAdd9</t>
  </si>
  <si>
    <t>AD_PSAdd10</t>
  </si>
  <si>
    <t>AD_RatioDistCFTotal</t>
  </si>
  <si>
    <t>AD_RatioDistCFTotalandFranking</t>
  </si>
  <si>
    <t>AD_RatioFCFTotal</t>
  </si>
  <si>
    <t>DistCF_TotalEquEarnings</t>
  </si>
  <si>
    <t>DistCF_DednRWA</t>
  </si>
  <si>
    <t>DistCF_DednWM</t>
  </si>
  <si>
    <t>DistCF_DednGoodwill</t>
  </si>
  <si>
    <t>DistCF_DednOther</t>
  </si>
  <si>
    <t>DistCF_ReleaseofSurplus</t>
  </si>
  <si>
    <t>DistCF</t>
  </si>
  <si>
    <t>AD_RatioFCFTotalandFranking</t>
  </si>
  <si>
    <t>AD_RatioAdd2</t>
  </si>
  <si>
    <t>AD_RatioAdd3</t>
  </si>
  <si>
    <t>AD_RatioAdd4</t>
  </si>
  <si>
    <t>AD_RatioAdd5</t>
  </si>
  <si>
    <t>AD_RatioAdd6</t>
  </si>
  <si>
    <t>AD_RatioAdd7</t>
  </si>
  <si>
    <t>AD_PSAdd2</t>
  </si>
  <si>
    <t>AD_PSAdd3</t>
  </si>
  <si>
    <t>AD_PSAdd4</t>
  </si>
  <si>
    <t>AD_PSAdd5</t>
  </si>
  <si>
    <t>NIM_AUTimeDeposits</t>
  </si>
  <si>
    <t>NIM_AUTotalDeposits</t>
  </si>
  <si>
    <t>AD_RatioAdd8</t>
  </si>
  <si>
    <t>AD_RatioAdd9</t>
  </si>
  <si>
    <t>AD_RatioAdd10</t>
  </si>
  <si>
    <t>AD_ProfitabilityAdd2</t>
  </si>
  <si>
    <t>AD_ProfitabilityAdd3</t>
  </si>
  <si>
    <t>AD_ProfitabilityAdd4</t>
  </si>
  <si>
    <t>AD_ProfitabilityAdd5</t>
  </si>
  <si>
    <t>AD_ProfitabilityAdd6</t>
  </si>
  <si>
    <t>AD_ProfitabilityAdd7</t>
  </si>
  <si>
    <t>OE_Add2</t>
  </si>
  <si>
    <t>OE_Add3</t>
  </si>
  <si>
    <t>NII_GroupNonLendingEarningAssets</t>
  </si>
  <si>
    <t>OE_Add4</t>
  </si>
  <si>
    <t>Earnings per share (underlying | basic)</t>
  </si>
  <si>
    <t>TXandOther_OIAdjustment</t>
  </si>
  <si>
    <t>TXandOther_OEAdjustment</t>
  </si>
  <si>
    <t>TXandOther_CashAdjustment</t>
  </si>
  <si>
    <t>TXandOther_TotalCoyCash</t>
  </si>
  <si>
    <t>DistCF_CE</t>
  </si>
  <si>
    <t>DistCF_MoveinFCTR</t>
  </si>
  <si>
    <t>DistCF_MoveinAccounting</t>
  </si>
  <si>
    <t>DistCF_NRI</t>
  </si>
  <si>
    <t>CET1_PAAdd2</t>
  </si>
  <si>
    <t>CET1_PAAdd3</t>
  </si>
  <si>
    <t>CET1_PAAdd4</t>
  </si>
  <si>
    <t>CET1_DednAdd2</t>
  </si>
  <si>
    <t>CET1_DednAdd3</t>
  </si>
  <si>
    <t>NIM_GroupTotalLoans</t>
  </si>
  <si>
    <t>NIM_GroupAcceptances</t>
  </si>
  <si>
    <t>NIM_GroupSecuritisation</t>
  </si>
  <si>
    <t>NIM_GroupTotalLending</t>
  </si>
  <si>
    <t>NIM_GroupNonLendingEarningAssets</t>
  </si>
  <si>
    <t>NIM_GroupTotalEarningAssets</t>
  </si>
  <si>
    <t>NIM_AUCoreDeposits</t>
  </si>
  <si>
    <t>TAXATION, OEIs and PREFERENCE DIVIDENDS</t>
  </si>
  <si>
    <t>Tax</t>
  </si>
  <si>
    <t>NIM_NZCoreDeposits</t>
  </si>
  <si>
    <t>NIM_NZTimeDeposits</t>
  </si>
  <si>
    <t>NIM_NZTotalDeposits</t>
  </si>
  <si>
    <t>NIM_OOCoreDeposits</t>
  </si>
  <si>
    <t>NIM_OOTimeDeposits</t>
  </si>
  <si>
    <t>NIM_OOTotalDeposits</t>
  </si>
  <si>
    <t>OE_TotalCoyCash</t>
  </si>
  <si>
    <t>OE_NonCashAdjustment</t>
  </si>
  <si>
    <t>OE_TotalCoyStat</t>
  </si>
  <si>
    <t>OE_Recurring</t>
  </si>
  <si>
    <t>TR_BDDAdjustment</t>
  </si>
  <si>
    <t>TR_TXandOtherAdjustment</t>
  </si>
  <si>
    <t>TR_CashAdjustment</t>
  </si>
  <si>
    <t>TR_TotalCoyCash</t>
  </si>
  <si>
    <t>TR_NonCashAdjustment</t>
  </si>
  <si>
    <t>TR_TotalCoyStat</t>
  </si>
  <si>
    <t>TR_NIIAdjustment</t>
  </si>
  <si>
    <t>UE_TXandOtherAdjustment</t>
  </si>
  <si>
    <t>UE_CashAdjustment</t>
  </si>
  <si>
    <t>UE_TotalCoyCash</t>
  </si>
  <si>
    <t>UE_NonCashAdjustment</t>
  </si>
  <si>
    <t>UE_TotalCoyStat</t>
  </si>
  <si>
    <t>UE</t>
  </si>
  <si>
    <t>BDD_TXandOtherAdjustment</t>
  </si>
  <si>
    <t>BDD_CashAdjustment</t>
  </si>
  <si>
    <t>BDD_TotalCoyCash</t>
  </si>
  <si>
    <t>BDD_NonCashAdjustment</t>
  </si>
  <si>
    <t>BDD_TotalCoyStat</t>
  </si>
  <si>
    <t>BDD_Total</t>
  </si>
  <si>
    <t>PreTax_NIIAdjustment</t>
  </si>
  <si>
    <t>AD_PSEPSCashDilutedGrowth</t>
  </si>
  <si>
    <t>AD_PSEPSCashDiluted</t>
  </si>
  <si>
    <t>OI_Add2</t>
  </si>
  <si>
    <t>OI_Add3</t>
  </si>
  <si>
    <t>OI_Add4</t>
  </si>
  <si>
    <t>OI_OEAdjustment</t>
  </si>
  <si>
    <t>OI_BDDAdjustment</t>
  </si>
  <si>
    <t>OI_TXandOtherAdjustment</t>
  </si>
  <si>
    <t>OI_CashAdjustment</t>
  </si>
  <si>
    <t>OI_TotalCoyCash</t>
  </si>
  <si>
    <t>OI_NonCashAdjustment</t>
  </si>
  <si>
    <t>OI_TotalCoyStat</t>
  </si>
  <si>
    <t>OI_Total</t>
  </si>
  <si>
    <t>NII_OONonHousingLoans</t>
  </si>
  <si>
    <t>NII_OOTotalLoans</t>
  </si>
  <si>
    <t>NII_GroupHousingLoans</t>
  </si>
  <si>
    <t>NII_GroupNonHousingLoans</t>
  </si>
  <si>
    <t>NII_GroupTotalLoans</t>
  </si>
  <si>
    <t>NII_GroupAcceptances</t>
  </si>
  <si>
    <t>NII_GroupSecuritisation</t>
  </si>
  <si>
    <t>NII_GroupTotalLending</t>
  </si>
  <si>
    <t>Earnings per share (cash | diluted) growth (sequential)</t>
  </si>
  <si>
    <t>Share price</t>
  </si>
  <si>
    <t>Risk free rate (Rf)</t>
  </si>
  <si>
    <t>2H01A</t>
  </si>
  <si>
    <t>ASSUMPTIONS</t>
  </si>
  <si>
    <t>NII_GroupTotalEarningAssets</t>
  </si>
  <si>
    <t>NII_AUCoreDeposits</t>
  </si>
  <si>
    <t>NII_AUTimeDeposits</t>
  </si>
  <si>
    <t>NII_AUTotalDeposits</t>
  </si>
  <si>
    <t>NII_NZCoreDeposits</t>
  </si>
  <si>
    <t>NII_NZTimeDeposits</t>
  </si>
  <si>
    <t>NII_NZTotalDeposits</t>
  </si>
  <si>
    <t>AD_ProfitabilityAdd8</t>
  </si>
  <si>
    <t>AD_ProfitabilityAdd9</t>
  </si>
  <si>
    <t>AD_ProfitabilityAdd10</t>
  </si>
  <si>
    <t>NIM_NZHousingLoans</t>
  </si>
  <si>
    <t>NIM_NZNonHousingLoans</t>
  </si>
  <si>
    <t>NIM_NZTotalLoans</t>
  </si>
  <si>
    <t>NIM_OOHousingLoans</t>
  </si>
  <si>
    <t>NIM_OONonHousingLoans</t>
  </si>
  <si>
    <t>NIM_OOTotalLoans</t>
  </si>
  <si>
    <t>NIM_GroupHousingLoans</t>
  </si>
  <si>
    <t>NIM_GroupNonHousingLoans</t>
  </si>
  <si>
    <t>Ordinary shareholder`s equity - EOP</t>
  </si>
  <si>
    <t>Preference shares</t>
  </si>
  <si>
    <t>Total equity - EOP</t>
  </si>
  <si>
    <t>Shares on issue - EOP</t>
  </si>
  <si>
    <t>Average shares on issue - basic</t>
  </si>
  <si>
    <t>Company reported statutory pre-tax earnings (post abnormals)</t>
  </si>
  <si>
    <t>AvBS_OOTimeDeposits</t>
  </si>
  <si>
    <t>AvBS_OOTotalDeposits</t>
  </si>
  <si>
    <t>OEIs</t>
  </si>
  <si>
    <t>Target capital ratio</t>
  </si>
  <si>
    <t>Life insurance NTA / investments</t>
  </si>
  <si>
    <t>PERIOD END BALANCE SHEET</t>
  </si>
  <si>
    <t>Housing</t>
  </si>
  <si>
    <t>SME</t>
  </si>
  <si>
    <t>Institutional</t>
  </si>
  <si>
    <t>Personal</t>
  </si>
  <si>
    <t>Total</t>
  </si>
  <si>
    <t>NIM_GroupCoreDeposits</t>
  </si>
  <si>
    <t>NIM_GroupTimeDeposits</t>
  </si>
  <si>
    <t>NIM_GroupTotalDeposits</t>
  </si>
  <si>
    <t>NIM_GroupWholesaleFunding</t>
  </si>
  <si>
    <t>NIM_GroupFreeFunds</t>
  </si>
  <si>
    <t>NIM_GroupTotalEarningLiabilities</t>
  </si>
  <si>
    <t>NIM_AUHousingLoans</t>
  </si>
  <si>
    <t>UE_NIIAdjustment</t>
  </si>
  <si>
    <t>UE_BDDAdjustment</t>
  </si>
  <si>
    <t>Core Tier 1</t>
  </si>
  <si>
    <t>Other offshore housing (local currency)</t>
  </si>
  <si>
    <t>Other offshore non-housing (local currency)</t>
  </si>
  <si>
    <t>PreTax_OIAdjustment</t>
  </si>
  <si>
    <t>AD_AQAdd7</t>
  </si>
  <si>
    <t>AD_AQAdd8</t>
  </si>
  <si>
    <t>AD_AQAdd9</t>
  </si>
  <si>
    <t>AD_AQAdd10</t>
  </si>
  <si>
    <t>AD_CapitalAdd2</t>
  </si>
  <si>
    <t>AD_CapitalAdd3</t>
  </si>
  <si>
    <t>AD_CapitalAdd4</t>
  </si>
  <si>
    <t>AD_CapitalAdd5</t>
  </si>
  <si>
    <t>AD_CapitalAdd6</t>
  </si>
  <si>
    <t>AvBS_AUHousingLoans</t>
  </si>
  <si>
    <t>NII_AUBusinessLoansSME</t>
  </si>
  <si>
    <t>NII_AUBusinessLoansInstitutional</t>
  </si>
  <si>
    <t>NII_AUPersonalLoans</t>
  </si>
  <si>
    <t>NII_AUTotalLoans</t>
  </si>
  <si>
    <t>NII_NZHousingLoans</t>
  </si>
  <si>
    <t>NII_NZNonHousingLoans</t>
  </si>
  <si>
    <t>NII_NZTotalLoans</t>
  </si>
  <si>
    <t>NII_OOHousingLoans</t>
  </si>
  <si>
    <t>Earnings per share (reported | basic)</t>
  </si>
  <si>
    <t>Earnings per share (reported | diluted)</t>
  </si>
  <si>
    <t>Earnings per share (cash | basic)</t>
  </si>
  <si>
    <t>Earnings per share (cash | basic) growth (sequential)</t>
  </si>
  <si>
    <t>Earnings per share (cash | diluted)</t>
  </si>
  <si>
    <t>Terminal valuation forecast year</t>
  </si>
  <si>
    <t>Reuters code</t>
  </si>
  <si>
    <t>Terminal growth rate</t>
  </si>
  <si>
    <t>FY92A</t>
  </si>
  <si>
    <t>FY00A</t>
  </si>
  <si>
    <t>Period end exchange rates</t>
  </si>
  <si>
    <t>British pounds</t>
  </si>
  <si>
    <t>US dollars</t>
  </si>
  <si>
    <t>NZ dollars</t>
  </si>
  <si>
    <t>Euros</t>
  </si>
  <si>
    <t>n.a.</t>
  </si>
  <si>
    <t>Average exchange rates</t>
  </si>
  <si>
    <t>System volume growth (sequential)</t>
  </si>
  <si>
    <t>Australian housing</t>
  </si>
  <si>
    <t>Australian business</t>
  </si>
  <si>
    <t>Australian personal</t>
  </si>
  <si>
    <t>New Zealand housing</t>
  </si>
  <si>
    <t>NII_OOCoreDeposits</t>
  </si>
  <si>
    <t>NII_OOTimeDeposits</t>
  </si>
  <si>
    <t>NII_OOTotalDeposits</t>
  </si>
  <si>
    <t>NII_GroupFreeFunds</t>
  </si>
  <si>
    <t>NII_GroupTotalEarningLiabilities</t>
  </si>
  <si>
    <t>NII_AUHousingLoans</t>
  </si>
  <si>
    <t>NIM_AUBusinessLoansSME</t>
  </si>
  <si>
    <t>NIM_AUBusinessLoansInstitutional</t>
  </si>
  <si>
    <t>NIM_AUPersonalLoans</t>
  </si>
  <si>
    <t>NIM_AUTotalLoans</t>
  </si>
  <si>
    <t>Market risk premium (Rm)</t>
  </si>
  <si>
    <t>Equity Beta (B)</t>
  </si>
  <si>
    <t>Today</t>
  </si>
  <si>
    <t>Ke = Rf + B * Rm</t>
  </si>
  <si>
    <t>Last result</t>
  </si>
  <si>
    <t>Current year</t>
  </si>
  <si>
    <t>NII_InterestIncome</t>
  </si>
  <si>
    <t>NII_InterestExpense</t>
  </si>
  <si>
    <t>NII_Total</t>
  </si>
  <si>
    <t>NII</t>
  </si>
  <si>
    <t>Equity earnings</t>
  </si>
  <si>
    <t>ORDINARY SHAREHOLDERS EQUITY</t>
  </si>
  <si>
    <t>Ordinary shareholder`s equity - BOP</t>
  </si>
  <si>
    <t>Ordinary dividend</t>
  </si>
  <si>
    <t>PEBS_OOTimeDeposits</t>
  </si>
  <si>
    <t>PEBS_OOTotalDeposits</t>
  </si>
  <si>
    <t>PEBS_OOCoreDeposits</t>
  </si>
  <si>
    <t>PEBS_NZTimeDeposits</t>
  </si>
  <si>
    <t>PEBS_NZTotalDeposits</t>
  </si>
  <si>
    <t>PEBS_NZCoreDeposits</t>
  </si>
  <si>
    <t>Abnormals (pre-tax)</t>
  </si>
  <si>
    <t>AvBS_AUTotalDeposits</t>
  </si>
  <si>
    <t>AvBS_NZCoreDeposits</t>
  </si>
  <si>
    <t>AvBS_NZTimeDeposits</t>
  </si>
  <si>
    <t>AvBS_NZTotalDeposits</t>
  </si>
  <si>
    <t>AvBS_OOCoreDeposits</t>
  </si>
  <si>
    <t>Preference dividend</t>
  </si>
  <si>
    <t>Risk weight on non-housing loans</t>
  </si>
  <si>
    <t>Risk weight on non-lending assets</t>
  </si>
  <si>
    <t>Normalised growth in risk weighted assets</t>
  </si>
  <si>
    <t>Australian term deposits</t>
  </si>
  <si>
    <t>Collective provisions / risk weighted assets</t>
  </si>
  <si>
    <t>Total provisions / non-housing loans</t>
  </si>
  <si>
    <t>Company reported taxation, OEIs and preference dividends</t>
  </si>
  <si>
    <t>Abnormals (tax)</t>
  </si>
  <si>
    <t>Total tangible assets</t>
  </si>
  <si>
    <t>Non-interest bearing liabilities (ex NIBD)</t>
  </si>
  <si>
    <t>Reclassification of preference shares</t>
  </si>
  <si>
    <t>Deconsolidation of wealth management profits</t>
  </si>
  <si>
    <t>Other</t>
  </si>
  <si>
    <t>Capital ratio</t>
  </si>
  <si>
    <t>New Zealand lending</t>
  </si>
  <si>
    <t>New Zealand deposits</t>
  </si>
  <si>
    <t>Other offshore lending</t>
  </si>
  <si>
    <t>Other offshore deposits</t>
  </si>
  <si>
    <t>Wholesale funding</t>
  </si>
  <si>
    <t>Free funds</t>
  </si>
  <si>
    <t>Company reported cash earnings</t>
  </si>
  <si>
    <t>Non-recurring items</t>
  </si>
  <si>
    <t>Other offshore loan-to-deposit ratio</t>
  </si>
  <si>
    <t>PreTax_OEAdjustment</t>
  </si>
  <si>
    <t>PreTax_BDDAdjustment</t>
  </si>
  <si>
    <t>PreTax_CashAdjustment</t>
  </si>
  <si>
    <t>PreTax_TotalCoyCash</t>
  </si>
  <si>
    <t>PreTax_NonCashAdjustment</t>
  </si>
  <si>
    <t>PreTax_TotalCoyStat</t>
  </si>
  <si>
    <t>PreTax</t>
  </si>
  <si>
    <t>AvBS_GroupCoreDeposits</t>
  </si>
  <si>
    <t>AvBS_GroupTimeDeposits</t>
  </si>
  <si>
    <t>AvBS_GroupTotalDeposits</t>
  </si>
  <si>
    <t>AvBS_LifeInvestments</t>
  </si>
  <si>
    <t>AvBS_FUM</t>
  </si>
  <si>
    <t>AvBS_FUMA</t>
  </si>
  <si>
    <t>Market capitalisation</t>
  </si>
  <si>
    <t>Problem loans / risk weighted assets</t>
  </si>
  <si>
    <t>Collective provisions / credit risk weighted assets</t>
  </si>
  <si>
    <t>ASX code</t>
  </si>
  <si>
    <t>Valuation as at date</t>
  </si>
  <si>
    <t>Bloomberg code</t>
  </si>
  <si>
    <t>Other capitalised expenses</t>
  </si>
  <si>
    <t>Applicable deferred tax assets</t>
  </si>
  <si>
    <t>Tangible ordinary equity</t>
  </si>
  <si>
    <t>Actuals</t>
  </si>
  <si>
    <t>Assumptions</t>
  </si>
  <si>
    <t>External links</t>
  </si>
  <si>
    <t>ASS_6MoBankOONHCg</t>
  </si>
  <si>
    <t>ASS_6MoBankAUBCgvsSystem</t>
  </si>
  <si>
    <t>ASS_6MoBankAUPCgvsSystem</t>
  </si>
  <si>
    <t>ASS_6MoBankNZHCgvsSystem</t>
  </si>
  <si>
    <t>ASS_6MoBankNZNHCgvsSystem</t>
  </si>
  <si>
    <t>ASS_6MoBankOOHCgvsSystem</t>
  </si>
  <si>
    <t>NII_GroupCoreDeposits</t>
  </si>
  <si>
    <t>NII_GroupTimeDeposits</t>
  </si>
  <si>
    <t>NII_GroupTotalDeposits</t>
  </si>
  <si>
    <t>NII_GroupWholesaleFunding</t>
  </si>
  <si>
    <t>New Zealand non-housing</t>
  </si>
  <si>
    <t>Other offshore housing</t>
  </si>
  <si>
    <t>Other offshore non-housing</t>
  </si>
  <si>
    <t>Company reported cash underlying earnings</t>
  </si>
  <si>
    <t>Other income / total footings</t>
  </si>
  <si>
    <t>Non-interest expenses</t>
  </si>
  <si>
    <t>Market performance (sequential)</t>
  </si>
  <si>
    <t>ASX-200 Accumulation Index return</t>
  </si>
  <si>
    <t>Fixed income return</t>
  </si>
  <si>
    <t>Cash return</t>
  </si>
  <si>
    <t>TXandOther_NonCashAdjustment</t>
  </si>
  <si>
    <t>TXandOther_TotalCoyStat</t>
  </si>
  <si>
    <t>TXandOther_Total</t>
  </si>
  <si>
    <t>CE_OEAdjustment</t>
  </si>
  <si>
    <t>CE_BDDAdjustment</t>
  </si>
  <si>
    <t>CE_TotalCoyCash</t>
  </si>
  <si>
    <t>CE_Total</t>
  </si>
  <si>
    <t>AvBS_GroupNonHousingLoans</t>
  </si>
  <si>
    <t>AvBS_GroupTotalLoans</t>
  </si>
  <si>
    <t>AvBS_GroupAcceptances</t>
  </si>
  <si>
    <t>AvBS_GroupSecuritisation</t>
  </si>
  <si>
    <t>AvBS_GroupTotalLending</t>
  </si>
  <si>
    <t>AvBS_AUCoreDeposits</t>
  </si>
  <si>
    <t>AvBS_AUTimeDeposits</t>
  </si>
  <si>
    <t>Other overseas loans</t>
  </si>
  <si>
    <t>Total loans</t>
  </si>
  <si>
    <t>Non-housing</t>
  </si>
  <si>
    <t>Acceptances</t>
  </si>
  <si>
    <t>Price ratios (period end)</t>
  </si>
  <si>
    <t>Price / earnings (reported | basic)</t>
  </si>
  <si>
    <t>Problem loans / total loans</t>
  </si>
  <si>
    <t>PRE-TAX EARNINGS</t>
  </si>
  <si>
    <t>Company reported cash pre-tax earnings</t>
  </si>
  <si>
    <t>Collective provisions / non-housing loans</t>
  </si>
  <si>
    <t>BDDs / total loans</t>
  </si>
  <si>
    <t>BDDs / non-housing loans</t>
  </si>
  <si>
    <t>Individual provisions</t>
  </si>
  <si>
    <t>Test</t>
  </si>
  <si>
    <t>CASH EARNINGS</t>
  </si>
  <si>
    <t>Cash earnings</t>
  </si>
  <si>
    <t>Average data</t>
  </si>
  <si>
    <t>Non-interest earning assets</t>
  </si>
  <si>
    <t>Australian deposits</t>
  </si>
  <si>
    <t>Taxation, OEIs and preference dividend adjustments</t>
  </si>
  <si>
    <t>TXandOther</t>
  </si>
  <si>
    <t>BDD_NIIAdjustment</t>
  </si>
  <si>
    <t>BDD_OIAdjustment</t>
  </si>
  <si>
    <t>Australian core depsoits</t>
  </si>
  <si>
    <t>Gross dividend yield</t>
  </si>
  <si>
    <t>Distributed cash flow yield (net)</t>
  </si>
  <si>
    <t>Unamortised goodwill and other intangibles</t>
  </si>
  <si>
    <t>Capitalised software</t>
  </si>
  <si>
    <t>Non interest expense adjustments</t>
  </si>
  <si>
    <t>Bad debt expense adjustments</t>
  </si>
  <si>
    <t>Total provisions / credit risk weighted assets</t>
  </si>
  <si>
    <t>Total provisions / risk weighted assets</t>
  </si>
  <si>
    <t>Total liabilities</t>
  </si>
  <si>
    <t>Ordinary equity</t>
  </si>
  <si>
    <t>Recurring expenses</t>
  </si>
  <si>
    <t>Non-recurring expenses</t>
  </si>
  <si>
    <t>Error check #5</t>
  </si>
  <si>
    <t>Per share data</t>
  </si>
  <si>
    <t>Company reported statutory operating expenses</t>
  </si>
  <si>
    <t>UNDERLYING EARNINGS</t>
  </si>
  <si>
    <t>ASS_NIMOOTotalLoans</t>
  </si>
  <si>
    <t>ASS_6MoBankOONHCgvsSystem</t>
  </si>
  <si>
    <t>ASS_6MoBankAUHCgvsSystem</t>
  </si>
  <si>
    <t>Life operating margins / life investments</t>
  </si>
  <si>
    <t>New Zealand housing (local currency)</t>
  </si>
  <si>
    <t>Funds under management and administration</t>
  </si>
  <si>
    <t>AVERAGE BALANCE SHEET</t>
  </si>
  <si>
    <t>Non-lending interest earning assets</t>
  </si>
  <si>
    <t>Bank volume growth versus system</t>
  </si>
  <si>
    <t>Bank volume growth (sequential)</t>
  </si>
  <si>
    <t>Net dividends per share</t>
  </si>
  <si>
    <t>Gross dividends per share</t>
  </si>
  <si>
    <t>Distributed cash flow per share</t>
  </si>
  <si>
    <t>AvBS_AUBusinessLoansSME</t>
  </si>
  <si>
    <t>AvBS_AUBusinessLoansInstitutional</t>
  </si>
  <si>
    <t>AvBS_AUPersonalLoans</t>
  </si>
  <si>
    <t>CE_NIIAdjustment</t>
  </si>
  <si>
    <t>CE_OIAdjustment</t>
  </si>
  <si>
    <t>AvBS_NZTotalLoans</t>
  </si>
  <si>
    <t>AvBS_OOHousingLoans</t>
  </si>
  <si>
    <t>AvBS_OOTotalLoans</t>
  </si>
  <si>
    <t>Free cash flow and franking value per share</t>
  </si>
  <si>
    <t>Book value per share</t>
  </si>
  <si>
    <t>AvBS_GroupHousingLoans</t>
  </si>
  <si>
    <t>General provision for BDD (net of FITB)</t>
  </si>
  <si>
    <t>Residual capital in excess of prescribed limits transferred from Tier One Capital</t>
  </si>
  <si>
    <t>New Zealand loans</t>
  </si>
  <si>
    <t>Business</t>
  </si>
  <si>
    <t>Revenue less cost growth "jaws"</t>
  </si>
  <si>
    <t>DRP participation</t>
  </si>
  <si>
    <t>Net shares issued</t>
  </si>
  <si>
    <t>Period end share price</t>
  </si>
  <si>
    <t>Risk weighted assets on non-lending assets</t>
  </si>
  <si>
    <t>DISTRIBUTED CASH FLOW</t>
  </si>
  <si>
    <t>Equity cash earnings</t>
  </si>
  <si>
    <t>Loans past 90-days due</t>
  </si>
  <si>
    <t>Taxation</t>
  </si>
  <si>
    <t>Average net issuance share price</t>
  </si>
  <si>
    <t>Risk weight on housing loans</t>
  </si>
  <si>
    <t>Collective provisions</t>
  </si>
  <si>
    <t>Total provisions</t>
  </si>
  <si>
    <t>Impaired assets</t>
  </si>
  <si>
    <t>Net write-offs / non-housing loans</t>
  </si>
  <si>
    <t>Cash earnings adjustments</t>
  </si>
  <si>
    <t>Company reported cash net interest income</t>
  </si>
  <si>
    <t>Reported earnings</t>
  </si>
  <si>
    <t>Move in foreign currency translation reserve</t>
  </si>
  <si>
    <t>Net effect of change in accounting policies</t>
  </si>
  <si>
    <t>Other adjustments</t>
  </si>
  <si>
    <t>Price / earnings (underlying | basic)</t>
  </si>
  <si>
    <t>Net dividend yield</t>
  </si>
  <si>
    <t>TXandOther_NIIAdjustment</t>
  </si>
  <si>
    <t>Wealth management income</t>
  </si>
  <si>
    <t>Life insurance investment assets</t>
  </si>
  <si>
    <t>Funds under management</t>
  </si>
  <si>
    <t>Net interest margins</t>
  </si>
  <si>
    <t>Australian SME</t>
  </si>
  <si>
    <t>Australian institutional</t>
  </si>
  <si>
    <t>Average shares on issue - diluted</t>
  </si>
  <si>
    <t>Dilution adjustment</t>
  </si>
  <si>
    <t>Australian loans</t>
  </si>
  <si>
    <t>Error check #4</t>
  </si>
  <si>
    <t>CORE TIER 1 EQUITY</t>
  </si>
  <si>
    <t>Estimated dividend</t>
  </si>
  <si>
    <t>Estimated reinvestment under DRP</t>
  </si>
  <si>
    <t>Non interest income adjustments</t>
  </si>
  <si>
    <t>ADDITIONAL DATA</t>
  </si>
  <si>
    <t>Period end data</t>
  </si>
  <si>
    <t>Wealth management expenses</t>
  </si>
  <si>
    <t>Restructuring benefits</t>
  </si>
  <si>
    <t>Other expenses</t>
  </si>
  <si>
    <t>Company reported cash operating expenses</t>
  </si>
  <si>
    <t>ASS_NIMOOTotalDeposits</t>
  </si>
  <si>
    <t>ASS_6MoBankAUBCg</t>
  </si>
  <si>
    <t>ASS_6MoBankAUPCg</t>
  </si>
  <si>
    <t>ASS_6MoBankNZHCg</t>
  </si>
  <si>
    <t>ASS_6MoBankNZNHCg</t>
  </si>
  <si>
    <t>ASS_6MoBankOOHCg</t>
  </si>
  <si>
    <t>Total New Zealand customer deposits</t>
  </si>
  <si>
    <t>FTEs</t>
  </si>
  <si>
    <t>Capitalised expenses - EOP</t>
  </si>
  <si>
    <t>ASS_AQHNCOratio</t>
  </si>
  <si>
    <t>ASS_AQBNCOratio</t>
  </si>
  <si>
    <t>ASS_AQPNCOratio</t>
  </si>
  <si>
    <t>ASS_AQTotalNCOAvTotalLoans</t>
  </si>
  <si>
    <t>ASS_AQTotalNCOAvNHL</t>
  </si>
  <si>
    <t>ASS_AQIANHL</t>
  </si>
  <si>
    <t>ASS_AQIPIA</t>
  </si>
  <si>
    <t>ASS_AQCPNHL</t>
  </si>
  <si>
    <t>Total Other Offshore customer deposits</t>
  </si>
  <si>
    <t>Average interest earning assets</t>
  </si>
  <si>
    <t>Term deposits</t>
  </si>
  <si>
    <t>Cost-to-income ratio</t>
  </si>
  <si>
    <t>Australian loan-to-deposit ratio</t>
  </si>
  <si>
    <t>Expected loss in excess of provisions</t>
  </si>
  <si>
    <t>Other 100% deductions</t>
  </si>
  <si>
    <t>Company reported statutory underlying earnings</t>
  </si>
  <si>
    <t>BAD DEBT EXPENSE</t>
  </si>
  <si>
    <t>Total net write-offs</t>
  </si>
  <si>
    <t>Movement in provisions</t>
  </si>
  <si>
    <t>AvBS_AUTotalLoans</t>
  </si>
  <si>
    <t>AvBS_NZHousingLoans</t>
  </si>
  <si>
    <t>Interest expense</t>
  </si>
  <si>
    <t>Net interest income</t>
  </si>
  <si>
    <t>Error check #1</t>
  </si>
  <si>
    <t>NET INTEREST INCOME</t>
  </si>
  <si>
    <t>Reported capital ratio</t>
  </si>
  <si>
    <t>Housing net write-offs</t>
  </si>
  <si>
    <t>Personal net write-offs</t>
  </si>
  <si>
    <t>Business net write-offs</t>
  </si>
  <si>
    <t>Distributed cash flow and franking value per share</t>
  </si>
  <si>
    <t>Free cash flow per share</t>
  </si>
  <si>
    <t>Other offshore customer deposits</t>
  </si>
  <si>
    <t>Net tangible assets per share</t>
  </si>
  <si>
    <t>Total assets</t>
  </si>
  <si>
    <t>Intangibles</t>
  </si>
  <si>
    <t>Company reported cash bad debt expense</t>
  </si>
  <si>
    <t>Total customer deposits</t>
  </si>
  <si>
    <t>Wealth</t>
  </si>
  <si>
    <t>Return on assets (cash)</t>
  </si>
  <si>
    <t>Return on tangible assets (cash)</t>
  </si>
  <si>
    <t>Non-interest income / total income</t>
  </si>
  <si>
    <t>TOTAL REVENUES</t>
  </si>
  <si>
    <t>Company reported cash revenues</t>
  </si>
  <si>
    <t>ASS_TXBankRateGS</t>
  </si>
  <si>
    <t>Company reported statutory bad debt expense</t>
  </si>
  <si>
    <t>Tax rate foregone (company basis)</t>
  </si>
  <si>
    <t>Corporate tax rate</t>
  </si>
  <si>
    <t>New Zealand non-housing (local currency)</t>
  </si>
  <si>
    <t>New Zealand loan-to-deposit ratio</t>
  </si>
  <si>
    <t>2H11A</t>
  </si>
  <si>
    <t>1H12A</t>
  </si>
  <si>
    <t>2H12A</t>
  </si>
  <si>
    <t>Individual provisions / impaired assets</t>
  </si>
  <si>
    <t>1H06A</t>
  </si>
  <si>
    <t>2H06A</t>
  </si>
  <si>
    <t>1H07A</t>
  </si>
  <si>
    <t>2H07A</t>
  </si>
  <si>
    <t>1H08A</t>
  </si>
  <si>
    <t>2H08A</t>
  </si>
  <si>
    <t>1H09A</t>
  </si>
  <si>
    <t>2H09A</t>
  </si>
  <si>
    <t>1H10A</t>
  </si>
  <si>
    <t>2H10A</t>
  </si>
  <si>
    <t>1H11A</t>
  </si>
  <si>
    <t>- Residual capital in excess of prescribed limits transferred to Upper Tier Two Capital</t>
  </si>
  <si>
    <t>Average interest earnings assets</t>
  </si>
  <si>
    <t>Company non-cash adjustments</t>
  </si>
  <si>
    <t>Company reported statutory net interest income</t>
  </si>
  <si>
    <t>Net interest margin</t>
  </si>
  <si>
    <t>Non-interest income</t>
  </si>
  <si>
    <t>Lending fees / non-housing lending</t>
  </si>
  <si>
    <t>Non-lending fees / total deposits</t>
  </si>
  <si>
    <t>Trading income / non-housing lending</t>
  </si>
  <si>
    <t>Lending fees</t>
  </si>
  <si>
    <t>Non-lending fees</t>
  </si>
  <si>
    <t>Trading income</t>
  </si>
  <si>
    <t>Price / earnings (cash | diluted)</t>
  </si>
  <si>
    <t>Master check</t>
  </si>
  <si>
    <t>Half-year annualiser</t>
  </si>
  <si>
    <t>COLOUR CODING</t>
  </si>
  <si>
    <t>Calculations</t>
  </si>
  <si>
    <t>Capital deduction for risk weighted asset growth</t>
  </si>
  <si>
    <t>Capital deduction for wealth management</t>
  </si>
  <si>
    <t>Core tier 1 ratio</t>
  </si>
  <si>
    <t>Tier 1 ratio</t>
  </si>
  <si>
    <t>Internal rate of capital generation</t>
  </si>
  <si>
    <t>Terminal value of franking credits</t>
  </si>
  <si>
    <t>Equity value</t>
  </si>
  <si>
    <t>Equity value per share</t>
  </si>
  <si>
    <t>Company reported statutory revenues</t>
  </si>
  <si>
    <t>NON INTEREST EXPENSE</t>
  </si>
  <si>
    <t>Staff expenses</t>
  </si>
  <si>
    <t>Other reserves</t>
  </si>
  <si>
    <t>Accumulated retained earnings / revenue reserve</t>
  </si>
  <si>
    <t>Diluted shares on issue</t>
  </si>
  <si>
    <t xml:space="preserve">Cash earnings per share (c) </t>
  </si>
  <si>
    <t>Cash earnings per share growth (%)</t>
  </si>
  <si>
    <t xml:space="preserve">Dividends per share (c) </t>
  </si>
  <si>
    <t>Total Australian customer deposits</t>
  </si>
  <si>
    <t>Proportion of other costs fixed</t>
  </si>
  <si>
    <t>Cost inflation (sequential)</t>
  </si>
  <si>
    <t>Capilised expenses written down during the period</t>
  </si>
  <si>
    <t>Expenses capitalised / previous period total expenses (ex-amortisation)</t>
  </si>
  <si>
    <t>Average amortisation period (years)</t>
  </si>
  <si>
    <t>ASS_OETotalg</t>
  </si>
  <si>
    <t>ASS_OECosttoIncome</t>
  </si>
  <si>
    <t>Capitalised expenses - BOP</t>
  </si>
  <si>
    <t>Neutral</t>
  </si>
  <si>
    <t>ASS_AvAUDGBP</t>
  </si>
  <si>
    <t>Total risk weighted assets</t>
  </si>
  <si>
    <t>Asset quality</t>
  </si>
  <si>
    <t>Recurring income</t>
  </si>
  <si>
    <t>Other 50% deductions</t>
  </si>
  <si>
    <t>+ Non-qualifying preference shares</t>
  </si>
  <si>
    <t>+ Eligible loan capital</t>
  </si>
  <si>
    <t>= Core tier 1 capital</t>
  </si>
  <si>
    <t>Surplus / (deficit) capital</t>
  </si>
  <si>
    <t>Tier 2 capital</t>
  </si>
  <si>
    <t>Company reported cash non interest income</t>
  </si>
  <si>
    <t>Total average funding requirements</t>
  </si>
  <si>
    <t>NET INTEREST MARGINS</t>
  </si>
  <si>
    <t>Gross loans</t>
  </si>
  <si>
    <t>Interest income</t>
  </si>
  <si>
    <t>Free cash flow yield (gross)</t>
  </si>
  <si>
    <t>Price / book value</t>
  </si>
  <si>
    <t>Price / NTA</t>
  </si>
  <si>
    <t>Securitised loans</t>
  </si>
  <si>
    <t>Total lending</t>
  </si>
  <si>
    <t>Australian customer deposits</t>
  </si>
  <si>
    <t>Core deposits</t>
  </si>
  <si>
    <t>Time deposits (includes CDs)</t>
  </si>
  <si>
    <t>New Zealand customer deposits</t>
  </si>
  <si>
    <t>Return on equity (cash)</t>
  </si>
  <si>
    <t>Return on tangible equity (cash)</t>
  </si>
  <si>
    <t>Return on risk weighted assets (cash)</t>
  </si>
  <si>
    <t>Other operating income</t>
  </si>
  <si>
    <t>PEBS_OOPersonalLoans</t>
  </si>
  <si>
    <t>PEBS_OOTotalLoans</t>
  </si>
  <si>
    <t>PEBS_GroupHousingLoans</t>
  </si>
  <si>
    <t>PEBS_NZHousingLoans</t>
  </si>
  <si>
    <t>PEBS_NZBusinessLoans</t>
  </si>
  <si>
    <t>PEBS_NZPersonalLoans</t>
  </si>
  <si>
    <t>PEBS_NZTotalLoans</t>
  </si>
  <si>
    <t>PEBS_OOHousingLoans</t>
  </si>
  <si>
    <t>DistCF_OrdDiv</t>
  </si>
  <si>
    <t>PEBS_GroupNonHousingLoans</t>
  </si>
  <si>
    <t>PEBS_GroupTotalLoans</t>
  </si>
  <si>
    <t>PEBS_GroupAcceptances</t>
  </si>
  <si>
    <t>PEBS_GroupSecuritisation</t>
  </si>
  <si>
    <t>PEBS_GroupTotalLending</t>
  </si>
  <si>
    <t>PEBS_AUCoreDeposits</t>
  </si>
  <si>
    <t>PEBS_AUTimeDeposits</t>
  </si>
  <si>
    <t>PEBS_AUTotalDeposits</t>
  </si>
  <si>
    <t>PEBS_AUCertificateDeposits</t>
  </si>
  <si>
    <t>Of which certificates of deposits (CDs)</t>
  </si>
  <si>
    <t>PEBS_NZCertificateDeposits</t>
  </si>
  <si>
    <t>PEBS_OOCertificateDeposits</t>
  </si>
  <si>
    <t>PEBS_GroupCoreDeposits</t>
  </si>
  <si>
    <t>PEBS_GroupTimeDeposits</t>
  </si>
  <si>
    <t>Proportion of franking credits valued</t>
  </si>
  <si>
    <t>Capital</t>
  </si>
  <si>
    <t>DPS</t>
  </si>
  <si>
    <t>Impaired assets / non-housing loans</t>
  </si>
  <si>
    <t>Credit risk weighted assets on non-housing loans</t>
  </si>
  <si>
    <t>1H02A</t>
  </si>
  <si>
    <t>2H02A</t>
  </si>
  <si>
    <t>1H03A</t>
  </si>
  <si>
    <t>2H03A</t>
  </si>
  <si>
    <t>1H04A</t>
  </si>
  <si>
    <t>2H04A</t>
  </si>
  <si>
    <t>1H05A</t>
  </si>
  <si>
    <t>2H05A</t>
  </si>
  <si>
    <t>ASS_CapitalAvShareIssuancePrice</t>
  </si>
  <si>
    <t>= Gross tier 1 capital</t>
  </si>
  <si>
    <t>+ Tier 1 deductions</t>
  </si>
  <si>
    <t>= Total Tier 1 capital</t>
  </si>
  <si>
    <t>Total revenue</t>
  </si>
  <si>
    <t>Operating expenses</t>
  </si>
  <si>
    <t>Underlying earnings</t>
  </si>
  <si>
    <t>Bad and doubtful debt expense</t>
  </si>
  <si>
    <t>Error check #2</t>
  </si>
  <si>
    <t>NON INTEREST INCOME</t>
  </si>
  <si>
    <t>Expense growth (pcp)</t>
  </si>
  <si>
    <t>Period</t>
  </si>
  <si>
    <t>Period end</t>
  </si>
  <si>
    <t>Pre-tax earnings</t>
  </si>
  <si>
    <t>Tax expense</t>
  </si>
  <si>
    <t>Wealth management fees / FUM&amp;A</t>
  </si>
  <si>
    <t>Price / earnings (reported | diluted)</t>
  </si>
  <si>
    <t>Price / earnings (cash | basic)</t>
  </si>
  <si>
    <t>Distributed cash flow</t>
  </si>
  <si>
    <t>Dividends</t>
  </si>
  <si>
    <t>Total capital ratio</t>
  </si>
  <si>
    <t>Dividend payout ratio</t>
  </si>
  <si>
    <t>Distributed cash payout ratio</t>
  </si>
  <si>
    <t>Other income</t>
  </si>
  <si>
    <t>Value of franking credits distributed</t>
  </si>
  <si>
    <t>Error check #3</t>
  </si>
  <si>
    <t>DCF VALUATION</t>
  </si>
  <si>
    <t>Value of cash flows</t>
  </si>
  <si>
    <t>Terminal value of cash flows</t>
  </si>
  <si>
    <t>Value of franking credits</t>
  </si>
  <si>
    <t>Other provisions</t>
  </si>
  <si>
    <t>Other non-interest bearing liabilities</t>
  </si>
  <si>
    <t>Bank deposits</t>
  </si>
  <si>
    <t>Other interest-bearing liabilities</t>
  </si>
  <si>
    <t>TR_OIAdjustment</t>
  </si>
  <si>
    <t>TR_OEAdjustment</t>
  </si>
  <si>
    <t>OE</t>
  </si>
  <si>
    <t>OE_StaffCosts</t>
  </si>
  <si>
    <t>OE_WMCosts</t>
  </si>
  <si>
    <t>OE_Amortisation</t>
  </si>
  <si>
    <t>OE_Restructuring</t>
  </si>
  <si>
    <t>OE_Add1</t>
  </si>
  <si>
    <t>AD_ProfitabilityCapitalisedtoTotal</t>
  </si>
  <si>
    <t>OE_OtherCosts</t>
  </si>
  <si>
    <t>OE_OIAdjustment</t>
  </si>
  <si>
    <t>UE_OIAdjustment</t>
  </si>
  <si>
    <t>UE_OEAdjustment</t>
  </si>
  <si>
    <t>BDD</t>
  </si>
  <si>
    <t>BDD_HousingNCO</t>
  </si>
  <si>
    <t>BDD_BusinessNCO</t>
  </si>
  <si>
    <t>BDD_PersonalNCO</t>
  </si>
  <si>
    <t>BDD_TotalNCO</t>
  </si>
  <si>
    <t>BDD_ProvisionsMoves</t>
  </si>
  <si>
    <t>BDD_OEAdjustment</t>
  </si>
  <si>
    <t>PreTax_TXandOtherAdjustment</t>
  </si>
  <si>
    <t>PreTax_Abnormals</t>
  </si>
  <si>
    <t>TXandOther_Tax</t>
  </si>
  <si>
    <t>TXandOther_OEI</t>
  </si>
  <si>
    <t>TXandOther_Pref</t>
  </si>
  <si>
    <t>TXandOther_BDDAdjustment</t>
  </si>
  <si>
    <t>TXandOther_Abnormals</t>
  </si>
  <si>
    <t>Expenses capitalised during the period</t>
  </si>
  <si>
    <t>Amortisation expense</t>
  </si>
  <si>
    <t>ASS_NIMTotal</t>
  </si>
  <si>
    <t>ASS_OILendingFeesAvNHL</t>
  </si>
  <si>
    <t>ASS_OINonLendingFeesAvTotalDeposits</t>
  </si>
  <si>
    <t>ASS_OITradingIncomeAvNHL</t>
  </si>
  <si>
    <t>ASS_OIWealthFeesAvFUMA</t>
  </si>
  <si>
    <t>ASS_OILifeFeesAvLife</t>
  </si>
  <si>
    <t>ASS_OIOtherIncomeAvTotalFootings</t>
  </si>
  <si>
    <t>ASS_AvAUDUSD</t>
  </si>
  <si>
    <t>ASS_6MoSystemAUHCg</t>
  </si>
  <si>
    <t>ASS_6MoSystemAUBCg</t>
  </si>
  <si>
    <t>1. Multiple based valuation</t>
  </si>
  <si>
    <t xml:space="preserve">12-month </t>
  </si>
  <si>
    <t>Discount</t>
  </si>
  <si>
    <t>ASS_AQBDDAvTotalLoans</t>
  </si>
  <si>
    <t>ASS_AQBDDAvNHL</t>
  </si>
  <si>
    <t>ASS_AQIP</t>
  </si>
  <si>
    <t>ASS_AQCP</t>
  </si>
  <si>
    <t>Non-recurring income</t>
  </si>
  <si>
    <t>Company reported statutory non interest income</t>
  </si>
  <si>
    <t>Distributed cash flow yield (gross)</t>
  </si>
  <si>
    <t>Free cash flow yield (net)</t>
  </si>
  <si>
    <t>Subordinated debt</t>
  </si>
  <si>
    <t>Deductions</t>
  </si>
  <si>
    <t>Total capital deductions</t>
  </si>
  <si>
    <t>Total Capital</t>
  </si>
  <si>
    <t>Risk weighted assets</t>
  </si>
  <si>
    <t>Profitability</t>
  </si>
  <si>
    <t>Return on equity (reported)</t>
  </si>
  <si>
    <t>3. Valuation summary</t>
  </si>
  <si>
    <t>Discounted cashflow</t>
  </si>
  <si>
    <t>Average</t>
  </si>
  <si>
    <t>Premium / (discount) to current price</t>
  </si>
  <si>
    <t>ASS_TXCorpRate</t>
  </si>
  <si>
    <t>Price / underlying earnings</t>
  </si>
  <si>
    <t>Price / net tangible assets</t>
  </si>
  <si>
    <t>2. Discounted cashflow valuation</t>
  </si>
  <si>
    <t>12-month forward ratio</t>
  </si>
  <si>
    <t>PEBS_OOBusinessLoans</t>
  </si>
  <si>
    <t>PEBS_AUBusinessLoansSME</t>
  </si>
  <si>
    <t>PEBS_AUBusinessLoansInstitutional</t>
  </si>
  <si>
    <t>PEBS_AUPersonalLoans</t>
  </si>
  <si>
    <t>PEBS_AUTotalLoans</t>
  </si>
  <si>
    <t>CET1_T2SubDebt</t>
  </si>
  <si>
    <t>CET1_T2Dedn</t>
  </si>
  <si>
    <t>CET1_T2Other</t>
  </si>
  <si>
    <t>CET1_T2Total</t>
  </si>
  <si>
    <t>CET1_TCDedn</t>
  </si>
  <si>
    <t>CET1_TCTotal</t>
  </si>
  <si>
    <t>CET1_RWAHousing</t>
  </si>
  <si>
    <t>DistCF_ShareIssuance</t>
  </si>
  <si>
    <t>DistCF_ValueofFranking</t>
  </si>
  <si>
    <t>DistCF_TotalandFranking</t>
  </si>
  <si>
    <t>DCF</t>
  </si>
  <si>
    <t>DCF_DistCFTotal</t>
  </si>
  <si>
    <t>DCF_DistCFTotalTotal</t>
  </si>
  <si>
    <t>DCF_DistCFValueofFranking</t>
  </si>
  <si>
    <t>DCF_DistCFValueofFrankingTerminal</t>
  </si>
  <si>
    <t>DCF_DistCFValueofFrankingTotal</t>
  </si>
  <si>
    <t>DCF_EquityValue</t>
  </si>
  <si>
    <t>DCF_SOIEOP</t>
  </si>
  <si>
    <t>DCF_Total</t>
  </si>
  <si>
    <t>AD</t>
  </si>
  <si>
    <t>AD_PEAssetsTotal</t>
  </si>
  <si>
    <t>AD_PEAssetsIntangible</t>
  </si>
  <si>
    <t>AD_PEAssetsOtherBank</t>
  </si>
  <si>
    <t>AD_PEAssetsTrading</t>
  </si>
  <si>
    <t>Payout ratio</t>
  </si>
  <si>
    <t>Credit risk weighted assets on housing loans</t>
  </si>
  <si>
    <t>ASS_TXAustralia</t>
  </si>
  <si>
    <t>Proportion of tax paid in Australia</t>
  </si>
  <si>
    <t>ASS_TXFrankingValued</t>
  </si>
  <si>
    <t>ASS_CapitalDPS</t>
  </si>
  <si>
    <t>ASS_CapitalDPSPayout</t>
  </si>
  <si>
    <t>ASS_CapitalDPSFranking</t>
  </si>
  <si>
    <t>Franking balance</t>
  </si>
  <si>
    <t>OK</t>
  </si>
  <si>
    <t>+ Prudential adjustments</t>
  </si>
  <si>
    <t>Distributed cash flow and value of franking credits</t>
  </si>
  <si>
    <t>Capitalised expenses / total expenses + capitalised expenses</t>
  </si>
  <si>
    <t>ASS_OECapitalised</t>
  </si>
  <si>
    <t>ASS_OEAmortisation</t>
  </si>
  <si>
    <t>FY93A</t>
  </si>
  <si>
    <t>FY94A</t>
  </si>
  <si>
    <t>Preference dividends</t>
  </si>
  <si>
    <t>Dilutive adjustments</t>
  </si>
  <si>
    <t>Life insurance income</t>
  </si>
  <si>
    <t>Capital deduction for goodwill</t>
  </si>
  <si>
    <t>Other capital requirements</t>
  </si>
  <si>
    <t>Free cash flow</t>
  </si>
  <si>
    <t>Release of surplus capital</t>
  </si>
  <si>
    <t>FY03A</t>
  </si>
  <si>
    <t>FY04A</t>
  </si>
  <si>
    <t>FY05A</t>
  </si>
  <si>
    <t>FY06A</t>
  </si>
  <si>
    <t>FY07A</t>
  </si>
  <si>
    <t>FY08A</t>
  </si>
  <si>
    <t>FY09A</t>
  </si>
  <si>
    <t>FY10A</t>
  </si>
  <si>
    <t>FY11A</t>
  </si>
  <si>
    <t>FY12A</t>
  </si>
  <si>
    <t>Actual (A) / forecast (F)</t>
  </si>
  <si>
    <t>A</t>
  </si>
  <si>
    <t>Ok</t>
  </si>
  <si>
    <t>ASS_PEAUDGBP</t>
  </si>
  <si>
    <t>ASS_PEAUDUSD</t>
  </si>
  <si>
    <t>Life insurance earnings on shareholder funds</t>
  </si>
  <si>
    <t>&lt;insert more as required&gt;</t>
  </si>
  <si>
    <t>Cash and marketable securities</t>
  </si>
  <si>
    <t>Long term investments</t>
  </si>
  <si>
    <t>OI_EarningsonSHF</t>
  </si>
  <si>
    <t>OI_Add1</t>
  </si>
  <si>
    <t>OI_OtherIncome</t>
  </si>
  <si>
    <t>OI_Recurring</t>
  </si>
  <si>
    <t>OI_NonRecurring</t>
  </si>
  <si>
    <t>OI_NIIAdjustment</t>
  </si>
  <si>
    <t>TR</t>
  </si>
  <si>
    <t>AD_ProfitabilityOItoTR</t>
  </si>
  <si>
    <t>AD_ProfitabilityOEtoTR</t>
  </si>
  <si>
    <t>AD_ProfitabilityTRvsOEGrowth</t>
  </si>
  <si>
    <t>AD_ProfitabilityAdd1</t>
  </si>
  <si>
    <t>AD_AQTotalNCOAvNHL</t>
  </si>
  <si>
    <t>AD_AQTotalNCOAvTotalLoans</t>
  </si>
  <si>
    <t>AD_AQBDDAvNHL</t>
  </si>
  <si>
    <t>AD_AQBDDAvTotalLoans</t>
  </si>
  <si>
    <t>AD_AQIANHL</t>
  </si>
  <si>
    <t>AD_AQPLTotalLoans</t>
  </si>
  <si>
    <t>AD_AQPLRWA</t>
  </si>
  <si>
    <t>AD_AQIPIA</t>
  </si>
  <si>
    <t>AD_AQCPNHL</t>
  </si>
  <si>
    <t>AD_AQCPCRWA</t>
  </si>
  <si>
    <t>AD_AQCPRWA</t>
  </si>
  <si>
    <t>AD_AQTPNHL</t>
  </si>
  <si>
    <t>AD_AQTPCRWA</t>
  </si>
  <si>
    <t>AD_AQTPRWA</t>
  </si>
  <si>
    <t>ASS_NIMNZTotalDeposits</t>
  </si>
  <si>
    <t>ASS_NIMWholesaleFunding</t>
  </si>
  <si>
    <t>CE_NonRecurring</t>
  </si>
  <si>
    <t>CE_AIFRSAdjustment</t>
  </si>
  <si>
    <t>CE_TotalCoyStat</t>
  </si>
  <si>
    <t>CE_MoveinFCTR</t>
  </si>
  <si>
    <t>CE_MoveinAccounting</t>
  </si>
  <si>
    <t>CE_OtherAdjustment</t>
  </si>
  <si>
    <t>CE_TotalEquEarnings</t>
  </si>
  <si>
    <t>OrdEqu</t>
  </si>
  <si>
    <t>OrdEqu_BOP</t>
  </si>
  <si>
    <t>ASS_OEFTE</t>
  </si>
  <si>
    <t>ASS_OEStaffCostsAvFTE</t>
  </si>
  <si>
    <t>ASS_6MoSystemAUPCg</t>
  </si>
  <si>
    <t>ASS_6MoSystemNZHCg</t>
  </si>
  <si>
    <t>ASS_6MoSystemNZNHCg</t>
  </si>
  <si>
    <t>ASS_6MoSystemOOHCg</t>
  </si>
  <si>
    <t>ASS_6MoSystemOONHCg</t>
  </si>
  <si>
    <t>ASS_6MoASX200AIg</t>
  </si>
  <si>
    <t>ASS_6MoFIg</t>
  </si>
  <si>
    <t>ASS_6MoCASHg</t>
  </si>
  <si>
    <t>ASS_6MoBankAUHCg</t>
  </si>
  <si>
    <t>ASS_BankAULDR</t>
  </si>
  <si>
    <t>ASS_BankNZLDR</t>
  </si>
  <si>
    <t>ASS_BankOOLDR</t>
  </si>
  <si>
    <t>Net interest income adjustments</t>
  </si>
  <si>
    <t>forward EPS</t>
  </si>
  <si>
    <t>Valuation</t>
  </si>
  <si>
    <t>Comment</t>
  </si>
  <si>
    <t>Price / earnings</t>
  </si>
  <si>
    <t>Net write-offs / total loans</t>
  </si>
  <si>
    <t>Tier 2 hybrids</t>
  </si>
  <si>
    <t>ASS_OECapitalisedOther</t>
  </si>
  <si>
    <t>ASS_OECapitalisedTotalEOP</t>
  </si>
  <si>
    <t>ASS_CapitalRWHousing</t>
  </si>
  <si>
    <t>ASS_6MoLifeg</t>
  </si>
  <si>
    <t>ASS_6MoFUMAg</t>
  </si>
  <si>
    <t>ASS_NIMAUHousing</t>
  </si>
  <si>
    <t>ASS_NIMAUSME</t>
  </si>
  <si>
    <t>ASS_NIMAUInsto</t>
  </si>
  <si>
    <t>ASS_NIMAUPersonal</t>
  </si>
  <si>
    <t>ASS_NIMAUTotalLoans</t>
  </si>
  <si>
    <t>ASS_NIMAUCoreDeposits</t>
  </si>
  <si>
    <t>ASS_NIMAUTermDeposits</t>
  </si>
  <si>
    <t>ASS_NIMAUTotalDeposits</t>
  </si>
  <si>
    <t>ASS_NIMNZTotalLoans</t>
  </si>
  <si>
    <t>ASS_AQTP</t>
  </si>
  <si>
    <t>ASS_AQIA</t>
  </si>
  <si>
    <t>ASS_AQ90DPD</t>
  </si>
  <si>
    <t>ASS_CapitalRWNonHousing</t>
  </si>
  <si>
    <t>ASS_CapitalRWNonLending</t>
  </si>
  <si>
    <t>ASS_CapitalNormalisedRWGrowth</t>
  </si>
  <si>
    <t>ASS_CapitalCapitalRatio</t>
  </si>
  <si>
    <t>ASS_CapitalReportedRatio</t>
  </si>
  <si>
    <t>ASS_CapitalTargetRatio</t>
  </si>
  <si>
    <t>ASS_CapitalLINTAtoInvestments</t>
  </si>
  <si>
    <t>PEBS</t>
  </si>
  <si>
    <t>PEBS_AUHousingLoans</t>
  </si>
  <si>
    <t>AD_ProfitabilityRORWACash</t>
  </si>
  <si>
    <t>AD_ProfitabilityROACash</t>
  </si>
  <si>
    <t>AD_ProfitabilityROTACash</t>
  </si>
  <si>
    <t>CET1_RWANonHousing</t>
  </si>
  <si>
    <t>CET1_RWANonLending</t>
  </si>
  <si>
    <t>CET1_RWATotal</t>
  </si>
  <si>
    <t>DistCF_FCF</t>
  </si>
  <si>
    <t>DistCF_Total</t>
  </si>
  <si>
    <t>AD_PEAssetsAccuredInterest</t>
  </si>
  <si>
    <t>AD_PEAssetsPPE</t>
  </si>
  <si>
    <t>Tax rate foregone (GS basis)</t>
  </si>
  <si>
    <t>ASS_TXBankRateCoy</t>
  </si>
  <si>
    <t>Australian business loans</t>
  </si>
  <si>
    <t>AD_PEAssetsOtherNonIE</t>
  </si>
  <si>
    <t>AD_PEAssetsCash</t>
  </si>
  <si>
    <t>AD_PEAssetsOther</t>
  </si>
  <si>
    <t>AD_PELiabilitiesOtherBank</t>
  </si>
  <si>
    <t>ASS_CapitalDPSFrankingRate</t>
  </si>
  <si>
    <t>Franking rate</t>
  </si>
  <si>
    <t>= Fundamental tier 1 capital</t>
  </si>
  <si>
    <t>+ Non-innovative tier 1 capital</t>
  </si>
  <si>
    <t>+ Innovative tier 1 capital</t>
  </si>
  <si>
    <t>Loans to banks</t>
  </si>
  <si>
    <t>Accrued interest</t>
  </si>
  <si>
    <t>Property, plant &amp; equipment</t>
  </si>
  <si>
    <t>FY95A</t>
  </si>
  <si>
    <t>FY96A</t>
  </si>
  <si>
    <t>FY97A</t>
  </si>
  <si>
    <t>FY98A</t>
  </si>
  <si>
    <t>FY99A</t>
  </si>
  <si>
    <t>FY01A</t>
  </si>
  <si>
    <t>FY02A</t>
  </si>
  <si>
    <t>AvBS_GroupNonLendingEarningAssets</t>
  </si>
  <si>
    <t>AvBS_GroupTotalEarningAssets</t>
  </si>
  <si>
    <t>AvBS_GroupWholesaleFunding</t>
  </si>
  <si>
    <t>AvBS_GroupFreeFunds</t>
  </si>
  <si>
    <t>AvBS_GroupTotalEarningLiabilities</t>
  </si>
  <si>
    <t>NIM</t>
  </si>
  <si>
    <t>NIM_InterestIncome</t>
  </si>
  <si>
    <t>NIM_InterestExpense</t>
  </si>
  <si>
    <t>NIM_Total</t>
  </si>
  <si>
    <t>NII_OIAdjustment</t>
  </si>
  <si>
    <t>NII_OEAdjustment</t>
  </si>
  <si>
    <t>NII_BDDAdjustment</t>
  </si>
  <si>
    <t>Other non-interest earning assets</t>
  </si>
  <si>
    <t>CET1_Total</t>
  </si>
  <si>
    <t>CET1_Surplus</t>
  </si>
  <si>
    <t>CET1_T2GP</t>
  </si>
  <si>
    <t>CET1_T2Residual</t>
  </si>
  <si>
    <t>CET1_T2Hybrid</t>
  </si>
  <si>
    <t>AD_PELiabilitiesOtherProvisions</t>
  </si>
  <si>
    <t>AD_PELiabilitiesOtherNonIB</t>
  </si>
  <si>
    <t>AD_PEEquOtherReserves</t>
  </si>
  <si>
    <t>AD_PEEquAccRE</t>
  </si>
  <si>
    <t>AD_AvAssetsTangible</t>
  </si>
  <si>
    <t>AD_AvLiabilitiesNonIB</t>
  </si>
  <si>
    <t>AD_AvLiabilitiesTotal</t>
  </si>
  <si>
    <t>AD_AvOrdEquTotal</t>
  </si>
  <si>
    <t>AD_AvOrdEquTangible</t>
  </si>
  <si>
    <t>AD_AvRWA</t>
  </si>
  <si>
    <t>AD_PSEPSReportedBasic</t>
  </si>
  <si>
    <t>AD_PSEPSReportedDiluted</t>
  </si>
  <si>
    <t>AD_PSEPSCashBasic</t>
  </si>
  <si>
    <t>AD_PSEPSCashBasicGrowth</t>
  </si>
  <si>
    <t>AD_PSUEPSCashBasic</t>
  </si>
  <si>
    <t>AD_PSDPSGross</t>
  </si>
  <si>
    <t>AD_PSDistCFTotal</t>
  </si>
  <si>
    <t>AD_CapitalCET1</t>
  </si>
  <si>
    <t>AD_CapitalT1</t>
  </si>
  <si>
    <t>AD_CapitalTC</t>
  </si>
  <si>
    <t>CE_TXandOtherAdjustment</t>
  </si>
  <si>
    <t>CE_Pref</t>
  </si>
  <si>
    <t>AD_PSDistCFTotalandFranking</t>
  </si>
  <si>
    <t>AD_PSFCFTotal</t>
  </si>
  <si>
    <t>AD_PSFCFTotalandFranking</t>
  </si>
  <si>
    <t>AD_PSBPS</t>
  </si>
  <si>
    <t>AD_PSNTAPS</t>
  </si>
  <si>
    <t>AD_PSAdd1</t>
  </si>
  <si>
    <t>AD_RatioEPSReportedBasic</t>
  </si>
  <si>
    <t>AD_RatioEPSReportedDiluted</t>
  </si>
  <si>
    <t>AD_RatioEPSCashBasic</t>
  </si>
  <si>
    <t>AD_RatioEPSCashDiluted</t>
  </si>
  <si>
    <t>AD_RatioUEPSCashBasic</t>
  </si>
  <si>
    <t>AD_RatioDPS</t>
  </si>
  <si>
    <t>AD_RatioDPSGross</t>
  </si>
  <si>
    <t>AD_RatioBPS</t>
  </si>
  <si>
    <t>AD_RatioNTAPS</t>
  </si>
  <si>
    <t>AD_RatioAdd1</t>
  </si>
  <si>
    <t>OrdEqu_TotalEquEarnings</t>
  </si>
  <si>
    <t>Staff costs / average FTEs</t>
  </si>
  <si>
    <t>ASS_OEFixed</t>
  </si>
  <si>
    <t>ASS_OEInflationg</t>
  </si>
  <si>
    <t>OrdEqu_TotalEquity</t>
  </si>
  <si>
    <t>CE</t>
  </si>
  <si>
    <t>AD_PSDPS</t>
  </si>
  <si>
    <t>ASS</t>
  </si>
  <si>
    <t>ASS_OECapitalisedtoTotal</t>
  </si>
  <si>
    <t>ASS_OEAmortisationPeriod</t>
  </si>
  <si>
    <t>ASS_OECapitalisedTotalBOP</t>
  </si>
  <si>
    <t>ASS_OECapitalisedWritedown</t>
  </si>
  <si>
    <t>NII_TXandOtherAdjustment</t>
  </si>
  <si>
    <t>NII_CashAdjustment</t>
  </si>
  <si>
    <t>NII_TotalCoyCash</t>
  </si>
  <si>
    <t>NII_NonCashAdjustment</t>
  </si>
  <si>
    <t>NII_TotalCoyStat</t>
  </si>
  <si>
    <t>OI</t>
  </si>
  <si>
    <t>OI_LendingFees</t>
  </si>
  <si>
    <t>OI_NonLendingFees</t>
  </si>
  <si>
    <t>OI_TradingIncome</t>
  </si>
  <si>
    <t>OI_WealthFees</t>
  </si>
  <si>
    <t>OI_LifeFees</t>
  </si>
  <si>
    <t>AD_ProfitabilityROEReported</t>
  </si>
  <si>
    <t>AD_ProfitabilityROECash</t>
  </si>
  <si>
    <t>AD_ProfitabilityROTECash</t>
  </si>
  <si>
    <t>OrdEqu_OrdDiv</t>
  </si>
  <si>
    <t>OrdEqu_PrefDiv</t>
  </si>
  <si>
    <t>OrdEqu_SharesIssued</t>
  </si>
  <si>
    <t>OrdEqu_EOP</t>
  </si>
  <si>
    <t>OrdEqu_Pref</t>
  </si>
  <si>
    <t>OrdEqu_OEI</t>
  </si>
  <si>
    <t>OrdEqu_SOIEOP</t>
  </si>
  <si>
    <t>OrdEqu_AvSOIBasic</t>
  </si>
  <si>
    <t>AD_ProfitabilityAmortisationPeriod</t>
  </si>
  <si>
    <t>AD_CapitalDPSPayout</t>
  </si>
  <si>
    <t>AD_CapitalDistCashPayout</t>
  </si>
  <si>
    <t>AD_CapitalIRCG</t>
  </si>
  <si>
    <t>AD_CapitalAdd1</t>
  </si>
  <si>
    <t>Annualiser</t>
  </si>
  <si>
    <t>OrdEqu_AvSOIDiluted</t>
  </si>
  <si>
    <t>OrdEqu_DilutionAdj</t>
  </si>
  <si>
    <t>CET1</t>
  </si>
  <si>
    <t>CET1_TotalEquity</t>
  </si>
  <si>
    <t>CET1_PAOrdDiv</t>
  </si>
  <si>
    <t>CET1_PADRP</t>
  </si>
  <si>
    <t>CET1_PAPrefReclass</t>
  </si>
  <si>
    <t>CET1_PAWMDecons</t>
  </si>
  <si>
    <t>CET1_PAAdd1</t>
  </si>
  <si>
    <t>CET1_PAOther</t>
  </si>
  <si>
    <t>CET1_PATotal</t>
  </si>
  <si>
    <t>CET1_T1Fund</t>
  </si>
  <si>
    <t>CET1_T1NonInn</t>
  </si>
  <si>
    <t>CET1_T1Inn</t>
  </si>
  <si>
    <t>CET1_T1Residual</t>
  </si>
  <si>
    <t>CET1_T1Gross</t>
  </si>
  <si>
    <t>CET1_DednGoodwill</t>
  </si>
  <si>
    <t>CET1_DednCapitalisedTotalEOP</t>
  </si>
  <si>
    <t>CET1_DednOtherCapitalisedTotal</t>
  </si>
  <si>
    <t>CET1_DednDTA</t>
  </si>
  <si>
    <t>CET1_DednCaptive</t>
  </si>
  <si>
    <t>CET1_DednNonADI</t>
  </si>
  <si>
    <t>CET1_DednADI</t>
  </si>
  <si>
    <t>CET1_DednEL</t>
  </si>
  <si>
    <t>CET1_DednAdd1</t>
  </si>
  <si>
    <t>CET1_Dedn100Other</t>
  </si>
  <si>
    <t>CET1_Dedn50Other</t>
  </si>
  <si>
    <t>CET1_DednTotal</t>
  </si>
  <si>
    <t>CET1_T1Total</t>
  </si>
  <si>
    <t>CET1_NonQualPref</t>
  </si>
  <si>
    <t>CET1_ELC</t>
  </si>
  <si>
    <t>AD_PELiabilitiesOtherIB</t>
  </si>
  <si>
    <t>ASS_CapitalDRPParticipation</t>
  </si>
  <si>
    <t>ASS_CapitalShareIssuance</t>
  </si>
  <si>
    <t>ASS_CapitalPESharePrice</t>
  </si>
  <si>
    <t>AD_PEAdd10</t>
  </si>
  <si>
    <t>AD_AvAssetsNonIE</t>
  </si>
  <si>
    <t>AD_AvAssetsTotal</t>
  </si>
  <si>
    <t>PEBS_GroupTotalDeposits</t>
  </si>
  <si>
    <t>PEBS_GroupCertificateDeposits</t>
  </si>
  <si>
    <t>PEBS_LifeInvestments</t>
  </si>
  <si>
    <t>PEBS_FUM</t>
  </si>
  <si>
    <t>PEBS_FUMA</t>
  </si>
  <si>
    <t>AvBS</t>
  </si>
  <si>
    <t>AvBS_NZNonHousingLoans</t>
  </si>
  <si>
    <t>AvBS_OONonHousingLoans</t>
  </si>
  <si>
    <t>Australian personal loans</t>
  </si>
  <si>
    <t>Total Australian loans</t>
  </si>
  <si>
    <t>Total New Zealand loans</t>
  </si>
  <si>
    <t>Total Other Offshore loans</t>
  </si>
  <si>
    <t>Australian housing loans</t>
  </si>
  <si>
    <t>Free funds / transfer price</t>
  </si>
  <si>
    <t>Non-cash adjustments</t>
  </si>
  <si>
    <t>AD_PEAssetsDerivative</t>
  </si>
  <si>
    <t>Derivative financial instruments</t>
  </si>
  <si>
    <t>AD_PELiabilitiesNonCustomerDeposits</t>
  </si>
  <si>
    <t>Non-customer deposits</t>
  </si>
  <si>
    <t>AD_CapitalDPSFranking</t>
  </si>
  <si>
    <t>Buy</t>
  </si>
  <si>
    <t>Sell</t>
  </si>
  <si>
    <t>GS recommendation</t>
  </si>
  <si>
    <t>KEY DATA</t>
  </si>
  <si>
    <t>Key data</t>
  </si>
  <si>
    <t>NPAT preNRIs (A$mn)</t>
  </si>
  <si>
    <t>EPS adj (A¢)</t>
  </si>
  <si>
    <t>EPS revision (%)</t>
  </si>
  <si>
    <t>EPS growth (%)</t>
  </si>
  <si>
    <t>PER (X)</t>
  </si>
  <si>
    <t>DPS (A¢)</t>
  </si>
  <si>
    <t>Dividend yield (%)</t>
  </si>
  <si>
    <t>Frank/Imput (%)</t>
  </si>
  <si>
    <t>P/BV (X)</t>
  </si>
  <si>
    <t>Avg shares (fd) (mn)</t>
  </si>
  <si>
    <t>Debt/equity (%)</t>
  </si>
  <si>
    <t>-</t>
  </si>
  <si>
    <t>SUMMARY PROFIT AND LOSS</t>
  </si>
  <si>
    <t>Summary profit and loss</t>
  </si>
  <si>
    <t>Net interest margin (%)</t>
  </si>
  <si>
    <t>SUMMARY BALANCE SHEET</t>
  </si>
  <si>
    <t>Summary balance sheet</t>
  </si>
  <si>
    <t>Total Australian loan growth (%)</t>
  </si>
  <si>
    <t>Total New Zealand loan growth (%)</t>
  </si>
  <si>
    <t>Total Other Offshore loan growth (%)</t>
  </si>
  <si>
    <t>Total loans and acceptances</t>
  </si>
  <si>
    <t>Total loans and acceptances growth (%)</t>
  </si>
  <si>
    <t>RATIO ANALYSIS</t>
  </si>
  <si>
    <t>Ratio analysis</t>
  </si>
  <si>
    <t>Franking balance (A$m)</t>
  </si>
  <si>
    <t>VALUATION</t>
  </si>
  <si>
    <t>Historic/implied</t>
  </si>
  <si>
    <t>Value of</t>
  </si>
  <si>
    <t>multiple</t>
  </si>
  <si>
    <t>factor</t>
  </si>
  <si>
    <t>franking</t>
  </si>
  <si>
    <t>Value of cash flows per share</t>
  </si>
  <si>
    <t>Interest earning assets</t>
  </si>
  <si>
    <t>Transitional tier 1 capital relief</t>
  </si>
  <si>
    <t>AD_ProfitabilityROECashOptimised</t>
  </si>
  <si>
    <t>Return on equity (cash) - optimised</t>
  </si>
  <si>
    <t>AD_ProfitabilityROTECashOptimised</t>
  </si>
  <si>
    <t>Return on tangible equity (cash) - optimised</t>
  </si>
  <si>
    <t>ASS_PEAUDNZD</t>
  </si>
  <si>
    <t>ASS_PEAUDEUR</t>
  </si>
  <si>
    <t>ASS_AvAUDEUR</t>
  </si>
  <si>
    <t>Valn_AsAtDate</t>
  </si>
  <si>
    <t>Valn_TerminalGrowth</t>
  </si>
  <si>
    <t>Valn_RiskFreeRate</t>
  </si>
  <si>
    <t>Valn_MRP</t>
  </si>
  <si>
    <t>Valn_Beta</t>
  </si>
  <si>
    <t>au_bbsw3m_avg_6m</t>
  </si>
  <si>
    <t>Actual</t>
  </si>
  <si>
    <t>Estimate</t>
  </si>
  <si>
    <t>Reference data</t>
  </si>
  <si>
    <t>Ticker</t>
  </si>
  <si>
    <t>Ticker_1</t>
  </si>
  <si>
    <t>Company name</t>
  </si>
  <si>
    <t>Interim type</t>
  </si>
  <si>
    <t>Semiannual</t>
  </si>
  <si>
    <t>Reporting currency</t>
  </si>
  <si>
    <t>AUD</t>
  </si>
  <si>
    <t>Publishing currency</t>
  </si>
  <si>
    <t>Pricing currency</t>
  </si>
  <si>
    <t>Pricing currency_1</t>
  </si>
  <si>
    <t>General Information</t>
  </si>
  <si>
    <t>Australia/NZ Investment List</t>
  </si>
  <si>
    <t>ANZ_LIST</t>
  </si>
  <si>
    <t>Australia/NZ Conviction List</t>
  </si>
  <si>
    <t>ANZ_CONVICTION</t>
  </si>
  <si>
    <t>Legal rating</t>
  </si>
  <si>
    <t>LEGAL_RATING</t>
  </si>
  <si>
    <t>Target price</t>
  </si>
  <si>
    <t>TARGET_PRICE</t>
  </si>
  <si>
    <t>Target price period</t>
  </si>
  <si>
    <t>TP_PERIOD</t>
  </si>
  <si>
    <t>12 months</t>
  </si>
  <si>
    <t>Current shares outstanding (mn)</t>
  </si>
  <si>
    <t>NUM_SH1</t>
  </si>
  <si>
    <t>Free float</t>
  </si>
  <si>
    <t>FREE_FLOAT</t>
  </si>
  <si>
    <t>Foreign ownership</t>
  </si>
  <si>
    <t>FOREIGN_HOLDNG</t>
  </si>
  <si>
    <t>Catalyst 1 date</t>
  </si>
  <si>
    <t>CATALYST1_DATE</t>
  </si>
  <si>
    <t>Catalyst 1 description</t>
  </si>
  <si>
    <t>CATALYST1_EVENT</t>
  </si>
  <si>
    <t>Catalyst 2 date</t>
  </si>
  <si>
    <t>CATALYST2_DATE</t>
  </si>
  <si>
    <t>Catalyst 2 description</t>
  </si>
  <si>
    <t>CATALYST2_EVENT</t>
  </si>
  <si>
    <t>Catalyst 3 date</t>
  </si>
  <si>
    <t>CATALYST3_DATE</t>
  </si>
  <si>
    <t>Catalyst 3 description</t>
  </si>
  <si>
    <t>CATALYST3_EVENT</t>
  </si>
  <si>
    <t>Catalyst 4 date</t>
  </si>
  <si>
    <t>CATALYST4_DATE</t>
  </si>
  <si>
    <t>Catalyst 4 description</t>
  </si>
  <si>
    <t>CATALYST4_EVENT</t>
  </si>
  <si>
    <t>Catalyst 5 date</t>
  </si>
  <si>
    <t>CATALYST5_DATE</t>
  </si>
  <si>
    <t>Catalyst 5 description</t>
  </si>
  <si>
    <t>CATALYST5_EVENT</t>
  </si>
  <si>
    <t>Target price multiple</t>
  </si>
  <si>
    <t>PRI_TARG_MULT</t>
  </si>
  <si>
    <t>Target price methodology</t>
  </si>
  <si>
    <t>PRI_TARG_METH</t>
  </si>
  <si>
    <t>Publishing Items</t>
  </si>
  <si>
    <t>Book value per share, BVPS (Pub)</t>
  </si>
  <si>
    <t>BVPS_PUB</t>
  </si>
  <si>
    <t>DPS, dividend per share (Pub)</t>
  </si>
  <si>
    <t>DPS_PUB</t>
  </si>
  <si>
    <t>EBITDA (Pub)</t>
  </si>
  <si>
    <t>EBITDA_PUB</t>
  </si>
  <si>
    <t>EPS (Pub)</t>
  </si>
  <si>
    <t>EPS_PUB</t>
  </si>
  <si>
    <t>EV adjustment (Pub)</t>
  </si>
  <si>
    <t>EV_ADJ_PUB</t>
  </si>
  <si>
    <t>Net debt (Pub)</t>
  </si>
  <si>
    <t>NET_DEBT_PUB</t>
  </si>
  <si>
    <t>Net income (Pub)</t>
  </si>
  <si>
    <t>NI_PUB</t>
  </si>
  <si>
    <t>EBIT, operating profit (Pub)</t>
  </si>
  <si>
    <t>EBIT_PUB</t>
  </si>
  <si>
    <t>Pre-tax profit (Pub)</t>
  </si>
  <si>
    <t>PTP_PUB</t>
  </si>
  <si>
    <t>Sales, revenue (Pub)</t>
  </si>
  <si>
    <t>REVS_PUB</t>
  </si>
  <si>
    <t>Total shareholders' equity (Pub)</t>
  </si>
  <si>
    <t>EQ_PUB</t>
  </si>
  <si>
    <t>EPS (consensus)</t>
  </si>
  <si>
    <t>EPS_CONS_PUB</t>
  </si>
  <si>
    <t>ANZ Publishing Items</t>
  </si>
  <si>
    <t>Risk to Earnings (+,0,-)</t>
  </si>
  <si>
    <t>RISK_TO_EARNINGS</t>
  </si>
  <si>
    <t>DCF_CASH_FLOW</t>
  </si>
  <si>
    <t>Cost of equity</t>
  </si>
  <si>
    <t>COST_OF_EQUITY_DCF</t>
  </si>
  <si>
    <t>Risk Margin of Debt</t>
  </si>
  <si>
    <t>DEBT_RISK_MARGIN_DCF</t>
  </si>
  <si>
    <t>Perpetuity Growth Rate</t>
  </si>
  <si>
    <t>PERPETUITY_GROWTH_RATE_DCF</t>
  </si>
  <si>
    <t>Discount Factor</t>
  </si>
  <si>
    <t>DISCOUNT_FACTOR_DCF</t>
  </si>
  <si>
    <t>Present Value of Cash Flow</t>
  </si>
  <si>
    <t>PRESENT_VALUE_OF_CASH_FLOW_DCF</t>
  </si>
  <si>
    <t>Cumulative Present Value of Cash Flows</t>
  </si>
  <si>
    <t>CUM_PRESENT_VAL_CASH_FLOWS_DCF</t>
  </si>
  <si>
    <t>Terminal Year</t>
  </si>
  <si>
    <t>TERMINAL_YEAR_DCF</t>
  </si>
  <si>
    <t>Market Value of Investments</t>
  </si>
  <si>
    <t>MARKET_VALUE_OF_INVESTMENTS_DCF</t>
  </si>
  <si>
    <t>Net debt/(net cash) including options in the money</t>
  </si>
  <si>
    <t>NET_DEBT_NET_CASH_DCF</t>
  </si>
  <si>
    <t>Equity Value</t>
  </si>
  <si>
    <t>EQUITY_VALUE_DCF</t>
  </si>
  <si>
    <t>Value of Imputation Credits per Share</t>
  </si>
  <si>
    <t>IMP_CREDITS_PER_SHARE_DCF</t>
  </si>
  <si>
    <t>Base case valuation</t>
  </si>
  <si>
    <t>BASE_CASE_VAL_DCF</t>
  </si>
  <si>
    <t>Risk adjusted option value</t>
  </si>
  <si>
    <t>RISK_ADJ_OPTION_VALUE_DCF</t>
  </si>
  <si>
    <t>Intrinsic per Share Value (pre Imputation Credits)</t>
  </si>
  <si>
    <t>INTRINSIC_PER_SHARE_VALUE_DCF</t>
  </si>
  <si>
    <t>Capital at End of Year</t>
  </si>
  <si>
    <t>YEAR_END_CAPITAL_EVA</t>
  </si>
  <si>
    <t>Net Profit - Reported</t>
  </si>
  <si>
    <t>NI_REPT_PUB</t>
  </si>
  <si>
    <t>NTA Per Share</t>
  </si>
  <si>
    <t>NTA_PER_SHARE</t>
  </si>
  <si>
    <t>Franking (Pub)</t>
  </si>
  <si>
    <t>FRANKING_ANZPUB</t>
  </si>
  <si>
    <t>Debt to equity</t>
  </si>
  <si>
    <t>DEBT_EQUITY</t>
  </si>
  <si>
    <t>Income Statement</t>
  </si>
  <si>
    <t>INT_INC</t>
  </si>
  <si>
    <t>INT_EXP</t>
  </si>
  <si>
    <t>B_PL_NETINTINC</t>
  </si>
  <si>
    <t>B_PL_NETINTINC = INT_INC + INT_EXP</t>
  </si>
  <si>
    <t>Dividend income</t>
  </si>
  <si>
    <t>DIVID_INC</t>
  </si>
  <si>
    <t>Contribution from life assurance</t>
  </si>
  <si>
    <t>LIFE_INC</t>
  </si>
  <si>
    <t>General insurance income</t>
  </si>
  <si>
    <t>GEN_INS_INC</t>
  </si>
  <si>
    <t>Trading profit</t>
  </si>
  <si>
    <t>FIN_TRANS_INC</t>
  </si>
  <si>
    <t>Net fees</t>
  </si>
  <si>
    <t>NET_FEE</t>
  </si>
  <si>
    <t>OTH_INC</t>
  </si>
  <si>
    <t>NON_INT_INC</t>
  </si>
  <si>
    <t>NON_INT_INC = DIVID_INC + LIFE_INC + GEN_INS_INC + FIN_TRANS_INC + NET_FEE + OTH_INC</t>
  </si>
  <si>
    <t>Sales, net revenue</t>
  </si>
  <si>
    <t>SALES</t>
  </si>
  <si>
    <t>SALES = B_PL_NETINTINC + NON_INT_INC + B_GAIN_SALE_SEC.</t>
  </si>
  <si>
    <t>Compensation &amp; benfits expense</t>
  </si>
  <si>
    <t>PERSONNEL</t>
  </si>
  <si>
    <t>Other administration costs</t>
  </si>
  <si>
    <t>OTH_ADMIN</t>
  </si>
  <si>
    <t>Total operating expense</t>
  </si>
  <si>
    <t>OP_COST</t>
  </si>
  <si>
    <t>OP_COST = PERSONNEL + OTH_ADMIN + DEPREC + OTH_COST + GOODWILL_AMORT + INS_CLAIMS + ESO_PRE_TAX</t>
  </si>
  <si>
    <t>Depreciation</t>
  </si>
  <si>
    <t>DEPREC</t>
  </si>
  <si>
    <t>Amortization</t>
  </si>
  <si>
    <t>GOODWILL_AMORT</t>
  </si>
  <si>
    <t>Other costs</t>
  </si>
  <si>
    <t>OTH_COST</t>
  </si>
  <si>
    <t>Provision for loans</t>
  </si>
  <si>
    <t>B_PL_LOANPRV</t>
  </si>
  <si>
    <t>Other P&amp;L provisions</t>
  </si>
  <si>
    <t>OTH_PROVS</t>
  </si>
  <si>
    <t>General insurance claims</t>
  </si>
  <si>
    <t>INS_CLAIMS</t>
  </si>
  <si>
    <t>Provisions and write-offs</t>
  </si>
  <si>
    <t>TOT_PROVS</t>
  </si>
  <si>
    <t>TOT_PROVS = B_PL_LOANPRV + OTH_PROVS</t>
  </si>
  <si>
    <t>Gross operating profit</t>
  </si>
  <si>
    <t>GROSS_OP_PROF</t>
  </si>
  <si>
    <t>GROSS_OP_PROF = SALES + OP_COST</t>
  </si>
  <si>
    <t>Net operating profit</t>
  </si>
  <si>
    <t>NET_OP_PROF</t>
  </si>
  <si>
    <t>NET_OP_PROF = GROSS_OP_PROFIT + TOT_PROVS</t>
  </si>
  <si>
    <t>Income/(loss) from unconsolidated subs &amp; associates</t>
  </si>
  <si>
    <t>ASSOCIATE</t>
  </si>
  <si>
    <t>Profit/(loss) on disposals of assets, pre-tax</t>
  </si>
  <si>
    <t>PROFIT_ON_DISP</t>
  </si>
  <si>
    <t>OTH_NONOP_INC</t>
  </si>
  <si>
    <t>Other expense</t>
  </si>
  <si>
    <t>OTH_NONOP_EXP</t>
  </si>
  <si>
    <t>Other non-ops income/(expense)</t>
  </si>
  <si>
    <t>OTH_COST_INC</t>
  </si>
  <si>
    <t>OTH_COST_INC = OTH_NONOP_INC + OTH_NONOPEXP</t>
  </si>
  <si>
    <t>Profit before tax &amp; exceptionals</t>
  </si>
  <si>
    <t>PROF_BTE</t>
  </si>
  <si>
    <t>PROF_BTE = NET_OP_PROF + ASSOCIATE + OTH_COST_INC</t>
  </si>
  <si>
    <t>Exceptional income/(expense)</t>
  </si>
  <si>
    <t>TOT_EXCEPTS</t>
  </si>
  <si>
    <t>Pre-tax profit</t>
  </si>
  <si>
    <t>PT_PROF</t>
  </si>
  <si>
    <t>PT_PROF = PROF_BTE + TOT_EXCEPTS</t>
  </si>
  <si>
    <t>Provision for income tax</t>
  </si>
  <si>
    <t>PROV_INC_TAX</t>
  </si>
  <si>
    <t>Profit after-tax</t>
  </si>
  <si>
    <t>PROF_AT</t>
  </si>
  <si>
    <t>PROF_AT = PT_PROF + PROV_INC_TAX</t>
  </si>
  <si>
    <t>Minority interest</t>
  </si>
  <si>
    <t>INC_MINORITY</t>
  </si>
  <si>
    <t>Net income (pre-exceptionals)</t>
  </si>
  <si>
    <t>NET_EARNING</t>
  </si>
  <si>
    <t>Post-tax exceptionals</t>
  </si>
  <si>
    <t>TAX_EXC</t>
  </si>
  <si>
    <t>Post-tax other</t>
  </si>
  <si>
    <t>B_PL_PTASSOC</t>
  </si>
  <si>
    <t>MINOR_EQUITY</t>
  </si>
  <si>
    <t>Preferred dividends (non-equity)</t>
  </si>
  <si>
    <t>MINOR_NON_EQUITY</t>
  </si>
  <si>
    <t>Net income (post-exceptionals)</t>
  </si>
  <si>
    <t>NET_INC</t>
  </si>
  <si>
    <t>NET_INC = PROF_AT + TAX_EXC + INC_MINORITY + B_PL_PTASSOC + MINOR_EQUITY + MINOR_NON_EQUITY</t>
  </si>
  <si>
    <t>EPS (pre-exceptionals, basic)</t>
  </si>
  <si>
    <t>EPS</t>
  </si>
  <si>
    <t>EPS = NET_EARNING / SH1</t>
  </si>
  <si>
    <t>EPS (post-exceptionals, diluted)</t>
  </si>
  <si>
    <t>FULLY_DIL_EPS</t>
  </si>
  <si>
    <t>Common dividends paid</t>
  </si>
  <si>
    <t>COMMON_DIV_PAID</t>
  </si>
  <si>
    <t>DPS, dividend per share</t>
  </si>
  <si>
    <t>Weighted average shares outstanding, basic</t>
  </si>
  <si>
    <t>SH1</t>
  </si>
  <si>
    <t>Diluted average shares outstanding (mn)</t>
  </si>
  <si>
    <t>DILUTE_SHARES</t>
  </si>
  <si>
    <t>Period-end shares outstanding</t>
  </si>
  <si>
    <t>NON_OP_ADD</t>
  </si>
  <si>
    <t>ANZ Income Statement</t>
  </si>
  <si>
    <t>Lending Fees</t>
  </si>
  <si>
    <t>LENDING_FEES</t>
  </si>
  <si>
    <t>Other Fees/Commission</t>
  </si>
  <si>
    <t>OTHER_FEES</t>
  </si>
  <si>
    <t>Money transfer fees</t>
  </si>
  <si>
    <t>MONEY_TRANSFER_FEES</t>
  </si>
  <si>
    <t>Financial Services Income</t>
  </si>
  <si>
    <t>FINANCE_SERVICES_INCOME</t>
  </si>
  <si>
    <t>Foreign Exchange Income</t>
  </si>
  <si>
    <t>FOREIGN_EXCH_INCOME</t>
  </si>
  <si>
    <t>Trading Securities Income</t>
  </si>
  <si>
    <t>TRADING_SECS_INCOME</t>
  </si>
  <si>
    <t>Investment Security Income</t>
  </si>
  <si>
    <t>INVESTMENT_SECS_INCOME</t>
  </si>
  <si>
    <t>Rental Income</t>
  </si>
  <si>
    <t>RENTAL_INCOME</t>
  </si>
  <si>
    <t>Development Ventures</t>
  </si>
  <si>
    <t>DEVELOPMENT_VENTURES</t>
  </si>
  <si>
    <t>Other Income</t>
  </si>
  <si>
    <t>OTHER_INCOME</t>
  </si>
  <si>
    <t>Selling, General &amp; Admin</t>
  </si>
  <si>
    <t>SEL_GL_AD_OTHER</t>
  </si>
  <si>
    <t>Labour</t>
  </si>
  <si>
    <t>LABOUR</t>
  </si>
  <si>
    <t>Other Staff Costs</t>
  </si>
  <si>
    <t>OTHER_STAFF_COSTS</t>
  </si>
  <si>
    <t>Share Based Payments</t>
  </si>
  <si>
    <t>SHARE_BASED_PAYMENTS</t>
  </si>
  <si>
    <t>Equipment Costs</t>
  </si>
  <si>
    <t>EQUIP_COSTS</t>
  </si>
  <si>
    <t>Occupancy Costs</t>
  </si>
  <si>
    <t>OCCUPANCY_COSTS</t>
  </si>
  <si>
    <t>Other Expenses</t>
  </si>
  <si>
    <t>OTHER_EXPENSES</t>
  </si>
  <si>
    <t>Amortisation of Intangibles</t>
  </si>
  <si>
    <t>AMORT_OF_INTANGIBLES</t>
  </si>
  <si>
    <t>Amortisation of Goodwill</t>
  </si>
  <si>
    <t>AMORT_OF_INTANGIBLES_ADJ</t>
  </si>
  <si>
    <t>Total Depreciation/Amortisation</t>
  </si>
  <si>
    <t>TOTAL_DEPREC_AMORT</t>
  </si>
  <si>
    <t>Underlying Earnings (pre-goodwill amortisation)</t>
  </si>
  <si>
    <t>EBIT_UNDERLYING_PRE_GWILL</t>
  </si>
  <si>
    <t>New Specific Provisions</t>
  </si>
  <si>
    <t>NEW_SPECIFIC_PROV</t>
  </si>
  <si>
    <t>Writebacks/Recoveries</t>
  </si>
  <si>
    <t>WRITEBACK_RECOVERIES</t>
  </si>
  <si>
    <t>General Provisions</t>
  </si>
  <si>
    <t>GENERAL_PROV</t>
  </si>
  <si>
    <t>Profit or loss before tax on abnormal items</t>
  </si>
  <si>
    <t>PL_BTAX_ON_AB</t>
  </si>
  <si>
    <t>Income tax attributable to profit or loss on abnormal items</t>
  </si>
  <si>
    <t>INCTAX_PL_ON_AB</t>
  </si>
  <si>
    <t>Profit/Loss on defined benefit plan contribution (Pre Tax)</t>
  </si>
  <si>
    <t>PROFIT_DEFBEN_PLAN_PRE_TAX</t>
  </si>
  <si>
    <t>Goodwill Asset impairment Charge (Pre Tax)</t>
  </si>
  <si>
    <t>GWILL_ASSET_IMPAIR_CHG_PRE_TAX</t>
  </si>
  <si>
    <t>Other Asset impairment Charge (Pre Tax)</t>
  </si>
  <si>
    <t>OTHER_ASSET_IMPAIR_CHG_PRE_TAX</t>
  </si>
  <si>
    <t>Financial instruments/hedging (Pre Tax)</t>
  </si>
  <si>
    <t>FIN_INSTRUMENT_HEDGE_PRE_TAX</t>
  </si>
  <si>
    <t>Effective Interest Rate Impact (Pre Tax)</t>
  </si>
  <si>
    <t>EFFECT_INT_RATE_IMPACT_PRE_TAX</t>
  </si>
  <si>
    <t>Other IFRS adjustments (Pre Tax)</t>
  </si>
  <si>
    <t>OTHER_IFRS_ADJUST_PRE_TAX</t>
  </si>
  <si>
    <t>Total IFRS Adjustments (Pre Tax)</t>
  </si>
  <si>
    <t>TOTAL_IFRS_ADJUST_PRE_TAX</t>
  </si>
  <si>
    <t>Profit/Loss on defined benefit plan contribution (Post Tax)</t>
  </si>
  <si>
    <t>PROFIT_DEFBEN_PLAN_POST_TAX</t>
  </si>
  <si>
    <t>Goodwill Asset impairment Charge (Post Tax)</t>
  </si>
  <si>
    <t>GWILL_ASSET_IMP_CHG_POST_TAX</t>
  </si>
  <si>
    <t>Other Asset impairment Charge (Post Tax)</t>
  </si>
  <si>
    <t>OTH_ASSET_IMPAIR_CHG_POST_TAX</t>
  </si>
  <si>
    <t>Financial instruments/hedging (Post Tax)</t>
  </si>
  <si>
    <t>FIN_INSTRUMENT_HEDGE_POST_TAX</t>
  </si>
  <si>
    <t>Effective Interest Rate Impact (Post Tax)</t>
  </si>
  <si>
    <t>EFF_INT_RATE_IMPACT_POST_TAX</t>
  </si>
  <si>
    <t>Other IFRS adjustments (Post Tax)</t>
  </si>
  <si>
    <t>OTHER_IFRS_ADJUST_POST_TAX</t>
  </si>
  <si>
    <t>Total IFRS Adjustments (Post Tax)</t>
  </si>
  <si>
    <t>TOTAL_IFRS_ADJUST_POST_TAX</t>
  </si>
  <si>
    <t>Operating profit or loss before tax (post abnormals)</t>
  </si>
  <si>
    <t>OPPL_BTAX_POST_AB</t>
  </si>
  <si>
    <t>Income tax attributable to operating profit or loss (post abnormals)</t>
  </si>
  <si>
    <t>INCTAX_PL_POST_AB</t>
  </si>
  <si>
    <t>Operating profit or loss after income tax (post abnormals)</t>
  </si>
  <si>
    <t>OPPL_ATAX_POST_AB</t>
  </si>
  <si>
    <t>Net Profit - GS&amp;PA (NPAT after pref dividends, but before Abnormals, and Goodwill Amortisation)</t>
  </si>
  <si>
    <t>NET_PROFIT</t>
  </si>
  <si>
    <t>Foreign Exchange (gains/losses)</t>
  </si>
  <si>
    <t>FOREIGN_EXCHANGE_GAIN_LOSS</t>
  </si>
  <si>
    <t>Asset Sales (gains/losses)</t>
  </si>
  <si>
    <t>ASSET_SALES_GAIN_LOSS</t>
  </si>
  <si>
    <t>Restructuring Costs</t>
  </si>
  <si>
    <t>RESTRUC_COSTS</t>
  </si>
  <si>
    <t>Other Abnormal Items</t>
  </si>
  <si>
    <t>OTHER_ABNORMAL_ITEMS</t>
  </si>
  <si>
    <t>Profit Adjustment for EPS</t>
  </si>
  <si>
    <t>PROF_ADJUST_EPS</t>
  </si>
  <si>
    <t>EPS - GS&amp;PA</t>
  </si>
  <si>
    <t>EPS_PRE_GWILL</t>
  </si>
  <si>
    <t>EPS - Reported</t>
  </si>
  <si>
    <t>EPS_REPORTED</t>
  </si>
  <si>
    <t>Franking</t>
  </si>
  <si>
    <t>FRANKING</t>
  </si>
  <si>
    <t>Franking Tax Rate</t>
  </si>
  <si>
    <t>FRANK_TAX_RATE</t>
  </si>
  <si>
    <t>Next Interim Dividend Amount</t>
  </si>
  <si>
    <t>INT_DIV_AMOUNT</t>
  </si>
  <si>
    <t>Next Interim Dividend Ex-date</t>
  </si>
  <si>
    <t>INT_DIV_EXDATE</t>
  </si>
  <si>
    <t>Next Interim Dividend Franking</t>
  </si>
  <si>
    <t>INT_DIV_FRANK</t>
  </si>
  <si>
    <t>Next Int. Div. Frank Tax Rate</t>
  </si>
  <si>
    <t>INT_DIV_TAXRATE</t>
  </si>
  <si>
    <t>Next Final Dividend Amount</t>
  </si>
  <si>
    <t>FINAL_DIV_AMOUNT</t>
  </si>
  <si>
    <t>Next Final Dividend Ex-date</t>
  </si>
  <si>
    <t>FINAL_DIV_EXDATE</t>
  </si>
  <si>
    <t>Next Final Dividend Franking</t>
  </si>
  <si>
    <t>FINAL_DIV_FRANK</t>
  </si>
  <si>
    <t>Next Final Div. Frank Tax Rate</t>
  </si>
  <si>
    <t>FINAL_DIV_TAXRATE</t>
  </si>
  <si>
    <t>Total Annual Dividend</t>
  </si>
  <si>
    <t>TOTAL_ANNUAL_DIV_AMOUNT</t>
  </si>
  <si>
    <t>DRP Participation</t>
  </si>
  <si>
    <t>DRP_PARTICIPATION</t>
  </si>
  <si>
    <t>DRP Discount</t>
  </si>
  <si>
    <t>DRP_DISCOUNT</t>
  </si>
  <si>
    <t>Convertible Notes  at End of year</t>
  </si>
  <si>
    <t>CONVERTIBLE_NOTES</t>
  </si>
  <si>
    <t>Preference Shares at End of year</t>
  </si>
  <si>
    <t>PREFERENCE_SHARES</t>
  </si>
  <si>
    <t>Partly Paid Shares at End of year</t>
  </si>
  <si>
    <t>PARTLY_PAID_SHARES</t>
  </si>
  <si>
    <t>Options at End of year</t>
  </si>
  <si>
    <t>OPTIONS</t>
  </si>
  <si>
    <t>Other at End of year</t>
  </si>
  <si>
    <t>OTHER_CAPITAL</t>
  </si>
  <si>
    <t>Ordinary Shares (diluted for convertibles/options in the money) on issue at end of period ; Share Base For NTA Calculation</t>
  </si>
  <si>
    <t>EFPO</t>
  </si>
  <si>
    <t>Weighted average ordinary shares (diluted for convertibles/options in the money) on issue at end of period</t>
  </si>
  <si>
    <t>EFPOWA</t>
  </si>
  <si>
    <t>Total Capital (EFPO)</t>
  </si>
  <si>
    <t>TOTAL_CAPITAL_EFPO</t>
  </si>
  <si>
    <t>Total Capital (EFPOWA)</t>
  </si>
  <si>
    <t>TOTAL_CAPITAL_EFPOWA</t>
  </si>
  <si>
    <t>Risk Weighted Assets</t>
  </si>
  <si>
    <t>RISK_WEIGHTED_ASSET_APRA</t>
  </si>
  <si>
    <t>Additional Income Statement Items</t>
  </si>
  <si>
    <t>Dilution impact to earnings</t>
  </si>
  <si>
    <t>DILUTE_NI_IMPAC</t>
  </si>
  <si>
    <t>GS EPS</t>
  </si>
  <si>
    <t>B_PL_GSEPS</t>
  </si>
  <si>
    <t>GS net income</t>
  </si>
  <si>
    <t>B_PL_GSINCOME</t>
  </si>
  <si>
    <t>Lease payments</t>
  </si>
  <si>
    <t>LEASE_PAY</t>
  </si>
  <si>
    <t>Marginal tax rate</t>
  </si>
  <si>
    <t>MARGIN_TAX_RATE</t>
  </si>
  <si>
    <t>Net income (consensus) (Pub)</t>
  </si>
  <si>
    <t>NI_CONS</t>
  </si>
  <si>
    <t>Balance Sheet</t>
  </si>
  <si>
    <t>Cash &amp; cash equivalents</t>
  </si>
  <si>
    <t>CASH_EQ</t>
  </si>
  <si>
    <t>Interbank loans</t>
  </si>
  <si>
    <t>B_BS_A_LNBNK</t>
  </si>
  <si>
    <t>Net customer loans and advances</t>
  </si>
  <si>
    <t>B_BS_A_NETLOANS</t>
  </si>
  <si>
    <t>Total debt securities</t>
  </si>
  <si>
    <t>B_BS_A_DEBTTOT</t>
  </si>
  <si>
    <t>Other interest earning assets</t>
  </si>
  <si>
    <t>B_BS_A_OTHINT1</t>
  </si>
  <si>
    <t>B_BS_A_PERIOD</t>
  </si>
  <si>
    <t xml:space="preserve">B_BS_A_PERIOD = B_BS_A_LNBNK + B_BS_A_NETLOANS + B_BS_A_DEBTTOT  +  B_BS_A_OTHINT1 </t>
  </si>
  <si>
    <t>Net PP&amp;E</t>
  </si>
  <si>
    <t>NET_FIX_ASS</t>
  </si>
  <si>
    <t>Goodwill, net book value</t>
  </si>
  <si>
    <t>GOODWILL</t>
  </si>
  <si>
    <t>Intangible assets</t>
  </si>
  <si>
    <t>OTH_INTANG</t>
  </si>
  <si>
    <t>Net intangible assets</t>
  </si>
  <si>
    <t>NET_INTANG</t>
  </si>
  <si>
    <t>NET_INTANG = GOODWILL + OTH_INTANG</t>
  </si>
  <si>
    <t>Pre-payments &amp; accrued income</t>
  </si>
  <si>
    <t>PRE_PAYMNTS</t>
  </si>
  <si>
    <t>Equity method investments</t>
  </si>
  <si>
    <t>FIX_ASS_INV</t>
  </si>
  <si>
    <t>Investments in securities</t>
  </si>
  <si>
    <t>INV_SECUR</t>
  </si>
  <si>
    <t>Life assurance business attributable to shareholders</t>
  </si>
  <si>
    <t>LIFE_SHARE</t>
  </si>
  <si>
    <t>Life assurance assets attributable to policyholders</t>
  </si>
  <si>
    <t>LIFE_POLICY_ASS</t>
  </si>
  <si>
    <t>Other assets</t>
  </si>
  <si>
    <t>OTH_ASSET</t>
  </si>
  <si>
    <t>TOT_ASSET</t>
  </si>
  <si>
    <t>TOT_ASSET = CASH_EQ + B_BS_A_PERIOD + FIX_ASS_INV + INV_SECUR + NET_FIX_ASS + NET_INTANG + PRE_PAYMNTS +  LIFE_SHARE + LIFE_POLICY_ASS + OTH_ASSET</t>
  </si>
  <si>
    <t>B_BS_L_BANKDEP</t>
  </si>
  <si>
    <t>Customer deposits</t>
  </si>
  <si>
    <t>B_BS_L_CUSTDEP</t>
  </si>
  <si>
    <t>Debt instruments and securities</t>
  </si>
  <si>
    <t>DEBT_SECUR</t>
  </si>
  <si>
    <t>Other paying liabilities</t>
  </si>
  <si>
    <t>OTH_PAY_LIABS</t>
  </si>
  <si>
    <t>Subordinated liabilities (long-term debt)</t>
  </si>
  <si>
    <t>SUB_ORD_LIABS</t>
  </si>
  <si>
    <t>Interest bearing liabilities</t>
  </si>
  <si>
    <t>B_BS_L_PERIOD</t>
  </si>
  <si>
    <t>B_BS_L_PERIOD = B_BS_L_BANKDEP + B_BS_L_CUSTDEP + DEBT_SECUR + OTH_PAY_LIABS + SUB_ORD_LIABS</t>
  </si>
  <si>
    <t>Preference share capital, non-equity</t>
  </si>
  <si>
    <t>PREF_SHARE_CAP</t>
  </si>
  <si>
    <t>Provisions for liabilities &amp; charges</t>
  </si>
  <si>
    <t>PROV_BS</t>
  </si>
  <si>
    <t>Accruals &amp; deferred income</t>
  </si>
  <si>
    <t>ACCRUAL</t>
  </si>
  <si>
    <t>Life assurance liabilities attributable to policyholders</t>
  </si>
  <si>
    <t>LIFE_POLICY_LIABS</t>
  </si>
  <si>
    <t>Other liabilities</t>
  </si>
  <si>
    <t>OTH_LIABS</t>
  </si>
  <si>
    <t>TOT_LIAB</t>
  </si>
  <si>
    <t>TOT_LIABS =  B_BS_L_PERIOD + PREF_SHARE_CAP + PROV_BS + ACCRUAL + LIFE_POLICY_LIABS + OTH_LIABS</t>
  </si>
  <si>
    <t>Preferred shares</t>
  </si>
  <si>
    <t>PREF_SH</t>
  </si>
  <si>
    <t>Total common equity</t>
  </si>
  <si>
    <t>ORD_SH_FUND</t>
  </si>
  <si>
    <t>MINOR_EQUITY_BS</t>
  </si>
  <si>
    <t>MINORITIES</t>
  </si>
  <si>
    <t>Total shareholders' equity</t>
  </si>
  <si>
    <t>EQ</t>
  </si>
  <si>
    <t>TOT_LIAB_EQ = TOT_LIAB + EQ</t>
  </si>
  <si>
    <t>Total liabilities and equity</t>
  </si>
  <si>
    <t>TOT_LIAB_EQ</t>
  </si>
  <si>
    <t>TOT_ASSET = TOT_LIAB_EQ</t>
  </si>
  <si>
    <t>BVPS, book value per share</t>
  </si>
  <si>
    <t>BVPS</t>
  </si>
  <si>
    <t>BVPS = ORD_SH_FUND / NON_OP_ADD</t>
  </si>
  <si>
    <t>GS BVPS, book value per share</t>
  </si>
  <si>
    <t>B_PL_GSBVPS</t>
  </si>
  <si>
    <t>B_PL_GSBVPS = B_BS_L_GSEQUITY / NON_OP_ADD</t>
  </si>
  <si>
    <t>Tangible BVPS</t>
  </si>
  <si>
    <t>TANG_BVPS</t>
  </si>
  <si>
    <t>TBVPS, last reported</t>
  </si>
  <si>
    <t>TBVPS_LAST</t>
  </si>
  <si>
    <t>ANZ Balance Sheet</t>
  </si>
  <si>
    <t>Average Loans and Advances</t>
  </si>
  <si>
    <t>AVG_LOANS_ADVANCES</t>
  </si>
  <si>
    <t>Average Other Productive Assets</t>
  </si>
  <si>
    <t>AVG_OTH_PROD_ASSETS</t>
  </si>
  <si>
    <t>Average Productive Interest Earning Assets</t>
  </si>
  <si>
    <t>AVG_PROD_INT_EARN_ASSETS</t>
  </si>
  <si>
    <t>Average Gross Non-Performing Assets</t>
  </si>
  <si>
    <t>AVG_GROSS_NON_PERF_ASSETS</t>
  </si>
  <si>
    <t>Average Interest Earning Assets</t>
  </si>
  <si>
    <t>AVG_INT_EARN_ASSETS</t>
  </si>
  <si>
    <t>Average Provisions for Bad Debts</t>
  </si>
  <si>
    <t>AVG_PROV_BAD_DEBT</t>
  </si>
  <si>
    <t>Average Acceptances</t>
  </si>
  <si>
    <t>AVG_ACCEPTANCES</t>
  </si>
  <si>
    <t>Average Other Assets</t>
  </si>
  <si>
    <t>AVG_OTHER_ASSETS</t>
  </si>
  <si>
    <t>Average Total Assets</t>
  </si>
  <si>
    <t>AVG_TOTAL_ASSETS</t>
  </si>
  <si>
    <t>Average Interest Bearing Liabilities</t>
  </si>
  <si>
    <t>AVG_INT_BEARING_LIABS</t>
  </si>
  <si>
    <t>Average Non-Interest Bearing Liabilities</t>
  </si>
  <si>
    <t>AVG_NON_INT_BEARING_LIABS</t>
  </si>
  <si>
    <t>Average Other Liabilities</t>
  </si>
  <si>
    <t>AVG_OTHER_LIABS</t>
  </si>
  <si>
    <t>Average Preference Capital</t>
  </si>
  <si>
    <t>AVG_PREF_CAPITAL</t>
  </si>
  <si>
    <t>Average Ordinary Shareholders Equity</t>
  </si>
  <si>
    <t>AVG_ORD_SHOLDERS_EQUITY</t>
  </si>
  <si>
    <t>Net Free Funds</t>
  </si>
  <si>
    <t>NET_FREE_FUNDS</t>
  </si>
  <si>
    <t>Gross Loans &amp; Advances</t>
  </si>
  <si>
    <t>GROSS_LOANS_ADVANCES</t>
  </si>
  <si>
    <t>Specific Provision For Doubtful Debts</t>
  </si>
  <si>
    <t>SPECIFIC_PROV_DOUBTFUL</t>
  </si>
  <si>
    <t>General Provision For Doubtful Debts</t>
  </si>
  <si>
    <t>GENERAL_PROV_DOUBTFUL</t>
  </si>
  <si>
    <t>Unearned income</t>
  </si>
  <si>
    <t>UNEARNED_INCOME</t>
  </si>
  <si>
    <t>ACCEPTANCES_ASSETS</t>
  </si>
  <si>
    <t>Liquid Assets (incl. regulatory deposits)</t>
  </si>
  <si>
    <t>LIQUID_ASSETS</t>
  </si>
  <si>
    <t>Investments (Current assets)</t>
  </si>
  <si>
    <t>INVESTMENTS</t>
  </si>
  <si>
    <t>Other Intangibles - Depreciable (Net of Amort)</t>
  </si>
  <si>
    <t>OTHER_INTANGIBLES_DEPREC</t>
  </si>
  <si>
    <t>Other Intangibles - Non-Depreciable (Net of Amort)</t>
  </si>
  <si>
    <t>OTHER_INTANGIBLES_NON_DEPREC</t>
  </si>
  <si>
    <t>Defined Benefit Surplus</t>
  </si>
  <si>
    <t>DEFINED_BENEFIT_SURPLUS</t>
  </si>
  <si>
    <t>Financial Instruments/Hedging (Non current assets)</t>
  </si>
  <si>
    <t>Other Assets</t>
  </si>
  <si>
    <t>ASSET_MISC</t>
  </si>
  <si>
    <t>Bonds, notes &amp; subordinated debt</t>
  </si>
  <si>
    <t>BONDS_NOTES_SUBORD_DEBT</t>
  </si>
  <si>
    <t>ACCEPTANCES_LIABS</t>
  </si>
  <si>
    <t>Loan capital</t>
  </si>
  <si>
    <t>LOAN_CAPITAL</t>
  </si>
  <si>
    <t>Financial Instruments/Hedging (Current liab)</t>
  </si>
  <si>
    <t>FIN_INSTR_HEDGE_CURR_LIABILITY</t>
  </si>
  <si>
    <t>Defined Benefit Obligation</t>
  </si>
  <si>
    <t>DEFINED_BENEFIT_OBLIGATION</t>
  </si>
  <si>
    <t>Other Liabilities</t>
  </si>
  <si>
    <t>LIAB_MISC</t>
  </si>
  <si>
    <t>Ordinary Capital</t>
  </si>
  <si>
    <t>ORD_SHARE_CAPITAL</t>
  </si>
  <si>
    <t>Reserves</t>
  </si>
  <si>
    <t>RESERVES</t>
  </si>
  <si>
    <t>Retained profits or accumulated losses</t>
  </si>
  <si>
    <t>RETAIN_PROFIT_LOSS</t>
  </si>
  <si>
    <t>Shareholders' equity attributable to members of the chief entity</t>
  </si>
  <si>
    <t>SHOLDERS_EQUITY_MBRS</t>
  </si>
  <si>
    <t>Net Assets</t>
  </si>
  <si>
    <t>NET_ASSETS</t>
  </si>
  <si>
    <t>Net Tangible Assets</t>
  </si>
  <si>
    <t>NET_TANGIBLE_ASSETS</t>
  </si>
  <si>
    <t>Gross Non-Accrual Loans</t>
  </si>
  <si>
    <t>GROSS_NON_ACCRUAL</t>
  </si>
  <si>
    <t>Adjusted Net Tangible Assets (NZ)</t>
  </si>
  <si>
    <t>NET_TANGIBLE_ASSETS_ADJUSTED_NZ</t>
  </si>
  <si>
    <t>Additional Balance Sheet Items</t>
  </si>
  <si>
    <t>COE</t>
  </si>
  <si>
    <t>GS equity</t>
  </si>
  <si>
    <t>B_BS_L_GSEQUITY</t>
  </si>
  <si>
    <t>GS tangible equity</t>
  </si>
  <si>
    <t>B_BS_L_GSTANGEQ</t>
  </si>
  <si>
    <t>Capitalized leases</t>
  </si>
  <si>
    <t>CAP_LEASES</t>
  </si>
  <si>
    <t>Associates (mkt value) used in EV calculation</t>
  </si>
  <si>
    <t>MV_ASSOCIATES</t>
  </si>
  <si>
    <t>Unfunded pensions &amp; other provisions</t>
  </si>
  <si>
    <t>UNF_PENS</t>
  </si>
  <si>
    <t>Unfunded pension liabilities (off balance sheet)</t>
  </si>
  <si>
    <t>UNF_PENS_OFF</t>
  </si>
  <si>
    <t>Unfunded pension liabilities &amp; other, used in EV</t>
  </si>
  <si>
    <t>UNF_PENS_LIAB_OTH</t>
  </si>
  <si>
    <t>Other GCI adjustments</t>
  </si>
  <si>
    <t>OTH_GCI_ADJ</t>
  </si>
  <si>
    <t>BAL_MINO_INT</t>
  </si>
  <si>
    <t>Cash Flow Statement</t>
  </si>
  <si>
    <t>Dividends paid</t>
  </si>
  <si>
    <t>DIV_PAID</t>
  </si>
  <si>
    <t>Additional Cash Flow Items</t>
  </si>
  <si>
    <t>Other DACF adjustments</t>
  </si>
  <si>
    <t>OTH_DACF_ADJ</t>
  </si>
  <si>
    <t>Other Items</t>
  </si>
  <si>
    <t>Number of employees</t>
  </si>
  <si>
    <t>EMPLOYEES</t>
  </si>
  <si>
    <t>Beta</t>
  </si>
  <si>
    <t>BETA_ANALYST</t>
  </si>
  <si>
    <t>Number of branches</t>
  </si>
  <si>
    <t>BRANCHES</t>
  </si>
  <si>
    <t>Market equity risk premium</t>
  </si>
  <si>
    <t>MKT_EQ_RISK_PREM</t>
  </si>
  <si>
    <t>Risk-free rate</t>
  </si>
  <si>
    <t>RISK_FR_RATE</t>
  </si>
  <si>
    <t>ANZ Other Items</t>
  </si>
  <si>
    <t>Balance Of Franking Credits</t>
  </si>
  <si>
    <t>BAL_OF_FRANK_CREDITS</t>
  </si>
  <si>
    <t>In the Money Options</t>
  </si>
  <si>
    <t>OPTIONS_IN_MONEY</t>
  </si>
  <si>
    <t>INT_EARN_ASSETS</t>
  </si>
  <si>
    <t>Cash Earnings - Coy Basis</t>
  </si>
  <si>
    <t>CASH_EARNINGS_COMPANY</t>
  </si>
  <si>
    <t>Pre-tax hybrid distributions</t>
  </si>
  <si>
    <t>HYBRID_DIST_PRE_TAX</t>
  </si>
  <si>
    <t>Present Value Of Benefits From Tax Losses</t>
  </si>
  <si>
    <t>BENEFITS_TAX_LOSSES</t>
  </si>
  <si>
    <t>Tax Rate</t>
  </si>
  <si>
    <t>TAX_RATE_DCF</t>
  </si>
  <si>
    <t>Cost of Debt</t>
  </si>
  <si>
    <t>COST_OF_DEBT_DCF</t>
  </si>
  <si>
    <t>Debt to Equity (Market Values)</t>
  </si>
  <si>
    <t>DEBT_TO_EQUITY_MKT_VALUES_DCF</t>
  </si>
  <si>
    <t>WACC</t>
  </si>
  <si>
    <t>WACC_DCF</t>
  </si>
  <si>
    <t>Standard Free Operating Cash Flow</t>
  </si>
  <si>
    <t>STD_FREE_OP_CASH_FLOW_DCF</t>
  </si>
  <si>
    <t>Net Operating Profit After Tax (NOPAT)</t>
  </si>
  <si>
    <t>NOPAT</t>
  </si>
  <si>
    <t>Capital at End of Year - Adjusted total capital employed</t>
  </si>
  <si>
    <t>TOTAL_CAPITAL_EMPLOYED_ADJ</t>
  </si>
  <si>
    <t>Average Capital Employed</t>
  </si>
  <si>
    <t>AVG_CAPITAL_EMPLOYED_ADJ</t>
  </si>
  <si>
    <t>Return on Capital Employed (ROCE)</t>
  </si>
  <si>
    <t>ROCE_ANZ</t>
  </si>
  <si>
    <t>Operating Metrics</t>
  </si>
  <si>
    <t>GS CAMELOT implied P/B</t>
  </si>
  <si>
    <t>B_CAMELOT_PB</t>
  </si>
  <si>
    <t>GS CAMELOT implied P/E</t>
  </si>
  <si>
    <t>B_CAMELOT_PE</t>
  </si>
  <si>
    <t>CAMELOT beta</t>
  </si>
  <si>
    <t>B_CAMELOT_BETA</t>
  </si>
  <si>
    <t>3-yr adjusted DPS CAGR for CAMELOT</t>
  </si>
  <si>
    <t>B_CAMELOT_CAGR_DPS</t>
  </si>
  <si>
    <t>Sustainable ROE estimate</t>
  </si>
  <si>
    <t>B_CAMELOT_SUST_ROE</t>
  </si>
  <si>
    <t>Long-term dividend payout estimate</t>
  </si>
  <si>
    <t>B_LT_DIV_PAYOUT</t>
  </si>
  <si>
    <t>NPLs (Gross)</t>
  </si>
  <si>
    <t>Total NPLs, gross</t>
  </si>
  <si>
    <t>B_NPL_TOTNPL</t>
  </si>
  <si>
    <t>Other impaired loans</t>
  </si>
  <si>
    <t>B_NPL_PROBLN</t>
  </si>
  <si>
    <t>Capital Adequacy</t>
  </si>
  <si>
    <t>Tier 1 capital</t>
  </si>
  <si>
    <t>B_CA_T1CAP</t>
  </si>
  <si>
    <t>Tier 1 core equity</t>
  </si>
  <si>
    <t>B_CA_CORECAP</t>
  </si>
  <si>
    <t>Tier 1 preference share capital</t>
  </si>
  <si>
    <t>B_CA_PREFCAP</t>
  </si>
  <si>
    <t>Tier 1 capital ratio</t>
  </si>
  <si>
    <t>B_CA_T1RATIO</t>
  </si>
  <si>
    <t>B_CA_T2CAP</t>
  </si>
  <si>
    <t>Tier 2 ratio</t>
  </si>
  <si>
    <t>B_CA_T2RATIO</t>
  </si>
  <si>
    <t>Total BIS capital</t>
  </si>
  <si>
    <t>B_CA_CAPBASE</t>
  </si>
  <si>
    <t>Total capital (BIS) ratio</t>
  </si>
  <si>
    <t>B_CA_BISRATIO</t>
  </si>
  <si>
    <t>B_CA_BISRATIO = B_CA_CAPBASE / B_CA_RWA</t>
  </si>
  <si>
    <t>B_CA_RWA</t>
  </si>
  <si>
    <t>Loan Book (Gross)</t>
  </si>
  <si>
    <t>Mortgages</t>
  </si>
  <si>
    <t>B_LB_MORTG</t>
  </si>
  <si>
    <t>Other personal secured loans</t>
  </si>
  <si>
    <t>B_LB_OTHSECURE</t>
  </si>
  <si>
    <t>Personal unsecured loans and other</t>
  </si>
  <si>
    <t>B_LB_PERSON</t>
  </si>
  <si>
    <t>Total personal lending</t>
  </si>
  <si>
    <t>B_LB_TOTPERSNL</t>
  </si>
  <si>
    <t>Commercial &amp; industrial loans</t>
  </si>
  <si>
    <t>B_LB_FINANCL</t>
  </si>
  <si>
    <t>Construction &amp; real estate loans</t>
  </si>
  <si>
    <t>B_LB_CONSTRUCT</t>
  </si>
  <si>
    <t>Other commercial loans</t>
  </si>
  <si>
    <t>B_LB_COMMCL</t>
  </si>
  <si>
    <t>Total commercial lending</t>
  </si>
  <si>
    <t>B_LB_TOTCORP</t>
  </si>
  <si>
    <t>Finance leases</t>
  </si>
  <si>
    <t>B_LB_FINLEASE</t>
  </si>
  <si>
    <t>Government &amp; public authorities loans</t>
  </si>
  <si>
    <t>B_LB_GOVERNMT</t>
  </si>
  <si>
    <t>Other loans</t>
  </si>
  <si>
    <t>B_LB_OTHER</t>
  </si>
  <si>
    <t>Total other lending</t>
  </si>
  <si>
    <t>B_LB_OTHLEND</t>
  </si>
  <si>
    <t>Gross loans to customers</t>
  </si>
  <si>
    <t>B_LB_GROSSLOANS</t>
  </si>
  <si>
    <t>Total overseas lending, gross</t>
  </si>
  <si>
    <t>B_LB_OVSEASLEND</t>
  </si>
  <si>
    <t>Commitments</t>
  </si>
  <si>
    <t>COMMITMENTS</t>
  </si>
  <si>
    <t>Contingent liabilities</t>
  </si>
  <si>
    <t>CONTINGENCIES</t>
  </si>
  <si>
    <t>Provisions &amp; Reserves</t>
  </si>
  <si>
    <t>Specific loan loss reserve against customers</t>
  </si>
  <si>
    <t>B_PV_SLLRCUST</t>
  </si>
  <si>
    <t>General loan loss reserve against customers</t>
  </si>
  <si>
    <t>B_PV_GLLRCUST</t>
  </si>
  <si>
    <t>Total loan loss reserve against customers</t>
  </si>
  <si>
    <t>B_PV_TOTLLRCUST</t>
  </si>
  <si>
    <t>Write-offs</t>
  </si>
  <si>
    <t>WRITE_OFFS_BS</t>
  </si>
  <si>
    <t>Recoveries</t>
  </si>
  <si>
    <t>RECOVERIES_BS</t>
  </si>
  <si>
    <t>Net write-offs/(net charge-offs)</t>
  </si>
  <si>
    <t>NETCHGOFF_BS</t>
  </si>
  <si>
    <t>Margin Analysis</t>
  </si>
  <si>
    <t>Average interest-earning assets</t>
  </si>
  <si>
    <t>B_MA_REPINTAST</t>
  </si>
  <si>
    <t>Gross yield on interest-earning assets</t>
  </si>
  <si>
    <t>B_MA_REPGYLD</t>
  </si>
  <si>
    <t>Average interest-bearing liabilities</t>
  </si>
  <si>
    <t>B_MA_REPINTLIB</t>
  </si>
  <si>
    <t>Cost of interest-bearing liabilities</t>
  </si>
  <si>
    <t>B_MA_REPCOSTLIB</t>
  </si>
  <si>
    <t>B_MA_REPCOSTLIB = INT_EXP / B_MA_REPINTLIB</t>
  </si>
  <si>
    <t>Spread (gross yield less % cost of liabilites)</t>
  </si>
  <si>
    <t>B_MA_REPIMPSPD</t>
  </si>
  <si>
    <t>B_MA_REPIMPSPD = B_MA_REPGYLD - B_MA_REPCOSTLIB</t>
  </si>
  <si>
    <t>B_MA_REPNIM</t>
  </si>
  <si>
    <t>Deposits</t>
  </si>
  <si>
    <t>Demand deposits</t>
  </si>
  <si>
    <t>B_DE_DEMAND</t>
  </si>
  <si>
    <t>Time deposits</t>
  </si>
  <si>
    <t>B_DE_TIME</t>
  </si>
  <si>
    <t>Other deposits</t>
  </si>
  <si>
    <t>B_DE_OTHERS</t>
  </si>
  <si>
    <t>Total deposits</t>
  </si>
  <si>
    <t>B_DE_TOTDEPOSIT</t>
  </si>
  <si>
    <t>Industrial Holdings</t>
  </si>
  <si>
    <t>Market value of holding portfolio</t>
  </si>
  <si>
    <t>B_IH_MKTVALUE</t>
  </si>
  <si>
    <t>Book value of holding portfolio</t>
  </si>
  <si>
    <t>B_IH_BKVALUE</t>
  </si>
  <si>
    <t>Gross unrealized gains on holding portfolio</t>
  </si>
  <si>
    <t>B_IH_UNREALISE</t>
  </si>
  <si>
    <t>% Tax on unrealized gains</t>
  </si>
  <si>
    <t>B_IH_TAX</t>
  </si>
  <si>
    <t>Post-tax value of unrealized gains</t>
  </si>
  <si>
    <t>B_IH_PTAXVALUE</t>
  </si>
  <si>
    <t>Revenue Breakdown</t>
  </si>
  <si>
    <t>Revenue from Domestic Market</t>
  </si>
  <si>
    <t>DOM_SALES</t>
  </si>
  <si>
    <t>Revenue from emerging markets</t>
  </si>
  <si>
    <t>EMER_SALES</t>
  </si>
  <si>
    <t>Revenue from Europe</t>
  </si>
  <si>
    <t>EURO_SALES</t>
  </si>
  <si>
    <t>Revenue from North America</t>
  </si>
  <si>
    <t>NAM_SALES</t>
  </si>
  <si>
    <t>Revenue from Latin America</t>
  </si>
  <si>
    <t>LATAM_SALES</t>
  </si>
  <si>
    <t>Revenue from Asia</t>
  </si>
  <si>
    <t>ASIA_SALES</t>
  </si>
  <si>
    <t>Other revenue</t>
  </si>
  <si>
    <t>OTH_SALES</t>
  </si>
  <si>
    <t>TOT_SALES</t>
  </si>
  <si>
    <t>% Revenue from Domestic Market</t>
  </si>
  <si>
    <t>PCT_DOM_SALES</t>
  </si>
  <si>
    <t>% Revenue from Emerging Markets</t>
  </si>
  <si>
    <t>PCT_EMER_SALES</t>
  </si>
  <si>
    <t>% Revenue from Europe</t>
  </si>
  <si>
    <t>PCT_EURO_SALES</t>
  </si>
  <si>
    <t>% Revenue from North America</t>
  </si>
  <si>
    <t>PCT_NAM_SALES</t>
  </si>
  <si>
    <t>% Revenue from Latin America</t>
  </si>
  <si>
    <t>PCT_LATAM_SALES</t>
  </si>
  <si>
    <t>% Revenue from Asia</t>
  </si>
  <si>
    <t>PCT_ASIA_SALES</t>
  </si>
  <si>
    <t>% Revenue from other Markets</t>
  </si>
  <si>
    <t>PCT_OTH_SALES</t>
  </si>
  <si>
    <t>Operating Profits Breakdown</t>
  </si>
  <si>
    <t>Operating profits from domestic markets</t>
  </si>
  <si>
    <t>DOM_OP</t>
  </si>
  <si>
    <t>Operating profits from emerging markets</t>
  </si>
  <si>
    <t>EMER_OP</t>
  </si>
  <si>
    <t>Operating profits from Europe</t>
  </si>
  <si>
    <t>EURO_OP</t>
  </si>
  <si>
    <t>Operating profits from North America</t>
  </si>
  <si>
    <t>NAM_OP</t>
  </si>
  <si>
    <t>Operating profit from Latin America</t>
  </si>
  <si>
    <t>LATAM_OP</t>
  </si>
  <si>
    <t>Operating profits from Asia</t>
  </si>
  <si>
    <t>ASIA_OP</t>
  </si>
  <si>
    <t>Operating profits from other markets</t>
  </si>
  <si>
    <t>OTH_OP</t>
  </si>
  <si>
    <t>Total operating profit</t>
  </si>
  <si>
    <t>TOT_OP</t>
  </si>
  <si>
    <t>% Operating profits from Domestic Markets</t>
  </si>
  <si>
    <t>PCT_DOM_OP</t>
  </si>
  <si>
    <t>% Operating profits from Emerging Markets</t>
  </si>
  <si>
    <t>PCT_EMER_OP</t>
  </si>
  <si>
    <t>% Operating profits from Europe</t>
  </si>
  <si>
    <t>PCT_EURO_OP</t>
  </si>
  <si>
    <t>% Operating profits from North America</t>
  </si>
  <si>
    <t>PCT_NAM_OP</t>
  </si>
  <si>
    <t>% Operating profits from Latin America</t>
  </si>
  <si>
    <t>PCT_LATAM_OP</t>
  </si>
  <si>
    <t>% Operating profits from Asia</t>
  </si>
  <si>
    <t>PCT_ASIA_OP</t>
  </si>
  <si>
    <t>% Operating profits from other Markets</t>
  </si>
  <si>
    <t>PCT_OTH_OP</t>
  </si>
  <si>
    <t>Assets Breakdown</t>
  </si>
  <si>
    <t>Assets from domestic market</t>
  </si>
  <si>
    <t>DOM_ASS</t>
  </si>
  <si>
    <t>Assets from emerging markets</t>
  </si>
  <si>
    <t>EMER_ASS</t>
  </si>
  <si>
    <t>Assets from Europe</t>
  </si>
  <si>
    <t>EUR_ASS</t>
  </si>
  <si>
    <t>Assets from North America</t>
  </si>
  <si>
    <t>NAM_ASS</t>
  </si>
  <si>
    <t>Assets from Latin America</t>
  </si>
  <si>
    <t>LATAM_ASS</t>
  </si>
  <si>
    <t>Assets from Asia</t>
  </si>
  <si>
    <t>ASIA_ASS</t>
  </si>
  <si>
    <t>Assets from other markets</t>
  </si>
  <si>
    <t>OTH_ASS</t>
  </si>
  <si>
    <t>TOT_ASS</t>
  </si>
  <si>
    <t>% Assets from Domestic markets</t>
  </si>
  <si>
    <t>PCT_DOM_ASS</t>
  </si>
  <si>
    <t>% Assets from Emerging markets</t>
  </si>
  <si>
    <t>PCT_EMER_ASS</t>
  </si>
  <si>
    <t>% Assets from Europe</t>
  </si>
  <si>
    <t>PCT_EURO_ASS</t>
  </si>
  <si>
    <t>% Assets from North America</t>
  </si>
  <si>
    <t>PCT_NAM_ASS</t>
  </si>
  <si>
    <t>% Assets from Latin America</t>
  </si>
  <si>
    <t>PCT_LATAM_ASS</t>
  </si>
  <si>
    <t>% Assets from Asia</t>
  </si>
  <si>
    <t>PCT_ASIA_ASS</t>
  </si>
  <si>
    <t>% Assets from other markets</t>
  </si>
  <si>
    <t>PCT_OTH_ASS</t>
  </si>
  <si>
    <t>Geographical Breakdown</t>
  </si>
  <si>
    <t>Sales - % Total Americas</t>
  </si>
  <si>
    <t>SALES_TOT_AM</t>
  </si>
  <si>
    <t>Sales - % United States</t>
  </si>
  <si>
    <t>SALES_US</t>
  </si>
  <si>
    <t>Sales - % Canada</t>
  </si>
  <si>
    <t>SALES_CANADA</t>
  </si>
  <si>
    <t>Sales - % Brazil</t>
  </si>
  <si>
    <t>SALES_BRAZIL</t>
  </si>
  <si>
    <t>Sales - % Other Americas</t>
  </si>
  <si>
    <t>SALES_OTH_AM</t>
  </si>
  <si>
    <t>Sales - Total % EMEA</t>
  </si>
  <si>
    <t>SALES_TOT_EMEA</t>
  </si>
  <si>
    <t>Sales - % UK</t>
  </si>
  <si>
    <t>SALES_UK</t>
  </si>
  <si>
    <t>Sales - % Europe-Ex UK</t>
  </si>
  <si>
    <t>SALES_EU_EX_UK</t>
  </si>
  <si>
    <t>Sales - % Austria</t>
  </si>
  <si>
    <t>SALES_AUSTRIA</t>
  </si>
  <si>
    <t>Sales - % Belgium</t>
  </si>
  <si>
    <t>SALES_BEL</t>
  </si>
  <si>
    <t>Sales - % Denmark</t>
  </si>
  <si>
    <t>SALES_DEN</t>
  </si>
  <si>
    <t>Sales - % Finland</t>
  </si>
  <si>
    <t>SALES_FIN</t>
  </si>
  <si>
    <t>Sales - % France</t>
  </si>
  <si>
    <t>SALES_FRA</t>
  </si>
  <si>
    <t>Sales - % Germany</t>
  </si>
  <si>
    <t>SALES_GER</t>
  </si>
  <si>
    <t>Sales - % Greece</t>
  </si>
  <si>
    <t>SALES_GRE</t>
  </si>
  <si>
    <t>Sales - % Iceland</t>
  </si>
  <si>
    <t>SALES_ICE</t>
  </si>
  <si>
    <t>Sales - % Ireland</t>
  </si>
  <si>
    <t>SALES_IRE</t>
  </si>
  <si>
    <t>Sales - % Italy</t>
  </si>
  <si>
    <t>SALES_ITA</t>
  </si>
  <si>
    <t>Sales - % Netherlands</t>
  </si>
  <si>
    <t>SALES_NETH</t>
  </si>
  <si>
    <t>Sales - % Norway</t>
  </si>
  <si>
    <t>SALES_NOR</t>
  </si>
  <si>
    <t>Sales - % Portugal</t>
  </si>
  <si>
    <t>SALES_POR</t>
  </si>
  <si>
    <t>Sales - % Spain</t>
  </si>
  <si>
    <t>SALES_SPA</t>
  </si>
  <si>
    <t>Sales - % Sweden</t>
  </si>
  <si>
    <t>SALES_SWE</t>
  </si>
  <si>
    <t>Sales - % Switzerland</t>
  </si>
  <si>
    <t>SALES_SWIT</t>
  </si>
  <si>
    <t>Sales - % Central &amp; Eastern Europe</t>
  </si>
  <si>
    <t>SALES_CEE</t>
  </si>
  <si>
    <t>Sales - % Middle East</t>
  </si>
  <si>
    <t>SALES_ME</t>
  </si>
  <si>
    <t>Sales - % Russia</t>
  </si>
  <si>
    <t>SALES_RUSSIA</t>
  </si>
  <si>
    <t>Sales - % Other EMEA</t>
  </si>
  <si>
    <t>SALES_OTH_EMEA</t>
  </si>
  <si>
    <t>Sales - Total % Asia (incl Australia &amp; New Zealand)</t>
  </si>
  <si>
    <t>SALES_TOT_ASIA</t>
  </si>
  <si>
    <t>Sales - % Japan</t>
  </si>
  <si>
    <t>SALES_JAPAN</t>
  </si>
  <si>
    <t>Sales - % Greater China (incl HK)</t>
  </si>
  <si>
    <t>SALES_CHINA</t>
  </si>
  <si>
    <t>Sales - % India</t>
  </si>
  <si>
    <t>SALES_INDIA</t>
  </si>
  <si>
    <t>Sales - % South Korea</t>
  </si>
  <si>
    <t>SALES_SK</t>
  </si>
  <si>
    <t>Sales - % Australia</t>
  </si>
  <si>
    <t>SALES_AUSTRA</t>
  </si>
  <si>
    <t>Sales - % New Zealand</t>
  </si>
  <si>
    <t>SALES_NZ</t>
  </si>
  <si>
    <t>Sales - % Other AEJ (incl Taiwan)</t>
  </si>
  <si>
    <t>SALES_OTH_AEJ</t>
  </si>
  <si>
    <t>Sales - % Others</t>
  </si>
  <si>
    <t>SALES_OTHER</t>
  </si>
  <si>
    <t>Operating Profit - % Total Americas</t>
  </si>
  <si>
    <t>OP_TOT_AM</t>
  </si>
  <si>
    <t>Operating Profit - % United States</t>
  </si>
  <si>
    <t>OP_US</t>
  </si>
  <si>
    <t>Operating Profit - % Canada</t>
  </si>
  <si>
    <t>OP_CANADA</t>
  </si>
  <si>
    <t>Operating Profit - % Brazil</t>
  </si>
  <si>
    <t>OP_BRAZIL</t>
  </si>
  <si>
    <t>Operating Profit - % Other Americas</t>
  </si>
  <si>
    <t>OP_OTH_AM</t>
  </si>
  <si>
    <t>Operating Profit - Total % EMEA</t>
  </si>
  <si>
    <t>OP_TOT_EMEA</t>
  </si>
  <si>
    <t>Operating Profit - % UK</t>
  </si>
  <si>
    <t>OP_UK</t>
  </si>
  <si>
    <t>Operating Profit - % Europe-Ex UK</t>
  </si>
  <si>
    <t>OP_EU_EX_UK</t>
  </si>
  <si>
    <t>OP_AUSTRIA</t>
  </si>
  <si>
    <t>OP_BEL</t>
  </si>
  <si>
    <t>OP_DEN</t>
  </si>
  <si>
    <t>OP_FIN</t>
  </si>
  <si>
    <t>OP_FRA</t>
  </si>
  <si>
    <t>OP_GER</t>
  </si>
  <si>
    <t>OP_GRE</t>
  </si>
  <si>
    <t>OP_ICE</t>
  </si>
  <si>
    <t>OP_IRE</t>
  </si>
  <si>
    <t>OP_ITA</t>
  </si>
  <si>
    <t>OP_NETH</t>
  </si>
  <si>
    <t>OP_NOR</t>
  </si>
  <si>
    <t>OP_POR</t>
  </si>
  <si>
    <t>OP_SPA</t>
  </si>
  <si>
    <t>OP_SWE</t>
  </si>
  <si>
    <t>OP_SWIT</t>
  </si>
  <si>
    <t>Operating Profit - % Central &amp; Eastern Europe</t>
  </si>
  <si>
    <t>OP_CEE</t>
  </si>
  <si>
    <t>Operating Profit - % Middle East</t>
  </si>
  <si>
    <t>OP_ME</t>
  </si>
  <si>
    <t>Operating Profit - % Russia</t>
  </si>
  <si>
    <t>OP_RUSSIA</t>
  </si>
  <si>
    <t>Operating Profit - % Other EMEA</t>
  </si>
  <si>
    <t>OP_OTH_EMEA</t>
  </si>
  <si>
    <t>Operating Profit - Total % Asia (incl Australia &amp; New Zealand)</t>
  </si>
  <si>
    <t>OP_TOT_ASIA</t>
  </si>
  <si>
    <t>Operating Profit - % Japan</t>
  </si>
  <si>
    <t>OP_JAPAN</t>
  </si>
  <si>
    <t>Operating Profit - % Greater China (incl HK)</t>
  </si>
  <si>
    <t>OP_CHINA</t>
  </si>
  <si>
    <t>Operating Profit - % India</t>
  </si>
  <si>
    <t>OP_INDIA</t>
  </si>
  <si>
    <t>Operating Profit - % South Korea</t>
  </si>
  <si>
    <t>OP_SK</t>
  </si>
  <si>
    <t>Operating Profit - % Australia</t>
  </si>
  <si>
    <t>OP_AUSTRA</t>
  </si>
  <si>
    <t>Operating Profit - % New Zealand</t>
  </si>
  <si>
    <t>OP_NZ</t>
  </si>
  <si>
    <t>Operating Profit - % Other AEJ (incl Taiwan)</t>
  </si>
  <si>
    <t>OP_OTH_AEJ</t>
  </si>
  <si>
    <t>Operating Profit - % Others</t>
  </si>
  <si>
    <t>OP_OTHER</t>
  </si>
  <si>
    <t>Sales -% Consumer (C)</t>
  </si>
  <si>
    <t>SALES_CONS</t>
  </si>
  <si>
    <t>Sales -% Industry (I)</t>
  </si>
  <si>
    <t>SALES_IND</t>
  </si>
  <si>
    <t>Sales -% Government (G)</t>
  </si>
  <si>
    <t>SALES_GOV</t>
  </si>
  <si>
    <t>Operating Profit - % Consumer (C)</t>
  </si>
  <si>
    <t>OP_CONS</t>
  </si>
  <si>
    <t>Operating Profit - % Industry (I)</t>
  </si>
  <si>
    <t>OP_IND</t>
  </si>
  <si>
    <t>Operating Profit - % Government (G)</t>
  </si>
  <si>
    <t>OP_GOV</t>
  </si>
  <si>
    <t>Net debt</t>
  </si>
  <si>
    <t>NET_DEBT</t>
  </si>
  <si>
    <t>NAB.AX</t>
  </si>
  <si>
    <t>National Australia Bank</t>
  </si>
  <si>
    <t>Quantum submission sheet for NAB.AX</t>
  </si>
  <si>
    <t>AUTO-GENERATED BY TIGR NUMBERS SUBMISSION. DO NOT MODIFY OR DELETE!</t>
  </si>
  <si>
    <t>CURRENCY_ISO</t>
  </si>
  <si>
    <t>PRICE_CURRENCY_ISO</t>
  </si>
  <si>
    <t>PUB_CURRENCY_ISO</t>
  </si>
  <si>
    <t>PT weighting</t>
  </si>
  <si>
    <t>AD_ProfitabilityLoanstoDeposit</t>
  </si>
  <si>
    <t>Loan (ex-acceptances) to deposit (ex-CDs) ratio</t>
  </si>
  <si>
    <t>Loan-to-deposit ratio</t>
  </si>
  <si>
    <t>Profit &amp; loss (A$ mn)</t>
  </si>
  <si>
    <t>Rating</t>
  </si>
  <si>
    <t>Terminal year</t>
  </si>
  <si>
    <t>Valuation date</t>
  </si>
  <si>
    <t>Current share price</t>
  </si>
  <si>
    <t>Market capitalisation (A$ mn)</t>
  </si>
  <si>
    <t>12m price target</t>
  </si>
  <si>
    <t>Share on issue (mn)</t>
  </si>
  <si>
    <t>Upside/(downside)</t>
  </si>
  <si>
    <t>Year end</t>
  </si>
  <si>
    <t>Implied cash PE</t>
  </si>
  <si>
    <t>Earnings statistics</t>
  </si>
  <si>
    <t>Pre-provision operating profit (A$ mn)</t>
  </si>
  <si>
    <t>Operating revenue</t>
  </si>
  <si>
    <t>PPOP per share (A¢)</t>
  </si>
  <si>
    <t>Non-interest expense</t>
  </si>
  <si>
    <t>- Growth (%)</t>
  </si>
  <si>
    <t>Pre-provision operating profit</t>
  </si>
  <si>
    <t>Cash earnings (A$ mn)</t>
  </si>
  <si>
    <t>Net write-offs</t>
  </si>
  <si>
    <t>Cash EPS - basic (A¢)</t>
  </si>
  <si>
    <t>Cash EPS - diluted (A¢)</t>
  </si>
  <si>
    <t>Minorities</t>
  </si>
  <si>
    <t>Hybrid distributions</t>
  </si>
  <si>
    <t>Repoted profit (A$ mn)</t>
  </si>
  <si>
    <t>Cash earnings (pre-NRIs)</t>
  </si>
  <si>
    <t>Reported EPS (A¢)</t>
  </si>
  <si>
    <t>Non-cash items</t>
  </si>
  <si>
    <t>Dividend per share (A¢)</t>
  </si>
  <si>
    <t>Reported profit (pre-hybrids)</t>
  </si>
  <si>
    <t>Franking (%)</t>
  </si>
  <si>
    <t>Payout ratio (%)</t>
  </si>
  <si>
    <t>Balance sheet (A$ bn)</t>
  </si>
  <si>
    <t>NTA per share (A$)</t>
  </si>
  <si>
    <t>Book value per share (A$)</t>
  </si>
  <si>
    <t>AU housing lending</t>
  </si>
  <si>
    <t>Shares on issue (mn)</t>
  </si>
  <si>
    <t>AU business lending</t>
  </si>
  <si>
    <t>Weighted average shares (mn) - diluted</t>
  </si>
  <si>
    <t>AU personal lending</t>
  </si>
  <si>
    <t>AU lending</t>
  </si>
  <si>
    <t>Valuation statistics</t>
  </si>
  <si>
    <t>AU deposits</t>
  </si>
  <si>
    <t>Price / PPOP</t>
  </si>
  <si>
    <t>NZ lending</t>
  </si>
  <si>
    <t>NZ deposits</t>
  </si>
  <si>
    <t>Dividend yield - nominal (%)</t>
  </si>
  <si>
    <t>Other lending (non-ANZ)</t>
  </si>
  <si>
    <t>ROE - cash (%)</t>
  </si>
  <si>
    <t>ROTE - cash (%)</t>
  </si>
  <si>
    <t>Other deposits (non-ANZ)</t>
  </si>
  <si>
    <t>Profit drivers</t>
  </si>
  <si>
    <t>Non-interest income / operating revenue</t>
  </si>
  <si>
    <t>Cost / income</t>
  </si>
  <si>
    <t>Cost / assets</t>
  </si>
  <si>
    <t>Equity</t>
  </si>
  <si>
    <t>Jaws (revenue less cost growth)</t>
  </si>
  <si>
    <t>Ordinary shareholder's equity</t>
  </si>
  <si>
    <t>Effective tax rate (%)</t>
  </si>
  <si>
    <t>Loan-to-deposit ratio (%)</t>
  </si>
  <si>
    <t>ROE - reported</t>
  </si>
  <si>
    <t>ROE - cash</t>
  </si>
  <si>
    <t>ROA - cash</t>
  </si>
  <si>
    <t>Average ordinary equity</t>
  </si>
  <si>
    <t>Leverage</t>
  </si>
  <si>
    <t>RORWA - cash</t>
  </si>
  <si>
    <t>ROTE - cash</t>
  </si>
  <si>
    <t>ROTA - cash</t>
  </si>
  <si>
    <t>Goldman Sachs valuation summary</t>
  </si>
  <si>
    <t>Net charge-offs / Non-housing loans</t>
  </si>
  <si>
    <t>Net charge-offs / Gross loans</t>
  </si>
  <si>
    <t>BDD / Non-housing loans</t>
  </si>
  <si>
    <t>Methodology</t>
  </si>
  <si>
    <t>Output</t>
  </si>
  <si>
    <t>Weight</t>
  </si>
  <si>
    <t>Input</t>
  </si>
  <si>
    <t>BDD / Gross loans</t>
  </si>
  <si>
    <t>Gross impaired assets / Non-housing loans</t>
  </si>
  <si>
    <t>Non-performing loans / Gross loans</t>
  </si>
  <si>
    <t>Non-performing loans / RWA</t>
  </si>
  <si>
    <t>Specific provisions / Gross impaired assets</t>
  </si>
  <si>
    <t>Weighted average</t>
  </si>
  <si>
    <t>Collective provisions / Non-housing loans</t>
  </si>
  <si>
    <t>Collective provisions / Credit RWA</t>
  </si>
  <si>
    <t>Discounted cashflow inputs</t>
  </si>
  <si>
    <t>Collective provisions / RWA</t>
  </si>
  <si>
    <t>Total provisions / Non-housing loans</t>
  </si>
  <si>
    <t>Total provisions / Credit RWA</t>
  </si>
  <si>
    <t>Market risk premium</t>
  </si>
  <si>
    <t>Total provisions / RWA</t>
  </si>
  <si>
    <t>Equity beta (B)</t>
  </si>
  <si>
    <t>Shares on issue</t>
  </si>
  <si>
    <t>CET1 ratio (APRA, Basel II)</t>
  </si>
  <si>
    <t>Gordon`s Growth model</t>
  </si>
  <si>
    <t>E</t>
  </si>
  <si>
    <t>ASS_AQGRCL</t>
  </si>
  <si>
    <t>GRCL top-up (pre-tax)</t>
  </si>
  <si>
    <t>AD_AQCPGRCLNHL</t>
  </si>
  <si>
    <t>Collective provisions + GRCL (pre-tax) / non-housing loans</t>
  </si>
  <si>
    <t>AD_AQCPGRCLCRWA</t>
  </si>
  <si>
    <t>Collective provisions + GRCL (pre-tax) / credit risk weighted assets</t>
  </si>
  <si>
    <t>AD_AQCPGRCLRWA</t>
  </si>
  <si>
    <t>Collective provisions + GRCL (pre-tax) / risk weighted assets</t>
  </si>
  <si>
    <t>AD_AQTPGRCLNHL</t>
  </si>
  <si>
    <t>Total provisions + GRCL (pre-tax) / non-housing loans</t>
  </si>
  <si>
    <t>AD_AQTPGRCLCRWA</t>
  </si>
  <si>
    <t>Total provisions + GRCL (pre-tax) / credit risk weighted assets</t>
  </si>
  <si>
    <t>AD_AQTPGRCLRWA</t>
  </si>
  <si>
    <t>Total provisions + GRCL (pre-tax) / risk weighted assets</t>
  </si>
  <si>
    <t>Franking balance (A$ mn)</t>
  </si>
  <si>
    <t>ROTE</t>
  </si>
  <si>
    <t>AD_PEAssetsUnearnedIncome</t>
  </si>
  <si>
    <t>AD_PELiabilitiesAcceptances</t>
  </si>
  <si>
    <t>Liability on acceptances</t>
  </si>
  <si>
    <t>AD_PEGNAL</t>
  </si>
  <si>
    <t>Gross non-accrual loans</t>
  </si>
  <si>
    <t>AD_OrdEqu_EFPO</t>
  </si>
  <si>
    <t>AD_OrdEquConvertibles</t>
  </si>
  <si>
    <t>Convertible notes</t>
  </si>
  <si>
    <t>AD_OrdEquOptions</t>
  </si>
  <si>
    <t>Options (year end)</t>
  </si>
  <si>
    <t>AD_Dummy</t>
  </si>
  <si>
    <t>zero_fill</t>
  </si>
  <si>
    <t>AD_AvLiabilitiesNonIBD</t>
  </si>
  <si>
    <t>Deposits not bearing interest</t>
  </si>
  <si>
    <t>AD_FXIncome</t>
  </si>
  <si>
    <t>Foreign exchange income</t>
  </si>
  <si>
    <t>AD_AssetSales</t>
  </si>
  <si>
    <t>Gross proceeds from asset sales</t>
  </si>
  <si>
    <t>AD_RentalIncome</t>
  </si>
  <si>
    <t>Rental income</t>
  </si>
  <si>
    <t>AD_Salaries</t>
  </si>
  <si>
    <t>Salaries</t>
  </si>
  <si>
    <t>AD_ShareComp</t>
  </si>
  <si>
    <t>Share based comp</t>
  </si>
  <si>
    <t>AD_Occupancy</t>
  </si>
  <si>
    <t>Occupancy cost</t>
  </si>
  <si>
    <t>AD_BDDSpecific</t>
  </si>
  <si>
    <t>Specific provision charge</t>
  </si>
  <si>
    <t>AD_BDDCollective</t>
  </si>
  <si>
    <t>Collective provision charge</t>
  </si>
  <si>
    <t>AD_BDDTotalGCO</t>
  </si>
  <si>
    <t>Gross write-offs</t>
  </si>
  <si>
    <t>Shares on issue - EOP (mn)</t>
  </si>
  <si>
    <t>Value of cash flows (A$ mn)</t>
  </si>
  <si>
    <t>Terminal value of cash flows (A$ mn)</t>
  </si>
  <si>
    <t>Total (A$ mn)</t>
  </si>
  <si>
    <t>Value of franking credits (A$ mn)</t>
  </si>
  <si>
    <t>Terminal value of franking credits (A$ mn)</t>
  </si>
  <si>
    <t>Value of franking credits per share (A$)</t>
  </si>
  <si>
    <t>Total equity value (A$ mn)</t>
  </si>
  <si>
    <t>Total equity value per share (A$)</t>
  </si>
  <si>
    <t>12-month forward DCF (A$)</t>
  </si>
  <si>
    <t>Specific provisions (B/S ex. FV)</t>
  </si>
  <si>
    <t>Collective provisions (B/S ex. FV)</t>
  </si>
  <si>
    <t>AD_AQIPBS</t>
  </si>
  <si>
    <t>AD_AQCPBS</t>
  </si>
  <si>
    <t>1H06</t>
  </si>
  <si>
    <t>2H06</t>
  </si>
  <si>
    <t>FY06</t>
  </si>
  <si>
    <t>1H07</t>
  </si>
  <si>
    <t>2H07</t>
  </si>
  <si>
    <t>FY07</t>
  </si>
  <si>
    <t>1H08</t>
  </si>
  <si>
    <t>2H08</t>
  </si>
  <si>
    <t>FY08</t>
  </si>
  <si>
    <t>1H09</t>
  </si>
  <si>
    <t>2H09</t>
  </si>
  <si>
    <t>FY09</t>
  </si>
  <si>
    <t>1H10</t>
  </si>
  <si>
    <t>2H10</t>
  </si>
  <si>
    <t>FY10</t>
  </si>
  <si>
    <t>1H11</t>
  </si>
  <si>
    <t>2H11</t>
  </si>
  <si>
    <t>FY11</t>
  </si>
  <si>
    <t>1H12</t>
  </si>
  <si>
    <t>2H12</t>
  </si>
  <si>
    <t>FY12</t>
  </si>
  <si>
    <t>1H13</t>
  </si>
  <si>
    <t>2H13</t>
  </si>
  <si>
    <t>FY13</t>
  </si>
  <si>
    <t>1H14</t>
  </si>
  <si>
    <t>2H14</t>
  </si>
  <si>
    <t>FY14</t>
  </si>
  <si>
    <t>1H15</t>
  </si>
  <si>
    <t>2H15</t>
  </si>
  <si>
    <t>FY15</t>
  </si>
  <si>
    <t>1H16</t>
  </si>
  <si>
    <t>2H16</t>
  </si>
  <si>
    <t>FY16</t>
  </si>
  <si>
    <t>WEALTH MGT AUST</t>
  </si>
  <si>
    <t>PRODUCT FORMAT (post tax) ($m)</t>
  </si>
  <si>
    <t>Investments</t>
  </si>
  <si>
    <t>Insurance</t>
  </si>
  <si>
    <t>Cash earnings before IoRE</t>
  </si>
  <si>
    <t>IoRE post tax</t>
  </si>
  <si>
    <t>Growth - Investments</t>
  </si>
  <si>
    <t>Growth - Insurance</t>
  </si>
  <si>
    <t>Growth - Total (pre IoRE)</t>
  </si>
  <si>
    <t>Growth - Total (post IoRE)</t>
  </si>
  <si>
    <t>Gross income</t>
  </si>
  <si>
    <t>Volume related expenses</t>
  </si>
  <si>
    <t>Net income</t>
  </si>
  <si>
    <t>Profit before tax</t>
  </si>
  <si>
    <t>DIVISIONAL FORMAT ($m)</t>
  </si>
  <si>
    <t>Net life insurance income incl IoRE</t>
  </si>
  <si>
    <t>Net operating income</t>
  </si>
  <si>
    <t>Underlying profit</t>
  </si>
  <si>
    <t>Cash earnings before Min Int</t>
  </si>
  <si>
    <t>Cash earnings after Min Int</t>
  </si>
  <si>
    <t>Average FUMA ($m)</t>
  </si>
  <si>
    <t>Growth in average FUMA on pcp</t>
  </si>
  <si>
    <t>Growth in average FUMA on half</t>
  </si>
  <si>
    <t>As % of avge FUMA</t>
  </si>
  <si>
    <t xml:space="preserve">  Gross income</t>
  </si>
  <si>
    <t xml:space="preserve">  Volume related expenses</t>
  </si>
  <si>
    <t xml:space="preserve">  Net income</t>
  </si>
  <si>
    <t>Gross income growth on pcp</t>
  </si>
  <si>
    <t>Net income growth on pcp</t>
  </si>
  <si>
    <t>Operating expense growth on pcp</t>
  </si>
  <si>
    <t>Pre-tax profit growth on pcp</t>
  </si>
  <si>
    <t>Tax rate</t>
  </si>
  <si>
    <t>Post-tax profit growth on pcp</t>
  </si>
  <si>
    <t>FUMA ($m)</t>
  </si>
  <si>
    <t xml:space="preserve">  Masterfunds</t>
  </si>
  <si>
    <t xml:space="preserve">  Other retail</t>
  </si>
  <si>
    <t>Total retail (ex cash)</t>
  </si>
  <si>
    <t>Wholesale</t>
  </si>
  <si>
    <t>Cash mgt</t>
  </si>
  <si>
    <t>Trustee</t>
  </si>
  <si>
    <t>Total FUMA</t>
  </si>
  <si>
    <t>check</t>
  </si>
  <si>
    <t>Total FUMA ex CMT</t>
  </si>
  <si>
    <t>Total FUMA ex CMT, trustee</t>
  </si>
  <si>
    <t>FUMA breakdown</t>
  </si>
  <si>
    <t>FUMA reconciliation</t>
  </si>
  <si>
    <t>Start of period FUMA</t>
  </si>
  <si>
    <t xml:space="preserve">  Inflows</t>
  </si>
  <si>
    <t xml:space="preserve">  Outflows</t>
  </si>
  <si>
    <t>Net flows</t>
  </si>
  <si>
    <t>Investment earnings</t>
  </si>
  <si>
    <t>End of period FUMA</t>
  </si>
  <si>
    <t>Change on preceding period</t>
  </si>
  <si>
    <t>FUMA movements</t>
  </si>
  <si>
    <t>Inflows</t>
  </si>
  <si>
    <t>Total inflows</t>
  </si>
  <si>
    <t>Outflows</t>
  </si>
  <si>
    <t>Total outflows</t>
  </si>
  <si>
    <t>Total net flows</t>
  </si>
  <si>
    <t>Total investment earnings</t>
  </si>
  <si>
    <t>Investment growth</t>
  </si>
  <si>
    <t>Total investment growth</t>
  </si>
  <si>
    <t>INSURANCE</t>
  </si>
  <si>
    <t>Avge annual inforce ($m)</t>
  </si>
  <si>
    <t>Growth in avge annual inforce on pcp</t>
  </si>
  <si>
    <t>Growth in avge annual inforce on half</t>
  </si>
  <si>
    <t>As % of avge annual inforce</t>
  </si>
  <si>
    <t xml:space="preserve">  Operating expenses</t>
  </si>
  <si>
    <t>Annual inforce premiums</t>
  </si>
  <si>
    <t>Retail</t>
  </si>
  <si>
    <t>Group risk</t>
  </si>
  <si>
    <t>Annual inforce reconciliation</t>
  </si>
  <si>
    <t>Start of period premium</t>
  </si>
  <si>
    <t>Sales / new business</t>
  </si>
  <si>
    <t>Lapses / other</t>
  </si>
  <si>
    <t>End of period premium</t>
  </si>
  <si>
    <t>Sales Growth on pcp</t>
  </si>
  <si>
    <t>Lapse rate</t>
  </si>
  <si>
    <t>New Business minus Lapses</t>
  </si>
  <si>
    <t>Growth Contribution</t>
  </si>
  <si>
    <t>AVIVA ACQUISITION</t>
  </si>
  <si>
    <t>Synergies (post-tax)</t>
  </si>
  <si>
    <t>Earnings standalone</t>
  </si>
  <si>
    <t>Earnings to NAB</t>
  </si>
  <si>
    <t>Integration costs (post-tax)</t>
  </si>
  <si>
    <t>Net Operating income</t>
  </si>
  <si>
    <t>Total expenses</t>
  </si>
  <si>
    <t>Underlying performance</t>
  </si>
  <si>
    <t>Provisions</t>
  </si>
  <si>
    <t>NPAT</t>
  </si>
  <si>
    <t xml:space="preserve">Gross loans and acceptances (Avg) </t>
  </si>
  <si>
    <t xml:space="preserve">Average Interest Earnings Assets </t>
  </si>
  <si>
    <t xml:space="preserve">Lending growth (%) </t>
  </si>
  <si>
    <t xml:space="preserve">Net Interest margin </t>
  </si>
  <si>
    <t>Non-interest to Interest Income</t>
  </si>
  <si>
    <t xml:space="preserve">Cost / income </t>
  </si>
  <si>
    <t xml:space="preserve">BDD / gross loans &amp; acceptances </t>
  </si>
  <si>
    <t xml:space="preserve">Tax Rate </t>
  </si>
  <si>
    <t xml:space="preserve">MLC Group (as per divisional disclosure) </t>
  </si>
  <si>
    <t>MLC net operating income</t>
  </si>
  <si>
    <t xml:space="preserve">Cash profit before Iore and non controlling interests </t>
  </si>
  <si>
    <t xml:space="preserve">Cash earnings - non controlling interests </t>
  </si>
  <si>
    <t xml:space="preserve">Iore </t>
  </si>
  <si>
    <t>Cash Earnings</t>
  </si>
  <si>
    <t>1H17</t>
  </si>
  <si>
    <t>2H17</t>
  </si>
  <si>
    <t>FY17</t>
  </si>
  <si>
    <t>PRIVATE BANK</t>
  </si>
  <si>
    <t>Operating Profit - % Austria</t>
  </si>
  <si>
    <t>Operating Profit - % Belgium</t>
  </si>
  <si>
    <t>Operating Profit - % Denmark</t>
  </si>
  <si>
    <t>Operating Profit - % Finland</t>
  </si>
  <si>
    <t>Operating Profit - % France</t>
  </si>
  <si>
    <t>Operating Profit - % Germany</t>
  </si>
  <si>
    <t>Operating Profit - % Greece</t>
  </si>
  <si>
    <t>Operating Profit - % Iceland</t>
  </si>
  <si>
    <t>Operating Profit - % Ireland</t>
  </si>
  <si>
    <t>Operating Profit - % Italy</t>
  </si>
  <si>
    <t>Operating Profit - % Netherlands</t>
  </si>
  <si>
    <t>Operating Profit - % Norway</t>
  </si>
  <si>
    <t>Operating Profit - % Portugal</t>
  </si>
  <si>
    <t>Operating Profit - % Spain</t>
  </si>
  <si>
    <t>Operating Profit - % Sweden</t>
  </si>
  <si>
    <t>Operating Profit - % Switzerland</t>
  </si>
  <si>
    <t>ASS_AvAUDNZD</t>
  </si>
  <si>
    <t>MLC_NII</t>
  </si>
  <si>
    <t>MLC_NonII</t>
  </si>
  <si>
    <t>MLC_OE</t>
  </si>
  <si>
    <t>MLC_Tax</t>
  </si>
  <si>
    <t>MLC_BDD</t>
  </si>
  <si>
    <t>MLC_GLA</t>
  </si>
  <si>
    <t>MLC_AEIA</t>
  </si>
  <si>
    <t>CET1_TCAdjEquity</t>
  </si>
  <si>
    <t>Concessional threshold - equity invst</t>
  </si>
  <si>
    <t>CET1_TCAdjOther</t>
  </si>
  <si>
    <t>Other adj APRA -&gt; harmonised</t>
  </si>
  <si>
    <t>CET1_TCHarmonisedTotal</t>
  </si>
  <si>
    <t>Total Capital (B3, harmonised)</t>
  </si>
  <si>
    <t>CET1_RWAAdjIRRBB</t>
  </si>
  <si>
    <t>IRRBB RWA</t>
  </si>
  <si>
    <t>CET1_RWAAdjOther</t>
  </si>
  <si>
    <t>CET1_RWAHarmonisedTotal</t>
  </si>
  <si>
    <t>Total RWA (B3, harmonsied)</t>
  </si>
  <si>
    <t>AD_PEAdd3</t>
  </si>
  <si>
    <t>AD_PEAdd4</t>
  </si>
  <si>
    <t>AD_PEAdd5</t>
  </si>
  <si>
    <t>AD_PEAdd6</t>
  </si>
  <si>
    <t>AD_PEAdd7</t>
  </si>
  <si>
    <t>AD_PEAdd8</t>
  </si>
  <si>
    <t>AD_PEAdd9</t>
  </si>
  <si>
    <t>AD_AvAdd1</t>
  </si>
  <si>
    <t>AD_AvAdd2</t>
  </si>
  <si>
    <t>AD_AvAdd3</t>
  </si>
  <si>
    <t>AD_AvAdd4</t>
  </si>
  <si>
    <t>AD_AvAdd5</t>
  </si>
  <si>
    <t>AD_AvAdd6</t>
  </si>
  <si>
    <t>AD_AvAdd7</t>
  </si>
  <si>
    <t>AD_AvAdd8</t>
  </si>
  <si>
    <t>AD_AvAdd9</t>
  </si>
  <si>
    <t>AD_AvAdd10</t>
  </si>
  <si>
    <t>AD_PSNTAPSOptimised</t>
  </si>
  <si>
    <t>Net tangible asset per share (optimised)</t>
  </si>
  <si>
    <t>AD_CapitalCET1Harmonised</t>
  </si>
  <si>
    <t>Core tier 1 ratio (B3 fully harmonised)</t>
  </si>
  <si>
    <t>1H13A</t>
  </si>
  <si>
    <t>Congratulations! You have successfully migrated</t>
  </si>
  <si>
    <t>Final cleanup Items</t>
  </si>
  <si>
    <t>Keyword</t>
  </si>
  <si>
    <t>Description</t>
  </si>
  <si>
    <t xml:space="preserve">Action </t>
  </si>
  <si>
    <t>Please review non-migrated data on:</t>
  </si>
  <si>
    <t>Residual growth model</t>
  </si>
  <si>
    <t>Start year</t>
  </si>
  <si>
    <t>Year</t>
  </si>
  <si>
    <t>Terminal</t>
  </si>
  <si>
    <t>Risk free rate (%)</t>
  </si>
  <si>
    <t>Beta (x)</t>
  </si>
  <si>
    <t>Avg of 3/5 years, modifiy this for quality</t>
  </si>
  <si>
    <t>Risk premium (%)</t>
  </si>
  <si>
    <t>COE (%)</t>
  </si>
  <si>
    <t>Total Assets (Local currency bn)</t>
  </si>
  <si>
    <t xml:space="preserve">In this model we need to project Total assets </t>
  </si>
  <si>
    <t>% growth</t>
  </si>
  <si>
    <t>cannot grow too fast if the leverage (given below) increases</t>
  </si>
  <si>
    <t>ROA (%)</t>
  </si>
  <si>
    <t>instead of assuming sustainable RoE, assumes RoA</t>
  </si>
  <si>
    <t>PAT (Local currency bn) (a)</t>
  </si>
  <si>
    <t>Avg total assets X RoA.
Terminal year is FY2025 PAT X terminal year growth</t>
  </si>
  <si>
    <t>Dividends (Local currency bn)</t>
  </si>
  <si>
    <t>Dividend payout (%)</t>
  </si>
  <si>
    <t>Dividend tax (Local currency bn)</t>
  </si>
  <si>
    <t>Networth (Local currency bn)</t>
  </si>
  <si>
    <t xml:space="preserve">Prev Yr NW + PAT-dividend-dividend tax Terminal year = PAT / RoE </t>
  </si>
  <si>
    <t>Re*Networth (Local currency bn) (b)</t>
  </si>
  <si>
    <t>Avg NW X CoE</t>
  </si>
  <si>
    <t>Residual income (Local currency bn) = (c) = (a) - (b)</t>
  </si>
  <si>
    <t>PAT - ReX NW
Terminal year = Residual income / (COE - growth)</t>
  </si>
  <si>
    <t>PV of residual income (Local currency bn)</t>
  </si>
  <si>
    <t>Avg RoE (%)</t>
  </si>
  <si>
    <t>Risk Weighted Assets (Local currency bn)</t>
  </si>
  <si>
    <t>RWA/Total Assets</t>
  </si>
  <si>
    <t>Leverage (X) TA/NW</t>
  </si>
  <si>
    <t>Keep an eye on this</t>
  </si>
  <si>
    <t>Tier I ratio (%)</t>
  </si>
  <si>
    <t>Calculated</t>
  </si>
  <si>
    <t>Proportion</t>
  </si>
  <si>
    <t>% of total value</t>
  </si>
  <si>
    <t>NW 12-month forward from valuation date (Local currency bn)</t>
  </si>
  <si>
    <t>PV of residual income (Local currency bn) (12 month forward from valuation date to FY2033)</t>
  </si>
  <si>
    <t>FY2015 to terminal year</t>
  </si>
  <si>
    <t xml:space="preserve">Terminal year </t>
  </si>
  <si>
    <t>Target Market Cap (Networth + PV of Residual income)</t>
  </si>
  <si>
    <t>Target price (Local currency)</t>
  </si>
  <si>
    <t>Current price per share (Local currency)</t>
  </si>
  <si>
    <t>Potential upside/(downside) (%)</t>
  </si>
  <si>
    <t>Target PBR (core) 12-m fw (X)</t>
  </si>
  <si>
    <t>Current no of shares (mn)</t>
  </si>
  <si>
    <t xml:space="preserve">Present value of imputation credit </t>
  </si>
  <si>
    <t xml:space="preserve">% valued by the market </t>
  </si>
  <si>
    <t xml:space="preserve">PV of valued imputation credit </t>
  </si>
  <si>
    <t>NW roller years</t>
  </si>
  <si>
    <t>NW roller ratios</t>
  </si>
  <si>
    <t>Residual income model</t>
  </si>
  <si>
    <t>OLD</t>
  </si>
  <si>
    <t>CHANGE</t>
  </si>
  <si>
    <t>GROUP</t>
  </si>
  <si>
    <t>excess K</t>
  </si>
  <si>
    <t>1H18</t>
  </si>
  <si>
    <t>2H18</t>
  </si>
  <si>
    <t>FY18</t>
  </si>
  <si>
    <t>Company reported statutory taxation, OEIs and preference dividends</t>
  </si>
  <si>
    <t>2H13A</t>
  </si>
  <si>
    <t>FY13A</t>
  </si>
  <si>
    <t>Special dividend per share</t>
  </si>
  <si>
    <t>DPS_SPECIAL_PUB</t>
  </si>
  <si>
    <t>AD_PSDPSSpecial</t>
  </si>
  <si>
    <t>Special dividends per share</t>
  </si>
  <si>
    <t>Fee squeeze</t>
  </si>
  <si>
    <t>1H14A</t>
  </si>
  <si>
    <t>Price / net tangible assets - market</t>
  </si>
  <si>
    <t>Source: Company data, IRESS, Goldman Sachs Global Investment Research</t>
  </si>
  <si>
    <t>1H19</t>
  </si>
  <si>
    <t>2H19</t>
  </si>
  <si>
    <t>FY19</t>
  </si>
  <si>
    <t>2H14A</t>
  </si>
  <si>
    <t>FY14A</t>
  </si>
  <si>
    <t>1H15A</t>
  </si>
  <si>
    <t>Valuation methodology:</t>
  </si>
  <si>
    <t>1H20</t>
  </si>
  <si>
    <t>2H20</t>
  </si>
  <si>
    <t>FY20</t>
  </si>
  <si>
    <t>FY15A</t>
  </si>
  <si>
    <t>2H15A</t>
  </si>
  <si>
    <t>1H25E</t>
  </si>
  <si>
    <t>2H25E</t>
  </si>
  <si>
    <t>FY25E</t>
  </si>
  <si>
    <t>1H16A</t>
  </si>
  <si>
    <t>Basel 3 CET1 ratio (CRD4 - fully loaded)</t>
  </si>
  <si>
    <t>B_CA_B3T1RATIO</t>
  </si>
  <si>
    <t>Investments - captive insurance</t>
  </si>
  <si>
    <t>Investments - non-consolidated subs</t>
  </si>
  <si>
    <t>Investments - other</t>
  </si>
  <si>
    <t>EPS (pre-exceptionals, diluted)</t>
  </si>
  <si>
    <t>EPS_FUL_DIL</t>
  </si>
  <si>
    <t>EPS (post-exceptionals, basic)</t>
  </si>
  <si>
    <t>EPS_POST_BASIC</t>
  </si>
  <si>
    <t>1H21</t>
  </si>
  <si>
    <t>2H21</t>
  </si>
  <si>
    <t>FY21</t>
  </si>
  <si>
    <t>FY16A</t>
  </si>
  <si>
    <t>2H16A</t>
  </si>
  <si>
    <t>1H26E</t>
  </si>
  <si>
    <t>2H26E</t>
  </si>
  <si>
    <t>FY26E</t>
  </si>
  <si>
    <t>1H17A</t>
  </si>
  <si>
    <t>1H27E</t>
  </si>
  <si>
    <t>2H27E</t>
  </si>
  <si>
    <t>FY27E</t>
  </si>
  <si>
    <t>FY17A</t>
  </si>
  <si>
    <t>2H17A</t>
  </si>
  <si>
    <t>1H18A</t>
  </si>
  <si>
    <t>FY18A</t>
  </si>
  <si>
    <t>2H18A</t>
  </si>
  <si>
    <t>1H28E</t>
  </si>
  <si>
    <t>2H28E</t>
  </si>
  <si>
    <t>FY28E</t>
  </si>
  <si>
    <t>1H19A</t>
  </si>
  <si>
    <t>2H19A</t>
  </si>
  <si>
    <t>FY19A</t>
  </si>
  <si>
    <t>1H29E</t>
  </si>
  <si>
    <t>2H29E</t>
  </si>
  <si>
    <t>FY29E</t>
  </si>
  <si>
    <t>1H20A</t>
  </si>
  <si>
    <t>1H30E</t>
  </si>
  <si>
    <t>2H30E</t>
  </si>
  <si>
    <t>FY30E</t>
  </si>
  <si>
    <t>2H20A</t>
  </si>
  <si>
    <t>FY20A</t>
  </si>
  <si>
    <t>1H21A</t>
  </si>
  <si>
    <t>FY21A</t>
  </si>
  <si>
    <t>FY31E</t>
  </si>
  <si>
    <t>Error</t>
  </si>
  <si>
    <t>Judo Capital Holdings</t>
  </si>
  <si>
    <t>5 year av. multiple (J4010)</t>
  </si>
  <si>
    <t>GFC trough multiple (J4010)</t>
  </si>
  <si>
    <t>June</t>
  </si>
  <si>
    <t>JDO.AX</t>
  </si>
  <si>
    <t>JDO</t>
  </si>
  <si>
    <t>nm</t>
  </si>
  <si>
    <t>2H21A</t>
  </si>
  <si>
    <t>1H22A</t>
  </si>
  <si>
    <t>1H31E</t>
  </si>
  <si>
    <t>2H31E</t>
  </si>
  <si>
    <t>P/NTA vs. ROTE</t>
  </si>
  <si>
    <t>2H22A</t>
  </si>
  <si>
    <t>1H32E</t>
  </si>
  <si>
    <t>2H32E</t>
  </si>
  <si>
    <t>FY22A</t>
  </si>
  <si>
    <t>FY32E</t>
  </si>
  <si>
    <t>1H23A</t>
  </si>
  <si>
    <t>1H33E</t>
  </si>
  <si>
    <t>2H33E</t>
  </si>
  <si>
    <t>FY33E</t>
  </si>
  <si>
    <t>2H23A</t>
  </si>
  <si>
    <t>FY23A</t>
  </si>
  <si>
    <t>1H24A</t>
  </si>
  <si>
    <t>2H24A</t>
  </si>
  <si>
    <t>1H34E</t>
  </si>
  <si>
    <t>2H34E</t>
  </si>
  <si>
    <t>FY24A</t>
  </si>
  <si>
    <t>FY34E</t>
  </si>
  <si>
    <t>Average FTEs</t>
  </si>
  <si>
    <t>Average 12mo P/B</t>
  </si>
  <si>
    <t>Target Price</t>
  </si>
  <si>
    <t>AIEA</t>
  </si>
  <si>
    <t>Net Interest Income</t>
  </si>
  <si>
    <t>Pre-provision profit</t>
  </si>
  <si>
    <t>Loans and advances</t>
  </si>
  <si>
    <t>Income statement</t>
  </si>
  <si>
    <t>Growth %</t>
  </si>
  <si>
    <t>Net fee &amp; commission income</t>
  </si>
  <si>
    <t>Markets</t>
  </si>
  <si>
    <t>Wealth Management</t>
  </si>
  <si>
    <t>Other operating income, ex notable items</t>
  </si>
  <si>
    <t>Notable items</t>
  </si>
  <si>
    <t>Reported other operating income</t>
  </si>
  <si>
    <t>Personel</t>
  </si>
  <si>
    <t>IT</t>
  </si>
  <si>
    <t>Building occupancy and equipment</t>
  </si>
  <si>
    <t>Operating expenses, ex notable items</t>
  </si>
  <si>
    <t>Reported expenses</t>
  </si>
  <si>
    <t>Underlying expense growth %</t>
  </si>
  <si>
    <t>Reported expense growth %</t>
  </si>
  <si>
    <t>as % of ave GLAs</t>
  </si>
  <si>
    <t>Pre-tax Profit</t>
  </si>
  <si>
    <t>Implied tax rate (%)</t>
  </si>
  <si>
    <t>Non-controlling interests</t>
  </si>
  <si>
    <t>Cash earnings from continuing operations</t>
  </si>
  <si>
    <t>Discontinued businesses</t>
  </si>
  <si>
    <t>Statutory Profit</t>
  </si>
  <si>
    <t>Per share</t>
  </si>
  <si>
    <t>Basic cash EPS (cent per share)</t>
  </si>
  <si>
    <t>Diluted cash EPS (cents per share)</t>
  </si>
  <si>
    <t xml:space="preserve">RWAs </t>
  </si>
  <si>
    <t>Shareholder equity</t>
  </si>
  <si>
    <t>AIEA ex liquids</t>
  </si>
  <si>
    <t>Cost-to-income</t>
  </si>
  <si>
    <t>ROA</t>
  </si>
  <si>
    <t>ROE</t>
  </si>
  <si>
    <t>Brendan Sproules | brendan.sproules@gs.com | +61 3 9679 1276</t>
  </si>
  <si>
    <t>Profit &amp; loss (A$m)</t>
  </si>
  <si>
    <t>Share Price / Recommendation / Target Price</t>
  </si>
  <si>
    <t>September</t>
  </si>
  <si>
    <t>Recommendation</t>
  </si>
  <si>
    <t>Share Price</t>
  </si>
  <si>
    <t>Shares on issue (m)</t>
  </si>
  <si>
    <t>Upside / Downside</t>
  </si>
  <si>
    <t>Fee income</t>
  </si>
  <si>
    <t>Market capitalisation (A$m)</t>
  </si>
  <si>
    <t>Valuation Methodology</t>
  </si>
  <si>
    <t>A$ps</t>
  </si>
  <si>
    <t>DCF Inputs</t>
  </si>
  <si>
    <t>Operating costs</t>
  </si>
  <si>
    <t>Terminal growth</t>
  </si>
  <si>
    <t>Price-to-earnings</t>
  </si>
  <si>
    <t>Rf / MRP</t>
  </si>
  <si>
    <t>3.5% / 6.0%</t>
  </si>
  <si>
    <t>BDD expense</t>
  </si>
  <si>
    <t>Avg valuation</t>
  </si>
  <si>
    <t>Equity beta</t>
  </si>
  <si>
    <t>Tax &amp; NCI</t>
  </si>
  <si>
    <t xml:space="preserve">Preference dividend </t>
  </si>
  <si>
    <t>Trading multiples</t>
  </si>
  <si>
    <t>At current price</t>
  </si>
  <si>
    <t>Reported profit</t>
  </si>
  <si>
    <t>Price-to-PPOP</t>
  </si>
  <si>
    <t>Balance Sheet (A$m)</t>
  </si>
  <si>
    <t>Price-to-book</t>
  </si>
  <si>
    <t>Price-to-NTA</t>
  </si>
  <si>
    <t>At target price</t>
  </si>
  <si>
    <t>Total equity</t>
  </si>
  <si>
    <t>CET 1 capital</t>
  </si>
  <si>
    <t>Average balances</t>
  </si>
  <si>
    <t>Profitability, on cash basis</t>
  </si>
  <si>
    <t>RORWA</t>
  </si>
  <si>
    <t>Profitability, on reported basis</t>
  </si>
  <si>
    <t>Cash EPS - basic</t>
  </si>
  <si>
    <t>Cash EPS - diluted</t>
  </si>
  <si>
    <t>Earnings drivers</t>
  </si>
  <si>
    <t>Reported EPS - basic</t>
  </si>
  <si>
    <t>Cost-to-assets (bpts)</t>
  </si>
  <si>
    <t>Reported EPS - diluted</t>
  </si>
  <si>
    <t>Tax rate (%)</t>
  </si>
  <si>
    <t>Dividend per share - diluted</t>
  </si>
  <si>
    <t>BDD as % of ave loans (bps)</t>
  </si>
  <si>
    <t>Dividend payout ratio (%)</t>
  </si>
  <si>
    <t>Non-performing loans / total loans</t>
  </si>
  <si>
    <t>NTA per share</t>
  </si>
  <si>
    <t>CET 1 ratio</t>
  </si>
  <si>
    <t>Weighted ave shares (m) - basic</t>
  </si>
  <si>
    <t>Weighted ave shares (m) - diluted</t>
  </si>
  <si>
    <t>Goldman Sachs | Judo Capital Holdings | JDO-AU</t>
  </si>
  <si>
    <t>FY25A</t>
  </si>
  <si>
    <t>COE (Ke)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</si>
</sst>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\-&quot;$&quot;#,##0.00"/>
    <numFmt numFmtId="166" formatCode="&quot;$&quot;#,##0.00;[Red]\-&quot;$&quot;#,##0.00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0.0000"/>
    <numFmt numFmtId="170" formatCode="0.0%"/>
    <numFmt numFmtId="171" formatCode="&quot;$&quot;#,##0.00"/>
    <numFmt numFmtId="172" formatCode="0.0"/>
    <numFmt numFmtId="173" formatCode="#,##0.0"/>
    <numFmt numFmtId="174" formatCode="[$$-C09]#,##0.00"/>
    <numFmt numFmtId="175" formatCode="0.0&quot;x&quot;"/>
    <numFmt numFmtId="176" formatCode=";;;"/>
    <numFmt numFmtId="177" formatCode="#,##0.0%"/>
    <numFmt numFmtId="178" formatCode="#,##0.000"/>
    <numFmt numFmtId="179" formatCode="#,##0.00_ ;\-#,##0.00\ "/>
    <numFmt numFmtId="180" formatCode="#,##0.00%"/>
    <numFmt numFmtId="181" formatCode="&quot;$&quot;#,##0.0\ \ \ ;\(&quot;$&quot;#,##0.0\)\ \ "/>
    <numFmt numFmtId="182" formatCode="##0.00"/>
    <numFmt numFmtId="183" formatCode="#,##0.0\ \ \ ;\(#,##0.0\)\ \ "/>
    <numFmt numFmtId="184" formatCode="#,##0.000;\(#,##0.000\)"/>
    <numFmt numFmtId="185" formatCode="mm/yy"/>
    <numFmt numFmtId="186" formatCode="General__;"/>
    <numFmt numFmtId="187" formatCode="#,##0__;\(#,##0\)__;#,##0__;"/>
    <numFmt numFmtId="188" formatCode="0.00%__;\(0.00%\)__;0.00%__;"/>
    <numFmt numFmtId="189" formatCode="dd\-mmm\-yy__;"/>
    <numFmt numFmtId="190" formatCode="\A&quot;$&quot;#.00"/>
    <numFmt numFmtId="191" formatCode="\A&quot;$&quot;#.00__;\(\A&quot;$&quot;#.00\)__;\A&quot;$&quot;#.00__;"/>
    <numFmt numFmtId="192" formatCode="0.0%__;\(0.0%\)__;0.0%__;"/>
    <numFmt numFmtId="193" formatCode="0.0&quot;x&quot;__;\(0.0\)&quot;x&quot;__;0.0&quot;x&quot;__;"/>
    <numFmt numFmtId="194" formatCode="#,##0.0__;\(#,##0.0\)__;#,##0.0;"/>
    <numFmt numFmtId="195" formatCode="0.0%__;\(0.0%\)__;\(0.0%\)__;"/>
    <numFmt numFmtId="196" formatCode="0%__;\(0%\)__;\(0%\)__;"/>
    <numFmt numFmtId="197" formatCode="#,##0.00__;\(#,##0.00\)__;#,##0.00;"/>
    <numFmt numFmtId="198" formatCode="0.0\x__;\(0.0\x\)__;0.0\x__;"/>
    <numFmt numFmtId="199" formatCode="0.00%__;\(0.00%\)__;\(0.00%\)__;"/>
    <numFmt numFmtId="200" formatCode="0\ &quot;bp&quot;__;\(0\)\ &quot;bp&quot;__;0\ &quot;bp&quot;__;"/>
    <numFmt numFmtId="201" formatCode="#,##0__;"/>
    <numFmt numFmtId="202" formatCode="\A&quot;$&quot;#.00__;"/>
    <numFmt numFmtId="203" formatCode="\A&quot;$&quot;#,##0.00"/>
    <numFmt numFmtId="204" formatCode="0.000%"/>
    <numFmt numFmtId="205" formatCode="0.0000000000000000%"/>
    <numFmt numFmtId="206" formatCode="0.0_)\%;\(0.0\)\%;0.0_)\%;@_)_%"/>
    <numFmt numFmtId="207" formatCode="#,##0.0_)_%;\(#,##0.0\)_%;0.0_)_%;@_)_%"/>
    <numFmt numFmtId="208" formatCode="#,##0.0_);\(#,##0.0\);#,##0.0_);@_)"/>
    <numFmt numFmtId="209" formatCode="#,##0.0_);\(#,##0.0\)"/>
    <numFmt numFmtId="210" formatCode="&quot;$&quot;_(#,##0.00_);&quot;$&quot;\(#,##0.00\)"/>
    <numFmt numFmtId="211" formatCode="&quot;$&quot;_(#,##0.00_);&quot;$&quot;\(#,##0.00\);&quot;$&quot;_(0.00_);@_)"/>
    <numFmt numFmtId="212" formatCode="#,##0.00_);\(#,##0.00\);0.00_);@_)"/>
    <numFmt numFmtId="213" formatCode="\€_(#,##0.00_);\€\(#,##0.00\);\€_(0.00_);@_)"/>
    <numFmt numFmtId="214" formatCode="#,##0.0_)\x;\(#,##0.0\)\x"/>
    <numFmt numFmtId="215" formatCode="#,##0_)\x;\(#,##0\)\x;0_)\x;@_)_x"/>
    <numFmt numFmtId="216" formatCode="#,##0.0_)\x;\(#,##0.0\)\x;0.0_)\x;@_)_x"/>
    <numFmt numFmtId="217" formatCode="#,##0.0_)_x;\(#,##0.0\)_x"/>
    <numFmt numFmtId="218" formatCode="#,##0_)_x;\(#,##0\)_x;0_)_x;@_)_x"/>
    <numFmt numFmtId="219" formatCode="#,##0.0_)_x;\(#,##0.0\)_x;0.0_)_x;@_)_x"/>
    <numFmt numFmtId="220" formatCode="0.0_)\%;\(0.0\)\%"/>
    <numFmt numFmtId="221" formatCode="#,##0.0_)_%;\(#,##0.0\)_%"/>
    <numFmt numFmtId="222" formatCode="#,##0;\(#,##0\)"/>
    <numFmt numFmtId="223" formatCode="0\A"/>
    <numFmt numFmtId="224" formatCode="0.00_)"/>
    <numFmt numFmtId="225" formatCode="0\p"/>
    <numFmt numFmtId="226" formatCode="0.0&quot;  &quot;"/>
    <numFmt numFmtId="227" formatCode="_-* #,##0_-;\(#,##0\);_-* &quot;–&quot;_-;_-@_-"/>
    <numFmt numFmtId="228" formatCode="#,##0.00;;;[White]General"/>
    <numFmt numFmtId="229" formatCode="_(* #,##0.00000_);_(* \(#,##0.00000\);_(* &quot;-&quot;??_);_(@_)"/>
    <numFmt numFmtId="230" formatCode="#,##0.000_);[Red]\(#,##0.000\)"/>
    <numFmt numFmtId="231" formatCode="&quot;$&quot;0.0"/>
    <numFmt numFmtId="232" formatCode="#,##0;\(#,##0\);\–;@"/>
    <numFmt numFmtId="233" formatCode="_(&quot;CHF&quot;* #,##0.0_);_(&quot;CHF&quot;* \(#,##0.0\);_(&quot;CHF&quot;* &quot;-&quot;??_);_(@_)"/>
    <numFmt numFmtId="234" formatCode="[$-409]d\-mmm\-yy;@"/>
    <numFmt numFmtId="235" formatCode="_(* #,##0_);_(* \(#,##0\);_(* &quot;-&quot;??_);_(@_)"/>
    <numFmt numFmtId="236" formatCode="_(* #,##0.0_);_(* \(#,##0.0\);_(* &quot;-&quot;??_);_(@_)"/>
    <numFmt numFmtId="237" formatCode="_-* #,##0_-;\-* #,##0_-;_-* &quot;-&quot;??_-;_-@_-"/>
    <numFmt numFmtId="238" formatCode="#,##0.0000000000"/>
    <numFmt numFmtId="239" formatCode="0.000"/>
    <numFmt numFmtId="240" formatCode="#,##0.0__;\(#,##0.0\)__;#,##0.0__"/>
    <numFmt numFmtId="241" formatCode="_-* #,##0.0_-;\-* #,##0.0_-;_-* &quot;-&quot;??_-;_-@_-"/>
    <numFmt numFmtId="242" formatCode="#,###,##0"/>
    <numFmt numFmtId="243" formatCode="_(* #,##0.000_);_(* \(#,##0.000\);_(* &quot;-&quot;??_);_(@_)"/>
    <numFmt numFmtId="244" formatCode="0&quot;bpts&quot;"/>
    <numFmt numFmtId="245" formatCode="0.00&quot;x&quot;"/>
    <numFmt numFmtId="246" formatCode="&quot;$&quot;#,##0"/>
    <numFmt numFmtId="247" formatCode="0.0\x"/>
    <numFmt numFmtId="248" formatCode="0\ &quot;bpts&quot;"/>
    <numFmt numFmtId="249" formatCode="0.0\ &quot;bps&quot;"/>
  </numFmts>
  <fonts count="159">
    <font>
      <sz val="10"/>
      <name val="Verdana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9"/>
      <color indexed="46"/>
      <name val="Arial"/>
      <family val="2"/>
    </font>
    <font>
      <b/>
      <sz val="9"/>
      <color indexed="9"/>
      <name val="Arial"/>
      <family val="2"/>
    </font>
    <font>
      <b/>
      <sz val="9"/>
      <color indexed="52"/>
      <name val="Arial"/>
      <family val="2"/>
    </font>
    <font>
      <b/>
      <sz val="9"/>
      <name val="Arial"/>
      <family val="2"/>
    </font>
    <font>
      <sz val="9"/>
      <color indexed="52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4"/>
      <name val="Arial"/>
      <family val="2"/>
    </font>
    <font>
      <sz val="9"/>
      <color indexed="48"/>
      <name val="Arial"/>
      <family val="2"/>
    </font>
    <font>
      <sz val="9"/>
      <color indexed="57"/>
      <name val="Arial"/>
      <family val="2"/>
    </font>
    <font>
      <sz val="9"/>
      <color indexed="11"/>
      <name val="Arial"/>
      <family val="2"/>
    </font>
    <font>
      <b/>
      <sz val="9"/>
      <color indexed="10"/>
      <name val="Arial"/>
      <family val="2"/>
    </font>
    <font>
      <i/>
      <sz val="9"/>
      <name val="Arial"/>
      <family val="2"/>
    </font>
    <font>
      <sz val="9"/>
      <color indexed="9"/>
      <name val="Arial"/>
      <family val="2"/>
    </font>
    <font>
      <i/>
      <sz val="9"/>
      <color indexed="46"/>
      <name val="Arial"/>
      <family val="2"/>
    </font>
    <font>
      <b/>
      <i/>
      <sz val="9"/>
      <color indexed="46"/>
      <name val="Arial"/>
      <family val="2"/>
    </font>
    <font>
      <b/>
      <i/>
      <sz val="9"/>
      <name val="Arial"/>
      <family val="2"/>
    </font>
    <font>
      <b/>
      <sz val="9"/>
      <color indexed="46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u/>
      <sz val="10"/>
      <color rgb="FFC20000"/>
      <name val="Arial"/>
      <family val="2"/>
    </font>
    <font>
      <sz val="10"/>
      <color indexed="8"/>
      <name val="Arial"/>
      <family val="2"/>
    </font>
    <font>
      <b/>
      <sz val="12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9"/>
      <name val="Verdana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sz val="8"/>
      <name val="Helv"/>
    </font>
    <font>
      <i/>
      <sz val="10"/>
      <color indexed="23"/>
      <name val="Arial"/>
      <family val="2"/>
    </font>
    <font>
      <sz val="10"/>
      <name val="Helv"/>
    </font>
    <font>
      <sz val="10"/>
      <color indexed="17"/>
      <name val="Arial"/>
      <family val="2"/>
    </font>
    <font>
      <b/>
      <i/>
      <sz val="12"/>
      <color indexed="39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b/>
      <sz val="10"/>
      <color indexed="17"/>
      <name val="Arial"/>
      <family val="2"/>
    </font>
    <font>
      <sz val="10"/>
      <color indexed="60"/>
      <name val="Arial"/>
      <family val="2"/>
    </font>
    <font>
      <b/>
      <sz val="10"/>
      <color indexed="34"/>
      <name val="Arial"/>
      <family val="2"/>
    </font>
    <font>
      <sz val="8"/>
      <name val="Arial"/>
      <family val="2"/>
    </font>
    <font>
      <sz val="10"/>
      <name val="Geneva"/>
      <family val="2"/>
    </font>
    <font>
      <b/>
      <sz val="18"/>
      <color indexed="62"/>
      <name val="Cambria"/>
      <family val="2"/>
    </font>
    <font>
      <b/>
      <sz val="10"/>
      <color indexed="8"/>
      <name val="Arial"/>
      <family val="2"/>
    </font>
    <font>
      <sz val="10"/>
      <name val="MS Serif"/>
      <family val="1"/>
    </font>
    <font>
      <b/>
      <sz val="12"/>
      <name val="Verdana"/>
      <family val="2"/>
    </font>
    <font>
      <b/>
      <sz val="10"/>
      <name val="Verdana"/>
      <family val="2"/>
    </font>
    <font>
      <i/>
      <sz val="9"/>
      <color rgb="FFFF0000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theme="1"/>
      <name val="Arial"/>
      <family val="2"/>
    </font>
    <font>
      <b/>
      <sz val="10"/>
      <color indexed="57"/>
      <name val="Arial"/>
      <family val="2"/>
    </font>
    <font>
      <b/>
      <sz val="10"/>
      <color theme="1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color theme="7" tint="0.3999755851924192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20"/>
      <color rgb="FF006100"/>
      <name val="Calibri"/>
      <family val="2"/>
      <scheme val="minor"/>
    </font>
    <font>
      <sz val="18"/>
      <color rgb="FF9C6500"/>
      <name val="Calibri"/>
      <family val="2"/>
      <scheme val="minor"/>
    </font>
    <font>
      <sz val="20"/>
      <color rgb="FF9C6500"/>
      <name val="Calibri"/>
      <family val="2"/>
      <scheme val="minor"/>
    </font>
    <font>
      <sz val="10"/>
      <name val="GS TheSans"/>
      <family val="2"/>
    </font>
    <font>
      <sz val="8"/>
      <name val="Tahoma"/>
      <family val="2"/>
    </font>
    <font>
      <b/>
      <sz val="10"/>
      <name val="MS Sans Serif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9"/>
      <color indexed="8"/>
      <name val="Times New Roman"/>
      <family val="1"/>
    </font>
    <font>
      <b/>
      <sz val="10"/>
      <color indexed="8"/>
      <name val="Times New Roman"/>
      <family val="1"/>
    </font>
    <font>
      <sz val="8"/>
      <name val="Times"/>
      <family val="1"/>
    </font>
    <font>
      <sz val="8"/>
      <name val="Helvetica"/>
      <family val="2"/>
    </font>
    <font>
      <b/>
      <sz val="12"/>
      <name val="Tms Rmn"/>
    </font>
    <font>
      <sz val="9"/>
      <color indexed="9"/>
      <name val="Times New Roman"/>
      <family val="1"/>
    </font>
    <font>
      <sz val="8"/>
      <color indexed="12"/>
      <name val="Tms Rmn"/>
    </font>
    <font>
      <b/>
      <i/>
      <sz val="8"/>
      <name val="Arial"/>
      <family val="2"/>
    </font>
    <font>
      <b/>
      <sz val="10"/>
      <name val="Bookman"/>
      <family val="1"/>
    </font>
    <font>
      <b/>
      <sz val="24"/>
      <name val="Times New Roman"/>
      <family val="1"/>
    </font>
    <font>
      <b/>
      <sz val="14"/>
      <name val="Book Antiqua"/>
      <family val="1"/>
    </font>
    <font>
      <sz val="11"/>
      <color indexed="12"/>
      <name val="Book Antiqua"/>
      <family val="1"/>
    </font>
    <font>
      <b/>
      <u/>
      <sz val="7"/>
      <name val="Helvetica"/>
      <family val="2"/>
    </font>
    <font>
      <sz val="10"/>
      <name val="Book Antiqua"/>
      <family val="1"/>
    </font>
    <font>
      <sz val="7"/>
      <name val="Arial"/>
      <family val="2"/>
    </font>
    <font>
      <b/>
      <sz val="8.5"/>
      <color indexed="17"/>
      <name val="Arial"/>
      <family val="2"/>
    </font>
    <font>
      <b/>
      <sz val="7"/>
      <color indexed="17"/>
      <name val="Arial"/>
      <family val="2"/>
    </font>
    <font>
      <sz val="8.5"/>
      <color indexed="8"/>
      <name val="Arial"/>
      <family val="2"/>
    </font>
    <font>
      <b/>
      <sz val="8"/>
      <name val="Book Antiqua"/>
      <family val="1"/>
    </font>
    <font>
      <b/>
      <sz val="12"/>
      <name val="Arial"/>
      <family val="2"/>
    </font>
    <font>
      <sz val="10"/>
      <name val="MS Sans Serif"/>
      <family val="2"/>
    </font>
    <font>
      <b/>
      <sz val="10"/>
      <name val="Palatino"/>
      <family val="1"/>
    </font>
    <font>
      <b/>
      <sz val="14"/>
      <name val="Arial"/>
      <family val="2"/>
    </font>
    <font>
      <sz val="8"/>
      <name val="Book Antiqua"/>
      <family val="1"/>
    </font>
    <font>
      <i/>
      <sz val="7"/>
      <name val="Book Antiqua"/>
      <family val="1"/>
    </font>
    <font>
      <sz val="8"/>
      <color indexed="9"/>
      <name val="Arial"/>
      <family val="2"/>
    </font>
    <font>
      <b/>
      <i/>
      <sz val="16"/>
      <name val="Helv"/>
    </font>
    <font>
      <b/>
      <sz val="8"/>
      <name val="Arial"/>
      <family val="2"/>
    </font>
    <font>
      <sz val="10"/>
      <color indexed="72"/>
      <name val="System"/>
      <family val="2"/>
    </font>
    <font>
      <b/>
      <sz val="14"/>
      <name val="Times New Roman"/>
      <family val="1"/>
    </font>
    <font>
      <sz val="10"/>
      <name val="Palatino"/>
      <family val="1"/>
    </font>
    <font>
      <sz val="8"/>
      <name val="Helv"/>
      <family val="2"/>
    </font>
    <font>
      <sz val="10"/>
      <name val="Times New Roman"/>
      <family val="1"/>
    </font>
    <font>
      <sz val="12"/>
      <name val="Helvetica"/>
      <family val="2"/>
    </font>
    <font>
      <b/>
      <sz val="14"/>
      <name val="Bookman"/>
      <family val="1"/>
    </font>
    <font>
      <b/>
      <sz val="8"/>
      <name val="HelveticaNeue Condensed"/>
    </font>
    <font>
      <sz val="8"/>
      <name val="HelveticaNeue LightCond"/>
      <family val="2"/>
    </font>
    <font>
      <b/>
      <sz val="7"/>
      <name val="HelveticaNeue Condensed"/>
      <family val="2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8.5"/>
      <color indexed="8"/>
      <name val="Arial"/>
      <family val="2"/>
    </font>
    <font>
      <b/>
      <sz val="12"/>
      <color indexed="16"/>
      <name val="Arial"/>
      <family val="2"/>
    </font>
    <font>
      <sz val="7"/>
      <name val="Times New Roman"/>
      <family val="1"/>
    </font>
    <font>
      <b/>
      <u/>
      <sz val="9"/>
      <name val="Arial"/>
      <family val="2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10"/>
      <name val="Times New Roman"/>
      <family val="1"/>
    </font>
    <font>
      <u/>
      <sz val="10"/>
      <color theme="10"/>
      <name val="Verdana"/>
      <family val="2"/>
    </font>
    <font>
      <b/>
      <sz val="10"/>
      <color indexed="12"/>
      <name val="Arial"/>
      <family val="2"/>
    </font>
    <font>
      <b/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b/>
      <sz val="9"/>
      <color theme="1"/>
      <name val="Arial"/>
      <family val="2"/>
    </font>
    <font>
      <i/>
      <sz val="9"/>
      <color theme="1"/>
      <name val="Arial"/>
      <family val="2"/>
    </font>
    <font>
      <b/>
      <sz val="9"/>
      <color theme="0"/>
      <name val="Arial"/>
      <family val="2"/>
    </font>
    <font>
      <sz val="10"/>
      <name val="Verdana"/>
      <family val="2"/>
    </font>
    <font>
      <sz val="9"/>
      <color rgb="FFC00000"/>
      <name val="Arial"/>
      <family val="2"/>
    </font>
    <font>
      <b/>
      <sz val="9"/>
      <color rgb="FF7030A0"/>
      <name val="Arial"/>
      <family val="2"/>
    </font>
    <font>
      <sz val="7"/>
      <color rgb="FF7030A0"/>
      <name val="Arial"/>
      <family val="2"/>
    </font>
    <font>
      <sz val="9"/>
      <color rgb="FF7030A0"/>
      <name val="Arial"/>
      <family val="2"/>
    </font>
    <font>
      <b/>
      <u/>
      <sz val="10"/>
      <name val="Arial"/>
      <family val="2"/>
    </font>
    <font>
      <sz val="10"/>
      <color rgb="FF000000"/>
      <name val="Arial"/>
      <family val="2"/>
    </font>
    <font>
      <sz val="14"/>
      <color rgb="FF000000"/>
      <name val="Arial"/>
      <family val="2"/>
    </font>
    <font>
      <b/>
      <sz val="14"/>
      <color rgb="FF000000"/>
      <name val="Arial"/>
      <family val="2"/>
    </font>
    <font>
      <b/>
      <sz val="14"/>
      <color rgb="FFFFFFFF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30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38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3"/>
      </patternFill>
    </fill>
    <fill>
      <patternFill patternType="solid">
        <fgColor indexed="2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gray0625">
        <fgColor indexed="10"/>
        <bgColor indexed="9"/>
      </patternFill>
    </fill>
    <fill>
      <patternFill patternType="lightGray">
        <fgColor indexed="14"/>
        <bgColor indexed="9"/>
      </patternFill>
    </fill>
    <fill>
      <patternFill patternType="lightGray">
        <fgColor indexed="15"/>
      </patternFill>
    </fill>
    <fill>
      <patternFill patternType="lightGray">
        <fgColor indexed="12"/>
        <bgColor indexed="9"/>
      </patternFill>
    </fill>
    <fill>
      <patternFill patternType="solid">
        <fgColor indexed="11"/>
        <bgColor indexed="9"/>
      </patternFill>
    </fill>
    <fill>
      <patternFill patternType="solid">
        <fgColor indexed="8"/>
        <bgColor indexed="64"/>
      </patternFill>
    </fill>
    <fill>
      <patternFill patternType="lightGray">
        <fgColor indexed="22"/>
        <bgColor indexed="9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355F"/>
        <bgColor indexed="64"/>
      </patternFill>
    </fill>
    <fill>
      <patternFill patternType="solid">
        <fgColor rgb="FF006BC4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34"/>
      </left>
      <right style="double">
        <color indexed="34"/>
      </right>
      <top style="double">
        <color indexed="34"/>
      </top>
      <bottom style="double">
        <color indexed="34"/>
      </bottom>
      <diagonal/>
    </border>
    <border>
      <left/>
      <right/>
      <top/>
      <bottom style="thick">
        <color indexed="24"/>
      </bottom>
      <diagonal/>
    </border>
    <border>
      <left/>
      <right/>
      <top/>
      <bottom style="thick">
        <color indexed="31"/>
      </bottom>
      <diagonal/>
    </border>
    <border>
      <left/>
      <right/>
      <top/>
      <bottom style="medium">
        <color indexed="26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33"/>
      </left>
      <right style="thin">
        <color indexed="33"/>
      </right>
      <top style="thin">
        <color indexed="33"/>
      </top>
      <bottom style="thin">
        <color indexed="33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ashed">
        <color auto="1"/>
      </bottom>
      <diagonal/>
    </border>
  </borders>
  <cellStyleXfs count="477">
    <xf numFmtId="0" fontId="0" fillId="0" borderId="0"/>
    <xf numFmtId="168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8" fillId="0" borderId="0"/>
    <xf numFmtId="0" fontId="35" fillId="0" borderId="0"/>
    <xf numFmtId="0" fontId="9" fillId="0" borderId="0"/>
    <xf numFmtId="170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0" fontId="39" fillId="0" borderId="0" applyNumberFormat="0" applyFill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5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5" borderId="0" applyNumberFormat="0" applyBorder="0" applyAlignment="0" applyProtection="0"/>
    <xf numFmtId="0" fontId="35" fillId="15" borderId="0" applyNumberFormat="0" applyBorder="0" applyAlignment="0" applyProtection="0"/>
    <xf numFmtId="0" fontId="35" fillId="12" borderId="0" applyNumberFormat="0" applyBorder="0" applyAlignment="0" applyProtection="0"/>
    <xf numFmtId="0" fontId="43" fillId="16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17" borderId="0" applyNumberFormat="0" applyBorder="0" applyAlignment="0" applyProtection="0"/>
    <xf numFmtId="0" fontId="43" fillId="16" borderId="0" applyNumberFormat="0" applyBorder="0" applyAlignment="0" applyProtection="0"/>
    <xf numFmtId="0" fontId="43" fillId="12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4" fillId="24" borderId="0" applyNumberFormat="0" applyBorder="0" applyAlignment="0" applyProtection="0"/>
    <xf numFmtId="0" fontId="45" fillId="25" borderId="9" applyNumberFormat="0" applyAlignment="0" applyProtection="0"/>
    <xf numFmtId="0" fontId="37" fillId="17" borderId="10" applyNumberFormat="0" applyAlignment="0" applyProtection="0"/>
    <xf numFmtId="168" fontId="38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38" fillId="0" borderId="0" applyFont="0" applyFill="0" applyBorder="0" applyAlignment="0" applyProtection="0"/>
    <xf numFmtId="181" fontId="46" fillId="0" borderId="0"/>
    <xf numFmtId="0" fontId="47" fillId="0" borderId="0" applyNumberFormat="0" applyFill="0" applyBorder="0" applyAlignment="0" applyProtection="0"/>
    <xf numFmtId="12" fontId="48" fillId="0" borderId="0">
      <alignment horizontal="center"/>
    </xf>
    <xf numFmtId="0" fontId="49" fillId="26" borderId="0" applyNumberFormat="0" applyBorder="0" applyAlignment="0" applyProtection="0"/>
    <xf numFmtId="0" fontId="50" fillId="27" borderId="0"/>
    <xf numFmtId="0" fontId="51" fillId="0" borderId="11" applyNumberFormat="0" applyFill="0" applyAlignment="0" applyProtection="0"/>
    <xf numFmtId="0" fontId="52" fillId="0" borderId="12" applyNumberFormat="0" applyFill="0" applyAlignment="0" applyProtection="0"/>
    <xf numFmtId="0" fontId="53" fillId="0" borderId="13" applyNumberFormat="0" applyFill="0" applyAlignment="0" applyProtection="0"/>
    <xf numFmtId="0" fontId="53" fillId="0" borderId="0" applyNumberFormat="0" applyFill="0" applyBorder="0" applyAlignment="0" applyProtection="0"/>
    <xf numFmtId="0" fontId="54" fillId="12" borderId="9" applyNumberFormat="0" applyAlignment="0" applyProtection="0"/>
    <xf numFmtId="182" fontId="49" fillId="0" borderId="14" applyBorder="0">
      <protection locked="0"/>
    </xf>
    <xf numFmtId="0" fontId="55" fillId="0" borderId="15" applyNumberFormat="0" applyFill="0" applyAlignment="0" applyProtection="0"/>
    <xf numFmtId="0" fontId="56" fillId="0" borderId="0">
      <alignment horizontal="right"/>
    </xf>
    <xf numFmtId="0" fontId="57" fillId="13" borderId="0" applyNumberFormat="0" applyBorder="0" applyAlignment="0" applyProtection="0"/>
    <xf numFmtId="0" fontId="49" fillId="0" borderId="16" applyNumberFormat="0" applyAlignment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38" fillId="0" borderId="0"/>
    <xf numFmtId="0" fontId="38" fillId="0" borderId="0"/>
    <xf numFmtId="0" fontId="35" fillId="13" borderId="17" applyNumberFormat="0" applyFont="0" applyAlignment="0" applyProtection="0"/>
    <xf numFmtId="183" fontId="46" fillId="0" borderId="0"/>
    <xf numFmtId="0" fontId="58" fillId="25" borderId="18" applyNumberFormat="0" applyAlignment="0" applyProtection="0"/>
    <xf numFmtId="9" fontId="9" fillId="0" borderId="0" applyFont="0" applyFill="0" applyBorder="0" applyAlignment="0" applyProtection="0"/>
    <xf numFmtId="9" fontId="38" fillId="0" borderId="0" applyFont="0" applyFill="0" applyBorder="0" applyAlignment="0" applyProtection="0"/>
    <xf numFmtId="38" fontId="59" fillId="0" borderId="0" applyFill="0" applyBorder="0" applyAlignment="0" applyProtection="0">
      <alignment horizontal="right"/>
    </xf>
    <xf numFmtId="3" fontId="38" fillId="27" borderId="19" applyFont="0" applyFill="0" applyBorder="0" applyAlignment="0" applyProtection="0"/>
    <xf numFmtId="3" fontId="38" fillId="27" borderId="19" applyFont="0" applyFill="0" applyBorder="0" applyAlignment="0" applyProtection="0"/>
    <xf numFmtId="4" fontId="38" fillId="27" borderId="19" applyFont="0" applyFill="0" applyBorder="0" applyAlignment="0" applyProtection="0"/>
    <xf numFmtId="4" fontId="38" fillId="27" borderId="19" applyFont="0" applyFill="0" applyBorder="0" applyAlignment="0" applyProtection="0"/>
    <xf numFmtId="184" fontId="60" fillId="27" borderId="19" applyFont="0" applyFill="0" applyBorder="0" applyAlignment="0" applyProtection="0"/>
    <xf numFmtId="0" fontId="60" fillId="27" borderId="20" applyFont="0" applyFill="0" applyBorder="0" applyAlignment="0" applyProtection="0"/>
    <xf numFmtId="10" fontId="38" fillId="27" borderId="19" applyFont="0" applyFill="0" applyBorder="0" applyAlignment="0" applyProtection="0"/>
    <xf numFmtId="10" fontId="38" fillId="27" borderId="19" applyFont="0" applyFill="0" applyBorder="0" applyAlignment="0" applyProtection="0"/>
    <xf numFmtId="9" fontId="38" fillId="27" borderId="19" applyFont="0" applyFill="0" applyBorder="0" applyAlignment="0" applyProtection="0"/>
    <xf numFmtId="9" fontId="38" fillId="27" borderId="19" applyFont="0" applyFill="0" applyBorder="0" applyAlignment="0" applyProtection="0"/>
    <xf numFmtId="2" fontId="38" fillId="27" borderId="19" applyFont="0" applyFill="0" applyBorder="0" applyAlignment="0" applyProtection="0"/>
    <xf numFmtId="2" fontId="38" fillId="27" borderId="19" applyFon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21" applyNumberFormat="0" applyFill="0" applyAlignment="0" applyProtection="0"/>
    <xf numFmtId="0" fontId="63" fillId="0" borderId="6" applyNumberFormat="0" applyFill="0" applyProtection="0"/>
    <xf numFmtId="0" fontId="40" fillId="0" borderId="0" applyNumberFormat="0" applyFill="0" applyBorder="0" applyAlignment="0" applyProtection="0"/>
    <xf numFmtId="168" fontId="38" fillId="0" borderId="0" applyFont="0" applyFill="0" applyBorder="0" applyAlignment="0" applyProtection="0"/>
    <xf numFmtId="167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8" fillId="0" borderId="0"/>
    <xf numFmtId="168" fontId="38" fillId="0" borderId="0" applyFont="0" applyFill="0" applyBorder="0" applyAlignment="0" applyProtection="0"/>
    <xf numFmtId="167" fontId="38" fillId="0" borderId="0" applyFont="0" applyFill="0" applyBorder="0" applyAlignment="0" applyProtection="0"/>
    <xf numFmtId="0" fontId="38" fillId="0" borderId="0"/>
    <xf numFmtId="9" fontId="38" fillId="0" borderId="0" applyFont="0" applyFill="0" applyBorder="0" applyAlignment="0" applyProtection="0"/>
    <xf numFmtId="0" fontId="43" fillId="16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43" fillId="17" borderId="0" applyNumberFormat="0" applyBorder="0" applyAlignment="0" applyProtection="0"/>
    <xf numFmtId="0" fontId="43" fillId="16" borderId="0" applyNumberFormat="0" applyBorder="0" applyAlignment="0" applyProtection="0"/>
    <xf numFmtId="0" fontId="43" fillId="12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78" fillId="34" borderId="0" applyNumberFormat="0" applyBorder="0" applyAlignment="0" applyProtection="0"/>
    <xf numFmtId="0" fontId="79" fillId="35" borderId="0" applyNumberFormat="0" applyBorder="0" applyAlignment="0" applyProtection="0"/>
    <xf numFmtId="0" fontId="80" fillId="36" borderId="0" applyNumberFormat="0" applyBorder="0" applyAlignment="0" applyProtection="0"/>
    <xf numFmtId="0" fontId="81" fillId="37" borderId="32" applyNumberFormat="0" applyAlignment="0" applyProtection="0"/>
    <xf numFmtId="0" fontId="4" fillId="0" borderId="0"/>
    <xf numFmtId="206" fontId="85" fillId="0" borderId="0" applyFont="0" applyFill="0" applyBorder="0" applyAlignment="0" applyProtection="0"/>
    <xf numFmtId="207" fontId="85" fillId="0" borderId="0" applyFont="0" applyFill="0" applyBorder="0" applyAlignment="0" applyProtection="0"/>
    <xf numFmtId="208" fontId="85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85" fillId="0" borderId="0" applyFont="0" applyFill="0" applyBorder="0" applyAlignment="0" applyProtection="0"/>
    <xf numFmtId="208" fontId="85" fillId="0" borderId="0" applyFont="0" applyFill="0" applyBorder="0" applyAlignment="0" applyProtection="0"/>
    <xf numFmtId="208" fontId="85" fillId="0" borderId="0" applyFont="0" applyFill="0" applyBorder="0" applyAlignment="0" applyProtection="0"/>
    <xf numFmtId="208" fontId="86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87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85" fillId="0" borderId="0" applyFont="0" applyFill="0" applyBorder="0" applyAlignment="0" applyProtection="0"/>
    <xf numFmtId="209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08" fontId="85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85" fillId="0" borderId="0" applyFont="0" applyFill="0" applyBorder="0" applyAlignment="0" applyProtection="0"/>
    <xf numFmtId="209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09" fontId="38" fillId="0" borderId="0" applyFont="0" applyFill="0" applyBorder="0" applyAlignment="0" applyProtection="0"/>
    <xf numFmtId="208" fontId="85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08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86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87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85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85" fillId="0" borderId="0" applyFont="0" applyFill="0" applyBorder="0" applyAlignment="0" applyProtection="0"/>
    <xf numFmtId="211" fontId="85" fillId="0" borderId="0" applyFont="0" applyFill="0" applyBorder="0" applyAlignment="0" applyProtection="0"/>
    <xf numFmtId="211" fontId="85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85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85" fillId="0" borderId="0" applyFont="0" applyFill="0" applyBorder="0" applyAlignment="0" applyProtection="0"/>
    <xf numFmtId="210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211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86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87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85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85" fillId="0" borderId="0" applyFont="0" applyFill="0" applyBorder="0" applyAlignment="0" applyProtection="0"/>
    <xf numFmtId="212" fontId="85" fillId="0" borderId="0" applyFont="0" applyFill="0" applyBorder="0" applyAlignment="0" applyProtection="0"/>
    <xf numFmtId="212" fontId="85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85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85" fillId="0" borderId="0" applyFont="0" applyFill="0" applyBorder="0" applyAlignment="0" applyProtection="0"/>
    <xf numFmtId="39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2" fontId="38" fillId="0" borderId="0" applyFont="0" applyFill="0" applyBorder="0" applyAlignment="0" applyProtection="0"/>
    <xf numFmtId="210" fontId="38" fillId="0" borderId="0" applyFont="0" applyFill="0" applyBorder="0" applyAlignment="0" applyProtection="0"/>
    <xf numFmtId="213" fontId="85" fillId="0" borderId="0" applyFon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5" fillId="13" borderId="0" applyNumberFormat="0" applyFont="0" applyAlignment="0" applyProtection="0"/>
    <xf numFmtId="214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86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5" fontId="87" fillId="0" borderId="0" applyFont="0" applyFill="0" applyBorder="0" applyAlignment="0" applyProtection="0"/>
    <xf numFmtId="216" fontId="38" fillId="0" borderId="0" applyFont="0" applyFill="0" applyBorder="0" applyAlignment="0" applyProtection="0"/>
    <xf numFmtId="216" fontId="38" fillId="0" borderId="0" applyFont="0" applyFill="0" applyBorder="0" applyAlignment="0" applyProtection="0"/>
    <xf numFmtId="216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85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5" fontId="85" fillId="0" borderId="0" applyFont="0" applyFill="0" applyBorder="0" applyAlignment="0" applyProtection="0"/>
    <xf numFmtId="215" fontId="85" fillId="0" borderId="0" applyFont="0" applyFill="0" applyBorder="0" applyAlignment="0" applyProtection="0"/>
    <xf numFmtId="215" fontId="85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85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85" fillId="0" borderId="0" applyFont="0" applyFill="0" applyBorder="0" applyAlignment="0" applyProtection="0"/>
    <xf numFmtId="214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5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8" fontId="38" fillId="0" borderId="0" applyFont="0" applyFill="0" applyBorder="0" applyProtection="0">
      <alignment horizontal="right"/>
    </xf>
    <xf numFmtId="218" fontId="38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8" fontId="86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8" fontId="38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8" fontId="38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8" fontId="38" fillId="0" borderId="0" applyFont="0" applyFill="0" applyBorder="0" applyProtection="0">
      <alignment horizontal="right"/>
    </xf>
    <xf numFmtId="218" fontId="87" fillId="0" borderId="0" applyFont="0" applyFill="0" applyBorder="0" applyProtection="0">
      <alignment horizontal="right"/>
    </xf>
    <xf numFmtId="219" fontId="38" fillId="0" borderId="0" applyFont="0" applyFill="0" applyBorder="0" applyAlignment="0" applyProtection="0"/>
    <xf numFmtId="219" fontId="38" fillId="0" borderId="0" applyFont="0" applyFill="0" applyBorder="0" applyAlignment="0" applyProtection="0"/>
    <xf numFmtId="219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7" fontId="38" fillId="0" borderId="0" applyFont="0" applyFill="0" applyBorder="0" applyAlignment="0" applyProtection="0"/>
    <xf numFmtId="218" fontId="85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8" fontId="38" fillId="0" borderId="0" applyFont="0" applyFill="0" applyBorder="0" applyProtection="0">
      <alignment horizontal="right"/>
    </xf>
    <xf numFmtId="218" fontId="38" fillId="0" borderId="0" applyFont="0" applyFill="0" applyBorder="0" applyProtection="0">
      <alignment horizontal="right"/>
    </xf>
    <xf numFmtId="218" fontId="85" fillId="0" borderId="0" applyFont="0" applyFill="0" applyBorder="0" applyProtection="0">
      <alignment horizontal="right"/>
    </xf>
    <xf numFmtId="218" fontId="85" fillId="0" borderId="0" applyFont="0" applyFill="0" applyBorder="0" applyProtection="0">
      <alignment horizontal="right"/>
    </xf>
    <xf numFmtId="218" fontId="85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8" fontId="85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8" fontId="85" fillId="0" borderId="0" applyFont="0" applyFill="0" applyBorder="0" applyProtection="0">
      <alignment horizontal="right"/>
    </xf>
    <xf numFmtId="217" fontId="38" fillId="0" borderId="0" applyFont="0" applyFill="0" applyBorder="0" applyAlignment="0" applyProtection="0"/>
    <xf numFmtId="218" fontId="38" fillId="0" borderId="0" applyFont="0" applyFill="0" applyBorder="0" applyProtection="0">
      <alignment horizontal="right"/>
    </xf>
    <xf numFmtId="218" fontId="38" fillId="0" borderId="0" applyFont="0" applyFill="0" applyBorder="0" applyProtection="0">
      <alignment horizontal="right"/>
    </xf>
    <xf numFmtId="218" fontId="38" fillId="0" borderId="0" applyFont="0" applyFill="0" applyBorder="0" applyProtection="0">
      <alignment horizontal="right"/>
    </xf>
    <xf numFmtId="220" fontId="38" fillId="0" borderId="0" applyFont="0" applyFill="0" applyBorder="0" applyAlignment="0" applyProtection="0"/>
    <xf numFmtId="206" fontId="38" fillId="0" borderId="0" applyFont="0" applyFill="0" applyBorder="0" applyProtection="0">
      <alignment horizontal="right"/>
    </xf>
    <xf numFmtId="206" fontId="38" fillId="0" borderId="0" applyFont="0" applyFill="0" applyBorder="0" applyAlignment="0" applyProtection="0"/>
    <xf numFmtId="206" fontId="38" fillId="0" borderId="0" applyFont="0" applyFill="0" applyBorder="0" applyAlignment="0" applyProtection="0"/>
    <xf numFmtId="206" fontId="38" fillId="0" borderId="0" applyFont="0" applyFill="0" applyBorder="0" applyAlignment="0" applyProtection="0"/>
    <xf numFmtId="221" fontId="38" fillId="0" borderId="0" applyFont="0" applyFill="0" applyBorder="0" applyAlignment="0" applyProtection="0"/>
    <xf numFmtId="207" fontId="38" fillId="0" borderId="0" applyFont="0" applyFill="0" applyBorder="0" applyProtection="0">
      <alignment horizontal="right"/>
    </xf>
    <xf numFmtId="207" fontId="38" fillId="0" borderId="0" applyFont="0" applyFill="0" applyBorder="0" applyProtection="0">
      <alignment horizontal="right"/>
    </xf>
    <xf numFmtId="207" fontId="38" fillId="0" borderId="0" applyFont="0" applyFill="0" applyBorder="0" applyAlignment="0" applyProtection="0"/>
    <xf numFmtId="207" fontId="38" fillId="0" borderId="0" applyFont="0" applyFill="0" applyBorder="0" applyAlignment="0" applyProtection="0"/>
    <xf numFmtId="207" fontId="38" fillId="0" borderId="0" applyFont="0" applyFill="0" applyBorder="0" applyAlignment="0" applyProtection="0"/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Alignment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89" fillId="0" borderId="0" applyNumberFormat="0" applyFill="0" applyBorder="0" applyProtection="0">
      <alignment vertical="top"/>
    </xf>
    <xf numFmtId="0" fontId="90" fillId="0" borderId="39" applyNumberFormat="0" applyFill="0" applyAlignment="0" applyProtection="0"/>
    <xf numFmtId="0" fontId="90" fillId="0" borderId="39" applyNumberFormat="0" applyFill="0" applyAlignment="0" applyProtection="0"/>
    <xf numFmtId="0" fontId="90" fillId="0" borderId="40" applyNumberFormat="0" applyFill="0" applyAlignment="0" applyProtection="0"/>
    <xf numFmtId="0" fontId="90" fillId="0" borderId="39" applyNumberFormat="0" applyFill="0" applyAlignment="0" applyProtection="0"/>
    <xf numFmtId="0" fontId="90" fillId="0" borderId="39" applyNumberFormat="0" applyFill="0" applyAlignment="0" applyProtection="0"/>
    <xf numFmtId="0" fontId="91" fillId="0" borderId="41" applyNumberFormat="0" applyFill="0" applyProtection="0">
      <alignment horizontal="center"/>
    </xf>
    <xf numFmtId="0" fontId="91" fillId="0" borderId="0" applyNumberFormat="0" applyFill="0" applyBorder="0" applyProtection="0">
      <alignment horizontal="left"/>
    </xf>
    <xf numFmtId="0" fontId="92" fillId="0" borderId="0" applyNumberFormat="0" applyFill="0" applyBorder="0" applyProtection="0">
      <alignment horizontal="centerContinuous"/>
    </xf>
    <xf numFmtId="0" fontId="92" fillId="0" borderId="0" applyNumberFormat="0" applyFill="0" applyBorder="0" applyProtection="0">
      <alignment horizontal="centerContinuous"/>
    </xf>
    <xf numFmtId="0" fontId="92" fillId="0" borderId="0" applyNumberFormat="0" applyFill="0" applyProtection="0">
      <alignment horizontal="centerContinuous"/>
    </xf>
    <xf numFmtId="0" fontId="92" fillId="0" borderId="0" applyNumberFormat="0" applyFill="0" applyBorder="0" applyProtection="0">
      <alignment horizontal="centerContinuous"/>
    </xf>
    <xf numFmtId="0" fontId="92" fillId="0" borderId="0" applyNumberFormat="0" applyFill="0" applyBorder="0" applyProtection="0">
      <alignment horizontal="centerContinuous"/>
    </xf>
    <xf numFmtId="222" fontId="93" fillId="38" borderId="0" applyNumberFormat="0" applyFont="0" applyBorder="0" applyAlignment="0">
      <alignment horizontal="right"/>
    </xf>
    <xf numFmtId="223" fontId="94" fillId="38" borderId="23" applyFont="0">
      <alignment horizontal="right"/>
    </xf>
    <xf numFmtId="0" fontId="59" fillId="0" borderId="0" applyNumberFormat="0" applyFill="0" applyBorder="0" applyAlignment="0" applyProtection="0"/>
    <xf numFmtId="0" fontId="95" fillId="0" borderId="0"/>
    <xf numFmtId="2" fontId="96" fillId="0" borderId="0" applyNumberFormat="0" applyBorder="0" applyAlignment="0"/>
    <xf numFmtId="173" fontId="97" fillId="0" borderId="0"/>
    <xf numFmtId="0" fontId="98" fillId="0" borderId="0" applyNumberFormat="0" applyFill="0" applyBorder="0" applyAlignment="0"/>
    <xf numFmtId="0" fontId="99" fillId="0" borderId="0" applyNumberFormat="0" applyFill="0" applyBorder="0" applyAlignment="0" applyProtection="0"/>
    <xf numFmtId="0" fontId="37" fillId="30" borderId="42">
      <alignment horizontal="center"/>
    </xf>
    <xf numFmtId="2" fontId="59" fillId="39" borderId="0" applyNumberFormat="0" applyFont="0" applyBorder="0" applyAlignment="0" applyProtection="0"/>
    <xf numFmtId="224" fontId="59" fillId="40" borderId="0" applyNumberFormat="0" applyFont="0" applyBorder="0" applyAlignment="0">
      <protection locked="0"/>
    </xf>
    <xf numFmtId="0" fontId="5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24" fontId="101" fillId="0" borderId="0" applyNumberFormat="0" applyFill="0" applyBorder="0" applyProtection="0">
      <alignment horizontal="right"/>
    </xf>
    <xf numFmtId="225" fontId="38" fillId="0" borderId="0">
      <protection locked="0"/>
    </xf>
    <xf numFmtId="0" fontId="102" fillId="0" borderId="0" applyNumberFormat="0" applyFill="0" applyBorder="0">
      <alignment horizontal="right"/>
    </xf>
    <xf numFmtId="38" fontId="103" fillId="0" borderId="0" applyNumberFormat="0" applyFill="0" applyBorder="0">
      <alignment vertical="center"/>
    </xf>
    <xf numFmtId="166" fontId="104" fillId="0" borderId="43">
      <protection locked="0"/>
    </xf>
    <xf numFmtId="225" fontId="38" fillId="0" borderId="0">
      <protection locked="0"/>
    </xf>
    <xf numFmtId="14" fontId="105" fillId="0" borderId="0">
      <alignment horizontal="right"/>
    </xf>
    <xf numFmtId="0" fontId="17" fillId="0" borderId="0"/>
    <xf numFmtId="0" fontId="96" fillId="0" borderId="0" applyNumberFormat="0" applyAlignment="0"/>
    <xf numFmtId="226" fontId="59" fillId="41" borderId="3" applyNumberFormat="0" applyFont="0" applyBorder="0" applyAlignment="0" applyProtection="0">
      <alignment horizontal="right"/>
    </xf>
    <xf numFmtId="170" fontId="106" fillId="0" borderId="0" applyNumberFormat="0" applyFont="0" applyAlignment="0">
      <alignment vertical="center"/>
    </xf>
    <xf numFmtId="225" fontId="38" fillId="0" borderId="0">
      <protection locked="0"/>
    </xf>
    <xf numFmtId="0" fontId="107" fillId="0" borderId="0" applyNumberFormat="0" applyFill="0" applyBorder="0" applyAlignment="0" applyProtection="0"/>
    <xf numFmtId="1" fontId="59" fillId="0" borderId="0" applyNumberFormat="0" applyBorder="0" applyAlignment="0" applyProtection="0"/>
    <xf numFmtId="227" fontId="108" fillId="0" borderId="0">
      <alignment vertical="center"/>
    </xf>
    <xf numFmtId="49" fontId="107" fillId="0" borderId="0">
      <alignment horizontal="right"/>
    </xf>
    <xf numFmtId="49" fontId="109" fillId="0" borderId="0">
      <alignment horizontal="right"/>
    </xf>
    <xf numFmtId="227" fontId="110" fillId="0" borderId="0">
      <alignment vertical="center"/>
    </xf>
    <xf numFmtId="170" fontId="111" fillId="0" borderId="0" applyNumberFormat="0" applyFill="0" applyBorder="0">
      <alignment horizontal="left" vertical="center"/>
    </xf>
    <xf numFmtId="0" fontId="112" fillId="0" borderId="0"/>
    <xf numFmtId="0" fontId="113" fillId="42" borderId="0" applyNumberFormat="0" applyFont="0" applyBorder="0" applyAlignment="0" applyProtection="0"/>
    <xf numFmtId="228" fontId="38" fillId="0" borderId="0" applyNumberFormat="0" applyFill="0" applyBorder="0" applyAlignment="0" applyProtection="0"/>
    <xf numFmtId="0" fontId="114" fillId="0" borderId="0"/>
    <xf numFmtId="0" fontId="115" fillId="0" borderId="0"/>
    <xf numFmtId="38" fontId="116" fillId="0" borderId="0" applyNumberFormat="0" applyFill="0" applyBorder="0">
      <alignment horizontal="left" vertical="center"/>
    </xf>
    <xf numFmtId="170" fontId="117" fillId="0" borderId="0" applyFill="0" applyBorder="0">
      <alignment vertical="center"/>
    </xf>
    <xf numFmtId="0" fontId="118" fillId="43" borderId="0"/>
    <xf numFmtId="229" fontId="38" fillId="0" borderId="0" applyFont="0" applyFill="0" applyBorder="0" applyAlignment="0" applyProtection="0"/>
    <xf numFmtId="224" fontId="119" fillId="0" borderId="0"/>
    <xf numFmtId="2" fontId="113" fillId="0" borderId="0" applyBorder="0" applyProtection="0"/>
    <xf numFmtId="0" fontId="5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228" fontId="38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21" fillId="0" borderId="0">
      <alignment horizontal="left" vertical="top"/>
      <protection locked="0"/>
    </xf>
    <xf numFmtId="230" fontId="38" fillId="0" borderId="0" applyFill="0">
      <alignment horizontal="center" vertical="center"/>
    </xf>
    <xf numFmtId="0" fontId="122" fillId="0" borderId="0" applyNumberFormat="0" applyFill="0" applyBorder="0">
      <alignment horizontal="left"/>
    </xf>
    <xf numFmtId="231" fontId="38" fillId="0" borderId="0"/>
    <xf numFmtId="165" fontId="123" fillId="0" borderId="0" applyFont="0" applyFill="0" applyBorder="0" applyAlignment="0" applyProtection="0"/>
    <xf numFmtId="0" fontId="124" fillId="0" borderId="0" applyNumberFormat="0" applyAlignment="0"/>
    <xf numFmtId="173" fontId="38" fillId="0" borderId="0" applyFill="0" applyBorder="0" applyAlignment="0" applyProtection="0"/>
    <xf numFmtId="209" fontId="125" fillId="0" borderId="0">
      <alignment vertical="top"/>
    </xf>
    <xf numFmtId="172" fontId="113" fillId="19" borderId="44" applyNumberFormat="0" applyFont="0" applyBorder="0" applyAlignment="0" applyProtection="0">
      <alignment horizontal="center"/>
    </xf>
    <xf numFmtId="37" fontId="46" fillId="1" borderId="0">
      <alignment horizontal="right"/>
    </xf>
    <xf numFmtId="1" fontId="126" fillId="44" borderId="0" applyNumberFormat="0" applyFont="0" applyBorder="0" applyAlignment="0">
      <alignment horizontal="left"/>
    </xf>
    <xf numFmtId="2" fontId="127" fillId="0" borderId="0"/>
    <xf numFmtId="1" fontId="38" fillId="0" borderId="0"/>
    <xf numFmtId="0" fontId="38" fillId="0" borderId="0" applyFont="0" applyFill="0" applyBorder="0" applyAlignment="0" applyProtection="0"/>
    <xf numFmtId="0" fontId="38" fillId="0" borderId="0">
      <alignment vertical="top"/>
    </xf>
    <xf numFmtId="0" fontId="38" fillId="0" borderId="0">
      <alignment vertical="top"/>
    </xf>
    <xf numFmtId="232" fontId="128" fillId="0" borderId="0" applyNumberFormat="0" applyFill="0" applyBorder="0" applyAlignment="0" applyProtection="0">
      <alignment horizontal="right" vertical="center" wrapText="1"/>
    </xf>
    <xf numFmtId="0" fontId="129" fillId="0" borderId="0" applyNumberFormat="0" applyFill="0" applyBorder="0" applyAlignment="0" applyProtection="0"/>
    <xf numFmtId="0" fontId="130" fillId="0" borderId="0" applyNumberFormat="0" applyFill="0" applyBorder="0" applyAlignment="0" applyProtection="0">
      <protection locked="0"/>
    </xf>
    <xf numFmtId="0" fontId="131" fillId="0" borderId="3" applyNumberFormat="0" applyFill="0" applyProtection="0">
      <alignment horizontal="right"/>
    </xf>
    <xf numFmtId="164" fontId="116" fillId="0" borderId="45" applyFill="0">
      <alignment vertical="center"/>
    </xf>
    <xf numFmtId="233" fontId="59" fillId="0" borderId="0"/>
    <xf numFmtId="39" fontId="68" fillId="0" borderId="23" applyNumberFormat="0" applyBorder="0">
      <alignment horizontal="right"/>
    </xf>
    <xf numFmtId="0" fontId="131" fillId="0" borderId="46" applyNumberFormat="0" applyProtection="0">
      <alignment horizontal="right"/>
    </xf>
    <xf numFmtId="0" fontId="132" fillId="0" borderId="6" applyNumberFormat="0" applyFill="0" applyProtection="0"/>
    <xf numFmtId="0" fontId="133" fillId="0" borderId="0">
      <alignment vertical="center"/>
    </xf>
    <xf numFmtId="0" fontId="108" fillId="0" borderId="0">
      <alignment vertical="center"/>
    </xf>
    <xf numFmtId="0" fontId="110" fillId="0" borderId="0">
      <alignment vertical="center"/>
    </xf>
    <xf numFmtId="0" fontId="134" fillId="0" borderId="0" applyNumberFormat="0">
      <alignment horizontal="left"/>
    </xf>
    <xf numFmtId="0" fontId="135" fillId="0" borderId="0" applyFill="0" applyBorder="0" applyProtection="0">
      <alignment horizontal="left" vertical="top"/>
    </xf>
    <xf numFmtId="14" fontId="38" fillId="0" borderId="0" applyFill="0" applyBorder="0">
      <alignment vertical="center"/>
    </xf>
    <xf numFmtId="0" fontId="112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38" fontId="137" fillId="0" borderId="0" applyNumberFormat="0" applyFill="0" applyBorder="0">
      <alignment horizontal="left" vertical="center"/>
    </xf>
    <xf numFmtId="38" fontId="138" fillId="0" borderId="0" applyNumberFormat="0" applyFill="0" applyBorder="0">
      <alignment horizontal="centerContinuous" vertical="center"/>
    </xf>
    <xf numFmtId="0" fontId="139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172" fontId="96" fillId="0" borderId="0" applyNumberFormat="0" applyBorder="0" applyAlignment="0"/>
    <xf numFmtId="1" fontId="140" fillId="0" borderId="23" applyFill="0" applyProtection="0">
      <alignment horizontal="right"/>
    </xf>
    <xf numFmtId="171" fontId="38" fillId="0" borderId="0" applyFill="0" applyBorder="0">
      <alignment vertical="center"/>
    </xf>
    <xf numFmtId="0" fontId="141" fillId="0" borderId="0" applyNumberFormat="0" applyFill="0" applyBorder="0" applyAlignment="0" applyProtection="0"/>
    <xf numFmtId="0" fontId="38" fillId="0" borderId="0"/>
    <xf numFmtId="0" fontId="96" fillId="0" borderId="0"/>
    <xf numFmtId="0" fontId="87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167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4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815">
    <xf numFmtId="0" fontId="0" fillId="0" borderId="0" xfId="0"/>
    <xf numFmtId="0" fontId="12" fillId="0" borderId="0" xfId="0" applyFont="1" applyAlignment="1">
      <alignment horizontal="left"/>
    </xf>
    <xf numFmtId="0" fontId="13" fillId="2" borderId="0" xfId="0" applyFont="1" applyFill="1"/>
    <xf numFmtId="0" fontId="13" fillId="2" borderId="0" xfId="0" applyFont="1" applyFill="1" applyAlignment="1">
      <alignment horizontal="right"/>
    </xf>
    <xf numFmtId="0" fontId="13" fillId="2" borderId="1" xfId="0" applyFont="1" applyFill="1" applyBorder="1" applyAlignment="1">
      <alignment horizontal="right"/>
    </xf>
    <xf numFmtId="0" fontId="14" fillId="0" borderId="0" xfId="0" applyFont="1"/>
    <xf numFmtId="0" fontId="15" fillId="3" borderId="0" xfId="0" applyFont="1" applyFill="1"/>
    <xf numFmtId="17" fontId="15" fillId="3" borderId="0" xfId="0" applyNumberFormat="1" applyFont="1" applyFill="1" applyAlignment="1">
      <alignment horizontal="right"/>
    </xf>
    <xf numFmtId="17" fontId="15" fillId="3" borderId="1" xfId="0" applyNumberFormat="1" applyFont="1" applyFill="1" applyBorder="1" applyAlignment="1">
      <alignment horizontal="right"/>
    </xf>
    <xf numFmtId="0" fontId="16" fillId="0" borderId="0" xfId="0" applyFont="1"/>
    <xf numFmtId="17" fontId="15" fillId="0" borderId="0" xfId="0" applyNumberFormat="1" applyFont="1" applyAlignment="1">
      <alignment horizontal="right"/>
    </xf>
    <xf numFmtId="0" fontId="15" fillId="3" borderId="0" xfId="0" applyFont="1" applyFill="1" applyAlignment="1">
      <alignment horizontal="right"/>
    </xf>
    <xf numFmtId="0" fontId="15" fillId="3" borderId="1" xfId="0" applyFont="1" applyFill="1" applyBorder="1" applyAlignment="1">
      <alignment horizontal="right"/>
    </xf>
    <xf numFmtId="0" fontId="15" fillId="0" borderId="0" xfId="0" applyFont="1" applyAlignment="1">
      <alignment horizontal="right"/>
    </xf>
    <xf numFmtId="2" fontId="15" fillId="3" borderId="0" xfId="0" applyNumberFormat="1" applyFont="1" applyFill="1" applyAlignment="1">
      <alignment horizontal="right"/>
    </xf>
    <xf numFmtId="2" fontId="15" fillId="3" borderId="1" xfId="0" applyNumberFormat="1" applyFont="1" applyFill="1" applyBorder="1" applyAlignment="1">
      <alignment horizontal="right"/>
    </xf>
    <xf numFmtId="2" fontId="15" fillId="0" borderId="0" xfId="0" applyNumberFormat="1" applyFont="1" applyAlignment="1">
      <alignment horizontal="right"/>
    </xf>
    <xf numFmtId="4" fontId="17" fillId="0" borderId="0" xfId="0" applyNumberFormat="1" applyFont="1" applyAlignment="1">
      <alignment horizontal="right"/>
    </xf>
    <xf numFmtId="4" fontId="17" fillId="0" borderId="0" xfId="0" applyNumberFormat="1" applyFont="1"/>
    <xf numFmtId="0" fontId="17" fillId="0" borderId="0" xfId="0" applyFont="1"/>
    <xf numFmtId="4" fontId="17" fillId="0" borderId="1" xfId="0" applyNumberFormat="1" applyFont="1" applyBorder="1" applyAlignment="1">
      <alignment horizontal="right"/>
    </xf>
    <xf numFmtId="0" fontId="17" fillId="0" borderId="0" xfId="0" applyFont="1" applyAlignment="1">
      <alignment horizontal="right"/>
    </xf>
    <xf numFmtId="0" fontId="17" fillId="0" borderId="1" xfId="0" applyFont="1" applyBorder="1" applyAlignment="1">
      <alignment horizontal="right"/>
    </xf>
    <xf numFmtId="0" fontId="15" fillId="0" borderId="1" xfId="0" applyFont="1" applyBorder="1" applyAlignment="1">
      <alignment horizontal="right"/>
    </xf>
    <xf numFmtId="0" fontId="15" fillId="0" borderId="0" xfId="0" applyFont="1"/>
    <xf numFmtId="0" fontId="18" fillId="0" borderId="0" xfId="0" applyFont="1"/>
    <xf numFmtId="0" fontId="19" fillId="0" borderId="0" xfId="0" applyFont="1" applyAlignment="1">
      <alignment horizontal="right"/>
    </xf>
    <xf numFmtId="0" fontId="19" fillId="0" borderId="1" xfId="0" applyFont="1" applyBorder="1" applyAlignment="1">
      <alignment horizontal="right"/>
    </xf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right"/>
    </xf>
    <xf numFmtId="0" fontId="20" fillId="0" borderId="1" xfId="0" applyFont="1" applyBorder="1" applyAlignment="1">
      <alignment horizontal="right"/>
    </xf>
    <xf numFmtId="0" fontId="21" fillId="0" borderId="0" xfId="0" applyFont="1"/>
    <xf numFmtId="0" fontId="22" fillId="0" borderId="0" xfId="0" applyFont="1" applyAlignment="1">
      <alignment horizontal="right"/>
    </xf>
    <xf numFmtId="0" fontId="22" fillId="0" borderId="1" xfId="0" applyFont="1" applyBorder="1" applyAlignment="1">
      <alignment horizontal="right"/>
    </xf>
    <xf numFmtId="0" fontId="22" fillId="0" borderId="0" xfId="0" applyFont="1"/>
    <xf numFmtId="0" fontId="13" fillId="0" borderId="0" xfId="0" applyFont="1"/>
    <xf numFmtId="169" fontId="18" fillId="0" borderId="0" xfId="0" applyNumberFormat="1" applyFont="1" applyAlignment="1">
      <alignment horizontal="right"/>
    </xf>
    <xf numFmtId="169" fontId="17" fillId="0" borderId="0" xfId="0" applyNumberFormat="1" applyFont="1" applyAlignment="1">
      <alignment horizontal="right"/>
    </xf>
    <xf numFmtId="169" fontId="17" fillId="0" borderId="1" xfId="0" applyNumberFormat="1" applyFont="1" applyBorder="1" applyAlignment="1">
      <alignment horizontal="right"/>
    </xf>
    <xf numFmtId="3" fontId="18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3" fontId="17" fillId="0" borderId="0" xfId="0" applyNumberFormat="1" applyFont="1" applyAlignment="1">
      <alignment horizontal="right"/>
    </xf>
    <xf numFmtId="3" fontId="17" fillId="0" borderId="1" xfId="0" applyNumberFormat="1" applyFont="1" applyBorder="1" applyAlignment="1">
      <alignment horizontal="right"/>
    </xf>
    <xf numFmtId="173" fontId="17" fillId="0" borderId="0" xfId="0" applyNumberFormat="1" applyFont="1" applyAlignment="1">
      <alignment horizontal="right"/>
    </xf>
    <xf numFmtId="173" fontId="17" fillId="0" borderId="1" xfId="0" applyNumberFormat="1" applyFont="1" applyBorder="1" applyAlignment="1">
      <alignment horizontal="right"/>
    </xf>
    <xf numFmtId="173" fontId="20" fillId="0" borderId="0" xfId="0" applyNumberFormat="1" applyFont="1" applyAlignment="1">
      <alignment horizontal="right"/>
    </xf>
    <xf numFmtId="2" fontId="17" fillId="0" borderId="0" xfId="0" applyNumberFormat="1" applyFont="1" applyAlignment="1">
      <alignment horizontal="right"/>
    </xf>
    <xf numFmtId="2" fontId="17" fillId="0" borderId="1" xfId="0" applyNumberFormat="1" applyFont="1" applyBorder="1" applyAlignment="1">
      <alignment horizontal="right"/>
    </xf>
    <xf numFmtId="1" fontId="17" fillId="0" borderId="0" xfId="0" applyNumberFormat="1" applyFont="1" applyAlignment="1">
      <alignment horizontal="right"/>
    </xf>
    <xf numFmtId="1" fontId="17" fillId="0" borderId="1" xfId="0" applyNumberFormat="1" applyFont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13" fillId="2" borderId="0" xfId="0" applyNumberFormat="1" applyFont="1" applyFill="1" applyAlignment="1">
      <alignment horizontal="right"/>
    </xf>
    <xf numFmtId="3" fontId="13" fillId="2" borderId="1" xfId="0" applyNumberFormat="1" applyFont="1" applyFill="1" applyBorder="1" applyAlignment="1">
      <alignment horizontal="right"/>
    </xf>
    <xf numFmtId="3" fontId="23" fillId="0" borderId="0" xfId="0" applyNumberFormat="1" applyFont="1" applyAlignment="1">
      <alignment horizontal="right"/>
    </xf>
    <xf numFmtId="3" fontId="15" fillId="0" borderId="0" xfId="0" applyNumberFormat="1" applyFont="1" applyAlignment="1">
      <alignment horizontal="right"/>
    </xf>
    <xf numFmtId="3" fontId="15" fillId="0" borderId="1" xfId="0" applyNumberFormat="1" applyFont="1" applyBorder="1" applyAlignment="1">
      <alignment horizontal="right"/>
    </xf>
    <xf numFmtId="0" fontId="24" fillId="0" borderId="0" xfId="0" applyFont="1"/>
    <xf numFmtId="3" fontId="24" fillId="0" borderId="0" xfId="0" applyNumberFormat="1" applyFont="1" applyAlignment="1">
      <alignment horizontal="right"/>
    </xf>
    <xf numFmtId="0" fontId="24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3" fontId="23" fillId="4" borderId="0" xfId="0" applyNumberFormat="1" applyFont="1" applyFill="1" applyAlignment="1">
      <alignment horizontal="right"/>
    </xf>
    <xf numFmtId="0" fontId="15" fillId="0" borderId="0" xfId="0" quotePrefix="1" applyFont="1"/>
    <xf numFmtId="0" fontId="17" fillId="0" borderId="0" xfId="0" quotePrefix="1" applyFont="1"/>
    <xf numFmtId="174" fontId="13" fillId="2" borderId="0" xfId="0" applyNumberFormat="1" applyFont="1" applyFill="1" applyAlignment="1">
      <alignment horizontal="right"/>
    </xf>
    <xf numFmtId="174" fontId="13" fillId="2" borderId="1" xfId="0" applyNumberFormat="1" applyFont="1" applyFill="1" applyBorder="1" applyAlignment="1">
      <alignment horizontal="right"/>
    </xf>
    <xf numFmtId="4" fontId="15" fillId="0" borderId="0" xfId="0" applyNumberFormat="1" applyFont="1" applyAlignment="1">
      <alignment horizontal="right"/>
    </xf>
    <xf numFmtId="4" fontId="15" fillId="0" borderId="1" xfId="0" applyNumberFormat="1" applyFont="1" applyBorder="1" applyAlignment="1">
      <alignment horizontal="right"/>
    </xf>
    <xf numFmtId="170" fontId="17" fillId="0" borderId="0" xfId="2" applyNumberFormat="1" applyFont="1"/>
    <xf numFmtId="172" fontId="17" fillId="0" borderId="0" xfId="0" applyNumberFormat="1" applyFont="1" applyAlignment="1">
      <alignment horizontal="right"/>
    </xf>
    <xf numFmtId="172" fontId="17" fillId="0" borderId="1" xfId="0" applyNumberFormat="1" applyFont="1" applyBorder="1" applyAlignment="1">
      <alignment horizontal="right"/>
    </xf>
    <xf numFmtId="172" fontId="17" fillId="0" borderId="0" xfId="0" applyNumberFormat="1" applyFont="1"/>
    <xf numFmtId="0" fontId="17" fillId="5" borderId="2" xfId="0" applyFont="1" applyFill="1" applyBorder="1"/>
    <xf numFmtId="0" fontId="17" fillId="5" borderId="3" xfId="0" applyFont="1" applyFill="1" applyBorder="1" applyAlignment="1">
      <alignment horizontal="right"/>
    </xf>
    <xf numFmtId="0" fontId="17" fillId="5" borderId="3" xfId="0" applyFont="1" applyFill="1" applyBorder="1"/>
    <xf numFmtId="0" fontId="17" fillId="5" borderId="4" xfId="0" applyFont="1" applyFill="1" applyBorder="1"/>
    <xf numFmtId="0" fontId="17" fillId="5" borderId="0" xfId="0" applyFont="1" applyFill="1" applyAlignment="1">
      <alignment horizontal="right"/>
    </xf>
    <xf numFmtId="0" fontId="17" fillId="5" borderId="0" xfId="0" applyFont="1" applyFill="1"/>
    <xf numFmtId="0" fontId="17" fillId="5" borderId="1" xfId="0" applyFont="1" applyFill="1" applyBorder="1" applyAlignment="1">
      <alignment horizontal="right"/>
    </xf>
    <xf numFmtId="171" fontId="21" fillId="5" borderId="0" xfId="0" applyNumberFormat="1" applyFont="1" applyFill="1" applyAlignment="1">
      <alignment horizontal="right"/>
    </xf>
    <xf numFmtId="0" fontId="20" fillId="5" borderId="0" xfId="0" applyFont="1" applyFill="1" applyAlignment="1">
      <alignment horizontal="right"/>
    </xf>
    <xf numFmtId="15" fontId="17" fillId="5" borderId="0" xfId="0" applyNumberFormat="1" applyFont="1" applyFill="1" applyAlignment="1">
      <alignment horizontal="right"/>
    </xf>
    <xf numFmtId="170" fontId="17" fillId="5" borderId="1" xfId="2" applyNumberFormat="1" applyFont="1" applyFill="1" applyBorder="1" applyAlignment="1">
      <alignment horizontal="right"/>
    </xf>
    <xf numFmtId="0" fontId="17" fillId="5" borderId="5" xfId="0" applyFont="1" applyFill="1" applyBorder="1"/>
    <xf numFmtId="15" fontId="17" fillId="5" borderId="6" xfId="0" applyNumberFormat="1" applyFont="1" applyFill="1" applyBorder="1" applyAlignment="1">
      <alignment horizontal="right"/>
    </xf>
    <xf numFmtId="0" fontId="17" fillId="5" borderId="6" xfId="0" applyFont="1" applyFill="1" applyBorder="1"/>
    <xf numFmtId="0" fontId="17" fillId="5" borderId="6" xfId="0" applyFont="1" applyFill="1" applyBorder="1" applyAlignment="1">
      <alignment horizontal="right"/>
    </xf>
    <xf numFmtId="0" fontId="25" fillId="2" borderId="0" xfId="0" applyFont="1" applyFill="1"/>
    <xf numFmtId="3" fontId="17" fillId="0" borderId="0" xfId="0" applyNumberFormat="1" applyFont="1"/>
    <xf numFmtId="0" fontId="26" fillId="0" borderId="0" xfId="0" applyFont="1" applyAlignment="1">
      <alignment horizontal="left"/>
    </xf>
    <xf numFmtId="173" fontId="24" fillId="0" borderId="0" xfId="0" applyNumberFormat="1" applyFont="1" applyAlignment="1">
      <alignment horizontal="right"/>
    </xf>
    <xf numFmtId="0" fontId="15" fillId="3" borderId="0" xfId="0" applyFont="1" applyFill="1" applyAlignment="1">
      <alignment horizontal="left"/>
    </xf>
    <xf numFmtId="0" fontId="15" fillId="3" borderId="0" xfId="0" applyFont="1" applyFill="1" applyAlignment="1">
      <alignment horizontal="right" shrinkToFit="1"/>
    </xf>
    <xf numFmtId="0" fontId="15" fillId="3" borderId="0" xfId="0" applyFont="1" applyFill="1" applyAlignment="1">
      <alignment horizontal="left" indent="1"/>
    </xf>
    <xf numFmtId="175" fontId="20" fillId="0" borderId="0" xfId="0" applyNumberFormat="1" applyFont="1" applyAlignment="1">
      <alignment horizontal="right"/>
    </xf>
    <xf numFmtId="9" fontId="17" fillId="0" borderId="0" xfId="0" applyNumberFormat="1" applyFont="1" applyAlignment="1">
      <alignment horizontal="right"/>
    </xf>
    <xf numFmtId="171" fontId="17" fillId="0" borderId="0" xfId="0" applyNumberFormat="1" applyFont="1" applyAlignment="1">
      <alignment horizontal="right"/>
    </xf>
    <xf numFmtId="0" fontId="17" fillId="0" borderId="0" xfId="0" applyFont="1" applyAlignment="1">
      <alignment horizontal="left" indent="1"/>
    </xf>
    <xf numFmtId="9" fontId="20" fillId="0" borderId="0" xfId="0" applyNumberFormat="1" applyFont="1"/>
    <xf numFmtId="15" fontId="17" fillId="0" borderId="0" xfId="0" applyNumberFormat="1" applyFont="1"/>
    <xf numFmtId="168" fontId="17" fillId="0" borderId="0" xfId="1" applyFont="1"/>
    <xf numFmtId="171" fontId="24" fillId="0" borderId="0" xfId="0" applyNumberFormat="1" applyFont="1" applyAlignment="1">
      <alignment horizontal="right"/>
    </xf>
    <xf numFmtId="0" fontId="27" fillId="0" borderId="0" xfId="0" applyFont="1" applyAlignment="1">
      <alignment horizontal="left"/>
    </xf>
    <xf numFmtId="0" fontId="28" fillId="0" borderId="6" xfId="0" applyFont="1" applyBorder="1"/>
    <xf numFmtId="171" fontId="28" fillId="0" borderId="6" xfId="0" applyNumberFormat="1" applyFont="1" applyBorder="1" applyAlignment="1">
      <alignment horizontal="right"/>
    </xf>
    <xf numFmtId="0" fontId="28" fillId="0" borderId="0" xfId="0" applyFont="1" applyAlignment="1">
      <alignment horizontal="right"/>
    </xf>
    <xf numFmtId="0" fontId="28" fillId="0" borderId="0" xfId="0" applyFont="1"/>
    <xf numFmtId="0" fontId="15" fillId="0" borderId="6" xfId="0" applyFont="1" applyBorder="1"/>
    <xf numFmtId="0" fontId="15" fillId="0" borderId="6" xfId="0" applyFont="1" applyBorder="1" applyAlignment="1">
      <alignment horizontal="right"/>
    </xf>
    <xf numFmtId="171" fontId="15" fillId="0" borderId="6" xfId="0" applyNumberFormat="1" applyFont="1" applyBorder="1" applyAlignment="1">
      <alignment horizontal="right"/>
    </xf>
    <xf numFmtId="171" fontId="15" fillId="0" borderId="0" xfId="0" applyNumberFormat="1" applyFont="1" applyAlignment="1">
      <alignment horizontal="right"/>
    </xf>
    <xf numFmtId="0" fontId="29" fillId="0" borderId="0" xfId="0" applyFont="1" applyAlignment="1">
      <alignment horizontal="left"/>
    </xf>
    <xf numFmtId="0" fontId="15" fillId="0" borderId="0" xfId="0" applyFont="1" applyAlignment="1">
      <alignment horizontal="left" indent="1"/>
    </xf>
    <xf numFmtId="3" fontId="32" fillId="0" borderId="0" xfId="0" applyNumberFormat="1" applyFont="1" applyAlignment="1">
      <alignment horizontal="right"/>
    </xf>
    <xf numFmtId="3" fontId="18" fillId="6" borderId="0" xfId="0" applyNumberFormat="1" applyFont="1" applyFill="1" applyAlignment="1">
      <alignment horizontal="right"/>
    </xf>
    <xf numFmtId="3" fontId="32" fillId="0" borderId="1" xfId="0" applyNumberFormat="1" applyFont="1" applyBorder="1" applyAlignment="1">
      <alignment horizontal="right"/>
    </xf>
    <xf numFmtId="0" fontId="34" fillId="0" borderId="0" xfId="0" applyFont="1"/>
    <xf numFmtId="3" fontId="33" fillId="0" borderId="0" xfId="0" applyNumberFormat="1" applyFont="1" applyAlignment="1">
      <alignment horizontal="right"/>
    </xf>
    <xf numFmtId="169" fontId="21" fillId="0" borderId="0" xfId="0" applyNumberFormat="1" applyFont="1" applyAlignment="1">
      <alignment horizontal="right"/>
    </xf>
    <xf numFmtId="15" fontId="21" fillId="7" borderId="8" xfId="0" applyNumberFormat="1" applyFont="1" applyFill="1" applyBorder="1" applyAlignment="1">
      <alignment horizontal="right"/>
    </xf>
    <xf numFmtId="170" fontId="21" fillId="7" borderId="1" xfId="2" applyNumberFormat="1" applyFont="1" applyFill="1" applyBorder="1" applyAlignment="1">
      <alignment horizontal="right"/>
    </xf>
    <xf numFmtId="0" fontId="12" fillId="6" borderId="0" xfId="0" applyFont="1" applyFill="1" applyAlignment="1">
      <alignment horizontal="left"/>
    </xf>
    <xf numFmtId="0" fontId="37" fillId="2" borderId="0" xfId="4" applyFont="1" applyFill="1" applyAlignment="1">
      <alignment horizontal="center"/>
    </xf>
    <xf numFmtId="0" fontId="37" fillId="0" borderId="0" xfId="4" applyFont="1" applyAlignment="1">
      <alignment horizontal="center"/>
    </xf>
    <xf numFmtId="0" fontId="35" fillId="3" borderId="0" xfId="4" applyFill="1" applyAlignment="1">
      <alignment horizontal="center"/>
    </xf>
    <xf numFmtId="0" fontId="35" fillId="0" borderId="0" xfId="4" applyAlignment="1">
      <alignment horizontal="center"/>
    </xf>
    <xf numFmtId="14" fontId="35" fillId="3" borderId="0" xfId="4" applyNumberFormat="1" applyFill="1" applyAlignment="1">
      <alignment horizontal="center"/>
    </xf>
    <xf numFmtId="14" fontId="35" fillId="0" borderId="0" xfId="4" applyNumberFormat="1" applyAlignment="1">
      <alignment horizontal="center"/>
    </xf>
    <xf numFmtId="0" fontId="36" fillId="2" borderId="0" xfId="4" applyFont="1" applyFill="1"/>
    <xf numFmtId="176" fontId="36" fillId="2" borderId="0" xfId="4" applyNumberFormat="1" applyFont="1" applyFill="1"/>
    <xf numFmtId="0" fontId="36" fillId="0" borderId="0" xfId="4" applyFont="1"/>
    <xf numFmtId="0" fontId="12" fillId="0" borderId="0" xfId="5" applyFont="1" applyAlignment="1">
      <alignment horizontal="left"/>
    </xf>
    <xf numFmtId="4" fontId="35" fillId="0" borderId="0" xfId="4" applyNumberFormat="1" applyProtection="1">
      <protection locked="0"/>
    </xf>
    <xf numFmtId="173" fontId="35" fillId="0" borderId="0" xfId="4" applyNumberFormat="1" applyProtection="1">
      <protection locked="0"/>
    </xf>
    <xf numFmtId="0" fontId="35" fillId="6" borderId="0" xfId="4" applyFill="1"/>
    <xf numFmtId="0" fontId="12" fillId="10" borderId="0" xfId="5" applyFont="1" applyFill="1" applyAlignment="1">
      <alignment horizontal="left"/>
    </xf>
    <xf numFmtId="179" fontId="35" fillId="0" borderId="0" xfId="7" applyFont="1"/>
    <xf numFmtId="4" fontId="35" fillId="0" borderId="0" xfId="4" applyNumberFormat="1"/>
    <xf numFmtId="4" fontId="38" fillId="0" borderId="0" xfId="4" applyNumberFormat="1" applyFont="1"/>
    <xf numFmtId="0" fontId="40" fillId="0" borderId="0" xfId="4" applyFont="1"/>
    <xf numFmtId="173" fontId="35" fillId="0" borderId="0" xfId="4" applyNumberFormat="1"/>
    <xf numFmtId="0" fontId="41" fillId="0" borderId="0" xfId="4" applyFont="1"/>
    <xf numFmtId="0" fontId="12" fillId="6" borderId="0" xfId="5" applyFont="1" applyFill="1" applyAlignment="1">
      <alignment horizontal="left"/>
    </xf>
    <xf numFmtId="0" fontId="42" fillId="0" borderId="0" xfId="8" applyFont="1"/>
    <xf numFmtId="173" fontId="38" fillId="0" borderId="0" xfId="4" applyNumberFormat="1" applyFont="1"/>
    <xf numFmtId="0" fontId="38" fillId="0" borderId="0" xfId="4" applyFont="1"/>
    <xf numFmtId="170" fontId="35" fillId="0" borderId="0" xfId="4" applyNumberFormat="1"/>
    <xf numFmtId="180" fontId="35" fillId="0" borderId="0" xfId="4" applyNumberFormat="1" applyProtection="1">
      <protection locked="0"/>
    </xf>
    <xf numFmtId="0" fontId="39" fillId="0" borderId="0" xfId="8"/>
    <xf numFmtId="0" fontId="64" fillId="0" borderId="0" xfId="0" applyFont="1"/>
    <xf numFmtId="14" fontId="0" fillId="0" borderId="0" xfId="0" applyNumberFormat="1"/>
    <xf numFmtId="0" fontId="36" fillId="2" borderId="0" xfId="4" applyFont="1" applyFill="1" applyAlignment="1">
      <alignment horizontal="left"/>
    </xf>
    <xf numFmtId="0" fontId="35" fillId="0" borderId="0" xfId="4"/>
    <xf numFmtId="49" fontId="35" fillId="3" borderId="0" xfId="4" applyNumberFormat="1" applyFill="1"/>
    <xf numFmtId="173" fontId="35" fillId="8" borderId="0" xfId="4" applyNumberFormat="1" applyFill="1" applyProtection="1">
      <protection locked="0"/>
    </xf>
    <xf numFmtId="177" fontId="35" fillId="0" borderId="0" xfId="4" applyNumberFormat="1" applyProtection="1">
      <protection locked="0"/>
    </xf>
    <xf numFmtId="173" fontId="35" fillId="9" borderId="0" xfId="4" applyNumberFormat="1" applyFill="1" applyProtection="1">
      <protection locked="0"/>
    </xf>
    <xf numFmtId="170" fontId="17" fillId="0" borderId="0" xfId="0" applyNumberFormat="1" applyFont="1" applyAlignment="1">
      <alignment horizontal="right"/>
    </xf>
    <xf numFmtId="9" fontId="15" fillId="0" borderId="3" xfId="0" applyNumberFormat="1" applyFont="1" applyBorder="1" applyAlignment="1">
      <alignment horizontal="right"/>
    </xf>
    <xf numFmtId="171" fontId="15" fillId="0" borderId="3" xfId="0" applyNumberFormat="1" applyFont="1" applyBorder="1" applyAlignment="1">
      <alignment horizontal="right"/>
    </xf>
    <xf numFmtId="9" fontId="17" fillId="0" borderId="0" xfId="64" applyFont="1" applyAlignment="1">
      <alignment horizontal="right"/>
    </xf>
    <xf numFmtId="9" fontId="17" fillId="0" borderId="1" xfId="64" applyFont="1" applyBorder="1" applyAlignment="1">
      <alignment horizontal="right"/>
    </xf>
    <xf numFmtId="170" fontId="17" fillId="0" borderId="0" xfId="64" applyNumberFormat="1" applyFont="1" applyAlignment="1">
      <alignment horizontal="right"/>
    </xf>
    <xf numFmtId="203" fontId="17" fillId="5" borderId="1" xfId="64" applyNumberFormat="1" applyFont="1" applyFill="1" applyBorder="1" applyAlignment="1">
      <alignment horizontal="right"/>
    </xf>
    <xf numFmtId="203" fontId="20" fillId="5" borderId="7" xfId="64" applyNumberFormat="1" applyFont="1" applyFill="1" applyBorder="1" applyAlignment="1">
      <alignment horizontal="right"/>
    </xf>
    <xf numFmtId="10" fontId="17" fillId="0" borderId="0" xfId="0" applyNumberFormat="1" applyFont="1" applyAlignment="1">
      <alignment horizontal="right"/>
    </xf>
    <xf numFmtId="10" fontId="17" fillId="0" borderId="0" xfId="64" applyNumberFormat="1" applyFont="1" applyAlignment="1">
      <alignment horizontal="right"/>
    </xf>
    <xf numFmtId="10" fontId="17" fillId="0" borderId="0" xfId="64" applyNumberFormat="1" applyFont="1" applyBorder="1" applyAlignment="1">
      <alignment horizontal="right"/>
    </xf>
    <xf numFmtId="0" fontId="12" fillId="29" borderId="0" xfId="5" applyFont="1" applyFill="1" applyAlignment="1">
      <alignment horizontal="left"/>
    </xf>
    <xf numFmtId="0" fontId="35" fillId="29" borderId="0" xfId="4" applyFill="1"/>
    <xf numFmtId="10" fontId="35" fillId="0" borderId="0" xfId="4" applyNumberFormat="1"/>
    <xf numFmtId="170" fontId="24" fillId="0" borderId="0" xfId="64" applyNumberFormat="1" applyFont="1" applyAlignment="1">
      <alignment horizontal="right"/>
    </xf>
    <xf numFmtId="9" fontId="17" fillId="0" borderId="0" xfId="64" applyFont="1" applyBorder="1" applyAlignment="1">
      <alignment horizontal="right"/>
    </xf>
    <xf numFmtId="10" fontId="17" fillId="0" borderId="1" xfId="0" applyNumberFormat="1" applyFont="1" applyBorder="1" applyAlignment="1">
      <alignment horizontal="right"/>
    </xf>
    <xf numFmtId="10" fontId="17" fillId="0" borderId="1" xfId="64" applyNumberFormat="1" applyFont="1" applyBorder="1" applyAlignment="1">
      <alignment horizontal="right"/>
    </xf>
    <xf numFmtId="0" fontId="38" fillId="0" borderId="0" xfId="121" applyFont="1"/>
    <xf numFmtId="0" fontId="68" fillId="0" borderId="0" xfId="121" applyFont="1" applyAlignment="1">
      <alignment horizontal="center"/>
    </xf>
    <xf numFmtId="0" fontId="37" fillId="30" borderId="0" xfId="121" applyFont="1" applyFill="1" applyAlignment="1">
      <alignment horizontal="center"/>
    </xf>
    <xf numFmtId="0" fontId="38" fillId="0" borderId="23" xfId="121" applyFont="1" applyBorder="1"/>
    <xf numFmtId="0" fontId="68" fillId="0" borderId="23" xfId="121" applyFont="1" applyBorder="1"/>
    <xf numFmtId="0" fontId="38" fillId="31" borderId="0" xfId="121" applyFont="1" applyFill="1"/>
    <xf numFmtId="0" fontId="68" fillId="0" borderId="0" xfId="121" applyFont="1"/>
    <xf numFmtId="3" fontId="38" fillId="0" borderId="0" xfId="121" applyNumberFormat="1" applyFont="1"/>
    <xf numFmtId="0" fontId="68" fillId="31" borderId="0" xfId="121" applyFont="1" applyFill="1"/>
    <xf numFmtId="3" fontId="38" fillId="27" borderId="0" xfId="121" applyNumberFormat="1" applyFont="1" applyFill="1" applyAlignment="1">
      <alignment horizontal="right"/>
    </xf>
    <xf numFmtId="172" fontId="68" fillId="27" borderId="0" xfId="121" applyNumberFormat="1" applyFont="1" applyFill="1" applyAlignment="1">
      <alignment horizontal="right"/>
    </xf>
    <xf numFmtId="1" fontId="38" fillId="0" borderId="0" xfId="121" applyNumberFormat="1" applyFont="1"/>
    <xf numFmtId="0" fontId="9" fillId="0" borderId="0" xfId="89" applyFont="1"/>
    <xf numFmtId="1" fontId="9" fillId="0" borderId="0" xfId="89" applyNumberFormat="1" applyFont="1" applyAlignment="1">
      <alignment horizontal="right"/>
    </xf>
    <xf numFmtId="1" fontId="38" fillId="27" borderId="0" xfId="121" applyNumberFormat="1" applyFont="1" applyFill="1" applyAlignment="1">
      <alignment horizontal="right"/>
    </xf>
    <xf numFmtId="1" fontId="38" fillId="0" borderId="0" xfId="121" applyNumberFormat="1" applyFont="1" applyAlignment="1">
      <alignment horizontal="right"/>
    </xf>
    <xf numFmtId="3" fontId="9" fillId="0" borderId="0" xfId="89" applyNumberFormat="1" applyFont="1" applyAlignment="1">
      <alignment horizontal="right"/>
    </xf>
    <xf numFmtId="0" fontId="65" fillId="0" borderId="0" xfId="89" applyFont="1"/>
    <xf numFmtId="3" fontId="68" fillId="0" borderId="0" xfId="121" applyNumberFormat="1" applyFont="1" applyAlignment="1">
      <alignment horizontal="right"/>
    </xf>
    <xf numFmtId="3" fontId="68" fillId="27" borderId="0" xfId="121" applyNumberFormat="1" applyFont="1" applyFill="1" applyAlignment="1">
      <alignment horizontal="right"/>
    </xf>
    <xf numFmtId="1" fontId="68" fillId="27" borderId="0" xfId="121" applyNumberFormat="1" applyFont="1" applyFill="1" applyAlignment="1">
      <alignment horizontal="right"/>
    </xf>
    <xf numFmtId="0" fontId="38" fillId="0" borderId="0" xfId="121" applyFont="1" applyAlignment="1">
      <alignment horizontal="right"/>
    </xf>
    <xf numFmtId="0" fontId="38" fillId="27" borderId="0" xfId="121" applyFont="1" applyFill="1" applyAlignment="1">
      <alignment horizontal="right"/>
    </xf>
    <xf numFmtId="1" fontId="68" fillId="0" borderId="0" xfId="121" applyNumberFormat="1" applyFont="1" applyAlignment="1">
      <alignment horizontal="right"/>
    </xf>
    <xf numFmtId="3" fontId="38" fillId="0" borderId="0" xfId="121" applyNumberFormat="1" applyFont="1" applyAlignment="1">
      <alignment horizontal="center"/>
    </xf>
    <xf numFmtId="10" fontId="38" fillId="0" borderId="0" xfId="121" applyNumberFormat="1" applyFont="1"/>
    <xf numFmtId="9" fontId="9" fillId="0" borderId="0" xfId="90" applyFont="1" applyFill="1" applyBorder="1"/>
    <xf numFmtId="10" fontId="9" fillId="0" borderId="0" xfId="90" applyNumberFormat="1" applyFont="1" applyFill="1" applyBorder="1"/>
    <xf numFmtId="0" fontId="9" fillId="0" borderId="0" xfId="89" applyFont="1" applyAlignment="1">
      <alignment horizontal="left"/>
    </xf>
    <xf numFmtId="0" fontId="65" fillId="0" borderId="0" xfId="89" applyFont="1" applyAlignment="1">
      <alignment horizontal="left"/>
    </xf>
    <xf numFmtId="0" fontId="40" fillId="0" borderId="0" xfId="121" applyFont="1" applyAlignment="1">
      <alignment horizontal="right"/>
    </xf>
    <xf numFmtId="3" fontId="38" fillId="0" borderId="0" xfId="121" applyNumberFormat="1" applyFont="1" applyAlignment="1">
      <alignment horizontal="right"/>
    </xf>
    <xf numFmtId="170" fontId="38" fillId="0" borderId="0" xfId="90" applyNumberFormat="1" applyFont="1" applyAlignment="1">
      <alignment horizontal="right"/>
    </xf>
    <xf numFmtId="0" fontId="37" fillId="30" borderId="0" xfId="121" applyFont="1" applyFill="1" applyAlignment="1">
      <alignment horizontal="right"/>
    </xf>
    <xf numFmtId="3" fontId="38" fillId="0" borderId="23" xfId="121" applyNumberFormat="1" applyFont="1" applyBorder="1" applyAlignment="1">
      <alignment horizontal="right"/>
    </xf>
    <xf numFmtId="3" fontId="38" fillId="27" borderId="23" xfId="121" applyNumberFormat="1" applyFont="1" applyFill="1" applyBorder="1" applyAlignment="1">
      <alignment horizontal="right"/>
    </xf>
    <xf numFmtId="9" fontId="38" fillId="0" borderId="0" xfId="90" applyFont="1" applyFill="1" applyBorder="1" applyAlignment="1">
      <alignment horizontal="right"/>
    </xf>
    <xf numFmtId="3" fontId="38" fillId="0" borderId="25" xfId="121" applyNumberFormat="1" applyFont="1" applyBorder="1" applyAlignment="1">
      <alignment horizontal="right"/>
    </xf>
    <xf numFmtId="3" fontId="38" fillId="0" borderId="14" xfId="121" applyNumberFormat="1" applyFont="1" applyBorder="1" applyAlignment="1">
      <alignment horizontal="right"/>
    </xf>
    <xf numFmtId="3" fontId="38" fillId="27" borderId="14" xfId="121" applyNumberFormat="1" applyFont="1" applyFill="1" applyBorder="1" applyAlignment="1">
      <alignment horizontal="right"/>
    </xf>
    <xf numFmtId="3" fontId="38" fillId="27" borderId="26" xfId="121" applyNumberFormat="1" applyFont="1" applyFill="1" applyBorder="1" applyAlignment="1">
      <alignment horizontal="right"/>
    </xf>
    <xf numFmtId="3" fontId="38" fillId="0" borderId="27" xfId="121" applyNumberFormat="1" applyFont="1" applyBorder="1" applyAlignment="1">
      <alignment horizontal="right"/>
    </xf>
    <xf numFmtId="3" fontId="38" fillId="27" borderId="28" xfId="121" applyNumberFormat="1" applyFont="1" applyFill="1" applyBorder="1" applyAlignment="1">
      <alignment horizontal="right"/>
    </xf>
    <xf numFmtId="3" fontId="68" fillId="0" borderId="27" xfId="121" applyNumberFormat="1" applyFont="1" applyBorder="1" applyAlignment="1">
      <alignment horizontal="right"/>
    </xf>
    <xf numFmtId="3" fontId="68" fillId="27" borderId="28" xfId="121" applyNumberFormat="1" applyFont="1" applyFill="1" applyBorder="1" applyAlignment="1">
      <alignment horizontal="right"/>
    </xf>
    <xf numFmtId="3" fontId="35" fillId="0" borderId="0" xfId="121" applyNumberFormat="1" applyFont="1" applyAlignment="1">
      <alignment horizontal="right"/>
    </xf>
    <xf numFmtId="3" fontId="40" fillId="32" borderId="0" xfId="121" applyNumberFormat="1" applyFont="1" applyFill="1" applyAlignment="1">
      <alignment horizontal="right"/>
    </xf>
    <xf numFmtId="3" fontId="68" fillId="0" borderId="29" xfId="121" applyNumberFormat="1" applyFont="1" applyBorder="1" applyAlignment="1">
      <alignment horizontal="right"/>
    </xf>
    <xf numFmtId="3" fontId="68" fillId="0" borderId="30" xfId="121" applyNumberFormat="1" applyFont="1" applyBorder="1" applyAlignment="1">
      <alignment horizontal="right"/>
    </xf>
    <xf numFmtId="3" fontId="68" fillId="27" borderId="30" xfId="121" applyNumberFormat="1" applyFont="1" applyFill="1" applyBorder="1" applyAlignment="1">
      <alignment horizontal="right"/>
    </xf>
    <xf numFmtId="3" fontId="68" fillId="27" borderId="31" xfId="121" applyNumberFormat="1" applyFont="1" applyFill="1" applyBorder="1" applyAlignment="1">
      <alignment horizontal="right"/>
    </xf>
    <xf numFmtId="10" fontId="38" fillId="27" borderId="0" xfId="90" applyNumberFormat="1" applyFont="1" applyFill="1" applyAlignment="1">
      <alignment horizontal="right"/>
    </xf>
    <xf numFmtId="170" fontId="38" fillId="0" borderId="0" xfId="90" applyNumberFormat="1" applyFont="1" applyFill="1" applyAlignment="1">
      <alignment horizontal="right"/>
    </xf>
    <xf numFmtId="4" fontId="38" fillId="0" borderId="0" xfId="121" applyNumberFormat="1" applyFont="1" applyAlignment="1">
      <alignment horizontal="right"/>
    </xf>
    <xf numFmtId="170" fontId="38" fillId="27" borderId="0" xfId="90" applyNumberFormat="1" applyFont="1" applyFill="1" applyAlignment="1">
      <alignment horizontal="right"/>
    </xf>
    <xf numFmtId="9" fontId="38" fillId="0" borderId="0" xfId="121" applyNumberFormat="1" applyFont="1" applyAlignment="1">
      <alignment horizontal="right"/>
    </xf>
    <xf numFmtId="3" fontId="40" fillId="0" borderId="0" xfId="121" applyNumberFormat="1" applyFont="1" applyAlignment="1">
      <alignment horizontal="right"/>
    </xf>
    <xf numFmtId="3" fontId="69" fillId="0" borderId="0" xfId="121" applyNumberFormat="1" applyFont="1" applyAlignment="1">
      <alignment horizontal="right"/>
    </xf>
    <xf numFmtId="3" fontId="68" fillId="33" borderId="0" xfId="121" applyNumberFormat="1" applyFont="1" applyFill="1" applyAlignment="1">
      <alignment horizontal="right"/>
    </xf>
    <xf numFmtId="3" fontId="69" fillId="4" borderId="0" xfId="121" applyNumberFormat="1" applyFont="1" applyFill="1" applyAlignment="1">
      <alignment horizontal="right"/>
    </xf>
    <xf numFmtId="3" fontId="69" fillId="6" borderId="0" xfId="121" applyNumberFormat="1" applyFont="1" applyFill="1" applyAlignment="1">
      <alignment horizontal="right"/>
    </xf>
    <xf numFmtId="3" fontId="40" fillId="6" borderId="0" xfId="121" applyNumberFormat="1" applyFont="1" applyFill="1" applyAlignment="1">
      <alignment horizontal="right"/>
    </xf>
    <xf numFmtId="3" fontId="68" fillId="6" borderId="0" xfId="121" applyNumberFormat="1" applyFont="1" applyFill="1" applyAlignment="1">
      <alignment horizontal="right"/>
    </xf>
    <xf numFmtId="0" fontId="38" fillId="0" borderId="23" xfId="121" applyFont="1" applyBorder="1" applyAlignment="1">
      <alignment horizontal="right"/>
    </xf>
    <xf numFmtId="0" fontId="38" fillId="27" borderId="23" xfId="121" applyFont="1" applyFill="1" applyBorder="1" applyAlignment="1">
      <alignment horizontal="right"/>
    </xf>
    <xf numFmtId="3" fontId="38" fillId="4" borderId="0" xfId="121" applyNumberFormat="1" applyFont="1" applyFill="1" applyAlignment="1">
      <alignment horizontal="right"/>
    </xf>
    <xf numFmtId="178" fontId="38" fillId="27" borderId="0" xfId="121" applyNumberFormat="1" applyFont="1" applyFill="1" applyAlignment="1">
      <alignment horizontal="right"/>
    </xf>
    <xf numFmtId="10" fontId="38" fillId="0" borderId="0" xfId="90" applyNumberFormat="1" applyFont="1" applyFill="1" applyAlignment="1">
      <alignment horizontal="right"/>
    </xf>
    <xf numFmtId="10" fontId="38" fillId="27" borderId="0" xfId="121" applyNumberFormat="1" applyFont="1" applyFill="1" applyAlignment="1">
      <alignment horizontal="right"/>
    </xf>
    <xf numFmtId="204" fontId="38" fillId="0" borderId="0" xfId="90" applyNumberFormat="1" applyFont="1" applyFill="1" applyAlignment="1">
      <alignment horizontal="right"/>
    </xf>
    <xf numFmtId="205" fontId="38" fillId="27" borderId="0" xfId="121" applyNumberFormat="1" applyFont="1" applyFill="1" applyAlignment="1">
      <alignment horizontal="right"/>
    </xf>
    <xf numFmtId="10" fontId="38" fillId="0" borderId="0" xfId="90" applyNumberFormat="1" applyFont="1" applyAlignment="1">
      <alignment horizontal="right"/>
    </xf>
    <xf numFmtId="10" fontId="40" fillId="6" borderId="0" xfId="90" applyNumberFormat="1" applyFont="1" applyFill="1" applyAlignment="1">
      <alignment horizontal="right"/>
    </xf>
    <xf numFmtId="10" fontId="40" fillId="0" borderId="0" xfId="90" applyNumberFormat="1" applyFont="1" applyFill="1" applyAlignment="1">
      <alignment horizontal="right"/>
    </xf>
    <xf numFmtId="170" fontId="40" fillId="0" borderId="0" xfId="90" applyNumberFormat="1" applyFont="1" applyFill="1" applyAlignment="1">
      <alignment horizontal="right"/>
    </xf>
    <xf numFmtId="3" fontId="70" fillId="0" borderId="0" xfId="121" applyNumberFormat="1" applyFont="1" applyAlignment="1">
      <alignment horizontal="right"/>
    </xf>
    <xf numFmtId="170" fontId="68" fillId="0" borderId="0" xfId="90" applyNumberFormat="1" applyFont="1" applyAlignment="1">
      <alignment horizontal="right"/>
    </xf>
    <xf numFmtId="170" fontId="68" fillId="27" borderId="0" xfId="90" applyNumberFormat="1" applyFont="1" applyFill="1" applyAlignment="1">
      <alignment horizontal="right"/>
    </xf>
    <xf numFmtId="3" fontId="38" fillId="6" borderId="0" xfId="121" applyNumberFormat="1" applyFont="1" applyFill="1" applyAlignment="1">
      <alignment horizontal="right"/>
    </xf>
    <xf numFmtId="178" fontId="38" fillId="0" borderId="0" xfId="121" applyNumberFormat="1" applyFont="1" applyAlignment="1">
      <alignment horizontal="right"/>
    </xf>
    <xf numFmtId="3" fontId="62" fillId="0" borderId="0" xfId="121" applyNumberFormat="1" applyFont="1" applyAlignment="1">
      <alignment horizontal="right"/>
    </xf>
    <xf numFmtId="170" fontId="40" fillId="0" borderId="0" xfId="90" applyNumberFormat="1" applyFont="1" applyAlignment="1">
      <alignment horizontal="right"/>
    </xf>
    <xf numFmtId="178" fontId="38" fillId="0" borderId="23" xfId="121" applyNumberFormat="1" applyFont="1" applyBorder="1" applyAlignment="1">
      <alignment horizontal="right"/>
    </xf>
    <xf numFmtId="0" fontId="68" fillId="0" borderId="0" xfId="121" applyFont="1" applyAlignment="1">
      <alignment horizontal="right"/>
    </xf>
    <xf numFmtId="173" fontId="68" fillId="0" borderId="0" xfId="121" applyNumberFormat="1" applyFont="1" applyAlignment="1">
      <alignment horizontal="right"/>
    </xf>
    <xf numFmtId="172" fontId="71" fillId="27" borderId="0" xfId="121" applyNumberFormat="1" applyFont="1" applyFill="1" applyAlignment="1">
      <alignment horizontal="right"/>
    </xf>
    <xf numFmtId="0" fontId="68" fillId="27" borderId="0" xfId="121" applyFont="1" applyFill="1" applyAlignment="1">
      <alignment horizontal="right"/>
    </xf>
    <xf numFmtId="170" fontId="40" fillId="0" borderId="0" xfId="121" applyNumberFormat="1" applyFont="1" applyAlignment="1">
      <alignment horizontal="right"/>
    </xf>
    <xf numFmtId="173" fontId="38" fillId="0" borderId="0" xfId="121" applyNumberFormat="1" applyFont="1" applyAlignment="1">
      <alignment horizontal="right"/>
    </xf>
    <xf numFmtId="173" fontId="38" fillId="27" borderId="0" xfId="121" applyNumberFormat="1" applyFont="1" applyFill="1" applyAlignment="1">
      <alignment horizontal="right"/>
    </xf>
    <xf numFmtId="173" fontId="68" fillId="27" borderId="0" xfId="121" applyNumberFormat="1" applyFont="1" applyFill="1" applyAlignment="1">
      <alignment horizontal="right"/>
    </xf>
    <xf numFmtId="173" fontId="35" fillId="0" borderId="0" xfId="121" applyNumberFormat="1" applyFont="1" applyAlignment="1">
      <alignment horizontal="right"/>
    </xf>
    <xf numFmtId="173" fontId="70" fillId="0" borderId="0" xfId="121" applyNumberFormat="1" applyFont="1" applyAlignment="1">
      <alignment horizontal="right"/>
    </xf>
    <xf numFmtId="173" fontId="40" fillId="0" borderId="0" xfId="121" applyNumberFormat="1" applyFont="1" applyAlignment="1">
      <alignment horizontal="right"/>
    </xf>
    <xf numFmtId="173" fontId="72" fillId="0" borderId="0" xfId="121" applyNumberFormat="1" applyFont="1" applyAlignment="1">
      <alignment horizontal="right"/>
    </xf>
    <xf numFmtId="170" fontId="72" fillId="0" borderId="0" xfId="90" applyNumberFormat="1" applyFont="1" applyAlignment="1">
      <alignment horizontal="right"/>
    </xf>
    <xf numFmtId="173" fontId="40" fillId="27" borderId="0" xfId="121" applyNumberFormat="1" applyFont="1" applyFill="1" applyAlignment="1">
      <alignment horizontal="right"/>
    </xf>
    <xf numFmtId="173" fontId="40" fillId="8" borderId="0" xfId="121" applyNumberFormat="1" applyFont="1" applyFill="1" applyAlignment="1">
      <alignment horizontal="right"/>
    </xf>
    <xf numFmtId="9" fontId="38" fillId="27" borderId="0" xfId="121" applyNumberFormat="1" applyFont="1" applyFill="1" applyAlignment="1">
      <alignment horizontal="right"/>
    </xf>
    <xf numFmtId="9" fontId="35" fillId="0" borderId="0" xfId="121" applyNumberFormat="1" applyFont="1" applyAlignment="1">
      <alignment horizontal="right"/>
    </xf>
    <xf numFmtId="170" fontId="38" fillId="0" borderId="0" xfId="121" applyNumberFormat="1" applyFont="1" applyAlignment="1">
      <alignment horizontal="right"/>
    </xf>
    <xf numFmtId="9" fontId="40" fillId="0" borderId="0" xfId="121" applyNumberFormat="1" applyFont="1" applyAlignment="1">
      <alignment horizontal="right"/>
    </xf>
    <xf numFmtId="10" fontId="38" fillId="0" borderId="0" xfId="121" applyNumberFormat="1" applyFont="1" applyAlignment="1">
      <alignment horizontal="right"/>
    </xf>
    <xf numFmtId="10" fontId="35" fillId="0" borderId="0" xfId="121" applyNumberFormat="1" applyFont="1" applyAlignment="1">
      <alignment horizontal="right"/>
    </xf>
    <xf numFmtId="10" fontId="70" fillId="0" borderId="0" xfId="121" applyNumberFormat="1" applyFont="1" applyAlignment="1">
      <alignment horizontal="right"/>
    </xf>
    <xf numFmtId="10" fontId="40" fillId="0" borderId="0" xfId="121" applyNumberFormat="1" applyFont="1" applyAlignment="1">
      <alignment horizontal="right"/>
    </xf>
    <xf numFmtId="1" fontId="38" fillId="32" borderId="0" xfId="121" applyNumberFormat="1" applyFont="1" applyFill="1" applyAlignment="1">
      <alignment horizontal="right"/>
    </xf>
    <xf numFmtId="1" fontId="35" fillId="0" borderId="0" xfId="121" applyNumberFormat="1" applyFont="1" applyAlignment="1">
      <alignment horizontal="right"/>
    </xf>
    <xf numFmtId="1" fontId="40" fillId="0" borderId="0" xfId="121" applyNumberFormat="1" applyFont="1" applyAlignment="1">
      <alignment horizontal="right"/>
    </xf>
    <xf numFmtId="0" fontId="75" fillId="0" borderId="0" xfId="121" applyFont="1"/>
    <xf numFmtId="170" fontId="17" fillId="0" borderId="0" xfId="64" applyNumberFormat="1" applyFont="1" applyBorder="1" applyAlignment="1">
      <alignment horizontal="right"/>
    </xf>
    <xf numFmtId="170" fontId="17" fillId="0" borderId="1" xfId="64" applyNumberFormat="1" applyFont="1" applyBorder="1" applyAlignment="1">
      <alignment horizontal="right"/>
    </xf>
    <xf numFmtId="0" fontId="4" fillId="7" borderId="0" xfId="126" applyFill="1"/>
    <xf numFmtId="0" fontId="83" fillId="36" borderId="0" xfId="124" applyFont="1" applyBorder="1" applyAlignment="1"/>
    <xf numFmtId="0" fontId="79" fillId="7" borderId="0" xfId="123" applyFill="1" applyAlignment="1">
      <alignment horizontal="center"/>
    </xf>
    <xf numFmtId="0" fontId="81" fillId="37" borderId="34" xfId="125" applyBorder="1" applyAlignment="1"/>
    <xf numFmtId="0" fontId="4" fillId="7" borderId="38" xfId="126" applyFill="1" applyBorder="1"/>
    <xf numFmtId="0" fontId="141" fillId="34" borderId="0" xfId="438" applyFill="1" applyBorder="1" applyAlignment="1" applyProtection="1">
      <alignment horizontal="left"/>
    </xf>
    <xf numFmtId="0" fontId="141" fillId="36" borderId="0" xfId="438" applyFill="1" applyBorder="1" applyAlignment="1" applyProtection="1">
      <alignment horizontal="left"/>
    </xf>
    <xf numFmtId="3" fontId="17" fillId="45" borderId="0" xfId="0" applyNumberFormat="1" applyFont="1" applyFill="1" applyAlignment="1">
      <alignment horizontal="right"/>
    </xf>
    <xf numFmtId="3" fontId="15" fillId="45" borderId="0" xfId="0" applyNumberFormat="1" applyFont="1" applyFill="1" applyAlignment="1">
      <alignment horizontal="right"/>
    </xf>
    <xf numFmtId="0" fontId="17" fillId="0" borderId="1" xfId="0" applyFont="1" applyBorder="1"/>
    <xf numFmtId="170" fontId="38" fillId="0" borderId="0" xfId="2" applyNumberFormat="1" applyFont="1" applyFill="1" applyAlignment="1">
      <alignment horizontal="right"/>
    </xf>
    <xf numFmtId="0" fontId="38" fillId="0" borderId="0" xfId="89" applyAlignment="1">
      <alignment vertical="top"/>
    </xf>
    <xf numFmtId="0" fontId="68" fillId="0" borderId="3" xfId="439" applyFont="1" applyBorder="1" applyAlignment="1">
      <alignment vertical="top"/>
    </xf>
    <xf numFmtId="0" fontId="38" fillId="0" borderId="0" xfId="439" applyAlignment="1">
      <alignment vertical="top"/>
    </xf>
    <xf numFmtId="0" fontId="38" fillId="0" borderId="0" xfId="440" applyFont="1" applyAlignment="1">
      <alignment vertical="top"/>
    </xf>
    <xf numFmtId="0" fontId="38" fillId="0" borderId="0" xfId="440" applyFont="1" applyAlignment="1">
      <alignment horizontal="right" vertical="top"/>
    </xf>
    <xf numFmtId="0" fontId="68" fillId="6" borderId="0" xfId="439" applyFont="1" applyFill="1" applyAlignment="1">
      <alignment vertical="top"/>
    </xf>
    <xf numFmtId="0" fontId="38" fillId="46" borderId="0" xfId="440" applyFont="1" applyFill="1" applyAlignment="1">
      <alignment horizontal="right" vertical="top"/>
    </xf>
    <xf numFmtId="234" fontId="38" fillId="6" borderId="0" xfId="440" applyNumberFormat="1" applyFont="1" applyFill="1" applyAlignment="1">
      <alignment vertical="top"/>
    </xf>
    <xf numFmtId="0" fontId="38" fillId="6" borderId="0" xfId="89" applyFill="1" applyAlignment="1">
      <alignment vertical="top"/>
    </xf>
    <xf numFmtId="0" fontId="68" fillId="0" borderId="0" xfId="89" applyFont="1" applyAlignment="1">
      <alignment vertical="top"/>
    </xf>
    <xf numFmtId="0" fontId="68" fillId="0" borderId="0" xfId="439" applyFont="1" applyAlignment="1">
      <alignment vertical="top"/>
    </xf>
    <xf numFmtId="0" fontId="68" fillId="29" borderId="0" xfId="440" applyFont="1" applyFill="1" applyAlignment="1">
      <alignment vertical="top"/>
    </xf>
    <xf numFmtId="0" fontId="68" fillId="47" borderId="24" xfId="440" applyFont="1" applyFill="1" applyBorder="1" applyAlignment="1">
      <alignment horizontal="right" vertical="top"/>
    </xf>
    <xf numFmtId="0" fontId="68" fillId="47" borderId="24" xfId="441" applyFont="1" applyFill="1" applyBorder="1" applyAlignment="1">
      <alignment horizontal="right" vertical="top" wrapText="1"/>
    </xf>
    <xf numFmtId="0" fontId="38" fillId="0" borderId="3" xfId="89" applyBorder="1" applyAlignment="1">
      <alignment vertical="top"/>
    </xf>
    <xf numFmtId="0" fontId="38" fillId="0" borderId="3" xfId="439" applyBorder="1" applyAlignment="1">
      <alignment vertical="top"/>
    </xf>
    <xf numFmtId="0" fontId="38" fillId="0" borderId="3" xfId="440" applyFont="1" applyBorder="1" applyAlignment="1">
      <alignment vertical="top"/>
    </xf>
    <xf numFmtId="0" fontId="38" fillId="0" borderId="3" xfId="440" applyFont="1" applyBorder="1" applyAlignment="1">
      <alignment horizontal="right" vertical="top"/>
    </xf>
    <xf numFmtId="0" fontId="68" fillId="0" borderId="47" xfId="439" applyFont="1" applyBorder="1" applyAlignment="1">
      <alignment vertical="top"/>
    </xf>
    <xf numFmtId="172" fontId="38" fillId="46" borderId="47" xfId="439" applyNumberFormat="1" applyFill="1" applyBorder="1" applyAlignment="1">
      <alignment vertical="top"/>
    </xf>
    <xf numFmtId="235" fontId="68" fillId="47" borderId="47" xfId="442" applyNumberFormat="1" applyFont="1" applyFill="1" applyBorder="1" applyAlignment="1">
      <alignment vertical="top"/>
    </xf>
    <xf numFmtId="0" fontId="68" fillId="47" borderId="47" xfId="441" applyFont="1" applyFill="1" applyBorder="1" applyAlignment="1">
      <alignment vertical="top"/>
    </xf>
    <xf numFmtId="0" fontId="38" fillId="0" borderId="47" xfId="89" applyBorder="1" applyAlignment="1">
      <alignment vertical="top"/>
    </xf>
    <xf numFmtId="168" fontId="38" fillId="0" borderId="47" xfId="442" applyFont="1" applyFill="1" applyBorder="1" applyAlignment="1">
      <alignment vertical="top"/>
    </xf>
    <xf numFmtId="236" fontId="38" fillId="0" borderId="47" xfId="442" applyNumberFormat="1" applyFont="1" applyFill="1" applyBorder="1" applyAlignment="1">
      <alignment vertical="top"/>
    </xf>
    <xf numFmtId="168" fontId="38" fillId="6" borderId="47" xfId="442" applyFont="1" applyFill="1" applyBorder="1" applyAlignment="1">
      <alignment vertical="top"/>
    </xf>
    <xf numFmtId="236" fontId="38" fillId="47" borderId="47" xfId="442" applyNumberFormat="1" applyFont="1" applyFill="1" applyBorder="1" applyAlignment="1">
      <alignment vertical="top"/>
    </xf>
    <xf numFmtId="0" fontId="38" fillId="47" borderId="47" xfId="89" applyFill="1" applyBorder="1" applyAlignment="1">
      <alignment vertical="top"/>
    </xf>
    <xf numFmtId="172" fontId="68" fillId="0" borderId="47" xfId="439" applyNumberFormat="1" applyFont="1" applyBorder="1" applyAlignment="1">
      <alignment vertical="top"/>
    </xf>
    <xf numFmtId="236" fontId="68" fillId="0" borderId="47" xfId="442" applyNumberFormat="1" applyFont="1" applyBorder="1" applyAlignment="1">
      <alignment vertical="top"/>
    </xf>
    <xf numFmtId="168" fontId="68" fillId="0" borderId="47" xfId="442" applyFont="1" applyBorder="1" applyAlignment="1">
      <alignment vertical="top"/>
    </xf>
    <xf numFmtId="236" fontId="68" fillId="47" borderId="47" xfId="442" applyNumberFormat="1" applyFont="1" applyFill="1" applyBorder="1" applyAlignment="1">
      <alignment vertical="top"/>
    </xf>
    <xf numFmtId="0" fontId="38" fillId="0" borderId="47" xfId="439" applyBorder="1" applyAlignment="1">
      <alignment vertical="top"/>
    </xf>
    <xf numFmtId="168" fontId="38" fillId="0" borderId="47" xfId="442" applyFont="1" applyBorder="1" applyAlignment="1">
      <alignment vertical="top"/>
    </xf>
    <xf numFmtId="168" fontId="38" fillId="47" borderId="47" xfId="442" applyFont="1" applyFill="1" applyBorder="1" applyAlignment="1">
      <alignment vertical="top"/>
    </xf>
    <xf numFmtId="172" fontId="68" fillId="0" borderId="47" xfId="440" applyNumberFormat="1" applyFont="1" applyBorder="1" applyAlignment="1">
      <alignment vertical="top"/>
    </xf>
    <xf numFmtId="1" fontId="38" fillId="0" borderId="47" xfId="440" applyNumberFormat="1" applyFont="1" applyBorder="1" applyAlignment="1">
      <alignment vertical="top"/>
    </xf>
    <xf numFmtId="235" fontId="38" fillId="0" borderId="47" xfId="442" applyNumberFormat="1" applyFont="1" applyFill="1" applyBorder="1" applyAlignment="1">
      <alignment vertical="top"/>
    </xf>
    <xf numFmtId="172" fontId="38" fillId="47" borderId="47" xfId="440" applyNumberFormat="1" applyFont="1" applyFill="1" applyBorder="1" applyAlignment="1">
      <alignment vertical="top"/>
    </xf>
    <xf numFmtId="168" fontId="68" fillId="47" borderId="47" xfId="442" applyFont="1" applyFill="1" applyBorder="1" applyAlignment="1">
      <alignment horizontal="right" vertical="top"/>
    </xf>
    <xf numFmtId="0" fontId="38" fillId="0" borderId="47" xfId="439" applyBorder="1" applyAlignment="1">
      <alignment horizontal="left" vertical="top" indent="1"/>
    </xf>
    <xf numFmtId="172" fontId="38" fillId="0" borderId="47" xfId="439" applyNumberFormat="1" applyBorder="1" applyAlignment="1">
      <alignment vertical="top"/>
    </xf>
    <xf numFmtId="172" fontId="68" fillId="6" borderId="47" xfId="440" applyNumberFormat="1" applyFont="1" applyFill="1" applyBorder="1" applyAlignment="1">
      <alignment vertical="top"/>
    </xf>
    <xf numFmtId="172" fontId="142" fillId="47" borderId="47" xfId="440" applyNumberFormat="1" applyFont="1" applyFill="1" applyBorder="1" applyAlignment="1">
      <alignment vertical="top"/>
    </xf>
    <xf numFmtId="2" fontId="38" fillId="0" borderId="47" xfId="440" applyNumberFormat="1" applyFont="1" applyBorder="1" applyAlignment="1">
      <alignment vertical="top"/>
    </xf>
    <xf numFmtId="168" fontId="68" fillId="6" borderId="47" xfId="442" applyFont="1" applyFill="1" applyBorder="1" applyAlignment="1">
      <alignment vertical="top"/>
    </xf>
    <xf numFmtId="172" fontId="38" fillId="0" borderId="47" xfId="440" applyNumberFormat="1" applyFont="1" applyBorder="1" applyAlignment="1">
      <alignment vertical="top"/>
    </xf>
    <xf numFmtId="172" fontId="68" fillId="48" borderId="47" xfId="439" applyNumberFormat="1" applyFont="1" applyFill="1" applyBorder="1" applyAlignment="1">
      <alignment vertical="top"/>
    </xf>
    <xf numFmtId="0" fontId="38" fillId="0" borderId="0" xfId="89" applyAlignment="1">
      <alignment vertical="top" wrapText="1"/>
    </xf>
    <xf numFmtId="0" fontId="38" fillId="0" borderId="47" xfId="439" applyBorder="1" applyAlignment="1">
      <alignment horizontal="left" vertical="top"/>
    </xf>
    <xf numFmtId="0" fontId="68" fillId="47" borderId="47" xfId="441" applyFont="1" applyFill="1" applyBorder="1" applyAlignment="1">
      <alignment horizontal="right" vertical="top"/>
    </xf>
    <xf numFmtId="172" fontId="38" fillId="6" borderId="47" xfId="439" applyNumberFormat="1" applyFill="1" applyBorder="1" applyAlignment="1">
      <alignment vertical="top"/>
    </xf>
    <xf numFmtId="1" fontId="68" fillId="0" borderId="47" xfId="440" applyNumberFormat="1" applyFont="1" applyBorder="1" applyAlignment="1">
      <alignment vertical="top"/>
    </xf>
    <xf numFmtId="235" fontId="68" fillId="48" borderId="47" xfId="442" applyNumberFormat="1" applyFont="1" applyFill="1" applyBorder="1" applyAlignment="1">
      <alignment vertical="top"/>
    </xf>
    <xf numFmtId="236" fontId="68" fillId="47" borderId="47" xfId="440" applyNumberFormat="1" applyFont="1" applyFill="1" applyBorder="1" applyAlignment="1">
      <alignment vertical="top"/>
    </xf>
    <xf numFmtId="0" fontId="68" fillId="48" borderId="47" xfId="439" applyFont="1" applyFill="1" applyBorder="1" applyAlignment="1">
      <alignment vertical="top"/>
    </xf>
    <xf numFmtId="1" fontId="68" fillId="48" borderId="47" xfId="440" applyNumberFormat="1" applyFont="1" applyFill="1" applyBorder="1" applyAlignment="1">
      <alignment vertical="top"/>
    </xf>
    <xf numFmtId="0" fontId="38" fillId="0" borderId="47" xfId="440" applyFont="1" applyBorder="1" applyAlignment="1">
      <alignment vertical="top"/>
    </xf>
    <xf numFmtId="236" fontId="68" fillId="6" borderId="47" xfId="442" applyNumberFormat="1" applyFont="1" applyFill="1" applyBorder="1" applyAlignment="1">
      <alignment vertical="top"/>
    </xf>
    <xf numFmtId="172" fontId="143" fillId="28" borderId="47" xfId="440" applyNumberFormat="1" applyFont="1" applyFill="1" applyBorder="1" applyAlignment="1">
      <alignment vertical="top"/>
    </xf>
    <xf numFmtId="172" fontId="38" fillId="0" borderId="47" xfId="440" applyNumberFormat="1" applyFont="1" applyBorder="1" applyAlignment="1">
      <alignment horizontal="right" vertical="top"/>
    </xf>
    <xf numFmtId="172" fontId="68" fillId="0" borderId="47" xfId="440" applyNumberFormat="1" applyFont="1" applyBorder="1" applyAlignment="1">
      <alignment horizontal="left" vertical="top"/>
    </xf>
    <xf numFmtId="235" fontId="68" fillId="46" borderId="47" xfId="442" applyNumberFormat="1" applyFont="1" applyFill="1" applyBorder="1" applyAlignment="1">
      <alignment vertical="top"/>
    </xf>
    <xf numFmtId="172" fontId="68" fillId="47" borderId="47" xfId="441" applyNumberFormat="1" applyFont="1" applyFill="1" applyBorder="1" applyAlignment="1">
      <alignment vertical="top"/>
    </xf>
    <xf numFmtId="172" fontId="38" fillId="47" borderId="47" xfId="441" applyNumberFormat="1" applyFont="1" applyFill="1" applyBorder="1" applyAlignment="1">
      <alignment vertical="top"/>
    </xf>
    <xf numFmtId="9" fontId="68" fillId="47" borderId="47" xfId="443" applyFont="1" applyFill="1" applyBorder="1" applyAlignment="1">
      <alignment vertical="top"/>
    </xf>
    <xf numFmtId="172" fontId="68" fillId="47" borderId="47" xfId="440" applyNumberFormat="1" applyFont="1" applyFill="1" applyBorder="1" applyAlignment="1">
      <alignment vertical="top"/>
    </xf>
    <xf numFmtId="0" fontId="38" fillId="47" borderId="47" xfId="440" applyFont="1" applyFill="1" applyBorder="1" applyAlignment="1">
      <alignment vertical="top"/>
    </xf>
    <xf numFmtId="0" fontId="68" fillId="28" borderId="47" xfId="439" applyFont="1" applyFill="1" applyBorder="1" applyAlignment="1">
      <alignment vertical="top"/>
    </xf>
    <xf numFmtId="0" fontId="38" fillId="28" borderId="47" xfId="439" applyFill="1" applyBorder="1" applyAlignment="1">
      <alignment vertical="top"/>
    </xf>
    <xf numFmtId="172" fontId="38" fillId="28" borderId="47" xfId="439" applyNumberFormat="1" applyFill="1" applyBorder="1" applyAlignment="1">
      <alignment vertical="top"/>
    </xf>
    <xf numFmtId="172" fontId="38" fillId="28" borderId="47" xfId="440" applyNumberFormat="1" applyFont="1" applyFill="1" applyBorder="1" applyAlignment="1">
      <alignment vertical="top"/>
    </xf>
    <xf numFmtId="172" fontId="38" fillId="0" borderId="47" xfId="439" applyNumberFormat="1" applyBorder="1" applyAlignment="1">
      <alignment horizontal="right" vertical="top"/>
    </xf>
    <xf numFmtId="172" fontId="143" fillId="28" borderId="47" xfId="440" applyNumberFormat="1" applyFont="1" applyFill="1" applyBorder="1" applyAlignment="1">
      <alignment horizontal="right" vertical="top"/>
    </xf>
    <xf numFmtId="0" fontId="38" fillId="46" borderId="0" xfId="439" applyFill="1" applyAlignment="1">
      <alignment vertical="top"/>
    </xf>
    <xf numFmtId="1" fontId="38" fillId="46" borderId="0" xfId="439" applyNumberFormat="1" applyFill="1" applyAlignment="1">
      <alignment vertical="top"/>
    </xf>
    <xf numFmtId="9" fontId="38" fillId="46" borderId="0" xfId="443" applyFont="1" applyFill="1" applyAlignment="1">
      <alignment vertical="top"/>
    </xf>
    <xf numFmtId="3" fontId="38" fillId="46" borderId="0" xfId="439" applyNumberFormat="1" applyFill="1" applyAlignment="1">
      <alignment vertical="top"/>
    </xf>
    <xf numFmtId="9" fontId="67" fillId="0" borderId="0" xfId="0" applyNumberFormat="1" applyFont="1"/>
    <xf numFmtId="170" fontId="68" fillId="0" borderId="0" xfId="2" applyNumberFormat="1" applyFont="1" applyBorder="1"/>
    <xf numFmtId="170" fontId="38" fillId="27" borderId="0" xfId="2" applyNumberFormat="1" applyFont="1" applyFill="1" applyAlignment="1">
      <alignment horizontal="right"/>
    </xf>
    <xf numFmtId="10" fontId="32" fillId="0" borderId="0" xfId="64" applyNumberFormat="1" applyFont="1" applyFill="1" applyBorder="1" applyAlignment="1">
      <alignment horizontal="right"/>
    </xf>
    <xf numFmtId="3" fontId="67" fillId="0" borderId="0" xfId="0" applyNumberFormat="1" applyFont="1" applyAlignment="1">
      <alignment horizontal="right"/>
    </xf>
    <xf numFmtId="3" fontId="38" fillId="46" borderId="0" xfId="121" applyNumberFormat="1" applyFont="1" applyFill="1" applyAlignment="1">
      <alignment horizontal="right"/>
    </xf>
    <xf numFmtId="173" fontId="38" fillId="6" borderId="0" xfId="121" applyNumberFormat="1" applyFont="1" applyFill="1" applyAlignment="1">
      <alignment horizontal="right"/>
    </xf>
    <xf numFmtId="173" fontId="40" fillId="6" borderId="0" xfId="121" applyNumberFormat="1" applyFont="1" applyFill="1" applyAlignment="1">
      <alignment horizontal="right"/>
    </xf>
    <xf numFmtId="170" fontId="40" fillId="6" borderId="0" xfId="121" applyNumberFormat="1" applyFont="1" applyFill="1" applyAlignment="1">
      <alignment horizontal="right"/>
    </xf>
    <xf numFmtId="175" fontId="17" fillId="0" borderId="0" xfId="0" applyNumberFormat="1" applyFont="1" applyAlignment="1">
      <alignment horizontal="right"/>
    </xf>
    <xf numFmtId="170" fontId="20" fillId="0" borderId="0" xfId="64" applyNumberFormat="1" applyFont="1" applyAlignment="1">
      <alignment horizontal="right"/>
    </xf>
    <xf numFmtId="9" fontId="20" fillId="0" borderId="0" xfId="64" applyFont="1" applyAlignment="1">
      <alignment horizontal="right"/>
    </xf>
    <xf numFmtId="9" fontId="17" fillId="0" borderId="0" xfId="64" applyFont="1" applyFill="1" applyBorder="1" applyAlignment="1">
      <alignment horizontal="right"/>
    </xf>
    <xf numFmtId="4" fontId="32" fillId="0" borderId="0" xfId="0" applyNumberFormat="1" applyFont="1" applyAlignment="1">
      <alignment horizontal="right"/>
    </xf>
    <xf numFmtId="4" fontId="32" fillId="0" borderId="1" xfId="0" applyNumberFormat="1" applyFont="1" applyBorder="1" applyAlignment="1">
      <alignment horizontal="right"/>
    </xf>
    <xf numFmtId="4" fontId="20" fillId="0" borderId="0" xfId="0" applyNumberFormat="1" applyFont="1" applyAlignment="1">
      <alignment horizontal="right"/>
    </xf>
    <xf numFmtId="9" fontId="20" fillId="0" borderId="1" xfId="64" applyFont="1" applyBorder="1" applyAlignment="1">
      <alignment horizontal="right"/>
    </xf>
    <xf numFmtId="170" fontId="20" fillId="0" borderId="1" xfId="64" applyNumberFormat="1" applyFont="1" applyBorder="1" applyAlignment="1">
      <alignment horizontal="right"/>
    </xf>
    <xf numFmtId="170" fontId="17" fillId="0" borderId="0" xfId="64" applyNumberFormat="1" applyFont="1" applyFill="1" applyBorder="1" applyAlignment="1">
      <alignment horizontal="right"/>
    </xf>
    <xf numFmtId="170" fontId="144" fillId="0" borderId="0" xfId="90" applyNumberFormat="1" applyFont="1" applyAlignment="1">
      <alignment horizontal="right"/>
    </xf>
    <xf numFmtId="170" fontId="144" fillId="27" borderId="0" xfId="90" applyNumberFormat="1" applyFont="1" applyFill="1" applyAlignment="1">
      <alignment horizontal="right"/>
    </xf>
    <xf numFmtId="3" fontId="144" fillId="27" borderId="0" xfId="121" applyNumberFormat="1" applyFont="1" applyFill="1" applyAlignment="1">
      <alignment horizontal="right"/>
    </xf>
    <xf numFmtId="3" fontId="145" fillId="0" borderId="0" xfId="121" applyNumberFormat="1" applyFont="1" applyAlignment="1">
      <alignment horizontal="right"/>
    </xf>
    <xf numFmtId="3" fontId="143" fillId="6" borderId="0" xfId="121" applyNumberFormat="1" applyFont="1" applyFill="1" applyAlignment="1">
      <alignment horizontal="right"/>
    </xf>
    <xf numFmtId="170" fontId="40" fillId="0" borderId="0" xfId="2" applyNumberFormat="1" applyFont="1" applyFill="1" applyAlignment="1">
      <alignment horizontal="right"/>
    </xf>
    <xf numFmtId="3" fontId="41" fillId="0" borderId="0" xfId="121" applyNumberFormat="1" applyFont="1" applyAlignment="1">
      <alignment horizontal="right"/>
    </xf>
    <xf numFmtId="170" fontId="38" fillId="0" borderId="0" xfId="121" applyNumberFormat="1" applyFont="1"/>
    <xf numFmtId="170" fontId="144" fillId="0" borderId="0" xfId="121" applyNumberFormat="1" applyFont="1"/>
    <xf numFmtId="170" fontId="40" fillId="0" borderId="0" xfId="2" applyNumberFormat="1" applyFont="1" applyAlignment="1">
      <alignment horizontal="right"/>
    </xf>
    <xf numFmtId="9" fontId="21" fillId="0" borderId="0" xfId="64" applyFont="1" applyFill="1" applyBorder="1" applyAlignment="1">
      <alignment horizontal="right"/>
    </xf>
    <xf numFmtId="9" fontId="21" fillId="0" borderId="1" xfId="64" applyFont="1" applyFill="1" applyBorder="1" applyAlignment="1">
      <alignment horizontal="right"/>
    </xf>
    <xf numFmtId="2" fontId="17" fillId="0" borderId="0" xfId="0" applyNumberFormat="1" applyFont="1"/>
    <xf numFmtId="170" fontId="17" fillId="0" borderId="0" xfId="64" applyNumberFormat="1" applyFont="1" applyFill="1" applyAlignment="1">
      <alignment horizontal="right"/>
    </xf>
    <xf numFmtId="10" fontId="21" fillId="0" borderId="0" xfId="64" applyNumberFormat="1" applyFont="1" applyFill="1" applyBorder="1" applyAlignment="1">
      <alignment horizontal="right"/>
    </xf>
    <xf numFmtId="170" fontId="18" fillId="0" borderId="0" xfId="64" applyNumberFormat="1" applyFont="1" applyAlignment="1">
      <alignment horizontal="right"/>
    </xf>
    <xf numFmtId="9" fontId="18" fillId="0" borderId="0" xfId="64" applyFont="1" applyAlignment="1">
      <alignment horizontal="right"/>
    </xf>
    <xf numFmtId="9" fontId="17" fillId="0" borderId="0" xfId="64" applyFont="1" applyFill="1" applyAlignment="1">
      <alignment horizontal="right"/>
    </xf>
    <xf numFmtId="3" fontId="23" fillId="6" borderId="0" xfId="0" applyNumberFormat="1" applyFont="1" applyFill="1" applyAlignment="1">
      <alignment horizontal="right"/>
    </xf>
    <xf numFmtId="10" fontId="13" fillId="2" borderId="0" xfId="64" applyNumberFormat="1" applyFont="1" applyFill="1" applyAlignment="1">
      <alignment horizontal="right"/>
    </xf>
    <xf numFmtId="10" fontId="15" fillId="0" borderId="0" xfId="64" applyNumberFormat="1" applyFont="1" applyAlignment="1">
      <alignment horizontal="right"/>
    </xf>
    <xf numFmtId="10" fontId="17" fillId="0" borderId="0" xfId="64" applyNumberFormat="1" applyFont="1" applyFill="1" applyBorder="1" applyAlignment="1">
      <alignment horizontal="right"/>
    </xf>
    <xf numFmtId="10" fontId="18" fillId="0" borderId="0" xfId="64" applyNumberFormat="1" applyFont="1" applyAlignment="1">
      <alignment horizontal="right"/>
    </xf>
    <xf numFmtId="10" fontId="15" fillId="3" borderId="0" xfId="64" applyNumberFormat="1" applyFont="1" applyFill="1" applyAlignment="1">
      <alignment horizontal="right"/>
    </xf>
    <xf numFmtId="2" fontId="32" fillId="0" borderId="0" xfId="0" applyNumberFormat="1" applyFont="1" applyAlignment="1">
      <alignment horizontal="right"/>
    </xf>
    <xf numFmtId="172" fontId="17" fillId="0" borderId="0" xfId="64" applyNumberFormat="1" applyFont="1" applyAlignment="1">
      <alignment horizontal="right"/>
    </xf>
    <xf numFmtId="3" fontId="17" fillId="0" borderId="0" xfId="64" applyNumberFormat="1" applyFont="1" applyAlignment="1">
      <alignment horizontal="right"/>
    </xf>
    <xf numFmtId="170" fontId="21" fillId="0" borderId="0" xfId="64" applyNumberFormat="1" applyFont="1" applyAlignment="1">
      <alignment horizontal="right"/>
    </xf>
    <xf numFmtId="9" fontId="18" fillId="0" borderId="0" xfId="64" applyFont="1" applyFill="1" applyAlignment="1">
      <alignment horizontal="right"/>
    </xf>
    <xf numFmtId="9" fontId="18" fillId="6" borderId="0" xfId="64" applyFont="1" applyFill="1" applyAlignment="1">
      <alignment horizontal="right"/>
    </xf>
    <xf numFmtId="10" fontId="23" fillId="0" borderId="0" xfId="64" applyNumberFormat="1" applyFont="1" applyAlignment="1">
      <alignment horizontal="right"/>
    </xf>
    <xf numFmtId="9" fontId="20" fillId="0" borderId="0" xfId="64" applyFont="1" applyBorder="1" applyAlignment="1">
      <alignment horizontal="right"/>
    </xf>
    <xf numFmtId="170" fontId="20" fillId="0" borderId="0" xfId="64" applyNumberFormat="1" applyFont="1" applyBorder="1" applyAlignment="1">
      <alignment horizontal="right"/>
    </xf>
    <xf numFmtId="10" fontId="15" fillId="0" borderId="0" xfId="0" applyNumberFormat="1" applyFont="1" applyAlignment="1">
      <alignment horizontal="right"/>
    </xf>
    <xf numFmtId="3" fontId="20" fillId="0" borderId="1" xfId="0" applyNumberFormat="1" applyFont="1" applyBorder="1" applyAlignment="1">
      <alignment horizontal="right"/>
    </xf>
    <xf numFmtId="2" fontId="18" fillId="0" borderId="0" xfId="0" applyNumberFormat="1" applyFont="1" applyAlignment="1">
      <alignment horizontal="right"/>
    </xf>
    <xf numFmtId="2" fontId="32" fillId="0" borderId="1" xfId="0" applyNumberFormat="1" applyFont="1" applyBorder="1" applyAlignment="1">
      <alignment horizontal="right"/>
    </xf>
    <xf numFmtId="2" fontId="20" fillId="0" borderId="0" xfId="0" applyNumberFormat="1" applyFont="1" applyAlignment="1">
      <alignment horizontal="right"/>
    </xf>
    <xf numFmtId="171" fontId="32" fillId="0" borderId="0" xfId="37" applyNumberFormat="1" applyFont="1" applyFill="1" applyBorder="1" applyAlignment="1">
      <alignment horizontal="right"/>
    </xf>
    <xf numFmtId="2" fontId="20" fillId="0" borderId="1" xfId="0" applyNumberFormat="1" applyFont="1" applyBorder="1" applyAlignment="1">
      <alignment horizontal="right"/>
    </xf>
    <xf numFmtId="10" fontId="17" fillId="0" borderId="1" xfId="64" applyNumberFormat="1" applyFont="1" applyFill="1" applyBorder="1" applyAlignment="1">
      <alignment horizontal="right"/>
    </xf>
    <xf numFmtId="170" fontId="40" fillId="49" borderId="0" xfId="121" applyNumberFormat="1" applyFont="1" applyFill="1" applyAlignment="1">
      <alignment horizontal="right"/>
    </xf>
    <xf numFmtId="9" fontId="38" fillId="0" borderId="0" xfId="2" applyFont="1" applyAlignment="1">
      <alignment horizontal="right"/>
    </xf>
    <xf numFmtId="3" fontId="143" fillId="0" borderId="0" xfId="121" applyNumberFormat="1" applyFont="1" applyAlignment="1">
      <alignment horizontal="right"/>
    </xf>
    <xf numFmtId="3" fontId="68" fillId="45" borderId="0" xfId="121" applyNumberFormat="1" applyFont="1" applyFill="1" applyAlignment="1">
      <alignment horizontal="right"/>
    </xf>
    <xf numFmtId="3" fontId="41" fillId="45" borderId="0" xfId="121" applyNumberFormat="1" applyFont="1" applyFill="1" applyAlignment="1">
      <alignment horizontal="right"/>
    </xf>
    <xf numFmtId="9" fontId="17" fillId="0" borderId="0" xfId="64" applyFont="1"/>
    <xf numFmtId="3" fontId="146" fillId="0" borderId="0" xfId="0" applyNumberFormat="1" applyFont="1" applyAlignment="1">
      <alignment horizontal="right"/>
    </xf>
    <xf numFmtId="3" fontId="147" fillId="0" borderId="0" xfId="0" applyNumberFormat="1" applyFont="1" applyAlignment="1">
      <alignment horizontal="right"/>
    </xf>
    <xf numFmtId="17" fontId="17" fillId="0" borderId="0" xfId="5" applyNumberFormat="1" applyFont="1"/>
    <xf numFmtId="0" fontId="17" fillId="0" borderId="0" xfId="5" applyFont="1"/>
    <xf numFmtId="0" fontId="15" fillId="0" borderId="0" xfId="5" applyFont="1"/>
    <xf numFmtId="0" fontId="17" fillId="0" borderId="0" xfId="5" applyFont="1" applyAlignment="1">
      <alignment horizontal="right" indent="1"/>
    </xf>
    <xf numFmtId="186" fontId="17" fillId="0" borderId="0" xfId="5" applyNumberFormat="1" applyFont="1" applyAlignment="1">
      <alignment horizontal="right"/>
    </xf>
    <xf numFmtId="187" fontId="15" fillId="0" borderId="0" xfId="5" applyNumberFormat="1" applyFont="1"/>
    <xf numFmtId="188" fontId="17" fillId="0" borderId="0" xfId="5" applyNumberFormat="1" applyFont="1"/>
    <xf numFmtId="189" fontId="17" fillId="0" borderId="0" xfId="5" applyNumberFormat="1" applyFont="1" applyAlignment="1">
      <alignment horizontal="right"/>
    </xf>
    <xf numFmtId="0" fontId="15" fillId="0" borderId="22" xfId="5" applyFont="1" applyBorder="1"/>
    <xf numFmtId="187" fontId="15" fillId="0" borderId="22" xfId="5" applyNumberFormat="1" applyFont="1" applyBorder="1"/>
    <xf numFmtId="190" fontId="17" fillId="0" borderId="0" xfId="5" applyNumberFormat="1" applyFont="1" applyAlignment="1">
      <alignment horizontal="right" indent="1"/>
    </xf>
    <xf numFmtId="191" fontId="17" fillId="0" borderId="0" xfId="5" applyNumberFormat="1" applyFont="1" applyAlignment="1">
      <alignment horizontal="right"/>
    </xf>
    <xf numFmtId="187" fontId="17" fillId="0" borderId="0" xfId="5" applyNumberFormat="1" applyFont="1"/>
    <xf numFmtId="3" fontId="17" fillId="0" borderId="0" xfId="5" applyNumberFormat="1" applyFont="1" applyAlignment="1">
      <alignment horizontal="right" indent="1"/>
    </xf>
    <xf numFmtId="192" fontId="17" fillId="0" borderId="0" xfId="5" applyNumberFormat="1" applyFont="1" applyAlignment="1">
      <alignment horizontal="right"/>
    </xf>
    <xf numFmtId="193" fontId="17" fillId="0" borderId="0" xfId="5" applyNumberFormat="1" applyFont="1" applyAlignment="1">
      <alignment horizontal="right"/>
    </xf>
    <xf numFmtId="0" fontId="17" fillId="0" borderId="0" xfId="5" applyFont="1" applyAlignment="1">
      <alignment horizontal="right"/>
    </xf>
    <xf numFmtId="194" fontId="15" fillId="0" borderId="0" xfId="5" applyNumberFormat="1" applyFont="1"/>
    <xf numFmtId="0" fontId="17" fillId="0" borderId="0" xfId="5" quotePrefix="1" applyFont="1"/>
    <xf numFmtId="195" fontId="17" fillId="0" borderId="0" xfId="5" applyNumberFormat="1" applyFont="1"/>
    <xf numFmtId="0" fontId="17" fillId="0" borderId="24" xfId="5" applyFont="1" applyBorder="1"/>
    <xf numFmtId="187" fontId="17" fillId="0" borderId="24" xfId="5" applyNumberFormat="1" applyFont="1" applyBorder="1"/>
    <xf numFmtId="196" fontId="17" fillId="0" borderId="0" xfId="5" applyNumberFormat="1" applyFont="1"/>
    <xf numFmtId="197" fontId="15" fillId="0" borderId="0" xfId="5" applyNumberFormat="1" applyFont="1"/>
    <xf numFmtId="173" fontId="17" fillId="0" borderId="0" xfId="5" applyNumberFormat="1" applyFont="1"/>
    <xf numFmtId="173" fontId="15" fillId="0" borderId="0" xfId="5" applyNumberFormat="1" applyFont="1"/>
    <xf numFmtId="170" fontId="17" fillId="0" borderId="0" xfId="64" applyNumberFormat="1" applyFont="1" applyFill="1"/>
    <xf numFmtId="198" fontId="17" fillId="0" borderId="0" xfId="5" applyNumberFormat="1" applyFont="1"/>
    <xf numFmtId="173" fontId="15" fillId="0" borderId="22" xfId="5" applyNumberFormat="1" applyFont="1" applyBorder="1"/>
    <xf numFmtId="0" fontId="17" fillId="0" borderId="24" xfId="5" quotePrefix="1" applyFont="1" applyBorder="1"/>
    <xf numFmtId="199" fontId="17" fillId="0" borderId="0" xfId="5" applyNumberFormat="1" applyFont="1"/>
    <xf numFmtId="200" fontId="17" fillId="0" borderId="0" xfId="5" applyNumberFormat="1" applyFont="1"/>
    <xf numFmtId="0" fontId="15" fillId="0" borderId="24" xfId="5" applyFont="1" applyBorder="1"/>
    <xf numFmtId="173" fontId="15" fillId="0" borderId="24" xfId="5" applyNumberFormat="1" applyFont="1" applyBorder="1"/>
    <xf numFmtId="0" fontId="15" fillId="0" borderId="0" xfId="5" applyFont="1" applyAlignment="1">
      <alignment horizontal="left"/>
    </xf>
    <xf numFmtId="0" fontId="15" fillId="0" borderId="0" xfId="5" applyFont="1" applyAlignment="1">
      <alignment horizontal="right"/>
    </xf>
    <xf numFmtId="0" fontId="17" fillId="0" borderId="0" xfId="5" applyFont="1" applyAlignment="1">
      <alignment horizontal="left"/>
    </xf>
    <xf numFmtId="0" fontId="15" fillId="0" borderId="0" xfId="5" applyFont="1" applyAlignment="1">
      <alignment horizontal="right" indent="1"/>
    </xf>
    <xf numFmtId="190" fontId="17" fillId="0" borderId="0" xfId="5" applyNumberFormat="1" applyFont="1" applyAlignment="1">
      <alignment horizontal="right"/>
    </xf>
    <xf numFmtId="9" fontId="17" fillId="0" borderId="0" xfId="5" applyNumberFormat="1" applyFont="1" applyAlignment="1">
      <alignment horizontal="right" indent="1"/>
    </xf>
    <xf numFmtId="190" fontId="15" fillId="0" borderId="0" xfId="5" applyNumberFormat="1" applyFont="1" applyAlignment="1">
      <alignment horizontal="right"/>
    </xf>
    <xf numFmtId="9" fontId="15" fillId="0" borderId="0" xfId="5" applyNumberFormat="1" applyFont="1" applyAlignment="1">
      <alignment horizontal="right" indent="1"/>
    </xf>
    <xf numFmtId="170" fontId="17" fillId="0" borderId="0" xfId="5" applyNumberFormat="1" applyFont="1" applyAlignment="1">
      <alignment horizontal="left"/>
    </xf>
    <xf numFmtId="201" fontId="17" fillId="0" borderId="0" xfId="5" applyNumberFormat="1" applyFont="1" applyAlignment="1">
      <alignment horizontal="right"/>
    </xf>
    <xf numFmtId="201" fontId="17" fillId="0" borderId="6" xfId="5" applyNumberFormat="1" applyFont="1" applyBorder="1" applyAlignment="1">
      <alignment horizontal="right"/>
    </xf>
    <xf numFmtId="4" fontId="17" fillId="0" borderId="0" xfId="5" applyNumberFormat="1" applyFont="1" applyAlignment="1">
      <alignment horizontal="left"/>
    </xf>
    <xf numFmtId="202" fontId="17" fillId="0" borderId="0" xfId="5" applyNumberFormat="1" applyFont="1" applyAlignment="1">
      <alignment horizontal="right"/>
    </xf>
    <xf numFmtId="0" fontId="148" fillId="50" borderId="0" xfId="5" applyFont="1" applyFill="1"/>
    <xf numFmtId="185" fontId="148" fillId="50" borderId="0" xfId="5" applyNumberFormat="1" applyFont="1" applyFill="1" applyAlignment="1">
      <alignment horizontal="right"/>
    </xf>
    <xf numFmtId="0" fontId="148" fillId="50" borderId="0" xfId="5" applyFont="1" applyFill="1" applyAlignment="1">
      <alignment horizontal="right"/>
    </xf>
    <xf numFmtId="0" fontId="24" fillId="0" borderId="0" xfId="5" applyFont="1"/>
    <xf numFmtId="1" fontId="20" fillId="0" borderId="1" xfId="0" applyNumberFormat="1" applyFont="1" applyBorder="1" applyAlignment="1">
      <alignment horizontal="right"/>
    </xf>
    <xf numFmtId="43" fontId="15" fillId="0" borderId="1" xfId="0" applyNumberFormat="1" applyFont="1" applyBorder="1" applyAlignment="1">
      <alignment horizontal="right"/>
    </xf>
    <xf numFmtId="10" fontId="15" fillId="0" borderId="1" xfId="0" applyNumberFormat="1" applyFont="1" applyBorder="1" applyAlignment="1">
      <alignment horizontal="right"/>
    </xf>
    <xf numFmtId="43" fontId="15" fillId="0" borderId="0" xfId="0" applyNumberFormat="1" applyFont="1" applyAlignment="1">
      <alignment horizontal="right"/>
    </xf>
    <xf numFmtId="10" fontId="20" fillId="0" borderId="0" xfId="64" applyNumberFormat="1" applyFont="1" applyAlignment="1">
      <alignment horizontal="right"/>
    </xf>
    <xf numFmtId="10" fontId="17" fillId="0" borderId="0" xfId="5" applyNumberFormat="1" applyFont="1"/>
    <xf numFmtId="10" fontId="17" fillId="0" borderId="0" xfId="0" applyNumberFormat="1" applyFont="1"/>
    <xf numFmtId="10" fontId="32" fillId="0" borderId="1" xfId="64" applyNumberFormat="1" applyFont="1" applyFill="1" applyBorder="1" applyAlignment="1">
      <alignment horizontal="right"/>
    </xf>
    <xf numFmtId="171" fontId="32" fillId="0" borderId="1" xfId="37" applyNumberFormat="1" applyFont="1" applyFill="1" applyBorder="1" applyAlignment="1">
      <alignment horizontal="right"/>
    </xf>
    <xf numFmtId="170" fontId="21" fillId="0" borderId="0" xfId="64" applyNumberFormat="1" applyFont="1" applyBorder="1" applyAlignment="1">
      <alignment horizontal="right"/>
    </xf>
    <xf numFmtId="170" fontId="17" fillId="0" borderId="0" xfId="64" applyNumberFormat="1" applyFont="1" applyBorder="1"/>
    <xf numFmtId="170" fontId="32" fillId="0" borderId="0" xfId="64" applyNumberFormat="1" applyFont="1" applyFill="1" applyBorder="1" applyAlignment="1">
      <alignment horizontal="right"/>
    </xf>
    <xf numFmtId="9" fontId="32" fillId="0" borderId="0" xfId="64" applyFont="1" applyBorder="1" applyAlignment="1">
      <alignment horizontal="right"/>
    </xf>
    <xf numFmtId="171" fontId="17" fillId="0" borderId="0" xfId="37" applyNumberFormat="1" applyFont="1" applyBorder="1" applyAlignment="1">
      <alignment horizontal="right"/>
    </xf>
    <xf numFmtId="10" fontId="32" fillId="0" borderId="0" xfId="64" applyNumberFormat="1" applyFont="1" applyBorder="1" applyAlignment="1">
      <alignment horizontal="right"/>
    </xf>
    <xf numFmtId="9" fontId="15" fillId="0" borderId="0" xfId="64" applyFont="1" applyBorder="1" applyAlignment="1">
      <alignment horizontal="right"/>
    </xf>
    <xf numFmtId="3" fontId="17" fillId="0" borderId="0" xfId="64" applyNumberFormat="1" applyFont="1" applyFill="1" applyBorder="1" applyAlignment="1">
      <alignment horizontal="right"/>
    </xf>
    <xf numFmtId="10" fontId="13" fillId="2" borderId="0" xfId="64" applyNumberFormat="1" applyFont="1" applyFill="1" applyBorder="1" applyAlignment="1">
      <alignment horizontal="right"/>
    </xf>
    <xf numFmtId="10" fontId="33" fillId="0" borderId="0" xfId="64" applyNumberFormat="1" applyFont="1" applyBorder="1" applyAlignment="1">
      <alignment horizontal="right"/>
    </xf>
    <xf numFmtId="10" fontId="15" fillId="0" borderId="0" xfId="64" applyNumberFormat="1" applyFont="1" applyBorder="1" applyAlignment="1">
      <alignment horizontal="right"/>
    </xf>
    <xf numFmtId="10" fontId="15" fillId="0" borderId="0" xfId="64" applyNumberFormat="1" applyFont="1" applyFill="1" applyBorder="1" applyAlignment="1">
      <alignment horizontal="right"/>
    </xf>
    <xf numFmtId="10" fontId="15" fillId="3" borderId="0" xfId="64" applyNumberFormat="1" applyFont="1" applyFill="1" applyBorder="1" applyAlignment="1">
      <alignment horizontal="right"/>
    </xf>
    <xf numFmtId="172" fontId="17" fillId="0" borderId="0" xfId="64" applyNumberFormat="1" applyFont="1" applyBorder="1" applyAlignment="1">
      <alignment horizontal="right"/>
    </xf>
    <xf numFmtId="3" fontId="17" fillId="0" borderId="0" xfId="64" applyNumberFormat="1" applyFont="1" applyBorder="1" applyAlignment="1">
      <alignment horizontal="right"/>
    </xf>
    <xf numFmtId="10" fontId="21" fillId="0" borderId="1" xfId="64" applyNumberFormat="1" applyFont="1" applyFill="1" applyBorder="1" applyAlignment="1">
      <alignment horizontal="right"/>
    </xf>
    <xf numFmtId="169" fontId="21" fillId="0" borderId="1" xfId="0" applyNumberFormat="1" applyFont="1" applyBorder="1" applyAlignment="1">
      <alignment horizontal="right"/>
    </xf>
    <xf numFmtId="173" fontId="33" fillId="0" borderId="0" xfId="0" applyNumberFormat="1" applyFont="1" applyAlignment="1">
      <alignment horizontal="right"/>
    </xf>
    <xf numFmtId="173" fontId="33" fillId="0" borderId="1" xfId="0" applyNumberFormat="1" applyFont="1" applyBorder="1" applyAlignment="1">
      <alignment horizontal="right"/>
    </xf>
    <xf numFmtId="173" fontId="32" fillId="0" borderId="1" xfId="0" applyNumberFormat="1" applyFont="1" applyBorder="1" applyAlignment="1">
      <alignment horizontal="right"/>
    </xf>
    <xf numFmtId="173" fontId="15" fillId="0" borderId="1" xfId="0" applyNumberFormat="1" applyFont="1" applyBorder="1" applyAlignment="1">
      <alignment horizontal="right"/>
    </xf>
    <xf numFmtId="173" fontId="32" fillId="0" borderId="0" xfId="0" applyNumberFormat="1" applyFont="1" applyAlignment="1">
      <alignment horizontal="right"/>
    </xf>
    <xf numFmtId="173" fontId="15" fillId="0" borderId="0" xfId="0" applyNumberFormat="1" applyFont="1" applyAlignment="1">
      <alignment horizontal="right"/>
    </xf>
    <xf numFmtId="173" fontId="13" fillId="2" borderId="0" xfId="0" applyNumberFormat="1" applyFont="1" applyFill="1" applyAlignment="1">
      <alignment horizontal="right"/>
    </xf>
    <xf numFmtId="173" fontId="13" fillId="2" borderId="1" xfId="0" applyNumberFormat="1" applyFont="1" applyFill="1" applyBorder="1" applyAlignment="1">
      <alignment horizontal="right"/>
    </xf>
    <xf numFmtId="173" fontId="17" fillId="0" borderId="0" xfId="0" applyNumberFormat="1" applyFont="1"/>
    <xf numFmtId="173" fontId="18" fillId="0" borderId="1" xfId="0" applyNumberFormat="1" applyFont="1" applyBorder="1" applyAlignment="1">
      <alignment horizontal="right"/>
    </xf>
    <xf numFmtId="173" fontId="20" fillId="0" borderId="1" xfId="0" applyNumberFormat="1" applyFont="1" applyBorder="1" applyAlignment="1">
      <alignment horizontal="right"/>
    </xf>
    <xf numFmtId="173" fontId="66" fillId="0" borderId="0" xfId="0" applyNumberFormat="1" applyFont="1" applyAlignment="1">
      <alignment horizontal="right"/>
    </xf>
    <xf numFmtId="173" fontId="66" fillId="0" borderId="1" xfId="0" applyNumberFormat="1" applyFont="1" applyBorder="1" applyAlignment="1">
      <alignment horizontal="right"/>
    </xf>
    <xf numFmtId="173" fontId="17" fillId="0" borderId="0" xfId="64" applyNumberFormat="1" applyFont="1" applyFill="1" applyBorder="1" applyAlignment="1">
      <alignment horizontal="right"/>
    </xf>
    <xf numFmtId="173" fontId="17" fillId="0" borderId="1" xfId="64" applyNumberFormat="1" applyFont="1" applyFill="1" applyBorder="1" applyAlignment="1">
      <alignment horizontal="right"/>
    </xf>
    <xf numFmtId="173" fontId="33" fillId="0" borderId="0" xfId="64" applyNumberFormat="1" applyFont="1" applyFill="1" applyBorder="1" applyAlignment="1">
      <alignment horizontal="right"/>
    </xf>
    <xf numFmtId="173" fontId="33" fillId="0" borderId="1" xfId="64" applyNumberFormat="1" applyFont="1" applyFill="1" applyBorder="1" applyAlignment="1">
      <alignment horizontal="right"/>
    </xf>
    <xf numFmtId="173" fontId="18" fillId="0" borderId="0" xfId="0" applyNumberFormat="1" applyFont="1" applyAlignment="1">
      <alignment horizontal="right"/>
    </xf>
    <xf numFmtId="173" fontId="17" fillId="0" borderId="1" xfId="0" applyNumberFormat="1" applyFont="1" applyBorder="1"/>
    <xf numFmtId="173" fontId="24" fillId="0" borderId="1" xfId="0" applyNumberFormat="1" applyFont="1" applyBorder="1" applyAlignment="1">
      <alignment horizontal="right"/>
    </xf>
    <xf numFmtId="173" fontId="15" fillId="0" borderId="0" xfId="0" applyNumberFormat="1" applyFont="1"/>
    <xf numFmtId="178" fontId="20" fillId="0" borderId="1" xfId="0" applyNumberFormat="1" applyFont="1" applyBorder="1" applyAlignment="1">
      <alignment horizontal="right"/>
    </xf>
    <xf numFmtId="173" fontId="17" fillId="6" borderId="1" xfId="0" applyNumberFormat="1" applyFont="1" applyFill="1" applyBorder="1" applyAlignment="1">
      <alignment horizontal="right"/>
    </xf>
    <xf numFmtId="178" fontId="17" fillId="0" borderId="0" xfId="0" applyNumberFormat="1" applyFont="1"/>
    <xf numFmtId="178" fontId="15" fillId="0" borderId="0" xfId="0" applyNumberFormat="1" applyFont="1"/>
    <xf numFmtId="239" fontId="17" fillId="0" borderId="0" xfId="0" applyNumberFormat="1" applyFont="1"/>
    <xf numFmtId="178" fontId="32" fillId="0" borderId="1" xfId="0" applyNumberFormat="1" applyFont="1" applyBorder="1" applyAlignment="1">
      <alignment horizontal="right"/>
    </xf>
    <xf numFmtId="170" fontId="17" fillId="0" borderId="0" xfId="64" applyNumberFormat="1" applyFont="1"/>
    <xf numFmtId="170" fontId="15" fillId="0" borderId="0" xfId="64" applyNumberFormat="1" applyFont="1" applyBorder="1" applyAlignment="1">
      <alignment horizontal="right"/>
    </xf>
    <xf numFmtId="170" fontId="15" fillId="0" borderId="0" xfId="64" applyNumberFormat="1" applyFont="1"/>
    <xf numFmtId="9" fontId="15" fillId="0" borderId="0" xfId="64" applyFont="1"/>
    <xf numFmtId="10" fontId="17" fillId="0" borderId="0" xfId="64" applyNumberFormat="1" applyFont="1"/>
    <xf numFmtId="9" fontId="15" fillId="3" borderId="0" xfId="64" applyFont="1" applyFill="1" applyBorder="1" applyAlignment="1">
      <alignment horizontal="right"/>
    </xf>
    <xf numFmtId="205" fontId="24" fillId="0" borderId="0" xfId="64" applyNumberFormat="1" applyFont="1" applyAlignment="1">
      <alignment horizontal="right"/>
    </xf>
    <xf numFmtId="170" fontId="15" fillId="0" borderId="0" xfId="64" applyNumberFormat="1" applyFont="1" applyFill="1" applyBorder="1" applyAlignment="1">
      <alignment horizontal="right"/>
    </xf>
    <xf numFmtId="170" fontId="21" fillId="0" borderId="0" xfId="64" applyNumberFormat="1" applyFont="1" applyFill="1" applyBorder="1" applyAlignment="1">
      <alignment horizontal="right"/>
    </xf>
    <xf numFmtId="170" fontId="21" fillId="0" borderId="1" xfId="64" applyNumberFormat="1" applyFont="1" applyBorder="1" applyAlignment="1">
      <alignment horizontal="right"/>
    </xf>
    <xf numFmtId="10" fontId="32" fillId="0" borderId="1" xfId="64" applyNumberFormat="1" applyFont="1" applyBorder="1" applyAlignment="1">
      <alignment horizontal="right"/>
    </xf>
    <xf numFmtId="170" fontId="17" fillId="0" borderId="1" xfId="64" applyNumberFormat="1" applyFont="1" applyBorder="1"/>
    <xf numFmtId="170" fontId="32" fillId="0" borderId="1" xfId="64" applyNumberFormat="1" applyFont="1" applyFill="1" applyBorder="1" applyAlignment="1">
      <alignment horizontal="right"/>
    </xf>
    <xf numFmtId="9" fontId="32" fillId="0" borderId="1" xfId="64" applyFont="1" applyBorder="1" applyAlignment="1">
      <alignment horizontal="right"/>
    </xf>
    <xf numFmtId="9" fontId="32" fillId="0" borderId="0" xfId="64" applyFont="1" applyFill="1" applyBorder="1" applyAlignment="1">
      <alignment horizontal="right"/>
    </xf>
    <xf numFmtId="9" fontId="32" fillId="0" borderId="1" xfId="64" applyFont="1" applyFill="1" applyBorder="1" applyAlignment="1">
      <alignment horizontal="right"/>
    </xf>
    <xf numFmtId="171" fontId="17" fillId="0" borderId="0" xfId="37" applyNumberFormat="1" applyFont="1" applyFill="1" applyAlignment="1">
      <alignment horizontal="right"/>
    </xf>
    <xf numFmtId="171" fontId="18" fillId="46" borderId="0" xfId="37" applyNumberFormat="1" applyFont="1" applyFill="1" applyAlignment="1">
      <alignment horizontal="right"/>
    </xf>
    <xf numFmtId="171" fontId="17" fillId="0" borderId="0" xfId="37" applyNumberFormat="1" applyFont="1" applyFill="1" applyBorder="1" applyAlignment="1">
      <alignment horizontal="right"/>
    </xf>
    <xf numFmtId="171" fontId="17" fillId="0" borderId="0" xfId="37" applyNumberFormat="1" applyFont="1" applyAlignment="1">
      <alignment horizontal="right"/>
    </xf>
    <xf numFmtId="171" fontId="17" fillId="0" borderId="1" xfId="37" applyNumberFormat="1" applyFont="1" applyBorder="1" applyAlignment="1">
      <alignment horizontal="right"/>
    </xf>
    <xf numFmtId="9" fontId="15" fillId="0" borderId="1" xfId="64" applyFont="1" applyBorder="1" applyAlignment="1">
      <alignment horizontal="right"/>
    </xf>
    <xf numFmtId="173" fontId="15" fillId="0" borderId="0" xfId="64" applyNumberFormat="1" applyFont="1" applyBorder="1" applyAlignment="1">
      <alignment horizontal="right"/>
    </xf>
    <xf numFmtId="173" fontId="15" fillId="0" borderId="1" xfId="64" applyNumberFormat="1" applyFont="1" applyBorder="1" applyAlignment="1">
      <alignment horizontal="right"/>
    </xf>
    <xf numFmtId="173" fontId="17" fillId="0" borderId="0" xfId="64" applyNumberFormat="1" applyFont="1" applyBorder="1" applyAlignment="1">
      <alignment horizontal="right"/>
    </xf>
    <xf numFmtId="173" fontId="17" fillId="0" borderId="1" xfId="64" applyNumberFormat="1" applyFont="1" applyBorder="1" applyAlignment="1">
      <alignment horizontal="right"/>
    </xf>
    <xf numFmtId="173" fontId="17" fillId="0" borderId="0" xfId="64" applyNumberFormat="1" applyFont="1" applyAlignment="1">
      <alignment horizontal="right"/>
    </xf>
    <xf numFmtId="173" fontId="32" fillId="0" borderId="0" xfId="64" applyNumberFormat="1" applyFont="1" applyBorder="1" applyAlignment="1">
      <alignment horizontal="right"/>
    </xf>
    <xf numFmtId="173" fontId="32" fillId="0" borderId="1" xfId="64" applyNumberFormat="1" applyFont="1" applyBorder="1" applyAlignment="1">
      <alignment horizontal="right"/>
    </xf>
    <xf numFmtId="173" fontId="20" fillId="0" borderId="0" xfId="64" applyNumberFormat="1" applyFont="1" applyAlignment="1">
      <alignment horizontal="right"/>
    </xf>
    <xf numFmtId="10" fontId="13" fillId="2" borderId="1" xfId="64" applyNumberFormat="1" applyFont="1" applyFill="1" applyBorder="1" applyAlignment="1">
      <alignment horizontal="right"/>
    </xf>
    <xf numFmtId="10" fontId="33" fillId="0" borderId="0" xfId="64" applyNumberFormat="1" applyFont="1" applyFill="1" applyBorder="1" applyAlignment="1">
      <alignment horizontal="right"/>
    </xf>
    <xf numFmtId="10" fontId="33" fillId="0" borderId="1" xfId="64" applyNumberFormat="1" applyFont="1" applyBorder="1" applyAlignment="1">
      <alignment horizontal="right"/>
    </xf>
    <xf numFmtId="10" fontId="15" fillId="0" borderId="1" xfId="64" applyNumberFormat="1" applyFont="1" applyBorder="1" applyAlignment="1">
      <alignment horizontal="right"/>
    </xf>
    <xf numFmtId="10" fontId="15" fillId="0" borderId="1" xfId="64" applyNumberFormat="1" applyFont="1" applyFill="1" applyBorder="1" applyAlignment="1">
      <alignment horizontal="right"/>
    </xf>
    <xf numFmtId="10" fontId="15" fillId="3" borderId="1" xfId="64" applyNumberFormat="1" applyFont="1" applyFill="1" applyBorder="1" applyAlignment="1">
      <alignment horizontal="right"/>
    </xf>
    <xf numFmtId="10" fontId="15" fillId="0" borderId="0" xfId="64" applyNumberFormat="1" applyFont="1" applyFill="1" applyAlignment="1">
      <alignment horizontal="right"/>
    </xf>
    <xf numFmtId="173" fontId="32" fillId="0" borderId="0" xfId="64" applyNumberFormat="1" applyFont="1" applyFill="1" applyBorder="1" applyAlignment="1">
      <alignment horizontal="right"/>
    </xf>
    <xf numFmtId="173" fontId="32" fillId="0" borderId="1" xfId="64" applyNumberFormat="1" applyFont="1" applyFill="1" applyBorder="1" applyAlignment="1">
      <alignment horizontal="right"/>
    </xf>
    <xf numFmtId="173" fontId="20" fillId="0" borderId="0" xfId="64" applyNumberFormat="1" applyFont="1" applyBorder="1" applyAlignment="1">
      <alignment horizontal="right"/>
    </xf>
    <xf numFmtId="170" fontId="15" fillId="0" borderId="1" xfId="64" applyNumberFormat="1" applyFont="1" applyBorder="1" applyAlignment="1">
      <alignment horizontal="right"/>
    </xf>
    <xf numFmtId="173" fontId="15" fillId="3" borderId="1" xfId="64" applyNumberFormat="1" applyFont="1" applyFill="1" applyBorder="1" applyAlignment="1">
      <alignment horizontal="right"/>
    </xf>
    <xf numFmtId="173" fontId="15" fillId="3" borderId="0" xfId="64" applyNumberFormat="1" applyFont="1" applyFill="1" applyAlignment="1">
      <alignment horizontal="right"/>
    </xf>
    <xf numFmtId="172" fontId="17" fillId="0" borderId="1" xfId="64" applyNumberFormat="1" applyFont="1" applyBorder="1" applyAlignment="1">
      <alignment horizontal="right"/>
    </xf>
    <xf numFmtId="3" fontId="17" fillId="0" borderId="1" xfId="64" applyNumberFormat="1" applyFont="1" applyBorder="1" applyAlignment="1">
      <alignment horizontal="right"/>
    </xf>
    <xf numFmtId="240" fontId="15" fillId="0" borderId="22" xfId="5" applyNumberFormat="1" applyFont="1" applyBorder="1"/>
    <xf numFmtId="240" fontId="17" fillId="0" borderId="0" xfId="5" applyNumberFormat="1" applyFont="1"/>
    <xf numFmtId="170" fontId="17" fillId="0" borderId="0" xfId="5" applyNumberFormat="1" applyFont="1" applyAlignment="1">
      <alignment horizontal="right"/>
    </xf>
    <xf numFmtId="240" fontId="15" fillId="0" borderId="0" xfId="5" applyNumberFormat="1" applyFont="1"/>
    <xf numFmtId="240" fontId="17" fillId="0" borderId="24" xfId="5" applyNumberFormat="1" applyFont="1" applyBorder="1"/>
    <xf numFmtId="10" fontId="33" fillId="0" borderId="0" xfId="2" applyNumberFormat="1" applyFont="1" applyFill="1" applyBorder="1" applyAlignment="1">
      <alignment horizontal="right"/>
    </xf>
    <xf numFmtId="173" fontId="15" fillId="0" borderId="0" xfId="64" applyNumberFormat="1" applyFont="1" applyFill="1" applyAlignment="1">
      <alignment horizontal="right"/>
    </xf>
    <xf numFmtId="17" fontId="17" fillId="0" borderId="0" xfId="0" applyNumberFormat="1" applyFont="1" applyAlignment="1">
      <alignment horizontal="right"/>
    </xf>
    <xf numFmtId="10" fontId="17" fillId="0" borderId="0" xfId="64" applyNumberFormat="1" applyFont="1" applyFill="1" applyAlignment="1">
      <alignment horizontal="right"/>
    </xf>
    <xf numFmtId="204" fontId="17" fillId="0" borderId="0" xfId="64" applyNumberFormat="1" applyFont="1" applyFill="1" applyBorder="1" applyAlignment="1">
      <alignment horizontal="right"/>
    </xf>
    <xf numFmtId="170" fontId="17" fillId="0" borderId="0" xfId="64" applyNumberFormat="1" applyFont="1" applyFill="1" applyBorder="1"/>
    <xf numFmtId="168" fontId="17" fillId="0" borderId="0" xfId="1" applyFont="1" applyFill="1" applyBorder="1" applyAlignment="1">
      <alignment horizontal="right"/>
    </xf>
    <xf numFmtId="237" fontId="17" fillId="0" borderId="0" xfId="1" applyNumberFormat="1" applyFont="1" applyFill="1" applyBorder="1" applyAlignment="1">
      <alignment horizontal="right"/>
    </xf>
    <xf numFmtId="9" fontId="15" fillId="0" borderId="0" xfId="64" applyFont="1" applyFill="1" applyBorder="1" applyAlignment="1">
      <alignment horizontal="right"/>
    </xf>
    <xf numFmtId="238" fontId="15" fillId="0" borderId="0" xfId="0" applyNumberFormat="1" applyFont="1" applyAlignment="1">
      <alignment horizontal="right"/>
    </xf>
    <xf numFmtId="204" fontId="17" fillId="0" borderId="0" xfId="0" applyNumberFormat="1" applyFont="1" applyAlignment="1">
      <alignment horizontal="right"/>
    </xf>
    <xf numFmtId="170" fontId="15" fillId="0" borderId="0" xfId="0" applyNumberFormat="1" applyFont="1" applyAlignment="1">
      <alignment horizontal="right"/>
    </xf>
    <xf numFmtId="0" fontId="17" fillId="0" borderId="0" xfId="0" applyFont="1" applyAlignment="1">
      <alignment horizontal="left"/>
    </xf>
    <xf numFmtId="172" fontId="17" fillId="0" borderId="0" xfId="64" applyNumberFormat="1" applyFont="1" applyFill="1" applyAlignment="1">
      <alignment horizontal="right"/>
    </xf>
    <xf numFmtId="172" fontId="17" fillId="0" borderId="0" xfId="64" applyNumberFormat="1" applyFont="1" applyFill="1" applyBorder="1" applyAlignment="1">
      <alignment horizontal="right"/>
    </xf>
    <xf numFmtId="168" fontId="15" fillId="0" borderId="0" xfId="1" applyFont="1" applyFill="1" applyBorder="1" applyAlignment="1">
      <alignment horizontal="right"/>
    </xf>
    <xf numFmtId="3" fontId="17" fillId="0" borderId="0" xfId="64" applyNumberFormat="1" applyFont="1" applyFill="1" applyAlignment="1">
      <alignment horizontal="right"/>
    </xf>
    <xf numFmtId="169" fontId="17" fillId="0" borderId="0" xfId="64" applyNumberFormat="1" applyFont="1" applyFill="1" applyBorder="1" applyAlignment="1">
      <alignment horizontal="right"/>
    </xf>
    <xf numFmtId="239" fontId="17" fillId="0" borderId="0" xfId="0" applyNumberFormat="1" applyFont="1" applyAlignment="1">
      <alignment horizontal="right"/>
    </xf>
    <xf numFmtId="3" fontId="15" fillId="0" borderId="0" xfId="64" applyNumberFormat="1" applyFont="1" applyFill="1" applyBorder="1" applyAlignment="1">
      <alignment horizontal="right"/>
    </xf>
    <xf numFmtId="0" fontId="9" fillId="0" borderId="0" xfId="0" applyFont="1"/>
    <xf numFmtId="174" fontId="15" fillId="0" borderId="0" xfId="0" applyNumberFormat="1" applyFont="1" applyAlignment="1">
      <alignment horizontal="right"/>
    </xf>
    <xf numFmtId="178" fontId="20" fillId="0" borderId="0" xfId="0" applyNumberFormat="1" applyFont="1" applyAlignment="1">
      <alignment horizontal="right"/>
    </xf>
    <xf numFmtId="173" fontId="15" fillId="3" borderId="0" xfId="64" applyNumberFormat="1" applyFont="1" applyFill="1" applyBorder="1" applyAlignment="1">
      <alignment horizontal="right"/>
    </xf>
    <xf numFmtId="173" fontId="17" fillId="6" borderId="0" xfId="0" applyNumberFormat="1" applyFont="1" applyFill="1" applyAlignment="1">
      <alignment horizontal="right"/>
    </xf>
    <xf numFmtId="204" fontId="17" fillId="0" borderId="1" xfId="64" applyNumberFormat="1" applyFont="1" applyBorder="1" applyAlignment="1">
      <alignment horizontal="right"/>
    </xf>
    <xf numFmtId="10" fontId="33" fillId="0" borderId="1" xfId="2" applyNumberFormat="1" applyFont="1" applyFill="1" applyBorder="1" applyAlignment="1">
      <alignment horizontal="right"/>
    </xf>
    <xf numFmtId="171" fontId="17" fillId="0" borderId="0" xfId="475" applyNumberFormat="1" applyFont="1" applyAlignment="1">
      <alignment horizontal="right"/>
    </xf>
    <xf numFmtId="10" fontId="146" fillId="0" borderId="0" xfId="64" applyNumberFormat="1" applyFont="1" applyAlignment="1">
      <alignment horizontal="right"/>
    </xf>
    <xf numFmtId="170" fontId="20" fillId="0" borderId="0" xfId="2" applyNumberFormat="1" applyFont="1" applyAlignment="1">
      <alignment horizontal="right"/>
    </xf>
    <xf numFmtId="9" fontId="17" fillId="0" borderId="1" xfId="64" applyFont="1" applyFill="1" applyBorder="1" applyAlignment="1">
      <alignment horizontal="right"/>
    </xf>
    <xf numFmtId="170" fontId="17" fillId="0" borderId="1" xfId="64" applyNumberFormat="1" applyFont="1" applyFill="1" applyBorder="1" applyAlignment="1">
      <alignment horizontal="right"/>
    </xf>
    <xf numFmtId="10" fontId="146" fillId="0" borderId="1" xfId="64" applyNumberFormat="1" applyFont="1" applyBorder="1" applyAlignment="1">
      <alignment horizontal="right"/>
    </xf>
    <xf numFmtId="10" fontId="20" fillId="6" borderId="0" xfId="64" applyNumberFormat="1" applyFont="1" applyFill="1" applyAlignment="1">
      <alignment horizontal="right"/>
    </xf>
    <xf numFmtId="9" fontId="17" fillId="0" borderId="0" xfId="2" applyFont="1" applyAlignment="1">
      <alignment horizontal="right"/>
    </xf>
    <xf numFmtId="10" fontId="146" fillId="0" borderId="0" xfId="64" applyNumberFormat="1" applyFont="1" applyBorder="1" applyAlignment="1">
      <alignment horizontal="right"/>
    </xf>
    <xf numFmtId="178" fontId="32" fillId="0" borderId="0" xfId="0" applyNumberFormat="1" applyFont="1" applyAlignment="1">
      <alignment horizontal="right"/>
    </xf>
    <xf numFmtId="204" fontId="17" fillId="0" borderId="0" xfId="64" applyNumberFormat="1" applyFont="1" applyBorder="1" applyAlignment="1">
      <alignment horizontal="right"/>
    </xf>
    <xf numFmtId="170" fontId="17" fillId="0" borderId="0" xfId="2" applyNumberFormat="1" applyFont="1" applyAlignment="1">
      <alignment horizontal="right"/>
    </xf>
    <xf numFmtId="170" fontId="15" fillId="0" borderId="0" xfId="2" applyNumberFormat="1" applyFont="1"/>
    <xf numFmtId="173" fontId="150" fillId="0" borderId="1" xfId="64" applyNumberFormat="1" applyFont="1" applyBorder="1" applyAlignment="1">
      <alignment horizontal="right"/>
    </xf>
    <xf numFmtId="173" fontId="150" fillId="0" borderId="0" xfId="0" applyNumberFormat="1" applyFont="1" applyAlignment="1">
      <alignment horizontal="right"/>
    </xf>
    <xf numFmtId="10" fontId="150" fillId="0" borderId="0" xfId="64" applyNumberFormat="1" applyFont="1" applyAlignment="1">
      <alignment horizontal="right"/>
    </xf>
    <xf numFmtId="10" fontId="150" fillId="0" borderId="1" xfId="64" applyNumberFormat="1" applyFont="1" applyBorder="1" applyAlignment="1">
      <alignment horizontal="right"/>
    </xf>
    <xf numFmtId="170" fontId="17" fillId="0" borderId="1" xfId="2" applyNumberFormat="1" applyFont="1" applyBorder="1" applyAlignment="1">
      <alignment horizontal="right"/>
    </xf>
    <xf numFmtId="173" fontId="32" fillId="45" borderId="0" xfId="0" applyNumberFormat="1" applyFont="1" applyFill="1" applyAlignment="1">
      <alignment horizontal="right"/>
    </xf>
    <xf numFmtId="14" fontId="17" fillId="0" borderId="0" xfId="64" applyNumberFormat="1" applyFont="1"/>
    <xf numFmtId="14" fontId="17" fillId="0" borderId="0" xfId="0" applyNumberFormat="1" applyFont="1"/>
    <xf numFmtId="9" fontId="15" fillId="0" borderId="0" xfId="2" applyFont="1"/>
    <xf numFmtId="172" fontId="15" fillId="0" borderId="0" xfId="0" applyNumberFormat="1" applyFont="1"/>
    <xf numFmtId="9" fontId="17" fillId="0" borderId="0" xfId="2" applyFont="1"/>
    <xf numFmtId="10" fontId="15" fillId="0" borderId="0" xfId="2" applyNumberFormat="1" applyFont="1"/>
    <xf numFmtId="241" fontId="150" fillId="0" borderId="0" xfId="1" applyNumberFormat="1" applyFont="1" applyAlignment="1">
      <alignment horizontal="right"/>
    </xf>
    <xf numFmtId="239" fontId="17" fillId="0" borderId="1" xfId="0" applyNumberFormat="1" applyFont="1" applyBorder="1" applyAlignment="1">
      <alignment horizontal="right"/>
    </xf>
    <xf numFmtId="10" fontId="150" fillId="0" borderId="0" xfId="64" applyNumberFormat="1" applyFont="1" applyBorder="1" applyAlignment="1">
      <alignment horizontal="right"/>
    </xf>
    <xf numFmtId="173" fontId="150" fillId="0" borderId="0" xfId="64" applyNumberFormat="1" applyFont="1" applyBorder="1" applyAlignment="1">
      <alignment horizontal="right"/>
    </xf>
    <xf numFmtId="170" fontId="17" fillId="0" borderId="0" xfId="2" applyNumberFormat="1" applyFont="1" applyBorder="1" applyAlignment="1">
      <alignment horizontal="right"/>
    </xf>
    <xf numFmtId="173" fontId="32" fillId="6" borderId="0" xfId="0" applyNumberFormat="1" applyFont="1" applyFill="1" applyAlignment="1">
      <alignment horizontal="right"/>
    </xf>
    <xf numFmtId="4" fontId="15" fillId="0" borderId="0" xfId="0" applyNumberFormat="1" applyFont="1" applyAlignment="1">
      <alignment horizontal="left"/>
    </xf>
    <xf numFmtId="170" fontId="17" fillId="0" borderId="1" xfId="0" applyNumberFormat="1" applyFont="1" applyBorder="1" applyAlignment="1">
      <alignment horizontal="right"/>
    </xf>
    <xf numFmtId="9" fontId="17" fillId="0" borderId="1" xfId="2" applyFont="1" applyBorder="1" applyAlignment="1">
      <alignment horizontal="right"/>
    </xf>
    <xf numFmtId="170" fontId="20" fillId="0" borderId="0" xfId="64" applyNumberFormat="1" applyFont="1" applyFill="1" applyAlignment="1">
      <alignment horizontal="right"/>
    </xf>
    <xf numFmtId="170" fontId="20" fillId="0" borderId="0" xfId="2" applyNumberFormat="1" applyFont="1" applyFill="1" applyAlignment="1">
      <alignment horizontal="right"/>
    </xf>
    <xf numFmtId="10" fontId="20" fillId="0" borderId="0" xfId="64" applyNumberFormat="1" applyFont="1" applyFill="1" applyAlignment="1">
      <alignment horizontal="right"/>
    </xf>
    <xf numFmtId="10" fontId="150" fillId="0" borderId="1" xfId="2" applyNumberFormat="1" applyFont="1" applyBorder="1" applyAlignment="1">
      <alignment horizontal="right"/>
    </xf>
    <xf numFmtId="9" fontId="150" fillId="0" borderId="0" xfId="2" applyFont="1" applyAlignment="1">
      <alignment horizontal="right"/>
    </xf>
    <xf numFmtId="10" fontId="17" fillId="0" borderId="1" xfId="2" applyNumberFormat="1" applyFont="1" applyBorder="1" applyAlignment="1">
      <alignment horizontal="right"/>
    </xf>
    <xf numFmtId="10" fontId="17" fillId="0" borderId="0" xfId="2" applyNumberFormat="1" applyFont="1" applyAlignment="1">
      <alignment horizontal="right"/>
    </xf>
    <xf numFmtId="10" fontId="17" fillId="0" borderId="0" xfId="2" applyNumberFormat="1" applyFont="1" applyBorder="1" applyAlignment="1">
      <alignment horizontal="right"/>
    </xf>
    <xf numFmtId="10" fontId="150" fillId="0" borderId="0" xfId="2" applyNumberFormat="1" applyFont="1" applyBorder="1" applyAlignment="1">
      <alignment horizontal="right"/>
    </xf>
    <xf numFmtId="9" fontId="17" fillId="0" borderId="0" xfId="2" applyFont="1" applyBorder="1" applyAlignment="1">
      <alignment horizontal="right"/>
    </xf>
    <xf numFmtId="9" fontId="15" fillId="0" borderId="0" xfId="2" applyFont="1" applyAlignment="1">
      <alignment horizontal="right"/>
    </xf>
    <xf numFmtId="171" fontId="17" fillId="0" borderId="1" xfId="37" applyNumberFormat="1" applyFont="1" applyFill="1" applyBorder="1" applyAlignment="1">
      <alignment horizontal="right"/>
    </xf>
    <xf numFmtId="171" fontId="17" fillId="0" borderId="0" xfId="0" applyNumberFormat="1" applyFont="1"/>
    <xf numFmtId="170" fontId="20" fillId="6" borderId="0" xfId="64" applyNumberFormat="1" applyFont="1" applyFill="1" applyAlignment="1">
      <alignment horizontal="right"/>
    </xf>
    <xf numFmtId="10" fontId="151" fillId="0" borderId="0" xfId="64" applyNumberFormat="1" applyFont="1" applyAlignment="1">
      <alignment horizontal="right"/>
    </xf>
    <xf numFmtId="10" fontId="151" fillId="0" borderId="1" xfId="64" applyNumberFormat="1" applyFont="1" applyBorder="1" applyAlignment="1">
      <alignment horizontal="right"/>
    </xf>
    <xf numFmtId="3" fontId="152" fillId="0" borderId="0" xfId="0" applyNumberFormat="1" applyFont="1" applyAlignment="1">
      <alignment horizontal="right"/>
    </xf>
    <xf numFmtId="10" fontId="153" fillId="0" borderId="0" xfId="64" applyNumberFormat="1" applyFont="1" applyAlignment="1">
      <alignment horizontal="right"/>
    </xf>
    <xf numFmtId="173" fontId="153" fillId="0" borderId="0" xfId="0" applyNumberFormat="1" applyFont="1" applyAlignment="1">
      <alignment horizontal="right"/>
    </xf>
    <xf numFmtId="173" fontId="151" fillId="0" borderId="0" xfId="0" applyNumberFormat="1" applyFont="1" applyAlignment="1">
      <alignment horizontal="right"/>
    </xf>
    <xf numFmtId="3" fontId="153" fillId="0" borderId="0" xfId="0" applyNumberFormat="1" applyFont="1" applyAlignment="1">
      <alignment horizontal="right"/>
    </xf>
    <xf numFmtId="3" fontId="153" fillId="0" borderId="1" xfId="0" applyNumberFormat="1" applyFont="1" applyBorder="1" applyAlignment="1">
      <alignment horizontal="right"/>
    </xf>
    <xf numFmtId="242" fontId="17" fillId="0" borderId="0" xfId="0" applyNumberFormat="1" applyFont="1"/>
    <xf numFmtId="3" fontId="21" fillId="0" borderId="0" xfId="64" applyNumberFormat="1" applyFont="1" applyFill="1" applyBorder="1" applyAlignment="1">
      <alignment horizontal="right"/>
    </xf>
    <xf numFmtId="170" fontId="17" fillId="6" borderId="0" xfId="64" applyNumberFormat="1" applyFont="1" applyFill="1"/>
    <xf numFmtId="43" fontId="68" fillId="47" borderId="47" xfId="442" applyNumberFormat="1" applyFont="1" applyFill="1" applyBorder="1" applyAlignment="1">
      <alignment vertical="top"/>
    </xf>
    <xf numFmtId="43" fontId="68" fillId="47" borderId="47" xfId="440" applyNumberFormat="1" applyFont="1" applyFill="1" applyBorder="1" applyAlignment="1">
      <alignment horizontal="right" vertical="top"/>
    </xf>
    <xf numFmtId="10" fontId="151" fillId="0" borderId="0" xfId="64" applyNumberFormat="1" applyFont="1" applyBorder="1" applyAlignment="1">
      <alignment horizontal="right"/>
    </xf>
    <xf numFmtId="170" fontId="32" fillId="0" borderId="0" xfId="2" applyNumberFormat="1" applyFont="1" applyBorder="1" applyAlignment="1">
      <alignment horizontal="right"/>
    </xf>
    <xf numFmtId="10" fontId="20" fillId="0" borderId="1" xfId="64" applyNumberFormat="1" applyFont="1" applyBorder="1" applyAlignment="1">
      <alignment horizontal="right"/>
    </xf>
    <xf numFmtId="173" fontId="150" fillId="0" borderId="1" xfId="0" applyNumberFormat="1" applyFont="1" applyBorder="1" applyAlignment="1">
      <alignment horizontal="right"/>
    </xf>
    <xf numFmtId="3" fontId="152" fillId="0" borderId="1" xfId="0" applyNumberFormat="1" applyFont="1" applyBorder="1" applyAlignment="1">
      <alignment horizontal="right"/>
    </xf>
    <xf numFmtId="171" fontId="17" fillId="0" borderId="1" xfId="475" applyNumberFormat="1" applyFont="1" applyBorder="1" applyAlignment="1">
      <alignment horizontal="right"/>
    </xf>
    <xf numFmtId="170" fontId="15" fillId="0" borderId="1" xfId="0" applyNumberFormat="1" applyFont="1" applyBorder="1" applyAlignment="1">
      <alignment horizontal="right"/>
    </xf>
    <xf numFmtId="239" fontId="38" fillId="0" borderId="47" xfId="440" applyNumberFormat="1" applyFont="1" applyBorder="1" applyAlignment="1">
      <alignment vertical="top"/>
    </xf>
    <xf numFmtId="239" fontId="38" fillId="0" borderId="47" xfId="439" applyNumberFormat="1" applyBorder="1" applyAlignment="1">
      <alignment vertical="top"/>
    </xf>
    <xf numFmtId="239" fontId="68" fillId="48" borderId="47" xfId="439" applyNumberFormat="1" applyFont="1" applyFill="1" applyBorder="1" applyAlignment="1">
      <alignment vertical="top"/>
    </xf>
    <xf numFmtId="239" fontId="38" fillId="0" borderId="47" xfId="440" applyNumberFormat="1" applyFont="1" applyBorder="1" applyAlignment="1">
      <alignment horizontal="right" vertical="top"/>
    </xf>
    <xf numFmtId="239" fontId="38" fillId="0" borderId="47" xfId="439" applyNumberFormat="1" applyBorder="1" applyAlignment="1">
      <alignment horizontal="right" vertical="top"/>
    </xf>
    <xf numFmtId="243" fontId="68" fillId="46" borderId="47" xfId="442" applyNumberFormat="1" applyFont="1" applyFill="1" applyBorder="1" applyAlignment="1">
      <alignment vertical="top"/>
    </xf>
    <xf numFmtId="243" fontId="68" fillId="47" borderId="47" xfId="442" applyNumberFormat="1" applyFont="1" applyFill="1" applyBorder="1" applyAlignment="1">
      <alignment vertical="top"/>
    </xf>
    <xf numFmtId="0" fontId="68" fillId="0" borderId="0" xfId="0" applyFont="1" applyAlignment="1">
      <alignment vertical="center"/>
    </xf>
    <xf numFmtId="0" fontId="154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1" xfId="0" applyFont="1" applyBorder="1" applyAlignment="1">
      <alignment vertical="center"/>
    </xf>
    <xf numFmtId="3" fontId="38" fillId="0" borderId="0" xfId="0" applyNumberFormat="1" applyFont="1" applyAlignment="1">
      <alignment vertical="center"/>
    </xf>
    <xf numFmtId="3" fontId="38" fillId="0" borderId="1" xfId="0" applyNumberFormat="1" applyFont="1" applyBorder="1" applyAlignment="1">
      <alignment vertical="center"/>
    </xf>
    <xf numFmtId="3" fontId="68" fillId="0" borderId="0" xfId="0" applyNumberFormat="1" applyFont="1" applyAlignment="1">
      <alignment vertical="center"/>
    </xf>
    <xf numFmtId="3" fontId="68" fillId="0" borderId="1" xfId="0" applyNumberFormat="1" applyFont="1" applyBorder="1" applyAlignment="1">
      <alignment vertical="center"/>
    </xf>
    <xf numFmtId="0" fontId="147" fillId="0" borderId="0" xfId="0" applyFont="1"/>
    <xf numFmtId="3" fontId="13" fillId="0" borderId="0" xfId="0" applyNumberFormat="1" applyFont="1" applyAlignment="1">
      <alignment horizontal="right"/>
    </xf>
    <xf numFmtId="170" fontId="147" fillId="0" borderId="0" xfId="64" applyNumberFormat="1" applyFont="1" applyFill="1" applyAlignment="1">
      <alignment horizontal="right"/>
    </xf>
    <xf numFmtId="170" fontId="147" fillId="0" borderId="1" xfId="64" applyNumberFormat="1" applyFont="1" applyFill="1" applyBorder="1" applyAlignment="1">
      <alignment horizontal="right"/>
    </xf>
    <xf numFmtId="170" fontId="41" fillId="0" borderId="0" xfId="64" applyNumberFormat="1" applyFont="1" applyAlignment="1">
      <alignment vertical="center"/>
    </xf>
    <xf numFmtId="0" fontId="24" fillId="0" borderId="0" xfId="0" applyFont="1" applyAlignment="1">
      <alignment vertical="center"/>
    </xf>
    <xf numFmtId="244" fontId="24" fillId="0" borderId="0" xfId="64" applyNumberFormat="1" applyFont="1" applyAlignment="1">
      <alignment vertical="center"/>
    </xf>
    <xf numFmtId="244" fontId="24" fillId="0" borderId="0" xfId="64" applyNumberFormat="1" applyFont="1" applyBorder="1" applyAlignment="1">
      <alignment vertical="center"/>
    </xf>
    <xf numFmtId="244" fontId="24" fillId="0" borderId="1" xfId="64" applyNumberFormat="1" applyFont="1" applyBorder="1" applyAlignment="1">
      <alignment vertical="center"/>
    </xf>
    <xf numFmtId="170" fontId="24" fillId="0" borderId="0" xfId="64" applyNumberFormat="1" applyFont="1" applyAlignment="1">
      <alignment vertical="center"/>
    </xf>
    <xf numFmtId="170" fontId="24" fillId="0" borderId="0" xfId="64" applyNumberFormat="1" applyFont="1" applyBorder="1" applyAlignment="1">
      <alignment vertical="center"/>
    </xf>
    <xf numFmtId="170" fontId="24" fillId="0" borderId="1" xfId="64" applyNumberFormat="1" applyFont="1" applyBorder="1" applyAlignment="1">
      <alignment vertical="center"/>
    </xf>
    <xf numFmtId="170" fontId="38" fillId="0" borderId="0" xfId="64" applyNumberFormat="1" applyFont="1" applyAlignment="1">
      <alignment vertical="center"/>
    </xf>
    <xf numFmtId="170" fontId="41" fillId="0" borderId="1" xfId="64" applyNumberFormat="1" applyFont="1" applyBorder="1" applyAlignment="1">
      <alignment vertical="center"/>
    </xf>
    <xf numFmtId="2" fontId="38" fillId="0" borderId="0" xfId="0" applyNumberFormat="1" applyFont="1" applyAlignment="1">
      <alignment vertical="center"/>
    </xf>
    <xf numFmtId="171" fontId="38" fillId="0" borderId="0" xfId="0" applyNumberFormat="1" applyFont="1" applyAlignment="1">
      <alignment vertical="center"/>
    </xf>
    <xf numFmtId="171" fontId="38" fillId="0" borderId="1" xfId="0" applyNumberFormat="1" applyFont="1" applyBorder="1" applyAlignment="1">
      <alignment vertical="center"/>
    </xf>
    <xf numFmtId="10" fontId="38" fillId="0" borderId="0" xfId="0" applyNumberFormat="1" applyFont="1" applyAlignment="1">
      <alignment vertical="center"/>
    </xf>
    <xf numFmtId="10" fontId="38" fillId="0" borderId="1" xfId="0" applyNumberFormat="1" applyFont="1" applyBorder="1" applyAlignment="1">
      <alignment vertical="center"/>
    </xf>
    <xf numFmtId="9" fontId="38" fillId="0" borderId="0" xfId="0" applyNumberFormat="1" applyFont="1" applyAlignment="1">
      <alignment vertical="center"/>
    </xf>
    <xf numFmtId="9" fontId="38" fillId="0" borderId="1" xfId="0" applyNumberFormat="1" applyFont="1" applyBorder="1" applyAlignment="1">
      <alignment vertical="center"/>
    </xf>
    <xf numFmtId="170" fontId="38" fillId="0" borderId="0" xfId="0" applyNumberFormat="1" applyFont="1" applyAlignment="1">
      <alignment vertical="center"/>
    </xf>
    <xf numFmtId="170" fontId="38" fillId="0" borderId="1" xfId="0" applyNumberFormat="1" applyFont="1" applyBorder="1" applyAlignment="1">
      <alignment vertical="center"/>
    </xf>
    <xf numFmtId="175" fontId="38" fillId="0" borderId="0" xfId="0" applyNumberFormat="1" applyFont="1" applyAlignment="1">
      <alignment vertical="center"/>
    </xf>
    <xf numFmtId="175" fontId="38" fillId="0" borderId="1" xfId="0" applyNumberFormat="1" applyFont="1" applyBorder="1" applyAlignment="1">
      <alignment vertical="center"/>
    </xf>
    <xf numFmtId="245" fontId="38" fillId="0" borderId="0" xfId="0" applyNumberFormat="1" applyFont="1" applyAlignment="1">
      <alignment vertical="center"/>
    </xf>
    <xf numFmtId="0" fontId="155" fillId="0" borderId="0" xfId="0" applyFont="1"/>
    <xf numFmtId="0" fontId="156" fillId="0" borderId="0" xfId="0" applyFont="1" applyAlignment="1">
      <alignment vertical="center"/>
    </xf>
    <xf numFmtId="0" fontId="157" fillId="0" borderId="0" xfId="5" applyFont="1" applyAlignment="1">
      <alignment vertical="center"/>
    </xf>
    <xf numFmtId="3" fontId="157" fillId="0" borderId="0" xfId="0" applyNumberFormat="1" applyFont="1" applyAlignment="1">
      <alignment vertical="center"/>
    </xf>
    <xf numFmtId="0" fontId="156" fillId="0" borderId="0" xfId="0" applyFont="1" applyAlignment="1">
      <alignment horizontal="right" vertical="center"/>
    </xf>
    <xf numFmtId="0" fontId="156" fillId="0" borderId="0" xfId="5" applyFont="1" applyAlignment="1">
      <alignment vertical="center"/>
    </xf>
    <xf numFmtId="10" fontId="156" fillId="0" borderId="24" xfId="0" applyNumberFormat="1" applyFont="1" applyBorder="1" applyAlignment="1">
      <alignment vertical="center"/>
    </xf>
    <xf numFmtId="0" fontId="157" fillId="0" borderId="0" xfId="0" applyFont="1" applyAlignment="1">
      <alignment vertical="center"/>
    </xf>
    <xf numFmtId="171" fontId="157" fillId="0" borderId="0" xfId="0" applyNumberFormat="1" applyFont="1" applyAlignment="1">
      <alignment vertical="center"/>
    </xf>
    <xf numFmtId="0" fontId="157" fillId="0" borderId="22" xfId="5" applyFont="1" applyBorder="1" applyAlignment="1">
      <alignment vertical="center"/>
    </xf>
    <xf numFmtId="3" fontId="156" fillId="0" borderId="0" xfId="0" applyNumberFormat="1" applyFont="1" applyAlignment="1">
      <alignment vertical="center"/>
    </xf>
    <xf numFmtId="170" fontId="156" fillId="0" borderId="0" xfId="64" applyNumberFormat="1" applyFont="1" applyAlignment="1">
      <alignment vertical="center"/>
    </xf>
    <xf numFmtId="246" fontId="156" fillId="0" borderId="0" xfId="0" applyNumberFormat="1" applyFont="1" applyAlignment="1">
      <alignment vertical="center"/>
    </xf>
    <xf numFmtId="1" fontId="156" fillId="0" borderId="24" xfId="0" applyNumberFormat="1" applyFont="1" applyBorder="1" applyAlignment="1">
      <alignment vertical="center"/>
    </xf>
    <xf numFmtId="0" fontId="157" fillId="0" borderId="0" xfId="0" applyFont="1" applyAlignment="1">
      <alignment horizontal="right" vertical="center"/>
    </xf>
    <xf numFmtId="3" fontId="156" fillId="0" borderId="24" xfId="0" applyNumberFormat="1" applyFont="1" applyBorder="1" applyAlignment="1">
      <alignment vertical="center"/>
    </xf>
    <xf numFmtId="9" fontId="156" fillId="0" borderId="0" xfId="0" applyNumberFormat="1" applyFont="1" applyAlignment="1">
      <alignment vertical="center"/>
    </xf>
    <xf numFmtId="171" fontId="156" fillId="0" borderId="0" xfId="84" applyNumberFormat="1" applyFont="1" applyAlignment="1">
      <alignment vertical="center"/>
    </xf>
    <xf numFmtId="9" fontId="157" fillId="0" borderId="0" xfId="0" applyNumberFormat="1" applyFont="1" applyAlignment="1">
      <alignment vertical="center"/>
    </xf>
    <xf numFmtId="171" fontId="157" fillId="0" borderId="0" xfId="84" applyNumberFormat="1" applyFont="1" applyAlignment="1">
      <alignment vertical="center"/>
    </xf>
    <xf numFmtId="2" fontId="156" fillId="0" borderId="0" xfId="0" applyNumberFormat="1" applyFont="1" applyAlignment="1">
      <alignment vertical="center"/>
    </xf>
    <xf numFmtId="235" fontId="157" fillId="0" borderId="22" xfId="476" applyNumberFormat="1" applyFont="1" applyBorder="1" applyAlignment="1">
      <alignment vertical="center"/>
    </xf>
    <xf numFmtId="0" fontId="156" fillId="0" borderId="24" xfId="5" applyFont="1" applyBorder="1" applyAlignment="1">
      <alignment vertical="center"/>
    </xf>
    <xf numFmtId="247" fontId="156" fillId="0" borderId="0" xfId="0" applyNumberFormat="1" applyFont="1" applyAlignment="1">
      <alignment vertical="center"/>
    </xf>
    <xf numFmtId="0" fontId="156" fillId="0" borderId="0" xfId="5" quotePrefix="1" applyFont="1" applyAlignment="1">
      <alignment vertical="center"/>
    </xf>
    <xf numFmtId="10" fontId="156" fillId="0" borderId="0" xfId="64" applyNumberFormat="1" applyFont="1" applyAlignment="1">
      <alignment vertical="center"/>
    </xf>
    <xf numFmtId="0" fontId="156" fillId="0" borderId="24" xfId="0" applyFont="1" applyBorder="1" applyAlignment="1">
      <alignment vertical="center"/>
    </xf>
    <xf numFmtId="172" fontId="156" fillId="0" borderId="24" xfId="0" applyNumberFormat="1" applyFont="1" applyBorder="1" applyAlignment="1">
      <alignment vertical="center"/>
    </xf>
    <xf numFmtId="0" fontId="156" fillId="0" borderId="24" xfId="5" quotePrefix="1" applyFont="1" applyBorder="1" applyAlignment="1">
      <alignment vertical="center"/>
    </xf>
    <xf numFmtId="170" fontId="156" fillId="0" borderId="24" xfId="64" applyNumberFormat="1" applyFont="1" applyBorder="1" applyAlignment="1">
      <alignment vertical="center"/>
    </xf>
    <xf numFmtId="0" fontId="157" fillId="0" borderId="24" xfId="5" applyFont="1" applyBorder="1" applyAlignment="1">
      <alignment vertical="center"/>
    </xf>
    <xf numFmtId="3" fontId="157" fillId="0" borderId="24" xfId="0" applyNumberFormat="1" applyFont="1" applyBorder="1" applyAlignment="1">
      <alignment vertical="center"/>
    </xf>
    <xf numFmtId="170" fontId="156" fillId="0" borderId="24" xfId="0" applyNumberFormat="1" applyFont="1" applyBorder="1" applyAlignment="1">
      <alignment vertical="center"/>
    </xf>
    <xf numFmtId="170" fontId="156" fillId="0" borderId="0" xfId="0" applyNumberFormat="1" applyFont="1" applyAlignment="1">
      <alignment vertical="center"/>
    </xf>
    <xf numFmtId="10" fontId="156" fillId="0" borderId="0" xfId="0" applyNumberFormat="1" applyFont="1" applyAlignment="1">
      <alignment vertical="center"/>
    </xf>
    <xf numFmtId="0" fontId="156" fillId="0" borderId="48" xfId="0" applyFont="1" applyBorder="1" applyAlignment="1">
      <alignment vertical="center"/>
    </xf>
    <xf numFmtId="170" fontId="156" fillId="0" borderId="48" xfId="0" applyNumberFormat="1" applyFont="1" applyBorder="1" applyAlignment="1">
      <alignment vertical="center"/>
    </xf>
    <xf numFmtId="2" fontId="157" fillId="0" borderId="0" xfId="0" applyNumberFormat="1" applyFont="1" applyAlignment="1">
      <alignment vertical="center"/>
    </xf>
    <xf numFmtId="248" fontId="156" fillId="0" borderId="0" xfId="64" applyNumberFormat="1" applyFont="1" applyAlignment="1">
      <alignment vertical="center"/>
    </xf>
    <xf numFmtId="9" fontId="156" fillId="0" borderId="48" xfId="0" applyNumberFormat="1" applyFont="1" applyBorder="1" applyAlignment="1">
      <alignment vertical="center"/>
    </xf>
    <xf numFmtId="249" fontId="156" fillId="0" borderId="0" xfId="0" applyNumberFormat="1" applyFont="1" applyAlignment="1">
      <alignment vertical="center"/>
    </xf>
    <xf numFmtId="0" fontId="156" fillId="0" borderId="6" xfId="0" applyFont="1" applyBorder="1" applyAlignment="1">
      <alignment vertical="center"/>
    </xf>
    <xf numFmtId="3" fontId="156" fillId="0" borderId="6" xfId="0" applyNumberFormat="1" applyFont="1" applyBorder="1" applyAlignment="1">
      <alignment vertical="center"/>
    </xf>
    <xf numFmtId="170" fontId="156" fillId="0" borderId="6" xfId="0" applyNumberFormat="1" applyFont="1" applyBorder="1" applyAlignment="1">
      <alignment vertical="center"/>
    </xf>
    <xf numFmtId="0" fontId="158" fillId="50" borderId="0" xfId="5" applyFont="1" applyFill="1" applyAlignment="1">
      <alignment vertical="center"/>
    </xf>
    <xf numFmtId="185" fontId="158" fillId="50" borderId="0" xfId="5" applyNumberFormat="1" applyFont="1" applyFill="1" applyAlignment="1">
      <alignment horizontal="right" vertical="center"/>
    </xf>
    <xf numFmtId="0" fontId="158" fillId="50" borderId="0" xfId="5" applyFont="1" applyFill="1" applyAlignment="1">
      <alignment horizontal="right" vertical="center"/>
    </xf>
    <xf numFmtId="0" fontId="158" fillId="50" borderId="0" xfId="5" applyFont="1" applyFill="1" applyAlignment="1">
      <alignment horizontal="left" vertical="center"/>
    </xf>
    <xf numFmtId="173" fontId="153" fillId="0" borderId="1" xfId="0" applyNumberFormat="1" applyFont="1" applyBorder="1" applyAlignment="1">
      <alignment horizontal="right"/>
    </xf>
    <xf numFmtId="10" fontId="20" fillId="0" borderId="0" xfId="64" applyNumberFormat="1" applyFont="1" applyBorder="1" applyAlignment="1">
      <alignment horizontal="right"/>
    </xf>
    <xf numFmtId="9" fontId="17" fillId="0" borderId="1" xfId="0" applyNumberFormat="1" applyFont="1" applyBorder="1" applyAlignment="1">
      <alignment horizontal="right"/>
    </xf>
    <xf numFmtId="4" fontId="20" fillId="0" borderId="1" xfId="0" applyNumberFormat="1" applyFont="1" applyBorder="1" applyAlignment="1">
      <alignment horizontal="right"/>
    </xf>
    <xf numFmtId="2" fontId="17" fillId="0" borderId="1" xfId="2" applyNumberFormat="1" applyFont="1" applyBorder="1" applyAlignment="1">
      <alignment horizontal="right"/>
    </xf>
    <xf numFmtId="2" fontId="17" fillId="0" borderId="0" xfId="2" applyNumberFormat="1" applyFont="1" applyAlignment="1">
      <alignment horizontal="right"/>
    </xf>
    <xf numFmtId="0" fontId="82" fillId="34" borderId="0" xfId="122" applyFont="1" applyBorder="1" applyAlignment="1">
      <alignment horizontal="left"/>
    </xf>
    <xf numFmtId="0" fontId="84" fillId="36" borderId="0" xfId="124" applyFont="1" applyBorder="1" applyAlignment="1">
      <alignment horizontal="center"/>
    </xf>
    <xf numFmtId="0" fontId="84" fillId="36" borderId="33" xfId="124" applyFont="1" applyBorder="1" applyAlignment="1">
      <alignment horizontal="center"/>
    </xf>
    <xf numFmtId="0" fontId="81" fillId="37" borderId="35" xfId="125" applyBorder="1" applyAlignment="1">
      <alignment horizontal="center"/>
    </xf>
    <xf numFmtId="0" fontId="81" fillId="37" borderId="36" xfId="125" applyBorder="1" applyAlignment="1">
      <alignment horizontal="center"/>
    </xf>
    <xf numFmtId="0" fontId="81" fillId="37" borderId="37" xfId="125" applyBorder="1" applyAlignment="1">
      <alignment horizontal="center"/>
    </xf>
    <xf numFmtId="0" fontId="156" fillId="0" borderId="0" xfId="0" applyFont="1" applyAlignment="1">
      <alignment horizontal="left" vertical="center"/>
    </xf>
    <xf numFmtId="0" fontId="158" fillId="50" borderId="0" xfId="5" applyFont="1" applyFill="1" applyAlignment="1">
      <alignment horizontal="left" vertical="center"/>
    </xf>
    <xf numFmtId="0" fontId="156" fillId="0" borderId="0" xfId="0" applyFont="1" applyAlignment="1">
      <alignment horizontal="center" vertical="center"/>
    </xf>
    <xf numFmtId="0" fontId="157" fillId="0" borderId="0" xfId="0" applyFont="1" applyAlignment="1">
      <alignment horizontal="left" vertical="center"/>
    </xf>
    <xf numFmtId="170" fontId="156" fillId="0" borderId="0" xfId="64" applyNumberFormat="1" applyFont="1" applyAlignment="1">
      <alignment horizontal="right" vertical="center"/>
    </xf>
    <xf numFmtId="0" fontId="158" fillId="51" borderId="0" xfId="5" applyFont="1" applyFill="1" applyAlignment="1">
      <alignment horizontal="left"/>
    </xf>
    <xf numFmtId="0" fontId="158" fillId="51" borderId="0" xfId="5" applyFont="1" applyFill="1" applyAlignment="1">
      <alignment horizontal="right"/>
    </xf>
    <xf numFmtId="0" fontId="13" fillId="2" borderId="0" xfId="0" applyFont="1" applyFill="1" applyBorder="1" applyAlignment="1">
      <alignment horizontal="right"/>
    </xf>
    <xf numFmtId="17" fontId="15" fillId="3" borderId="0" xfId="0" applyNumberFormat="1" applyFont="1" applyFill="1" applyBorder="1" applyAlignment="1">
      <alignment horizontal="right"/>
    </xf>
    <xf numFmtId="2" fontId="15" fillId="3" borderId="0" xfId="0" applyNumberFormat="1" applyFont="1" applyFill="1" applyBorder="1" applyAlignment="1">
      <alignment horizontal="right"/>
    </xf>
    <xf numFmtId="0" fontId="38" fillId="0" borderId="0" xfId="0" applyFont="1" applyBorder="1" applyAlignment="1">
      <alignment vertical="center"/>
    </xf>
    <xf numFmtId="3" fontId="38" fillId="0" borderId="0" xfId="0" applyNumberFormat="1" applyFont="1" applyBorder="1" applyAlignment="1">
      <alignment vertical="center"/>
    </xf>
    <xf numFmtId="3" fontId="68" fillId="0" borderId="0" xfId="0" applyNumberFormat="1" applyFont="1" applyBorder="1" applyAlignment="1">
      <alignment vertical="center"/>
    </xf>
    <xf numFmtId="170" fontId="147" fillId="0" borderId="0" xfId="64" applyNumberFormat="1" applyFont="1" applyFill="1" applyBorder="1" applyAlignment="1">
      <alignment horizontal="right"/>
    </xf>
    <xf numFmtId="3" fontId="13" fillId="2" borderId="0" xfId="0" applyNumberFormat="1" applyFont="1" applyFill="1" applyBorder="1" applyAlignment="1">
      <alignment horizontal="right"/>
    </xf>
    <xf numFmtId="171" fontId="38" fillId="0" borderId="0" xfId="0" applyNumberFormat="1" applyFont="1" applyBorder="1" applyAlignment="1">
      <alignment vertical="center"/>
    </xf>
    <xf numFmtId="170" fontId="41" fillId="0" borderId="0" xfId="64" applyNumberFormat="1" applyFont="1" applyBorder="1" applyAlignment="1">
      <alignment vertical="center"/>
    </xf>
    <xf numFmtId="10" fontId="38" fillId="0" borderId="0" xfId="0" applyNumberFormat="1" applyFont="1" applyBorder="1" applyAlignment="1">
      <alignment vertical="center"/>
    </xf>
    <xf numFmtId="9" fontId="38" fillId="0" borderId="0" xfId="0" applyNumberFormat="1" applyFont="1" applyBorder="1" applyAlignment="1">
      <alignment vertical="center"/>
    </xf>
    <xf numFmtId="170" fontId="38" fillId="0" borderId="0" xfId="0" applyNumberFormat="1" applyFont="1" applyBorder="1" applyAlignment="1">
      <alignment vertical="center"/>
    </xf>
    <xf numFmtId="175" fontId="38" fillId="0" borderId="0" xfId="0" applyNumberFormat="1" applyFont="1" applyBorder="1" applyAlignment="1">
      <alignment vertical="center"/>
    </xf>
  </cellXfs>
  <cellStyles count="477">
    <cellStyle name="_x000a_386grabber=M" xfId="441" xr:uid="{00000000-0005-0000-0000-000000000000}"/>
    <cellStyle name="_%(SignOnly)" xfId="127" xr:uid="{00000000-0005-0000-0000-000001000000}"/>
    <cellStyle name="_%(SignSpaceOnly)" xfId="128" xr:uid="{00000000-0005-0000-0000-000002000000}"/>
    <cellStyle name="_Comma" xfId="129" xr:uid="{00000000-0005-0000-0000-000003000000}"/>
    <cellStyle name="_Comma_01 adj for merger plan" xfId="130" xr:uid="{00000000-0005-0000-0000-000004000000}"/>
    <cellStyle name="_Comma_Ability to Pay Analysis" xfId="131" xr:uid="{00000000-0005-0000-0000-000005000000}"/>
    <cellStyle name="_Comma_AFL" xfId="132" xr:uid="{00000000-0005-0000-0000-000006000000}"/>
    <cellStyle name="_Comma_AIZ" xfId="133" xr:uid="{00000000-0005-0000-0000-000007000000}"/>
    <cellStyle name="_Comma_AIZ04-Quantum2" xfId="134" xr:uid="{00000000-0005-0000-0000-000008000000}"/>
    <cellStyle name="_Comma_AMP" xfId="135" xr:uid="{00000000-0005-0000-0000-000009000000}"/>
    <cellStyle name="_Comma_Book1" xfId="136" xr:uid="{00000000-0005-0000-0000-00000A000000}"/>
    <cellStyle name="_Comma_Book3" xfId="137" xr:uid="{00000000-0005-0000-0000-00000B000000}"/>
    <cellStyle name="_Comma_CNO" xfId="138" xr:uid="{00000000-0005-0000-0000-00000C000000}"/>
    <cellStyle name="_Comma_CNO04" xfId="139" xr:uid="{00000000-0005-0000-0000-00000D000000}"/>
    <cellStyle name="_Comma_DCF Alexander Forbes" xfId="140" xr:uid="{00000000-0005-0000-0000-00000E000000}"/>
    <cellStyle name="_Comma_fmbi counties" xfId="141" xr:uid="{00000000-0005-0000-0000-00000F000000}"/>
    <cellStyle name="_Comma_FMBI MBHI Graphs" xfId="142" xr:uid="{00000000-0005-0000-0000-000010000000}"/>
    <cellStyle name="_Comma_FMBI MBHI Graphs 07102001" xfId="143" xr:uid="{00000000-0005-0000-0000-000011000000}"/>
    <cellStyle name="_Comma_FMBI MBHI Graphs_7601" xfId="144" xr:uid="{00000000-0005-0000-0000-000012000000}"/>
    <cellStyle name="_Comma_genworth model" xfId="145" xr:uid="{00000000-0005-0000-0000-000013000000}"/>
    <cellStyle name="_Comma_Insurance Brokerage CSC_1Q2002" xfId="146" xr:uid="{00000000-0005-0000-0000-000014000000}"/>
    <cellStyle name="_Comma_JP_LNC_spread_monitor (2)" xfId="147" xr:uid="{00000000-0005-0000-0000-000015000000}"/>
    <cellStyle name="_Comma_NFP" xfId="148" xr:uid="{00000000-0005-0000-0000-000016000000}"/>
    <cellStyle name="_Comma_NFS" xfId="149" xr:uid="{00000000-0005-0000-0000-000017000000}"/>
    <cellStyle name="_Comma_Overview3" xfId="150" xr:uid="{00000000-0005-0000-0000-000018000000}"/>
    <cellStyle name="_Comma_phil data" xfId="151" xr:uid="{00000000-0005-0000-0000-000019000000}"/>
    <cellStyle name="_Comma_Price Performance Charts" xfId="152" xr:uid="{00000000-0005-0000-0000-00001A000000}"/>
    <cellStyle name="_Comma_Quarterly Review by Company" xfId="153" xr:uid="{00000000-0005-0000-0000-00001B000000}"/>
    <cellStyle name="_Comma_SFG Data File" xfId="154" xr:uid="{00000000-0005-0000-0000-00001C000000}"/>
    <cellStyle name="_Comma_Sheet1" xfId="155" xr:uid="{00000000-0005-0000-0000-00001D000000}"/>
    <cellStyle name="_Comma_Stock-QTR1 FDS" xfId="156" xr:uid="{00000000-0005-0000-0000-00001E000000}"/>
    <cellStyle name="_Comma_Updated Valuation Changes" xfId="157" xr:uid="{00000000-0005-0000-0000-00001F000000}"/>
    <cellStyle name="_Comma_Valuation Graphs" xfId="158" xr:uid="{00000000-0005-0000-0000-000020000000}"/>
    <cellStyle name="_Comma_xratio - historical mkt val" xfId="159" xr:uid="{00000000-0005-0000-0000-000021000000}"/>
    <cellStyle name="_Currency" xfId="160" xr:uid="{00000000-0005-0000-0000-000022000000}"/>
    <cellStyle name="_Currency_01 adj for merger plan" xfId="161" xr:uid="{00000000-0005-0000-0000-000023000000}"/>
    <cellStyle name="_Currency_Ability to Pay Analysis" xfId="162" xr:uid="{00000000-0005-0000-0000-000024000000}"/>
    <cellStyle name="_Currency_AFL" xfId="163" xr:uid="{00000000-0005-0000-0000-000025000000}"/>
    <cellStyle name="_Currency_AIZ" xfId="164" xr:uid="{00000000-0005-0000-0000-000026000000}"/>
    <cellStyle name="_Currency_AMP" xfId="165" xr:uid="{00000000-0005-0000-0000-000027000000}"/>
    <cellStyle name="_Currency_Balance Sheet" xfId="166" xr:uid="{00000000-0005-0000-0000-000028000000}"/>
    <cellStyle name="_Currency_Book1" xfId="167" xr:uid="{00000000-0005-0000-0000-000029000000}"/>
    <cellStyle name="_Currency_Book29" xfId="168" xr:uid="{00000000-0005-0000-0000-00002A000000}"/>
    <cellStyle name="_Currency_Book3" xfId="169" xr:uid="{00000000-0005-0000-0000-00002B000000}"/>
    <cellStyle name="_Currency_Book3_1" xfId="170" xr:uid="{00000000-0005-0000-0000-00002C000000}"/>
    <cellStyle name="_Currency_CNO" xfId="171" xr:uid="{00000000-0005-0000-0000-00002D000000}"/>
    <cellStyle name="_Currency_DCF Alexander Forbes" xfId="172" xr:uid="{00000000-0005-0000-0000-00002E000000}"/>
    <cellStyle name="_Currency_fmbi counties" xfId="173" xr:uid="{00000000-0005-0000-0000-00002F000000}"/>
    <cellStyle name="_Currency_FMBI MBHI Graphs" xfId="174" xr:uid="{00000000-0005-0000-0000-000030000000}"/>
    <cellStyle name="_Currency_FMBI MBHI Graphs 07102001" xfId="175" xr:uid="{00000000-0005-0000-0000-000031000000}"/>
    <cellStyle name="_Currency_FMBI MBHI Graphs_7601" xfId="176" xr:uid="{00000000-0005-0000-0000-000032000000}"/>
    <cellStyle name="_Currency_GNW" xfId="177" xr:uid="{00000000-0005-0000-0000-000033000000}"/>
    <cellStyle name="_Currency_Insurance Brokerage CSC_1Q2002" xfId="178" xr:uid="{00000000-0005-0000-0000-000034000000}"/>
    <cellStyle name="_Currency_JP" xfId="179" xr:uid="{00000000-0005-0000-0000-000035000000}"/>
    <cellStyle name="_Currency_LNC" xfId="180" xr:uid="{00000000-0005-0000-0000-000036000000}"/>
    <cellStyle name="_Currency_MET" xfId="181" xr:uid="{00000000-0005-0000-0000-000037000000}"/>
    <cellStyle name="_Currency_MET04" xfId="182" xr:uid="{00000000-0005-0000-0000-000038000000}"/>
    <cellStyle name="_Currency_NFS" xfId="183" xr:uid="{00000000-0005-0000-0000-000039000000}"/>
    <cellStyle name="_Currency_Overview3" xfId="184" xr:uid="{00000000-0005-0000-0000-00003A000000}"/>
    <cellStyle name="_Currency_phil data" xfId="185" xr:uid="{00000000-0005-0000-0000-00003B000000}"/>
    <cellStyle name="_Currency_Price Performance Charts" xfId="186" xr:uid="{00000000-0005-0000-0000-00003C000000}"/>
    <cellStyle name="_Currency_PRU" xfId="187" xr:uid="{00000000-0005-0000-0000-00003D000000}"/>
    <cellStyle name="_Currency_PRU04" xfId="188" xr:uid="{00000000-0005-0000-0000-00003E000000}"/>
    <cellStyle name="_Currency_RiskReward" xfId="189" xr:uid="{00000000-0005-0000-0000-00003F000000}"/>
    <cellStyle name="_Currency_SFG" xfId="190" xr:uid="{00000000-0005-0000-0000-000040000000}"/>
    <cellStyle name="_Currency_Sheet1" xfId="191" xr:uid="{00000000-0005-0000-0000-000041000000}"/>
    <cellStyle name="_Currency_Stock-QTR1 FDS" xfId="192" xr:uid="{00000000-0005-0000-0000-000042000000}"/>
    <cellStyle name="_Currency_TMK" xfId="193" xr:uid="{00000000-0005-0000-0000-000043000000}"/>
    <cellStyle name="_Currency_Updated Valuation Changes" xfId="194" xr:uid="{00000000-0005-0000-0000-000044000000}"/>
    <cellStyle name="_Currency_Valuation Graphs" xfId="195" xr:uid="{00000000-0005-0000-0000-000045000000}"/>
    <cellStyle name="_Currency_xratio - historical mkt val" xfId="196" xr:uid="{00000000-0005-0000-0000-000046000000}"/>
    <cellStyle name="_CurrencySpace" xfId="197" xr:uid="{00000000-0005-0000-0000-000047000000}"/>
    <cellStyle name="_CurrencySpace_01 adj for merger plan" xfId="198" xr:uid="{00000000-0005-0000-0000-000048000000}"/>
    <cellStyle name="_CurrencySpace_Ability to Pay Analysis" xfId="199" xr:uid="{00000000-0005-0000-0000-000049000000}"/>
    <cellStyle name="_CurrencySpace_AFL" xfId="200" xr:uid="{00000000-0005-0000-0000-00004A000000}"/>
    <cellStyle name="_CurrencySpace_AIZ" xfId="201" xr:uid="{00000000-0005-0000-0000-00004B000000}"/>
    <cellStyle name="_CurrencySpace_AMP" xfId="202" xr:uid="{00000000-0005-0000-0000-00004C000000}"/>
    <cellStyle name="_CurrencySpace_Balance Sheet" xfId="203" xr:uid="{00000000-0005-0000-0000-00004D000000}"/>
    <cellStyle name="_CurrencySpace_Book1" xfId="204" xr:uid="{00000000-0005-0000-0000-00004E000000}"/>
    <cellStyle name="_CurrencySpace_Book29" xfId="205" xr:uid="{00000000-0005-0000-0000-00004F000000}"/>
    <cellStyle name="_CurrencySpace_Book3" xfId="206" xr:uid="{00000000-0005-0000-0000-000050000000}"/>
    <cellStyle name="_CurrencySpace_Book3_1" xfId="207" xr:uid="{00000000-0005-0000-0000-000051000000}"/>
    <cellStyle name="_CurrencySpace_CNO" xfId="208" xr:uid="{00000000-0005-0000-0000-000052000000}"/>
    <cellStyle name="_CurrencySpace_DCF Alexander Forbes" xfId="209" xr:uid="{00000000-0005-0000-0000-000053000000}"/>
    <cellStyle name="_CurrencySpace_fmbi counties" xfId="210" xr:uid="{00000000-0005-0000-0000-000054000000}"/>
    <cellStyle name="_CurrencySpace_FMBI MBHI Graphs" xfId="211" xr:uid="{00000000-0005-0000-0000-000055000000}"/>
    <cellStyle name="_CurrencySpace_FMBI MBHI Graphs 07102001" xfId="212" xr:uid="{00000000-0005-0000-0000-000056000000}"/>
    <cellStyle name="_CurrencySpace_FMBI MBHI Graphs_7601" xfId="213" xr:uid="{00000000-0005-0000-0000-000057000000}"/>
    <cellStyle name="_CurrencySpace_GNW" xfId="214" xr:uid="{00000000-0005-0000-0000-000058000000}"/>
    <cellStyle name="_CurrencySpace_Insurance Brokerage CSC_1Q2002" xfId="215" xr:uid="{00000000-0005-0000-0000-000059000000}"/>
    <cellStyle name="_CurrencySpace_JP" xfId="216" xr:uid="{00000000-0005-0000-0000-00005A000000}"/>
    <cellStyle name="_CurrencySpace_LNC" xfId="217" xr:uid="{00000000-0005-0000-0000-00005B000000}"/>
    <cellStyle name="_CurrencySpace_MET" xfId="218" xr:uid="{00000000-0005-0000-0000-00005C000000}"/>
    <cellStyle name="_CurrencySpace_MET04" xfId="219" xr:uid="{00000000-0005-0000-0000-00005D000000}"/>
    <cellStyle name="_CurrencySpace_NFS" xfId="220" xr:uid="{00000000-0005-0000-0000-00005E000000}"/>
    <cellStyle name="_CurrencySpace_Overview3" xfId="221" xr:uid="{00000000-0005-0000-0000-00005F000000}"/>
    <cellStyle name="_CurrencySpace_phil data" xfId="222" xr:uid="{00000000-0005-0000-0000-000060000000}"/>
    <cellStyle name="_CurrencySpace_Price Performance Charts" xfId="223" xr:uid="{00000000-0005-0000-0000-000061000000}"/>
    <cellStyle name="_CurrencySpace_PRU" xfId="224" xr:uid="{00000000-0005-0000-0000-000062000000}"/>
    <cellStyle name="_CurrencySpace_PRU04" xfId="225" xr:uid="{00000000-0005-0000-0000-000063000000}"/>
    <cellStyle name="_CurrencySpace_RiskReward" xfId="226" xr:uid="{00000000-0005-0000-0000-000064000000}"/>
    <cellStyle name="_CurrencySpace_SFG" xfId="227" xr:uid="{00000000-0005-0000-0000-000065000000}"/>
    <cellStyle name="_CurrencySpace_Sheet1" xfId="228" xr:uid="{00000000-0005-0000-0000-000066000000}"/>
    <cellStyle name="_CurrencySpace_Stock-QTR1 FDS" xfId="229" xr:uid="{00000000-0005-0000-0000-000067000000}"/>
    <cellStyle name="_CurrencySpace_TMK" xfId="230" xr:uid="{00000000-0005-0000-0000-000068000000}"/>
    <cellStyle name="_CurrencySpace_Updated Valuation Changes" xfId="231" xr:uid="{00000000-0005-0000-0000-000069000000}"/>
    <cellStyle name="_CurrencySpace_Valuation Graphs" xfId="232" xr:uid="{00000000-0005-0000-0000-00006A000000}"/>
    <cellStyle name="_CurrencySpace_xratio - historical mkt val" xfId="233" xr:uid="{00000000-0005-0000-0000-00006B000000}"/>
    <cellStyle name="_Dollar" xfId="234" xr:uid="{00000000-0005-0000-0000-00006C000000}"/>
    <cellStyle name="_Euro" xfId="235" xr:uid="{00000000-0005-0000-0000-00006D000000}"/>
    <cellStyle name="_Heading" xfId="236" xr:uid="{00000000-0005-0000-0000-00006E000000}"/>
    <cellStyle name="_Heading_prestemp" xfId="237" xr:uid="{00000000-0005-0000-0000-00006F000000}"/>
    <cellStyle name="_Highlight" xfId="238" xr:uid="{00000000-0005-0000-0000-000070000000}"/>
    <cellStyle name="_Multiple" xfId="239" xr:uid="{00000000-0005-0000-0000-000071000000}"/>
    <cellStyle name="_Multiple_01 adj for merger plan" xfId="240" xr:uid="{00000000-0005-0000-0000-000072000000}"/>
    <cellStyle name="_Multiple_Ability to Pay Analysis" xfId="241" xr:uid="{00000000-0005-0000-0000-000073000000}"/>
    <cellStyle name="_Multiple_AFL" xfId="242" xr:uid="{00000000-0005-0000-0000-000074000000}"/>
    <cellStyle name="_Multiple_AIZ" xfId="243" xr:uid="{00000000-0005-0000-0000-000075000000}"/>
    <cellStyle name="_Multiple_AMP" xfId="244" xr:uid="{00000000-0005-0000-0000-000076000000}"/>
    <cellStyle name="_Multiple_Balance Sheet" xfId="245" xr:uid="{00000000-0005-0000-0000-000077000000}"/>
    <cellStyle name="_Multiple_Book1" xfId="246" xr:uid="{00000000-0005-0000-0000-000078000000}"/>
    <cellStyle name="_Multiple_Book29" xfId="247" xr:uid="{00000000-0005-0000-0000-000079000000}"/>
    <cellStyle name="_Multiple_Book3" xfId="248" xr:uid="{00000000-0005-0000-0000-00007A000000}"/>
    <cellStyle name="_Multiple_Book3_1" xfId="249" xr:uid="{00000000-0005-0000-0000-00007B000000}"/>
    <cellStyle name="_Multiple_CNO" xfId="250" xr:uid="{00000000-0005-0000-0000-00007C000000}"/>
    <cellStyle name="_Multiple_DCF Alexander Forbes" xfId="251" xr:uid="{00000000-0005-0000-0000-00007D000000}"/>
    <cellStyle name="_Multiple_fmbi counties" xfId="252" xr:uid="{00000000-0005-0000-0000-00007E000000}"/>
    <cellStyle name="_Multiple_FMBI MBHI Graphs" xfId="253" xr:uid="{00000000-0005-0000-0000-00007F000000}"/>
    <cellStyle name="_Multiple_FMBI MBHI Graphs 07102001" xfId="254" xr:uid="{00000000-0005-0000-0000-000080000000}"/>
    <cellStyle name="_Multiple_FMBI MBHI Graphs_7601" xfId="255" xr:uid="{00000000-0005-0000-0000-000081000000}"/>
    <cellStyle name="_Multiple_GNW" xfId="256" xr:uid="{00000000-0005-0000-0000-000082000000}"/>
    <cellStyle name="_Multiple_Insurance Brokerage CSC_1Q2002" xfId="257" xr:uid="{00000000-0005-0000-0000-000083000000}"/>
    <cellStyle name="_Multiple_JP" xfId="258" xr:uid="{00000000-0005-0000-0000-000084000000}"/>
    <cellStyle name="_Multiple_LNC" xfId="259" xr:uid="{00000000-0005-0000-0000-000085000000}"/>
    <cellStyle name="_Multiple_MET" xfId="260" xr:uid="{00000000-0005-0000-0000-000086000000}"/>
    <cellStyle name="_Multiple_MET04" xfId="261" xr:uid="{00000000-0005-0000-0000-000087000000}"/>
    <cellStyle name="_Multiple_NFS" xfId="262" xr:uid="{00000000-0005-0000-0000-000088000000}"/>
    <cellStyle name="_Multiple_Overview3" xfId="263" xr:uid="{00000000-0005-0000-0000-000089000000}"/>
    <cellStyle name="_Multiple_phil data" xfId="264" xr:uid="{00000000-0005-0000-0000-00008A000000}"/>
    <cellStyle name="_Multiple_Price Performance Charts" xfId="265" xr:uid="{00000000-0005-0000-0000-00008B000000}"/>
    <cellStyle name="_Multiple_PRU" xfId="266" xr:uid="{00000000-0005-0000-0000-00008C000000}"/>
    <cellStyle name="_Multiple_PRU04" xfId="267" xr:uid="{00000000-0005-0000-0000-00008D000000}"/>
    <cellStyle name="_Multiple_RiskReward" xfId="268" xr:uid="{00000000-0005-0000-0000-00008E000000}"/>
    <cellStyle name="_Multiple_SFG" xfId="269" xr:uid="{00000000-0005-0000-0000-00008F000000}"/>
    <cellStyle name="_Multiple_Sheet1" xfId="270" xr:uid="{00000000-0005-0000-0000-000090000000}"/>
    <cellStyle name="_Multiple_Stock-QTR1 FDS" xfId="271" xr:uid="{00000000-0005-0000-0000-000091000000}"/>
    <cellStyle name="_Multiple_TMK" xfId="272" xr:uid="{00000000-0005-0000-0000-000092000000}"/>
    <cellStyle name="_Multiple_Updated Valuation Changes" xfId="273" xr:uid="{00000000-0005-0000-0000-000093000000}"/>
    <cellStyle name="_Multiple_Valuation Graphs" xfId="274" xr:uid="{00000000-0005-0000-0000-000094000000}"/>
    <cellStyle name="_Multiple_xratio - historical mkt val" xfId="275" xr:uid="{00000000-0005-0000-0000-000095000000}"/>
    <cellStyle name="_MultipleSpace" xfId="276" xr:uid="{00000000-0005-0000-0000-000096000000}"/>
    <cellStyle name="_MultipleSpace_01 adj for merger plan" xfId="277" xr:uid="{00000000-0005-0000-0000-000097000000}"/>
    <cellStyle name="_MultipleSpace_Ability to Pay Analysis" xfId="278" xr:uid="{00000000-0005-0000-0000-000098000000}"/>
    <cellStyle name="_MultipleSpace_AFL" xfId="279" xr:uid="{00000000-0005-0000-0000-000099000000}"/>
    <cellStyle name="_MultipleSpace_AIZ" xfId="280" xr:uid="{00000000-0005-0000-0000-00009A000000}"/>
    <cellStyle name="_MultipleSpace_AMP" xfId="281" xr:uid="{00000000-0005-0000-0000-00009B000000}"/>
    <cellStyle name="_MultipleSpace_Balance Sheet" xfId="282" xr:uid="{00000000-0005-0000-0000-00009C000000}"/>
    <cellStyle name="_MultipleSpace_Book1" xfId="283" xr:uid="{00000000-0005-0000-0000-00009D000000}"/>
    <cellStyle name="_MultipleSpace_Book29" xfId="284" xr:uid="{00000000-0005-0000-0000-00009E000000}"/>
    <cellStyle name="_MultipleSpace_Book3" xfId="285" xr:uid="{00000000-0005-0000-0000-00009F000000}"/>
    <cellStyle name="_MultipleSpace_Book3_1" xfId="286" xr:uid="{00000000-0005-0000-0000-0000A0000000}"/>
    <cellStyle name="_MultipleSpace_CNO" xfId="287" xr:uid="{00000000-0005-0000-0000-0000A1000000}"/>
    <cellStyle name="_MultipleSpace_DCF Alexander Forbes" xfId="288" xr:uid="{00000000-0005-0000-0000-0000A2000000}"/>
    <cellStyle name="_MultipleSpace_fmbi counties" xfId="289" xr:uid="{00000000-0005-0000-0000-0000A3000000}"/>
    <cellStyle name="_MultipleSpace_FMBI MBHI Graphs" xfId="290" xr:uid="{00000000-0005-0000-0000-0000A4000000}"/>
    <cellStyle name="_MultipleSpace_FMBI MBHI Graphs 07102001" xfId="291" xr:uid="{00000000-0005-0000-0000-0000A5000000}"/>
    <cellStyle name="_MultipleSpace_FMBI MBHI Graphs_7601" xfId="292" xr:uid="{00000000-0005-0000-0000-0000A6000000}"/>
    <cellStyle name="_MultipleSpace_GNW" xfId="293" xr:uid="{00000000-0005-0000-0000-0000A7000000}"/>
    <cellStyle name="_MultipleSpace_Insurance Brokerage CSC_1Q2002" xfId="294" xr:uid="{00000000-0005-0000-0000-0000A8000000}"/>
    <cellStyle name="_MultipleSpace_JP" xfId="295" xr:uid="{00000000-0005-0000-0000-0000A9000000}"/>
    <cellStyle name="_MultipleSpace_LNC" xfId="296" xr:uid="{00000000-0005-0000-0000-0000AA000000}"/>
    <cellStyle name="_MultipleSpace_MET" xfId="297" xr:uid="{00000000-0005-0000-0000-0000AB000000}"/>
    <cellStyle name="_MultipleSpace_MET04" xfId="298" xr:uid="{00000000-0005-0000-0000-0000AC000000}"/>
    <cellStyle name="_MultipleSpace_NFS" xfId="299" xr:uid="{00000000-0005-0000-0000-0000AD000000}"/>
    <cellStyle name="_MultipleSpace_Overview3" xfId="300" xr:uid="{00000000-0005-0000-0000-0000AE000000}"/>
    <cellStyle name="_MultipleSpace_phil data" xfId="301" xr:uid="{00000000-0005-0000-0000-0000AF000000}"/>
    <cellStyle name="_MultipleSpace_Price Performance Charts" xfId="302" xr:uid="{00000000-0005-0000-0000-0000B0000000}"/>
    <cellStyle name="_MultipleSpace_PRU" xfId="303" xr:uid="{00000000-0005-0000-0000-0000B1000000}"/>
    <cellStyle name="_MultipleSpace_PRU04" xfId="304" xr:uid="{00000000-0005-0000-0000-0000B2000000}"/>
    <cellStyle name="_MultipleSpace_RiskReward" xfId="305" xr:uid="{00000000-0005-0000-0000-0000B3000000}"/>
    <cellStyle name="_MultipleSpace_SFG" xfId="306" xr:uid="{00000000-0005-0000-0000-0000B4000000}"/>
    <cellStyle name="_MultipleSpace_Sheet1" xfId="307" xr:uid="{00000000-0005-0000-0000-0000B5000000}"/>
    <cellStyle name="_MultipleSpace_Stock-QTR1 FDS" xfId="308" xr:uid="{00000000-0005-0000-0000-0000B6000000}"/>
    <cellStyle name="_MultipleSpace_TMK" xfId="309" xr:uid="{00000000-0005-0000-0000-0000B7000000}"/>
    <cellStyle name="_MultipleSpace_Updated Valuation Changes" xfId="310" xr:uid="{00000000-0005-0000-0000-0000B8000000}"/>
    <cellStyle name="_MultipleSpace_Valuation Graphs" xfId="311" xr:uid="{00000000-0005-0000-0000-0000B9000000}"/>
    <cellStyle name="_MultipleSpace_xratio - historical mkt val" xfId="312" xr:uid="{00000000-0005-0000-0000-0000BA000000}"/>
    <cellStyle name="_Percent" xfId="313" xr:uid="{00000000-0005-0000-0000-0000BB000000}"/>
    <cellStyle name="_Percent_DCF Alexander Forbes" xfId="314" xr:uid="{00000000-0005-0000-0000-0000BC000000}"/>
    <cellStyle name="_Percent_FMBI MBHI Graphs" xfId="315" xr:uid="{00000000-0005-0000-0000-0000BD000000}"/>
    <cellStyle name="_Percent_FMBI MBHI Graphs 07102001" xfId="316" xr:uid="{00000000-0005-0000-0000-0000BE000000}"/>
    <cellStyle name="_Percent_FMBI MBHI Graphs_7601" xfId="317" xr:uid="{00000000-0005-0000-0000-0000BF000000}"/>
    <cellStyle name="_PercentSpace" xfId="318" xr:uid="{00000000-0005-0000-0000-0000C0000000}"/>
    <cellStyle name="_PercentSpace_01 adj for merger plan" xfId="319" xr:uid="{00000000-0005-0000-0000-0000C1000000}"/>
    <cellStyle name="_PercentSpace_DCF Alexander Forbes" xfId="320" xr:uid="{00000000-0005-0000-0000-0000C2000000}"/>
    <cellStyle name="_PercentSpace_FMBI MBHI Graphs" xfId="321" xr:uid="{00000000-0005-0000-0000-0000C3000000}"/>
    <cellStyle name="_PercentSpace_FMBI MBHI Graphs 07102001" xfId="322" xr:uid="{00000000-0005-0000-0000-0000C4000000}"/>
    <cellStyle name="_PercentSpace_FMBI MBHI Graphs_7601" xfId="323" xr:uid="{00000000-0005-0000-0000-0000C5000000}"/>
    <cellStyle name="_SubHeading" xfId="324" xr:uid="{00000000-0005-0000-0000-0000C6000000}"/>
    <cellStyle name="_SubHeading_Ability to Pay Analysis" xfId="325" xr:uid="{00000000-0005-0000-0000-0000C7000000}"/>
    <cellStyle name="_SubHeading_BankUnited Model" xfId="326" xr:uid="{00000000-0005-0000-0000-0000C8000000}"/>
    <cellStyle name="_SubHeading_fmbi counties" xfId="327" xr:uid="{00000000-0005-0000-0000-0000C9000000}"/>
    <cellStyle name="_SubHeading_FMBI MBHI Graphs" xfId="328" xr:uid="{00000000-0005-0000-0000-0000CA000000}"/>
    <cellStyle name="_SubHeading_FMBI MBHI Graphs 07102001" xfId="329" xr:uid="{00000000-0005-0000-0000-0000CB000000}"/>
    <cellStyle name="_SubHeading_FMBI MBHI Graphs_7601" xfId="330" xr:uid="{00000000-0005-0000-0000-0000CC000000}"/>
    <cellStyle name="_SubHeading_prestemp" xfId="331" xr:uid="{00000000-0005-0000-0000-0000CD000000}"/>
    <cellStyle name="_SubHeading_prestemp_Insurance Brokerage CSC_1Q2002" xfId="332" xr:uid="{00000000-0005-0000-0000-0000CE000000}"/>
    <cellStyle name="_SubHeading_prestemp_Overview3" xfId="333" xr:uid="{00000000-0005-0000-0000-0000CF000000}"/>
    <cellStyle name="_SubHeading_prestemp_Updated Valuation Changes" xfId="334" xr:uid="{00000000-0005-0000-0000-0000D0000000}"/>
    <cellStyle name="_SubHeading_xratio - historical mkt val" xfId="335" xr:uid="{00000000-0005-0000-0000-0000D1000000}"/>
    <cellStyle name="_Table" xfId="336" xr:uid="{00000000-0005-0000-0000-0000D2000000}"/>
    <cellStyle name="_Table_Ability to Pay Analysis" xfId="337" xr:uid="{00000000-0005-0000-0000-0000D3000000}"/>
    <cellStyle name="_Table_BankUnited Model" xfId="338" xr:uid="{00000000-0005-0000-0000-0000D4000000}"/>
    <cellStyle name="_Table_fmbi counties" xfId="339" xr:uid="{00000000-0005-0000-0000-0000D5000000}"/>
    <cellStyle name="_Table_xratio - historical mkt val" xfId="340" xr:uid="{00000000-0005-0000-0000-0000D6000000}"/>
    <cellStyle name="_TableHead" xfId="341" xr:uid="{00000000-0005-0000-0000-0000D7000000}"/>
    <cellStyle name="_TableRowHead" xfId="342" xr:uid="{00000000-0005-0000-0000-0000D8000000}"/>
    <cellStyle name="_TableSuperHead" xfId="343" xr:uid="{00000000-0005-0000-0000-0000D9000000}"/>
    <cellStyle name="_TableSuperHead_Ability to Pay Analysis" xfId="344" xr:uid="{00000000-0005-0000-0000-0000DA000000}"/>
    <cellStyle name="_TableSuperHead_BankUnited Model" xfId="345" xr:uid="{00000000-0005-0000-0000-0000DB000000}"/>
    <cellStyle name="_TableSuperHead_fmbi counties" xfId="346" xr:uid="{00000000-0005-0000-0000-0000DC000000}"/>
    <cellStyle name="_TableSuperHead_xratio - historical mkt val" xfId="347" xr:uid="{00000000-0005-0000-0000-0000DD000000}"/>
    <cellStyle name="20% - Accent1 2" xfId="9" xr:uid="{00000000-0005-0000-0000-0000DE000000}"/>
    <cellStyle name="20% - Accent2 2" xfId="10" xr:uid="{00000000-0005-0000-0000-0000DF000000}"/>
    <cellStyle name="20% - Accent3 2" xfId="11" xr:uid="{00000000-0005-0000-0000-0000E0000000}"/>
    <cellStyle name="20% - Accent4 2" xfId="12" xr:uid="{00000000-0005-0000-0000-0000E1000000}"/>
    <cellStyle name="20% - Accent5 2" xfId="13" xr:uid="{00000000-0005-0000-0000-0000E2000000}"/>
    <cellStyle name="20% - Accent6 2" xfId="14" xr:uid="{00000000-0005-0000-0000-0000E3000000}"/>
    <cellStyle name="40% - Accent1 2" xfId="15" xr:uid="{00000000-0005-0000-0000-0000E4000000}"/>
    <cellStyle name="40% - Accent2 2" xfId="16" xr:uid="{00000000-0005-0000-0000-0000E5000000}"/>
    <cellStyle name="40% - Accent3 2" xfId="17" xr:uid="{00000000-0005-0000-0000-0000E6000000}"/>
    <cellStyle name="40% - Accent4 2" xfId="18" xr:uid="{00000000-0005-0000-0000-0000E7000000}"/>
    <cellStyle name="40% - Accent5 2" xfId="19" xr:uid="{00000000-0005-0000-0000-0000E8000000}"/>
    <cellStyle name="40% - Accent6 2" xfId="20" xr:uid="{00000000-0005-0000-0000-0000E9000000}"/>
    <cellStyle name="60% - Accent1 2" xfId="21" xr:uid="{00000000-0005-0000-0000-0000EA000000}"/>
    <cellStyle name="60% - Accent1 3" xfId="91" xr:uid="{00000000-0005-0000-0000-0000EB000000}"/>
    <cellStyle name="60% - Accent2 2" xfId="22" xr:uid="{00000000-0005-0000-0000-0000EC000000}"/>
    <cellStyle name="60% - Accent2 3" xfId="92" xr:uid="{00000000-0005-0000-0000-0000ED000000}"/>
    <cellStyle name="60% - Accent3 2" xfId="23" xr:uid="{00000000-0005-0000-0000-0000EE000000}"/>
    <cellStyle name="60% - Accent3 3" xfId="93" xr:uid="{00000000-0005-0000-0000-0000EF000000}"/>
    <cellStyle name="60% - Accent4 2" xfId="24" xr:uid="{00000000-0005-0000-0000-0000F0000000}"/>
    <cellStyle name="60% - Accent4 3" xfId="94" xr:uid="{00000000-0005-0000-0000-0000F1000000}"/>
    <cellStyle name="60% - Accent5 2" xfId="25" xr:uid="{00000000-0005-0000-0000-0000F2000000}"/>
    <cellStyle name="60% - Accent5 3" xfId="95" xr:uid="{00000000-0005-0000-0000-0000F3000000}"/>
    <cellStyle name="60% - Accent6 2" xfId="26" xr:uid="{00000000-0005-0000-0000-0000F4000000}"/>
    <cellStyle name="60% - Accent6 3" xfId="96" xr:uid="{00000000-0005-0000-0000-0000F5000000}"/>
    <cellStyle name="Accent1 2" xfId="27" xr:uid="{00000000-0005-0000-0000-0000F6000000}"/>
    <cellStyle name="Accent1 3" xfId="97" xr:uid="{00000000-0005-0000-0000-0000F7000000}"/>
    <cellStyle name="Accent2 2" xfId="28" xr:uid="{00000000-0005-0000-0000-0000F8000000}"/>
    <cellStyle name="Accent2 3" xfId="98" xr:uid="{00000000-0005-0000-0000-0000F9000000}"/>
    <cellStyle name="Accent3 2" xfId="29" xr:uid="{00000000-0005-0000-0000-0000FA000000}"/>
    <cellStyle name="Accent3 3" xfId="99" xr:uid="{00000000-0005-0000-0000-0000FB000000}"/>
    <cellStyle name="Accent4 2" xfId="30" xr:uid="{00000000-0005-0000-0000-0000FC000000}"/>
    <cellStyle name="Accent4 3" xfId="100" xr:uid="{00000000-0005-0000-0000-0000FD000000}"/>
    <cellStyle name="Accent5 2" xfId="31" xr:uid="{00000000-0005-0000-0000-0000FE000000}"/>
    <cellStyle name="Accent5 3" xfId="101" xr:uid="{00000000-0005-0000-0000-0000FF000000}"/>
    <cellStyle name="Accent6 2" xfId="32" xr:uid="{00000000-0005-0000-0000-000000010000}"/>
    <cellStyle name="Accent6 3" xfId="102" xr:uid="{00000000-0005-0000-0000-000001010000}"/>
    <cellStyle name="Actual data" xfId="348" xr:uid="{00000000-0005-0000-0000-000002010000}"/>
    <cellStyle name="Actual year" xfId="349" xr:uid="{00000000-0005-0000-0000-000003010000}"/>
    <cellStyle name="Actuals Cells" xfId="350" xr:uid="{00000000-0005-0000-0000-000004010000}"/>
    <cellStyle name="AFE" xfId="351" xr:uid="{00000000-0005-0000-0000-000005010000}"/>
    <cellStyle name="afl" xfId="352" xr:uid="{00000000-0005-0000-0000-000006010000}"/>
    <cellStyle name="Andre's Title" xfId="353" xr:uid="{00000000-0005-0000-0000-000007010000}"/>
    <cellStyle name="Bad" xfId="123" builtinId="27"/>
    <cellStyle name="Bad 2" xfId="33" xr:uid="{00000000-0005-0000-0000-000009010000}"/>
    <cellStyle name="Blank" xfId="354" xr:uid="{00000000-0005-0000-0000-00000A010000}"/>
    <cellStyle name="Blue" xfId="355" xr:uid="{00000000-0005-0000-0000-00000B010000}"/>
    <cellStyle name="Blue Title" xfId="356" xr:uid="{00000000-0005-0000-0000-00000C010000}"/>
    <cellStyle name="Calc Cells" xfId="357" xr:uid="{00000000-0005-0000-0000-00000D010000}"/>
    <cellStyle name="Calculation 2" xfId="34" xr:uid="{00000000-0005-0000-0000-00000E010000}"/>
    <cellStyle name="Case" xfId="358" xr:uid="{00000000-0005-0000-0000-00000F010000}"/>
    <cellStyle name="Check Cell 2" xfId="35" xr:uid="{00000000-0005-0000-0000-000010010000}"/>
    <cellStyle name="Co. Names" xfId="359" xr:uid="{00000000-0005-0000-0000-000011010000}"/>
    <cellStyle name="Co. Names - Bold" xfId="360" xr:uid="{00000000-0005-0000-0000-000012010000}"/>
    <cellStyle name="Co. Names_Blend" xfId="361" xr:uid="{00000000-0005-0000-0000-000013010000}"/>
    <cellStyle name="Col Head" xfId="362" xr:uid="{00000000-0005-0000-0000-000014010000}"/>
    <cellStyle name="Comma" xfId="1" builtinId="3"/>
    <cellStyle name="Comma 2" xfId="7" xr:uid="{00000000-0005-0000-0000-000016010000}"/>
    <cellStyle name="Comma 2 2" xfId="87" xr:uid="{00000000-0005-0000-0000-000017010000}"/>
    <cellStyle name="Comma 2 3" xfId="83" xr:uid="{00000000-0005-0000-0000-000018010000}"/>
    <cellStyle name="Comma 3" xfId="36" xr:uid="{00000000-0005-0000-0000-000019010000}"/>
    <cellStyle name="Comma 4" xfId="442" xr:uid="{00000000-0005-0000-0000-00001A010000}"/>
    <cellStyle name="Comma 4 2" xfId="471" xr:uid="{00000000-0005-0000-0000-00001B010000}"/>
    <cellStyle name="Comma 6" xfId="476" xr:uid="{C8FA473D-E337-4955-8C29-7C9E02DD6333}"/>
    <cellStyle name="Comma0" xfId="363" xr:uid="{00000000-0005-0000-0000-00001C010000}"/>
    <cellStyle name="Company name" xfId="364" xr:uid="{00000000-0005-0000-0000-00001D010000}"/>
    <cellStyle name="CompanyTitle" xfId="365" xr:uid="{00000000-0005-0000-0000-00001E010000}"/>
    <cellStyle name="Currency" xfId="475" builtinId="4"/>
    <cellStyle name="Currency [2]" xfId="366" xr:uid="{00000000-0005-0000-0000-000020010000}"/>
    <cellStyle name="Currency 2" xfId="37" xr:uid="{00000000-0005-0000-0000-000021010000}"/>
    <cellStyle name="Currency 2 2" xfId="88" xr:uid="{00000000-0005-0000-0000-000022010000}"/>
    <cellStyle name="Currency 2 3" xfId="84" xr:uid="{00000000-0005-0000-0000-000023010000}"/>
    <cellStyle name="Currency 3" xfId="38" xr:uid="{00000000-0005-0000-0000-000024010000}"/>
    <cellStyle name="Currency 4" xfId="445" xr:uid="{00000000-0005-0000-0000-000025010000}"/>
    <cellStyle name="Currency0" xfId="367" xr:uid="{00000000-0005-0000-0000-000026010000}"/>
    <cellStyle name="date" xfId="368" xr:uid="{00000000-0005-0000-0000-000027010000}"/>
    <cellStyle name="default" xfId="369" xr:uid="{00000000-0005-0000-0000-000028010000}"/>
    <cellStyle name="Dollar" xfId="39" xr:uid="{00000000-0005-0000-0000-000029010000}"/>
    <cellStyle name="emp" xfId="370" xr:uid="{00000000-0005-0000-0000-00002A010000}"/>
    <cellStyle name="Explanatory Text 2" xfId="40" xr:uid="{00000000-0005-0000-0000-00002B010000}"/>
    <cellStyle name="External File Cells" xfId="371" xr:uid="{00000000-0005-0000-0000-00002C010000}"/>
    <cellStyle name="Fit" xfId="372" xr:uid="{00000000-0005-0000-0000-00002D010000}"/>
    <cellStyle name="Fixed" xfId="373" xr:uid="{00000000-0005-0000-0000-00002E010000}"/>
    <cellStyle name="Footnotes" xfId="374" xr:uid="{00000000-0005-0000-0000-00002F010000}"/>
    <cellStyle name="Forecast Cells" xfId="375" xr:uid="{00000000-0005-0000-0000-000030010000}"/>
    <cellStyle name="Fraction" xfId="41" xr:uid="{00000000-0005-0000-0000-000031010000}"/>
    <cellStyle name="G1_1999 figures" xfId="376" xr:uid="{00000000-0005-0000-0000-000032010000}"/>
    <cellStyle name="Good" xfId="122" builtinId="26"/>
    <cellStyle name="Good 2" xfId="42" xr:uid="{00000000-0005-0000-0000-000034010000}"/>
    <cellStyle name="H_1998_col_head" xfId="377" xr:uid="{00000000-0005-0000-0000-000035010000}"/>
    <cellStyle name="H_1999_col_head" xfId="378" xr:uid="{00000000-0005-0000-0000-000036010000}"/>
    <cellStyle name="H1_1998 figures" xfId="379" xr:uid="{00000000-0005-0000-0000-000037010000}"/>
    <cellStyle name="Header" xfId="43" xr:uid="{00000000-0005-0000-0000-000038010000}"/>
    <cellStyle name="Heading" xfId="380" xr:uid="{00000000-0005-0000-0000-000039010000}"/>
    <cellStyle name="Heading 1 2" xfId="44" xr:uid="{00000000-0005-0000-0000-00003A010000}"/>
    <cellStyle name="Heading 2 2" xfId="45" xr:uid="{00000000-0005-0000-0000-00003B010000}"/>
    <cellStyle name="Heading 3 2" xfId="46" xr:uid="{00000000-0005-0000-0000-00003C010000}"/>
    <cellStyle name="Heading 4 2" xfId="47" xr:uid="{00000000-0005-0000-0000-00003D010000}"/>
    <cellStyle name="Heading1" xfId="381" xr:uid="{00000000-0005-0000-0000-00003E010000}"/>
    <cellStyle name="Hyperlink" xfId="438" builtinId="8"/>
    <cellStyle name="Input 2" xfId="48" xr:uid="{00000000-0005-0000-0000-000040010000}"/>
    <cellStyle name="Input Cells" xfId="382" xr:uid="{00000000-0005-0000-0000-000041010000}"/>
    <cellStyle name="Inputs" xfId="49" xr:uid="{00000000-0005-0000-0000-000042010000}"/>
    <cellStyle name="Item Descriptions" xfId="383" xr:uid="{00000000-0005-0000-0000-000043010000}"/>
    <cellStyle name="Line" xfId="384" xr:uid="{00000000-0005-0000-0000-000044010000}"/>
    <cellStyle name="Linked Cell 2" xfId="50" xr:uid="{00000000-0005-0000-0000-000045010000}"/>
    <cellStyle name="Mainhead" xfId="385" xr:uid="{00000000-0005-0000-0000-000046010000}"/>
    <cellStyle name="Merrill" xfId="386" xr:uid="{00000000-0005-0000-0000-000047010000}"/>
    <cellStyle name="Mix" xfId="387" xr:uid="{00000000-0005-0000-0000-000048010000}"/>
    <cellStyle name="Monitor" xfId="388" xr:uid="{00000000-0005-0000-0000-000049010000}"/>
    <cellStyle name="Multiple" xfId="389" xr:uid="{00000000-0005-0000-0000-00004A010000}"/>
    <cellStyle name="Name" xfId="51" xr:uid="{00000000-0005-0000-0000-00004B010000}"/>
    <cellStyle name="Neutral" xfId="124" builtinId="28"/>
    <cellStyle name="Neutral 2" xfId="52" xr:uid="{00000000-0005-0000-0000-00004D010000}"/>
    <cellStyle name="NewAcct" xfId="53" xr:uid="{00000000-0005-0000-0000-00004E010000}"/>
    <cellStyle name="Normal" xfId="0" builtinId="0"/>
    <cellStyle name="Normal - Style1" xfId="390" xr:uid="{00000000-0005-0000-0000-000050010000}"/>
    <cellStyle name="Normal 2" xfId="3" xr:uid="{00000000-0005-0000-0000-000051010000}"/>
    <cellStyle name="Normal 2 2" xfId="8" xr:uid="{00000000-0005-0000-0000-000052010000}"/>
    <cellStyle name="Normal 2 2 2" xfId="89" xr:uid="{00000000-0005-0000-0000-000053010000}"/>
    <cellStyle name="Normal 2 3" xfId="54" xr:uid="{00000000-0005-0000-0000-000054010000}"/>
    <cellStyle name="Normal 2 3 2" xfId="55" xr:uid="{00000000-0005-0000-0000-000055010000}"/>
    <cellStyle name="Normal 2 3 2 2" xfId="103" xr:uid="{00000000-0005-0000-0000-000056010000}"/>
    <cellStyle name="Normal 2 3 2 2 2" xfId="115" xr:uid="{00000000-0005-0000-0000-000057010000}"/>
    <cellStyle name="Normal 2 3 2 2 2 2" xfId="464" xr:uid="{00000000-0005-0000-0000-000058010000}"/>
    <cellStyle name="Normal 2 3 2 2 3" xfId="452" xr:uid="{00000000-0005-0000-0000-000059010000}"/>
    <cellStyle name="Normal 2 3 2 3" xfId="104" xr:uid="{00000000-0005-0000-0000-00005A010000}"/>
    <cellStyle name="Normal 2 3 2 3 2" xfId="453" xr:uid="{00000000-0005-0000-0000-00005B010000}"/>
    <cellStyle name="Normal 2 3 2 4" xfId="448" xr:uid="{00000000-0005-0000-0000-00005C010000}"/>
    <cellStyle name="Normal 2 3 3" xfId="56" xr:uid="{00000000-0005-0000-0000-00005D010000}"/>
    <cellStyle name="Normal 2 3 3 2" xfId="105" xr:uid="{00000000-0005-0000-0000-00005E010000}"/>
    <cellStyle name="Normal 2 3 3 2 2" xfId="116" xr:uid="{00000000-0005-0000-0000-00005F010000}"/>
    <cellStyle name="Normal 2 3 3 2 2 2" xfId="465" xr:uid="{00000000-0005-0000-0000-000060010000}"/>
    <cellStyle name="Normal 2 3 3 2 3" xfId="454" xr:uid="{00000000-0005-0000-0000-000061010000}"/>
    <cellStyle name="Normal 2 3 3 3" xfId="106" xr:uid="{00000000-0005-0000-0000-000062010000}"/>
    <cellStyle name="Normal 2 3 3 3 2" xfId="455" xr:uid="{00000000-0005-0000-0000-000063010000}"/>
    <cellStyle name="Normal 2 3 3 4" xfId="449" xr:uid="{00000000-0005-0000-0000-000064010000}"/>
    <cellStyle name="Normal 2 3 4" xfId="107" xr:uid="{00000000-0005-0000-0000-000065010000}"/>
    <cellStyle name="Normal 2 3 4 2" xfId="117" xr:uid="{00000000-0005-0000-0000-000066010000}"/>
    <cellStyle name="Normal 2 3 4 2 2" xfId="466" xr:uid="{00000000-0005-0000-0000-000067010000}"/>
    <cellStyle name="Normal 2 3 4 3" xfId="456" xr:uid="{00000000-0005-0000-0000-000068010000}"/>
    <cellStyle name="Normal 2 3 5" xfId="108" xr:uid="{00000000-0005-0000-0000-000069010000}"/>
    <cellStyle name="Normal 2 3 5 2" xfId="457" xr:uid="{00000000-0005-0000-0000-00006A010000}"/>
    <cellStyle name="Normal 2 3 6" xfId="447" xr:uid="{00000000-0005-0000-0000-00006B010000}"/>
    <cellStyle name="Normal 2 4" xfId="57" xr:uid="{00000000-0005-0000-0000-00006C010000}"/>
    <cellStyle name="Normal 2 4 2" xfId="109" xr:uid="{00000000-0005-0000-0000-00006D010000}"/>
    <cellStyle name="Normal 2 4 2 2" xfId="118" xr:uid="{00000000-0005-0000-0000-00006E010000}"/>
    <cellStyle name="Normal 2 4 2 2 2" xfId="467" xr:uid="{00000000-0005-0000-0000-00006F010000}"/>
    <cellStyle name="Normal 2 4 2 3" xfId="458" xr:uid="{00000000-0005-0000-0000-000070010000}"/>
    <cellStyle name="Normal 2 4 3" xfId="110" xr:uid="{00000000-0005-0000-0000-000071010000}"/>
    <cellStyle name="Normal 2 4 3 2" xfId="459" xr:uid="{00000000-0005-0000-0000-000072010000}"/>
    <cellStyle name="Normal 2 4 4" xfId="450" xr:uid="{00000000-0005-0000-0000-000073010000}"/>
    <cellStyle name="Normal 2 5" xfId="58" xr:uid="{00000000-0005-0000-0000-000074010000}"/>
    <cellStyle name="Normal 2 5 2" xfId="111" xr:uid="{00000000-0005-0000-0000-000075010000}"/>
    <cellStyle name="Normal 2 5 2 2" xfId="119" xr:uid="{00000000-0005-0000-0000-000076010000}"/>
    <cellStyle name="Normal 2 5 2 2 2" xfId="468" xr:uid="{00000000-0005-0000-0000-000077010000}"/>
    <cellStyle name="Normal 2 5 2 3" xfId="460" xr:uid="{00000000-0005-0000-0000-000078010000}"/>
    <cellStyle name="Normal 2 5 3" xfId="112" xr:uid="{00000000-0005-0000-0000-000079010000}"/>
    <cellStyle name="Normal 2 5 3 2" xfId="461" xr:uid="{00000000-0005-0000-0000-00007A010000}"/>
    <cellStyle name="Normal 2 5 4" xfId="451" xr:uid="{00000000-0005-0000-0000-00007B010000}"/>
    <cellStyle name="Normal 2 6" xfId="59" xr:uid="{00000000-0005-0000-0000-00007C010000}"/>
    <cellStyle name="Normal 2 7" xfId="113" xr:uid="{00000000-0005-0000-0000-00007D010000}"/>
    <cellStyle name="Normal 2 7 2" xfId="120" xr:uid="{00000000-0005-0000-0000-00007E010000}"/>
    <cellStyle name="Normal 2 7 2 2" xfId="469" xr:uid="{00000000-0005-0000-0000-00007F010000}"/>
    <cellStyle name="Normal 2 7 3" xfId="462" xr:uid="{00000000-0005-0000-0000-000080010000}"/>
    <cellStyle name="Normal 2 8" xfId="114" xr:uid="{00000000-0005-0000-0000-000081010000}"/>
    <cellStyle name="Normal 2 8 2" xfId="463" xr:uid="{00000000-0005-0000-0000-000082010000}"/>
    <cellStyle name="Normal 2 9" xfId="446" xr:uid="{00000000-0005-0000-0000-000083010000}"/>
    <cellStyle name="Normal 3" xfId="5" xr:uid="{00000000-0005-0000-0000-000084010000}"/>
    <cellStyle name="Normal 3 2" xfId="86" xr:uid="{00000000-0005-0000-0000-000085010000}"/>
    <cellStyle name="Normal 4" xfId="60" xr:uid="{00000000-0005-0000-0000-000086010000}"/>
    <cellStyle name="Normal 5" xfId="126" xr:uid="{00000000-0005-0000-0000-000087010000}"/>
    <cellStyle name="Normal 5 2" xfId="470" xr:uid="{00000000-0005-0000-0000-000088010000}"/>
    <cellStyle name="Normal 6" xfId="444" xr:uid="{00000000-0005-0000-0000-000089010000}"/>
    <cellStyle name="Normal 7" xfId="473" xr:uid="{00000000-0005-0000-0000-00008A010000}"/>
    <cellStyle name="Normal Cells" xfId="391" xr:uid="{00000000-0005-0000-0000-00008B010000}"/>
    <cellStyle name="Normal_BOBEARN" xfId="440" xr:uid="{00000000-0005-0000-0000-00008C010000}"/>
    <cellStyle name="Normal_GSANZMigration" xfId="4" xr:uid="{00000000-0005-0000-0000-00008D010000}"/>
    <cellStyle name="Normal_Hdbknew" xfId="439" xr:uid="{00000000-0005-0000-0000-00008E010000}"/>
    <cellStyle name="Normal_NAB Wealth" xfId="121" xr:uid="{00000000-0005-0000-0000-00008F010000}"/>
    <cellStyle name="Note 2" xfId="61" xr:uid="{00000000-0005-0000-0000-000090010000}"/>
    <cellStyle name="Number" xfId="62" xr:uid="{00000000-0005-0000-0000-000091010000}"/>
    <cellStyle name="Numbers" xfId="392" xr:uid="{00000000-0005-0000-0000-000092010000}"/>
    <cellStyle name="Numbers - Bold" xfId="393" xr:uid="{00000000-0005-0000-0000-000093010000}"/>
    <cellStyle name="Numbers - Bold - Italic" xfId="394" xr:uid="{00000000-0005-0000-0000-000094010000}"/>
    <cellStyle name="Numbers - Bold_Blend" xfId="395" xr:uid="{00000000-0005-0000-0000-000095010000}"/>
    <cellStyle name="Numbers - Large" xfId="396" xr:uid="{00000000-0005-0000-0000-000096010000}"/>
    <cellStyle name="Numbers_Comps" xfId="397" xr:uid="{00000000-0005-0000-0000-000097010000}"/>
    <cellStyle name="OSW_ColumnLabels" xfId="398" xr:uid="{00000000-0005-0000-0000-000098010000}"/>
    <cellStyle name="Output" xfId="125" builtinId="21"/>
    <cellStyle name="Output 2" xfId="63" xr:uid="{00000000-0005-0000-0000-00009A010000}"/>
    <cellStyle name="Page" xfId="399" xr:uid="{00000000-0005-0000-0000-00009B010000}"/>
    <cellStyle name="Page header" xfId="400" xr:uid="{00000000-0005-0000-0000-00009C010000}"/>
    <cellStyle name="Percent" xfId="2" builtinId="5"/>
    <cellStyle name="Percent 2" xfId="6" xr:uid="{00000000-0005-0000-0000-00009E010000}"/>
    <cellStyle name="Percent 2 2" xfId="90" xr:uid="{00000000-0005-0000-0000-00009F010000}"/>
    <cellStyle name="Percent 2 3" xfId="85" xr:uid="{00000000-0005-0000-0000-0000A0010000}"/>
    <cellStyle name="Percent 3" xfId="64" xr:uid="{00000000-0005-0000-0000-0000A1010000}"/>
    <cellStyle name="Percent 4" xfId="65" xr:uid="{00000000-0005-0000-0000-0000A2010000}"/>
    <cellStyle name="Percent 5" xfId="443" xr:uid="{00000000-0005-0000-0000-0000A3010000}"/>
    <cellStyle name="Percent 5 2" xfId="472" xr:uid="{00000000-0005-0000-0000-0000A4010000}"/>
    <cellStyle name="Percent 6" xfId="474" xr:uid="{00000000-0005-0000-0000-0000A5010000}"/>
    <cellStyle name="Percentage" xfId="401" xr:uid="{00000000-0005-0000-0000-0000A6010000}"/>
    <cellStyle name="PlainDollar" xfId="66" xr:uid="{00000000-0005-0000-0000-0000A7010000}"/>
    <cellStyle name="Price" xfId="402" xr:uid="{00000000-0005-0000-0000-0000A8010000}"/>
    <cellStyle name="prot" xfId="403" xr:uid="{00000000-0005-0000-0000-0000A9010000}"/>
    <cellStyle name="Punto" xfId="404" xr:uid="{00000000-0005-0000-0000-0000AA010000}"/>
    <cellStyle name="r" xfId="405" xr:uid="{00000000-0005-0000-0000-0000AB010000}"/>
    <cellStyle name="Reuters Cells" xfId="406" xr:uid="{00000000-0005-0000-0000-0000AC010000}"/>
    <cellStyle name="s" xfId="407" xr:uid="{00000000-0005-0000-0000-0000AD010000}"/>
    <cellStyle name="ShadedCells_Database" xfId="408" xr:uid="{00000000-0005-0000-0000-0000AE010000}"/>
    <cellStyle name="Sheet Title" xfId="409" xr:uid="{00000000-0005-0000-0000-0000AF010000}"/>
    <cellStyle name="ShOut" xfId="410" xr:uid="{00000000-0005-0000-0000-0000B0010000}"/>
    <cellStyle name="SSComma0" xfId="67" xr:uid="{00000000-0005-0000-0000-0000B1010000}"/>
    <cellStyle name="SSComma0 2" xfId="68" xr:uid="{00000000-0005-0000-0000-0000B2010000}"/>
    <cellStyle name="SSComma2" xfId="69" xr:uid="{00000000-0005-0000-0000-0000B3010000}"/>
    <cellStyle name="SSComma2 2" xfId="70" xr:uid="{00000000-0005-0000-0000-0000B4010000}"/>
    <cellStyle name="SSDecs3" xfId="71" xr:uid="{00000000-0005-0000-0000-0000B5010000}"/>
    <cellStyle name="SSDflt" xfId="72" xr:uid="{00000000-0005-0000-0000-0000B6010000}"/>
    <cellStyle name="SSDfltPct" xfId="73" xr:uid="{00000000-0005-0000-0000-0000B7010000}"/>
    <cellStyle name="SSDfltPct 2" xfId="74" xr:uid="{00000000-0005-0000-0000-0000B8010000}"/>
    <cellStyle name="SSDfltPct0" xfId="75" xr:uid="{00000000-0005-0000-0000-0000B9010000}"/>
    <cellStyle name="SSDfltPct0 2" xfId="76" xr:uid="{00000000-0005-0000-0000-0000BA010000}"/>
    <cellStyle name="SSFixed2" xfId="77" xr:uid="{00000000-0005-0000-0000-0000BB010000}"/>
    <cellStyle name="SSFixed2 2" xfId="78" xr:uid="{00000000-0005-0000-0000-0000BC010000}"/>
    <cellStyle name="Style 1" xfId="411" xr:uid="{00000000-0005-0000-0000-0000BD010000}"/>
    <cellStyle name="Style 2" xfId="412" xr:uid="{00000000-0005-0000-0000-0000BE010000}"/>
    <cellStyle name="Style 3" xfId="413" xr:uid="{00000000-0005-0000-0000-0000BF010000}"/>
    <cellStyle name="Style D green" xfId="414" xr:uid="{00000000-0005-0000-0000-0000C0010000}"/>
    <cellStyle name="Style E" xfId="415" xr:uid="{00000000-0005-0000-0000-0000C1010000}"/>
    <cellStyle name="Style H" xfId="416" xr:uid="{00000000-0005-0000-0000-0000C2010000}"/>
    <cellStyle name="Sub total" xfId="417" xr:uid="{00000000-0005-0000-0000-0000C3010000}"/>
    <cellStyle name="Sum" xfId="418" xr:uid="{00000000-0005-0000-0000-0000C4010000}"/>
    <cellStyle name="Swiss" xfId="419" xr:uid="{00000000-0005-0000-0000-0000C5010000}"/>
    <cellStyle name="t" xfId="420" xr:uid="{00000000-0005-0000-0000-0000C6010000}"/>
    <cellStyle name="Table end" xfId="421" xr:uid="{00000000-0005-0000-0000-0000C7010000}"/>
    <cellStyle name="Table head" xfId="422" xr:uid="{00000000-0005-0000-0000-0000C8010000}"/>
    <cellStyle name="table text bold" xfId="423" xr:uid="{00000000-0005-0000-0000-0000C9010000}"/>
    <cellStyle name="table text bold green" xfId="424" xr:uid="{00000000-0005-0000-0000-0000CA010000}"/>
    <cellStyle name="table text light" xfId="425" xr:uid="{00000000-0005-0000-0000-0000CB010000}"/>
    <cellStyle name="Table Title" xfId="426" xr:uid="{00000000-0005-0000-0000-0000CC010000}"/>
    <cellStyle name="Table Units" xfId="427" xr:uid="{00000000-0005-0000-0000-0000CD010000}"/>
    <cellStyle name="Time" xfId="428" xr:uid="{00000000-0005-0000-0000-0000CE010000}"/>
    <cellStyle name="Title - PROJECT" xfId="429" xr:uid="{00000000-0005-0000-0000-0000CF010000}"/>
    <cellStyle name="Title - Underline" xfId="430" xr:uid="{00000000-0005-0000-0000-0000D0010000}"/>
    <cellStyle name="Title 2" xfId="79" xr:uid="{00000000-0005-0000-0000-0000D1010000}"/>
    <cellStyle name="Title1" xfId="431" xr:uid="{00000000-0005-0000-0000-0000D2010000}"/>
    <cellStyle name="Title2" xfId="432" xr:uid="{00000000-0005-0000-0000-0000D3010000}"/>
    <cellStyle name="Titles - Col. Headings" xfId="433" xr:uid="{00000000-0005-0000-0000-0000D4010000}"/>
    <cellStyle name="Titles - Other" xfId="434" xr:uid="{00000000-0005-0000-0000-0000D5010000}"/>
    <cellStyle name="Total 2" xfId="80" xr:uid="{00000000-0005-0000-0000-0000D6010000}"/>
    <cellStyle name="UnderLine" xfId="81" xr:uid="{00000000-0005-0000-0000-0000D7010000}"/>
    <cellStyle name="unm" xfId="435" xr:uid="{00000000-0005-0000-0000-0000D8010000}"/>
    <cellStyle name="Warning Text 2" xfId="82" xr:uid="{00000000-0005-0000-0000-0000D9010000}"/>
    <cellStyle name="Year" xfId="436" xr:uid="{00000000-0005-0000-0000-0000DA010000}"/>
    <cellStyle name="Years" xfId="437" xr:uid="{00000000-0005-0000-0000-0000DB01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5E76AA"/>
      <rgbColor rgb="00CFD6E6"/>
      <rgbColor rgb="009EADCC"/>
      <rgbColor rgb="00EFF1F6"/>
      <rgbColor rgb="00BFC8DD"/>
      <rgbColor rgb="008E9FC4"/>
      <rgbColor rgb="00DFE4EE"/>
      <rgbColor rgb="00AEBAD5"/>
      <rgbColor rgb="00000000"/>
      <rgbColor rgb="00AAAAAA"/>
      <rgbColor rgb="00444444"/>
      <rgbColor rgb="00CCCCCC"/>
      <rgbColor rgb="00888888"/>
      <rgbColor rgb="00666666"/>
      <rgbColor rgb="00EEEEEE"/>
      <rgbColor rgb="00222222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55F"/>
      <color rgb="FFFF9999"/>
      <color rgb="FF5E76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ressrtdserver.rtdserver">
      <tp t="s">
        <v>189.5</v>
        <stp/>
        <stp>Quote</stp>
        <stp>13</stp>
        <stp>0</stp>
        <stp>SecurityText</stp>
        <stp>JDO.ASX</stp>
        <tr r="C5" s="2"/>
      </tp>
      <tp t="s">
        <v>2124412490</v>
        <stp/>
        <stp>Quote</stp>
        <stp>15</stp>
        <stp>0</stp>
        <stp>SecurityText</stp>
        <stp>JDO.ASX</stp>
        <tr r="C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volatileDependencies" Target="volatileDependenci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149225</xdr:rowOff>
    </xdr:from>
    <xdr:to>
      <xdr:col>10</xdr:col>
      <xdr:colOff>0</xdr:colOff>
      <xdr:row>9</xdr:row>
      <xdr:rowOff>149225</xdr:rowOff>
    </xdr:to>
    <xdr:sp macro="[0]!Updat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7305675" y="911225"/>
          <a:ext cx="1638300" cy="609600"/>
        </a:xfrm>
        <a:prstGeom prst="rect">
          <a:avLst/>
        </a:prstGeom>
        <a:solidFill>
          <a:srgbClr val="5E76AA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0">
            <a:defRPr sz="1000"/>
          </a:pPr>
          <a:r>
            <a:rPr lang="en-US" sz="1200" b="0" i="0" u="none" strike="noStrike" baseline="0">
              <a:solidFill>
                <a:srgbClr val="FFFFFF"/>
              </a:solidFill>
              <a:latin typeface="Arial Bold"/>
              <a:cs typeface="Arial Bold"/>
            </a:rPr>
            <a:t>Push button before updating model</a:t>
          </a:r>
        </a:p>
      </xdr:txBody>
    </xdr:sp>
    <xdr:clientData/>
  </xdr:twoCellAnchor>
  <xdr:twoCellAnchor editAs="oneCell">
    <xdr:from>
      <xdr:col>8</xdr:col>
      <xdr:colOff>9525</xdr:colOff>
      <xdr:row>1</xdr:row>
      <xdr:rowOff>9525</xdr:rowOff>
    </xdr:from>
    <xdr:to>
      <xdr:col>9</xdr:col>
      <xdr:colOff>816789</xdr:colOff>
      <xdr:row>4</xdr:row>
      <xdr:rowOff>82677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161925"/>
          <a:ext cx="1626414" cy="5303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irmwide.corp.gs.com\root\Projects\Research\au\Financials\BANKS\Macro\GS_Forecast%20summary.xlsx" TargetMode="External"/><Relationship Id="rId1" Type="http://schemas.openxmlformats.org/officeDocument/2006/relationships/externalLinkPath" Target="/Projects/Research/au/Financials/BANKS/Macro/GS_Forecast%20summary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\IRESS%20Market%20Technology\Iress\ExcelAddins\ddeiress.xla" TargetMode="External"/><Relationship Id="rId1" Type="http://schemas.openxmlformats.org/officeDocument/2006/relationships/externalLinkPath" Target="file:///c:\Program%20Files\IRESS%20Market%20Technology\Iress\ExcelAddins\ddeiress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irmwide.corp.gs.com\root\Projects\Research\au\Financials\BANKS\Models\Forecasting\Bank%20Sector%20Forecasting.xlsx" TargetMode="External"/><Relationship Id="rId1" Type="http://schemas.openxmlformats.org/officeDocument/2006/relationships/externalLinkPath" Target="/Projects/Research/au/Financials/BANKS/Models/Forecasting/Bank%20Sector%20Forecast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Policy-Rate-Forecasts-EOP"/>
      <sheetName val="GS_Forecast summary"/>
    </sheetNames>
    <sheetDataSet>
      <sheetData sheetId="0">
        <row r="2">
          <cell r="A2"/>
          <cell r="B2" t="str">
            <v>Period end</v>
          </cell>
          <cell r="C2" t="str">
            <v>Current</v>
          </cell>
          <cell r="D2">
            <v>33694</v>
          </cell>
          <cell r="E2">
            <v>33785</v>
          </cell>
          <cell r="F2">
            <v>33877</v>
          </cell>
          <cell r="G2">
            <v>33969</v>
          </cell>
          <cell r="H2">
            <v>34059</v>
          </cell>
          <cell r="I2">
            <v>34150</v>
          </cell>
          <cell r="J2">
            <v>34242</v>
          </cell>
          <cell r="K2">
            <v>34334</v>
          </cell>
          <cell r="L2">
            <v>34424</v>
          </cell>
          <cell r="M2">
            <v>34515</v>
          </cell>
          <cell r="N2">
            <v>34607</v>
          </cell>
          <cell r="O2">
            <v>34699</v>
          </cell>
          <cell r="P2">
            <v>34789</v>
          </cell>
          <cell r="Q2">
            <v>34880</v>
          </cell>
          <cell r="R2">
            <v>34972</v>
          </cell>
          <cell r="S2">
            <v>35064</v>
          </cell>
          <cell r="T2">
            <v>35155</v>
          </cell>
          <cell r="U2">
            <v>35246</v>
          </cell>
          <cell r="V2">
            <v>35338</v>
          </cell>
          <cell r="W2">
            <v>35430</v>
          </cell>
          <cell r="X2">
            <v>35520</v>
          </cell>
          <cell r="Y2">
            <v>35611</v>
          </cell>
          <cell r="Z2">
            <v>35703</v>
          </cell>
          <cell r="AA2">
            <v>35795</v>
          </cell>
          <cell r="AB2">
            <v>35885</v>
          </cell>
          <cell r="AC2">
            <v>35976</v>
          </cell>
          <cell r="AD2">
            <v>36068</v>
          </cell>
          <cell r="AE2">
            <v>36160</v>
          </cell>
          <cell r="AF2">
            <v>36250</v>
          </cell>
          <cell r="AG2">
            <v>36341</v>
          </cell>
          <cell r="AH2">
            <v>36433</v>
          </cell>
          <cell r="AI2">
            <v>36525</v>
          </cell>
          <cell r="AJ2">
            <v>36616</v>
          </cell>
          <cell r="AK2">
            <v>36707</v>
          </cell>
          <cell r="AL2">
            <v>36799</v>
          </cell>
          <cell r="AM2">
            <v>36891</v>
          </cell>
          <cell r="AN2">
            <v>36981</v>
          </cell>
          <cell r="AO2">
            <v>37072</v>
          </cell>
          <cell r="AP2">
            <v>37164</v>
          </cell>
          <cell r="AQ2">
            <v>37256</v>
          </cell>
          <cell r="AR2">
            <v>37346</v>
          </cell>
          <cell r="AS2">
            <v>37437</v>
          </cell>
          <cell r="AT2">
            <v>37529</v>
          </cell>
          <cell r="AU2">
            <v>37621</v>
          </cell>
          <cell r="AV2">
            <v>37711</v>
          </cell>
          <cell r="AW2">
            <v>37802</v>
          </cell>
          <cell r="AX2">
            <v>37894</v>
          </cell>
          <cell r="AY2">
            <v>37986</v>
          </cell>
          <cell r="AZ2">
            <v>38077</v>
          </cell>
          <cell r="BA2">
            <v>38168</v>
          </cell>
          <cell r="BB2">
            <v>38260</v>
          </cell>
          <cell r="BC2">
            <v>38352</v>
          </cell>
          <cell r="BD2">
            <v>38442</v>
          </cell>
          <cell r="BE2">
            <v>38533</v>
          </cell>
          <cell r="BF2">
            <v>38625</v>
          </cell>
          <cell r="BG2">
            <v>38717</v>
          </cell>
          <cell r="BH2">
            <v>38807</v>
          </cell>
          <cell r="BI2">
            <v>38898</v>
          </cell>
          <cell r="BJ2">
            <v>38990</v>
          </cell>
          <cell r="BK2">
            <v>39082</v>
          </cell>
          <cell r="BL2">
            <v>39172</v>
          </cell>
          <cell r="BM2">
            <v>39263</v>
          </cell>
          <cell r="BN2">
            <v>39355</v>
          </cell>
          <cell r="BO2">
            <v>39447</v>
          </cell>
          <cell r="BP2">
            <v>39538</v>
          </cell>
          <cell r="BQ2">
            <v>39629</v>
          </cell>
          <cell r="BR2">
            <v>39721</v>
          </cell>
          <cell r="BS2">
            <v>39813</v>
          </cell>
          <cell r="BT2">
            <v>39903</v>
          </cell>
          <cell r="BU2">
            <v>39994</v>
          </cell>
          <cell r="BV2">
            <v>40086</v>
          </cell>
          <cell r="BW2">
            <v>40178</v>
          </cell>
          <cell r="BX2">
            <v>40268</v>
          </cell>
          <cell r="BY2">
            <v>40359</v>
          </cell>
          <cell r="BZ2">
            <v>40451</v>
          </cell>
          <cell r="CA2">
            <v>40543</v>
          </cell>
          <cell r="CB2">
            <v>40633</v>
          </cell>
          <cell r="CC2">
            <v>40724</v>
          </cell>
          <cell r="CD2">
            <v>40816</v>
          </cell>
          <cell r="CE2">
            <v>40908</v>
          </cell>
          <cell r="CF2">
            <v>40999</v>
          </cell>
          <cell r="CG2">
            <v>41090</v>
          </cell>
          <cell r="CH2">
            <v>41182</v>
          </cell>
          <cell r="CI2">
            <v>41274</v>
          </cell>
          <cell r="CJ2">
            <v>41364</v>
          </cell>
          <cell r="CK2">
            <v>41455</v>
          </cell>
          <cell r="CL2">
            <v>41547</v>
          </cell>
          <cell r="CM2">
            <v>41639</v>
          </cell>
          <cell r="CN2">
            <v>41729</v>
          </cell>
          <cell r="CO2">
            <v>41820</v>
          </cell>
          <cell r="CP2">
            <v>41912</v>
          </cell>
          <cell r="CQ2">
            <v>42004</v>
          </cell>
          <cell r="CR2">
            <v>42094</v>
          </cell>
          <cell r="CS2">
            <v>42185</v>
          </cell>
          <cell r="CT2">
            <v>42277</v>
          </cell>
          <cell r="CU2">
            <v>42369</v>
          </cell>
          <cell r="CV2">
            <v>42460</v>
          </cell>
          <cell r="CW2">
            <v>42551</v>
          </cell>
          <cell r="CX2">
            <v>42643</v>
          </cell>
          <cell r="CY2">
            <v>42735</v>
          </cell>
          <cell r="CZ2">
            <v>42825</v>
          </cell>
          <cell r="DA2">
            <v>42916</v>
          </cell>
          <cell r="DB2">
            <v>43008</v>
          </cell>
          <cell r="DC2">
            <v>43100</v>
          </cell>
          <cell r="DD2">
            <v>43190</v>
          </cell>
          <cell r="DE2">
            <v>43281</v>
          </cell>
          <cell r="DF2">
            <v>43373</v>
          </cell>
          <cell r="DG2">
            <v>43465</v>
          </cell>
          <cell r="DH2">
            <v>43555</v>
          </cell>
          <cell r="DI2">
            <v>43646</v>
          </cell>
          <cell r="DJ2">
            <v>43738</v>
          </cell>
          <cell r="DK2">
            <v>43830</v>
          </cell>
          <cell r="DL2">
            <v>43921</v>
          </cell>
          <cell r="DM2">
            <v>44012</v>
          </cell>
          <cell r="DN2">
            <v>44104</v>
          </cell>
          <cell r="DO2">
            <v>44196</v>
          </cell>
          <cell r="DP2">
            <v>44286</v>
          </cell>
          <cell r="DQ2">
            <v>44377</v>
          </cell>
          <cell r="DR2">
            <v>44469</v>
          </cell>
          <cell r="DS2">
            <v>44561</v>
          </cell>
          <cell r="DT2">
            <v>44651</v>
          </cell>
          <cell r="DU2">
            <v>44742</v>
          </cell>
          <cell r="DV2">
            <v>44834</v>
          </cell>
          <cell r="DW2">
            <v>44926</v>
          </cell>
          <cell r="DX2">
            <v>45016</v>
          </cell>
          <cell r="DY2">
            <v>45107</v>
          </cell>
          <cell r="DZ2">
            <v>45199</v>
          </cell>
          <cell r="EA2">
            <v>45291</v>
          </cell>
          <cell r="EB2">
            <v>45382</v>
          </cell>
          <cell r="EC2">
            <v>45473</v>
          </cell>
          <cell r="ED2">
            <v>45565</v>
          </cell>
          <cell r="EE2">
            <v>45657</v>
          </cell>
          <cell r="EF2">
            <v>45747</v>
          </cell>
          <cell r="EG2">
            <v>45838</v>
          </cell>
          <cell r="EH2">
            <v>45930</v>
          </cell>
          <cell r="EI2">
            <v>46022</v>
          </cell>
          <cell r="EJ2">
            <v>46112</v>
          </cell>
          <cell r="EK2">
            <v>46203</v>
          </cell>
          <cell r="EL2">
            <v>46295</v>
          </cell>
          <cell r="EM2">
            <v>46387</v>
          </cell>
          <cell r="EN2">
            <v>46477</v>
          </cell>
          <cell r="EO2">
            <v>46568</v>
          </cell>
          <cell r="EP2">
            <v>46660</v>
          </cell>
          <cell r="EQ2">
            <v>46752</v>
          </cell>
          <cell r="ER2">
            <v>46843</v>
          </cell>
          <cell r="ES2">
            <v>46934</v>
          </cell>
          <cell r="ET2">
            <v>47026</v>
          </cell>
          <cell r="EU2">
            <v>47118</v>
          </cell>
          <cell r="EV2">
            <v>47208</v>
          </cell>
          <cell r="EW2">
            <v>47299</v>
          </cell>
          <cell r="EX2">
            <v>47391</v>
          </cell>
          <cell r="EY2">
            <v>47483</v>
          </cell>
          <cell r="EZ2">
            <v>47573</v>
          </cell>
          <cell r="FA2">
            <v>47664</v>
          </cell>
          <cell r="FB2">
            <v>47756</v>
          </cell>
          <cell r="FC2">
            <v>47848</v>
          </cell>
          <cell r="FD2">
            <v>47938</v>
          </cell>
          <cell r="FE2">
            <v>48029</v>
          </cell>
          <cell r="FF2">
            <v>48121</v>
          </cell>
          <cell r="FG2">
            <v>48213</v>
          </cell>
          <cell r="FH2">
            <v>48304</v>
          </cell>
          <cell r="FI2">
            <v>48395</v>
          </cell>
          <cell r="FJ2">
            <v>48487</v>
          </cell>
          <cell r="FK2">
            <v>48579</v>
          </cell>
          <cell r="FL2">
            <v>48669</v>
          </cell>
          <cell r="FM2">
            <v>48760</v>
          </cell>
          <cell r="FN2">
            <v>48852</v>
          </cell>
          <cell r="FO2">
            <v>48944</v>
          </cell>
          <cell r="FP2">
            <v>49034</v>
          </cell>
          <cell r="FQ2">
            <v>49125</v>
          </cell>
          <cell r="FR2">
            <v>49217</v>
          </cell>
          <cell r="FS2">
            <v>49309</v>
          </cell>
          <cell r="FT2">
            <v>49399</v>
          </cell>
          <cell r="FU2">
            <v>49490</v>
          </cell>
        </row>
        <row r="3">
          <cell r="B3"/>
          <cell r="D3"/>
          <cell r="E3"/>
          <cell r="F3"/>
          <cell r="G3"/>
          <cell r="H3"/>
          <cell r="I3"/>
          <cell r="J3"/>
          <cell r="K3"/>
          <cell r="L3"/>
          <cell r="M3"/>
          <cell r="N3"/>
          <cell r="O3"/>
          <cell r="P3"/>
          <cell r="Q3"/>
          <cell r="R3"/>
          <cell r="S3"/>
          <cell r="T3"/>
          <cell r="U3"/>
          <cell r="V3"/>
          <cell r="W3"/>
          <cell r="X3"/>
          <cell r="Y3"/>
          <cell r="Z3"/>
          <cell r="AA3"/>
          <cell r="AB3"/>
          <cell r="AC3"/>
          <cell r="AD3"/>
          <cell r="AE3"/>
          <cell r="AF3"/>
          <cell r="AG3"/>
          <cell r="AH3"/>
          <cell r="AI3"/>
          <cell r="AJ3"/>
          <cell r="AK3"/>
          <cell r="AL3"/>
          <cell r="AM3"/>
          <cell r="AN3"/>
          <cell r="AO3"/>
          <cell r="AP3"/>
          <cell r="AQ3"/>
          <cell r="AR3"/>
          <cell r="AS3"/>
          <cell r="AT3"/>
          <cell r="AU3"/>
          <cell r="AV3"/>
          <cell r="AW3"/>
          <cell r="AX3"/>
          <cell r="AY3"/>
          <cell r="AZ3"/>
          <cell r="BA3"/>
          <cell r="BB3"/>
          <cell r="BC3"/>
          <cell r="BD3"/>
          <cell r="BE3"/>
          <cell r="BF3"/>
          <cell r="BG3"/>
          <cell r="BH3"/>
          <cell r="BI3"/>
          <cell r="BJ3"/>
          <cell r="BK3"/>
          <cell r="BL3"/>
          <cell r="BM3"/>
          <cell r="BN3"/>
          <cell r="BO3"/>
          <cell r="BP3"/>
          <cell r="BQ3"/>
          <cell r="BR3"/>
          <cell r="BS3"/>
          <cell r="BT3"/>
          <cell r="BU3"/>
          <cell r="BV3"/>
          <cell r="BW3"/>
          <cell r="BX3"/>
          <cell r="BY3"/>
          <cell r="BZ3"/>
          <cell r="CA3"/>
          <cell r="CB3"/>
          <cell r="CC3"/>
          <cell r="CD3"/>
          <cell r="CE3"/>
          <cell r="CF3"/>
          <cell r="CG3"/>
          <cell r="CH3"/>
          <cell r="CI3"/>
          <cell r="CJ3"/>
          <cell r="CK3"/>
          <cell r="CL3"/>
          <cell r="CM3"/>
          <cell r="CN3"/>
          <cell r="CO3"/>
          <cell r="CP3"/>
          <cell r="CQ3"/>
          <cell r="CR3"/>
          <cell r="CS3"/>
          <cell r="CT3"/>
          <cell r="CU3"/>
          <cell r="CV3"/>
          <cell r="CW3"/>
          <cell r="CX3"/>
          <cell r="CY3"/>
          <cell r="CZ3"/>
          <cell r="DA3"/>
          <cell r="DB3"/>
          <cell r="DC3"/>
          <cell r="DD3"/>
          <cell r="DE3"/>
          <cell r="DF3"/>
          <cell r="DG3"/>
          <cell r="DH3"/>
          <cell r="DI3"/>
          <cell r="DJ3"/>
          <cell r="DK3"/>
          <cell r="DL3"/>
          <cell r="DM3"/>
          <cell r="DN3"/>
          <cell r="DO3"/>
          <cell r="DP3"/>
          <cell r="DQ3"/>
          <cell r="DR3"/>
          <cell r="DS3"/>
          <cell r="DT3"/>
          <cell r="DU3"/>
          <cell r="DV3"/>
          <cell r="DW3"/>
          <cell r="DX3"/>
          <cell r="DY3"/>
          <cell r="DZ3"/>
          <cell r="EA3"/>
          <cell r="EB3"/>
          <cell r="EC3"/>
          <cell r="ED3"/>
          <cell r="EE3"/>
          <cell r="EF3"/>
          <cell r="EG3"/>
          <cell r="EH3"/>
          <cell r="EI3"/>
          <cell r="EJ3"/>
          <cell r="EK3"/>
          <cell r="EL3"/>
          <cell r="EM3"/>
          <cell r="EN3"/>
          <cell r="EO3"/>
          <cell r="EP3"/>
          <cell r="EQ3"/>
          <cell r="ER3"/>
          <cell r="ES3"/>
          <cell r="ET3"/>
          <cell r="EU3"/>
          <cell r="EV3"/>
          <cell r="EW3"/>
          <cell r="EX3"/>
          <cell r="EY3"/>
          <cell r="EZ3"/>
          <cell r="FA3"/>
          <cell r="FB3"/>
          <cell r="FC3"/>
          <cell r="FD3"/>
          <cell r="FE3"/>
          <cell r="FF3"/>
          <cell r="FG3"/>
          <cell r="FH3"/>
          <cell r="FI3"/>
          <cell r="FJ3"/>
          <cell r="FK3"/>
          <cell r="FL3"/>
          <cell r="FM3"/>
          <cell r="FN3"/>
          <cell r="FO3"/>
          <cell r="FP3"/>
          <cell r="FQ3"/>
          <cell r="FR3"/>
          <cell r="FS3"/>
          <cell r="FT3"/>
          <cell r="FU3"/>
        </row>
        <row r="4">
          <cell r="A4" t="str">
            <v>VLOOKUP CODING</v>
          </cell>
          <cell r="B4" t="str">
            <v>COLOUR CODING</v>
          </cell>
          <cell r="C4"/>
          <cell r="D4"/>
          <cell r="E4"/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  <cell r="AI4"/>
          <cell r="AJ4"/>
          <cell r="AK4"/>
          <cell r="AL4"/>
          <cell r="AM4"/>
          <cell r="AN4"/>
          <cell r="AO4"/>
          <cell r="AP4"/>
          <cell r="AQ4"/>
          <cell r="AR4"/>
          <cell r="AS4"/>
          <cell r="AT4"/>
          <cell r="AU4"/>
          <cell r="AV4"/>
          <cell r="AW4"/>
          <cell r="AX4"/>
          <cell r="AY4"/>
          <cell r="AZ4"/>
          <cell r="BA4"/>
          <cell r="BB4"/>
          <cell r="BC4"/>
          <cell r="BD4"/>
          <cell r="BE4"/>
          <cell r="BF4"/>
          <cell r="BG4"/>
          <cell r="BH4"/>
          <cell r="BI4"/>
          <cell r="BJ4"/>
          <cell r="BK4"/>
          <cell r="BL4"/>
          <cell r="BM4"/>
          <cell r="BN4"/>
          <cell r="BO4"/>
          <cell r="BP4"/>
          <cell r="BQ4"/>
          <cell r="BR4"/>
          <cell r="BS4"/>
          <cell r="BT4"/>
          <cell r="BU4"/>
          <cell r="BV4"/>
          <cell r="BW4"/>
          <cell r="BX4"/>
          <cell r="BY4"/>
          <cell r="BZ4"/>
          <cell r="CA4"/>
          <cell r="CB4"/>
          <cell r="CC4"/>
          <cell r="CD4"/>
          <cell r="CE4"/>
          <cell r="CF4"/>
          <cell r="CG4"/>
          <cell r="CH4"/>
          <cell r="CI4"/>
          <cell r="CJ4"/>
          <cell r="CK4"/>
          <cell r="CL4"/>
          <cell r="CM4"/>
          <cell r="CN4"/>
          <cell r="CO4"/>
          <cell r="CP4"/>
          <cell r="CQ4"/>
          <cell r="CR4"/>
          <cell r="CS4"/>
          <cell r="CT4"/>
          <cell r="CU4"/>
          <cell r="CV4"/>
          <cell r="CW4"/>
          <cell r="CX4"/>
          <cell r="CY4"/>
          <cell r="CZ4"/>
          <cell r="DA4"/>
          <cell r="DB4"/>
          <cell r="DC4"/>
          <cell r="DD4"/>
          <cell r="DE4"/>
          <cell r="DF4"/>
          <cell r="DG4"/>
          <cell r="DH4"/>
          <cell r="DI4"/>
          <cell r="DJ4"/>
          <cell r="DK4"/>
          <cell r="DL4"/>
          <cell r="DM4"/>
          <cell r="DN4"/>
          <cell r="DO4"/>
          <cell r="DP4"/>
          <cell r="DQ4"/>
          <cell r="DR4"/>
          <cell r="DS4"/>
          <cell r="DT4"/>
          <cell r="DU4"/>
          <cell r="DV4"/>
          <cell r="DW4"/>
          <cell r="DX4"/>
          <cell r="DY4"/>
          <cell r="DZ4"/>
          <cell r="EA4"/>
          <cell r="EB4"/>
          <cell r="EC4"/>
          <cell r="ED4"/>
          <cell r="EE4"/>
          <cell r="EF4"/>
          <cell r="EG4"/>
          <cell r="EH4"/>
          <cell r="EI4"/>
          <cell r="EJ4"/>
          <cell r="EK4"/>
          <cell r="EL4"/>
          <cell r="EM4"/>
          <cell r="EN4"/>
          <cell r="EO4"/>
          <cell r="EP4"/>
          <cell r="EQ4"/>
          <cell r="ER4"/>
          <cell r="ES4"/>
          <cell r="ET4"/>
          <cell r="EU4"/>
          <cell r="EV4"/>
          <cell r="EW4"/>
          <cell r="EX4"/>
          <cell r="EY4"/>
          <cell r="EZ4"/>
          <cell r="FA4"/>
          <cell r="FB4"/>
          <cell r="FC4"/>
          <cell r="FD4"/>
          <cell r="FE4"/>
          <cell r="FF4"/>
          <cell r="FG4"/>
          <cell r="FH4"/>
          <cell r="FI4"/>
          <cell r="FJ4"/>
          <cell r="FK4"/>
          <cell r="FL4"/>
          <cell r="FM4"/>
          <cell r="FN4"/>
          <cell r="FO4"/>
          <cell r="FP4"/>
          <cell r="FQ4"/>
          <cell r="FR4"/>
          <cell r="FS4"/>
          <cell r="FT4"/>
          <cell r="FU4"/>
        </row>
        <row r="5">
          <cell r="B5"/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/>
          <cell r="S5"/>
          <cell r="T5"/>
          <cell r="U5"/>
          <cell r="V5"/>
          <cell r="W5"/>
          <cell r="X5"/>
          <cell r="Y5"/>
          <cell r="Z5"/>
          <cell r="AA5"/>
          <cell r="AB5"/>
          <cell r="AC5"/>
          <cell r="AD5"/>
          <cell r="AE5"/>
          <cell r="AF5"/>
          <cell r="AG5"/>
          <cell r="AH5"/>
          <cell r="AI5"/>
          <cell r="AJ5"/>
          <cell r="AK5"/>
          <cell r="AL5"/>
          <cell r="AM5"/>
          <cell r="AN5"/>
          <cell r="AO5"/>
          <cell r="AP5"/>
          <cell r="AQ5"/>
          <cell r="AR5"/>
          <cell r="AS5"/>
          <cell r="AT5"/>
          <cell r="AU5"/>
          <cell r="AV5"/>
          <cell r="AW5"/>
          <cell r="AX5"/>
          <cell r="AY5"/>
          <cell r="AZ5"/>
          <cell r="BA5"/>
          <cell r="BB5"/>
          <cell r="BC5"/>
          <cell r="BD5"/>
          <cell r="BE5"/>
          <cell r="BF5"/>
          <cell r="BG5"/>
          <cell r="BH5"/>
          <cell r="BI5"/>
          <cell r="BJ5"/>
          <cell r="BK5"/>
          <cell r="BL5"/>
          <cell r="BM5"/>
          <cell r="BN5"/>
          <cell r="BO5"/>
          <cell r="BP5"/>
          <cell r="BQ5"/>
          <cell r="BR5"/>
          <cell r="BS5"/>
          <cell r="BT5"/>
          <cell r="BU5"/>
          <cell r="BV5"/>
          <cell r="BW5"/>
          <cell r="BX5"/>
          <cell r="BY5"/>
          <cell r="BZ5"/>
          <cell r="CA5"/>
          <cell r="CB5"/>
          <cell r="CC5"/>
          <cell r="CD5"/>
          <cell r="CE5"/>
          <cell r="CF5"/>
          <cell r="CG5"/>
          <cell r="CH5"/>
          <cell r="CI5"/>
          <cell r="CJ5"/>
          <cell r="CK5"/>
          <cell r="CL5"/>
          <cell r="CM5"/>
          <cell r="CN5"/>
          <cell r="CO5"/>
          <cell r="CP5"/>
          <cell r="CQ5"/>
          <cell r="CR5"/>
          <cell r="CS5"/>
          <cell r="CT5"/>
          <cell r="CU5"/>
          <cell r="CV5"/>
          <cell r="CW5"/>
          <cell r="CX5"/>
          <cell r="CY5"/>
          <cell r="CZ5"/>
          <cell r="DA5"/>
          <cell r="DB5"/>
          <cell r="DC5"/>
          <cell r="DD5"/>
          <cell r="DE5"/>
          <cell r="DF5"/>
          <cell r="DG5"/>
          <cell r="DH5"/>
          <cell r="DI5"/>
          <cell r="DJ5"/>
          <cell r="DK5"/>
          <cell r="DL5"/>
          <cell r="DM5"/>
          <cell r="DN5"/>
          <cell r="DO5"/>
          <cell r="DP5"/>
          <cell r="DQ5"/>
          <cell r="DR5"/>
          <cell r="DS5"/>
          <cell r="DT5"/>
          <cell r="DU5"/>
          <cell r="DV5"/>
          <cell r="DW5"/>
          <cell r="DX5"/>
          <cell r="DY5"/>
          <cell r="DZ5"/>
          <cell r="EA5"/>
          <cell r="EB5"/>
          <cell r="EC5"/>
          <cell r="ED5"/>
          <cell r="EE5"/>
          <cell r="EF5"/>
          <cell r="EG5"/>
          <cell r="EH5"/>
          <cell r="EI5"/>
          <cell r="EJ5"/>
          <cell r="EK5"/>
          <cell r="EL5"/>
          <cell r="EM5"/>
          <cell r="EN5"/>
          <cell r="EO5"/>
          <cell r="EP5"/>
          <cell r="EQ5"/>
          <cell r="ER5"/>
          <cell r="ES5"/>
          <cell r="ET5"/>
          <cell r="EU5"/>
          <cell r="EV5"/>
          <cell r="EW5"/>
          <cell r="EX5"/>
          <cell r="EY5"/>
          <cell r="EZ5"/>
          <cell r="FA5"/>
          <cell r="FB5"/>
          <cell r="FC5"/>
          <cell r="FD5"/>
          <cell r="FE5"/>
          <cell r="FF5"/>
          <cell r="FG5"/>
          <cell r="FH5"/>
          <cell r="FI5"/>
          <cell r="FJ5"/>
          <cell r="FK5"/>
          <cell r="FL5"/>
          <cell r="FM5"/>
          <cell r="FN5"/>
          <cell r="FO5"/>
          <cell r="FP5"/>
          <cell r="FQ5"/>
          <cell r="FR5"/>
          <cell r="FS5"/>
          <cell r="FT5"/>
          <cell r="FU5"/>
        </row>
        <row r="6">
          <cell r="B6" t="str">
            <v>Calculations</v>
          </cell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  <cell r="R6"/>
          <cell r="S6"/>
          <cell r="T6"/>
          <cell r="U6"/>
          <cell r="V6"/>
          <cell r="W6"/>
          <cell r="X6"/>
          <cell r="Y6"/>
          <cell r="Z6"/>
          <cell r="AA6"/>
          <cell r="AB6"/>
          <cell r="AC6"/>
          <cell r="AD6"/>
          <cell r="AE6"/>
          <cell r="AF6"/>
          <cell r="AG6"/>
          <cell r="AH6"/>
          <cell r="AI6"/>
          <cell r="AJ6"/>
          <cell r="AK6"/>
          <cell r="AL6"/>
          <cell r="AM6"/>
          <cell r="AN6"/>
          <cell r="AO6"/>
          <cell r="AP6"/>
          <cell r="AQ6"/>
          <cell r="AR6"/>
          <cell r="AS6"/>
          <cell r="AT6"/>
          <cell r="AU6"/>
          <cell r="AV6"/>
          <cell r="AW6"/>
          <cell r="AX6"/>
          <cell r="AY6"/>
          <cell r="AZ6"/>
          <cell r="BA6"/>
          <cell r="BB6"/>
          <cell r="BC6"/>
          <cell r="BD6"/>
          <cell r="BE6"/>
          <cell r="BF6"/>
          <cell r="BG6"/>
          <cell r="BH6"/>
          <cell r="BI6"/>
          <cell r="BJ6"/>
          <cell r="BK6"/>
          <cell r="BL6"/>
          <cell r="BM6"/>
          <cell r="BN6"/>
          <cell r="BO6"/>
          <cell r="BP6"/>
          <cell r="BQ6"/>
          <cell r="BR6"/>
          <cell r="BS6"/>
          <cell r="BT6"/>
          <cell r="BU6"/>
          <cell r="BV6"/>
          <cell r="BW6"/>
          <cell r="BX6"/>
          <cell r="BY6"/>
          <cell r="BZ6"/>
          <cell r="CA6"/>
          <cell r="CB6"/>
          <cell r="CC6"/>
          <cell r="CD6"/>
          <cell r="CE6"/>
          <cell r="CF6"/>
          <cell r="CG6"/>
          <cell r="CH6"/>
          <cell r="CI6"/>
          <cell r="CJ6"/>
          <cell r="CK6"/>
          <cell r="CL6"/>
          <cell r="CM6"/>
          <cell r="CN6"/>
          <cell r="CO6"/>
          <cell r="CP6"/>
          <cell r="CQ6"/>
          <cell r="CR6"/>
          <cell r="CS6"/>
          <cell r="CT6"/>
          <cell r="CU6"/>
          <cell r="CV6"/>
          <cell r="CW6"/>
          <cell r="CX6"/>
          <cell r="CY6"/>
          <cell r="CZ6"/>
          <cell r="DA6"/>
          <cell r="DB6"/>
          <cell r="DC6"/>
          <cell r="DD6"/>
          <cell r="DE6"/>
          <cell r="DF6"/>
          <cell r="DG6"/>
          <cell r="DH6"/>
          <cell r="DI6"/>
          <cell r="DJ6"/>
          <cell r="DK6"/>
          <cell r="DL6"/>
          <cell r="DM6"/>
          <cell r="DN6"/>
          <cell r="DO6"/>
          <cell r="DP6"/>
          <cell r="DQ6"/>
          <cell r="DR6"/>
          <cell r="DS6"/>
          <cell r="DT6"/>
          <cell r="DU6"/>
          <cell r="DV6"/>
          <cell r="DW6"/>
          <cell r="DX6"/>
          <cell r="DY6"/>
          <cell r="DZ6"/>
          <cell r="EA6"/>
          <cell r="EB6"/>
          <cell r="EC6"/>
          <cell r="ED6"/>
          <cell r="EE6"/>
          <cell r="EF6"/>
          <cell r="EG6"/>
          <cell r="EH6"/>
          <cell r="EI6"/>
          <cell r="EJ6"/>
          <cell r="EK6"/>
          <cell r="EL6"/>
          <cell r="EM6"/>
          <cell r="EN6"/>
          <cell r="EO6"/>
          <cell r="EP6"/>
          <cell r="EQ6"/>
          <cell r="ER6"/>
          <cell r="ES6"/>
          <cell r="ET6"/>
          <cell r="EU6"/>
          <cell r="EV6"/>
          <cell r="EW6"/>
          <cell r="EX6"/>
          <cell r="EY6"/>
          <cell r="EZ6"/>
          <cell r="FA6"/>
          <cell r="FB6"/>
          <cell r="FC6"/>
          <cell r="FD6"/>
          <cell r="FE6"/>
          <cell r="FF6"/>
          <cell r="FG6"/>
          <cell r="FH6"/>
          <cell r="FI6"/>
          <cell r="FJ6"/>
          <cell r="FK6"/>
          <cell r="FL6"/>
          <cell r="FM6"/>
          <cell r="FN6"/>
          <cell r="FO6"/>
          <cell r="FP6"/>
          <cell r="FQ6"/>
          <cell r="FR6"/>
          <cell r="FS6"/>
          <cell r="FT6"/>
          <cell r="FU6"/>
        </row>
        <row r="7">
          <cell r="B7" t="str">
            <v>Actuals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/>
          <cell r="AN7"/>
          <cell r="AO7"/>
          <cell r="AP7"/>
          <cell r="AQ7"/>
          <cell r="AR7"/>
          <cell r="AS7"/>
          <cell r="AT7"/>
          <cell r="AU7"/>
          <cell r="AV7"/>
          <cell r="AW7"/>
          <cell r="AX7"/>
          <cell r="AY7"/>
          <cell r="AZ7"/>
          <cell r="BA7"/>
          <cell r="BB7"/>
          <cell r="BC7"/>
          <cell r="BD7"/>
          <cell r="BE7"/>
          <cell r="BF7"/>
          <cell r="BG7"/>
          <cell r="BH7"/>
          <cell r="BI7"/>
          <cell r="BJ7"/>
          <cell r="BK7"/>
          <cell r="BL7"/>
          <cell r="BM7"/>
          <cell r="BN7"/>
          <cell r="BO7"/>
          <cell r="BP7"/>
          <cell r="BQ7"/>
          <cell r="BR7"/>
          <cell r="BS7"/>
          <cell r="BT7"/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  <cell r="CH7"/>
          <cell r="CI7"/>
          <cell r="CJ7"/>
          <cell r="CK7"/>
          <cell r="CL7"/>
          <cell r="CM7"/>
          <cell r="CN7"/>
          <cell r="CO7"/>
          <cell r="CP7"/>
          <cell r="CQ7"/>
          <cell r="CR7"/>
          <cell r="CS7"/>
          <cell r="CT7"/>
          <cell r="CU7"/>
          <cell r="CV7"/>
          <cell r="CW7"/>
          <cell r="CX7"/>
          <cell r="CY7"/>
          <cell r="CZ7"/>
          <cell r="DA7"/>
          <cell r="DB7"/>
          <cell r="DC7"/>
          <cell r="DD7"/>
          <cell r="DE7"/>
          <cell r="DF7"/>
          <cell r="DG7"/>
          <cell r="DH7"/>
          <cell r="DI7"/>
          <cell r="DJ7"/>
          <cell r="DK7"/>
          <cell r="DL7"/>
          <cell r="DM7"/>
          <cell r="DN7"/>
          <cell r="DO7"/>
          <cell r="DP7"/>
          <cell r="DQ7"/>
          <cell r="DR7"/>
          <cell r="DS7"/>
          <cell r="DT7"/>
          <cell r="DU7"/>
          <cell r="DV7"/>
          <cell r="DW7"/>
          <cell r="DX7"/>
          <cell r="DY7"/>
          <cell r="DZ7"/>
          <cell r="EA7"/>
          <cell r="EB7"/>
          <cell r="EC7"/>
          <cell r="ED7"/>
          <cell r="EE7"/>
          <cell r="EF7"/>
          <cell r="EG7"/>
          <cell r="EH7"/>
          <cell r="EI7"/>
          <cell r="EJ7"/>
          <cell r="EK7"/>
          <cell r="EL7"/>
          <cell r="EM7"/>
          <cell r="EN7"/>
          <cell r="EO7"/>
          <cell r="EP7"/>
          <cell r="EQ7"/>
          <cell r="ER7"/>
          <cell r="ES7"/>
          <cell r="ET7"/>
          <cell r="EU7"/>
          <cell r="EV7"/>
          <cell r="EW7"/>
          <cell r="EX7"/>
          <cell r="EY7"/>
          <cell r="EZ7"/>
          <cell r="FA7"/>
          <cell r="FB7"/>
          <cell r="FC7"/>
          <cell r="FD7"/>
          <cell r="FE7"/>
          <cell r="FF7"/>
          <cell r="FG7"/>
          <cell r="FH7"/>
          <cell r="FI7"/>
          <cell r="FJ7"/>
          <cell r="FK7"/>
          <cell r="FL7"/>
          <cell r="FM7"/>
          <cell r="FN7"/>
          <cell r="FO7"/>
          <cell r="FP7"/>
          <cell r="FQ7"/>
          <cell r="FR7"/>
          <cell r="FS7"/>
          <cell r="FT7"/>
          <cell r="FU7"/>
        </row>
        <row r="8">
          <cell r="B8" t="str">
            <v>Assumptions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  <cell r="Y8"/>
          <cell r="Z8"/>
          <cell r="AA8"/>
          <cell r="AB8"/>
          <cell r="AC8"/>
          <cell r="AD8"/>
          <cell r="AE8"/>
          <cell r="AF8"/>
          <cell r="AG8"/>
          <cell r="AH8"/>
          <cell r="AI8"/>
          <cell r="AJ8"/>
          <cell r="AK8"/>
          <cell r="AL8"/>
          <cell r="AM8"/>
          <cell r="AN8"/>
          <cell r="AO8"/>
          <cell r="AP8"/>
          <cell r="AQ8"/>
          <cell r="AR8"/>
          <cell r="AS8"/>
          <cell r="AT8"/>
          <cell r="AU8"/>
          <cell r="AV8"/>
          <cell r="AW8"/>
          <cell r="AX8"/>
          <cell r="AY8"/>
          <cell r="AZ8"/>
          <cell r="BA8"/>
          <cell r="BB8"/>
          <cell r="BC8"/>
          <cell r="BD8"/>
          <cell r="BE8"/>
          <cell r="BF8"/>
          <cell r="BG8"/>
          <cell r="BH8"/>
          <cell r="BI8"/>
          <cell r="BJ8"/>
          <cell r="BK8"/>
          <cell r="BL8"/>
          <cell r="BM8"/>
          <cell r="BN8"/>
          <cell r="BO8"/>
          <cell r="BP8"/>
          <cell r="BQ8"/>
          <cell r="BR8"/>
          <cell r="BS8"/>
          <cell r="BT8"/>
          <cell r="BU8"/>
          <cell r="BV8"/>
          <cell r="BW8"/>
          <cell r="BX8"/>
          <cell r="BY8"/>
          <cell r="BZ8"/>
          <cell r="CA8"/>
          <cell r="CB8"/>
          <cell r="CC8"/>
          <cell r="CD8"/>
          <cell r="CE8"/>
          <cell r="CF8"/>
          <cell r="CG8"/>
          <cell r="CH8"/>
          <cell r="CI8"/>
          <cell r="CJ8"/>
          <cell r="CK8"/>
          <cell r="CL8"/>
          <cell r="CM8"/>
          <cell r="CN8"/>
          <cell r="CO8"/>
          <cell r="CP8"/>
          <cell r="CQ8"/>
          <cell r="CR8"/>
          <cell r="CS8"/>
          <cell r="CT8"/>
          <cell r="CU8"/>
          <cell r="CV8"/>
          <cell r="CW8"/>
          <cell r="CX8"/>
          <cell r="CY8"/>
          <cell r="CZ8"/>
          <cell r="DA8"/>
          <cell r="DB8"/>
          <cell r="DC8"/>
          <cell r="DD8"/>
          <cell r="DE8"/>
          <cell r="DF8"/>
          <cell r="DG8"/>
          <cell r="DH8"/>
          <cell r="DI8"/>
          <cell r="DJ8"/>
          <cell r="DK8"/>
          <cell r="DL8"/>
          <cell r="DM8"/>
          <cell r="DN8"/>
          <cell r="DO8"/>
          <cell r="DP8"/>
          <cell r="DQ8"/>
          <cell r="DR8"/>
          <cell r="DS8"/>
          <cell r="DT8"/>
          <cell r="DU8"/>
          <cell r="DV8"/>
          <cell r="DW8"/>
          <cell r="DX8"/>
          <cell r="DY8"/>
          <cell r="DZ8"/>
          <cell r="EA8"/>
          <cell r="EB8"/>
          <cell r="EC8"/>
          <cell r="ED8"/>
          <cell r="EE8"/>
          <cell r="EF8"/>
          <cell r="EG8"/>
          <cell r="EH8"/>
          <cell r="EI8"/>
          <cell r="EJ8"/>
          <cell r="EK8"/>
          <cell r="EL8"/>
          <cell r="EM8"/>
          <cell r="EN8"/>
          <cell r="EO8"/>
          <cell r="EP8"/>
          <cell r="EQ8"/>
          <cell r="ER8"/>
          <cell r="ES8"/>
          <cell r="ET8"/>
          <cell r="EU8"/>
          <cell r="EV8"/>
          <cell r="EW8"/>
          <cell r="EX8"/>
          <cell r="EY8"/>
          <cell r="EZ8"/>
          <cell r="FA8"/>
          <cell r="FB8"/>
          <cell r="FC8"/>
          <cell r="FD8"/>
          <cell r="FE8"/>
          <cell r="FF8"/>
          <cell r="FG8"/>
          <cell r="FH8"/>
          <cell r="FI8"/>
          <cell r="FJ8"/>
          <cell r="FK8"/>
          <cell r="FL8"/>
          <cell r="FM8"/>
          <cell r="FN8"/>
          <cell r="FO8"/>
          <cell r="FP8"/>
          <cell r="FQ8"/>
          <cell r="FR8"/>
          <cell r="FS8"/>
          <cell r="FT8"/>
          <cell r="FU8"/>
        </row>
        <row r="9">
          <cell r="B9" t="str">
            <v>External links</v>
          </cell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  <cell r="CE9"/>
          <cell r="CF9"/>
          <cell r="CG9"/>
          <cell r="CH9"/>
          <cell r="CI9"/>
          <cell r="CJ9"/>
          <cell r="CK9"/>
          <cell r="CL9"/>
          <cell r="CM9"/>
          <cell r="CN9"/>
          <cell r="CO9"/>
          <cell r="CP9"/>
          <cell r="CQ9"/>
          <cell r="CR9"/>
          <cell r="CS9"/>
          <cell r="CT9"/>
          <cell r="CU9"/>
          <cell r="CV9"/>
          <cell r="CW9"/>
          <cell r="CX9"/>
          <cell r="CY9"/>
          <cell r="CZ9"/>
          <cell r="DA9"/>
          <cell r="DB9"/>
          <cell r="DC9"/>
          <cell r="DD9"/>
          <cell r="DE9"/>
          <cell r="DF9"/>
          <cell r="DG9"/>
          <cell r="DH9"/>
          <cell r="DI9"/>
          <cell r="DJ9"/>
          <cell r="DK9"/>
          <cell r="DL9"/>
          <cell r="DM9"/>
          <cell r="DN9"/>
          <cell r="DO9"/>
          <cell r="DP9"/>
          <cell r="DQ9"/>
          <cell r="DR9"/>
          <cell r="DS9"/>
          <cell r="DT9"/>
          <cell r="DU9"/>
          <cell r="DV9"/>
          <cell r="DW9"/>
          <cell r="DX9"/>
          <cell r="DY9"/>
          <cell r="DZ9"/>
          <cell r="EA9"/>
          <cell r="EB9"/>
          <cell r="EC9"/>
          <cell r="ED9"/>
          <cell r="EE9"/>
          <cell r="EF9"/>
          <cell r="EG9"/>
          <cell r="EH9"/>
          <cell r="EI9"/>
          <cell r="EJ9"/>
          <cell r="EK9"/>
          <cell r="EL9"/>
          <cell r="EM9"/>
          <cell r="EN9"/>
          <cell r="EO9"/>
          <cell r="EP9"/>
          <cell r="EQ9"/>
          <cell r="ER9"/>
          <cell r="ES9"/>
          <cell r="ET9"/>
          <cell r="EU9"/>
          <cell r="EV9"/>
          <cell r="EW9"/>
          <cell r="EX9"/>
          <cell r="EY9"/>
          <cell r="EZ9"/>
          <cell r="FA9"/>
          <cell r="FB9"/>
          <cell r="FC9"/>
          <cell r="FD9"/>
          <cell r="FE9"/>
          <cell r="FF9"/>
          <cell r="FG9"/>
          <cell r="FH9"/>
          <cell r="FI9"/>
          <cell r="FJ9"/>
          <cell r="FK9"/>
          <cell r="FL9"/>
          <cell r="FM9"/>
          <cell r="FN9"/>
          <cell r="FO9"/>
          <cell r="FP9"/>
          <cell r="FQ9"/>
          <cell r="FR9"/>
          <cell r="FS9"/>
          <cell r="FT9"/>
          <cell r="FU9"/>
        </row>
        <row r="10">
          <cell r="B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/>
          <cell r="S10"/>
          <cell r="T10"/>
          <cell r="U10"/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  <cell r="CE10"/>
          <cell r="CF10"/>
          <cell r="CG10"/>
          <cell r="CH10"/>
          <cell r="CI10"/>
          <cell r="CJ10"/>
          <cell r="CK10"/>
          <cell r="CL10"/>
          <cell r="CM10"/>
          <cell r="CN10"/>
          <cell r="CO10"/>
          <cell r="CP10"/>
          <cell r="CQ10"/>
          <cell r="CR10"/>
          <cell r="CS10"/>
          <cell r="CT10"/>
          <cell r="CU10"/>
          <cell r="CV10"/>
          <cell r="CW10"/>
          <cell r="CX10"/>
          <cell r="CY10"/>
          <cell r="CZ10"/>
          <cell r="DA10"/>
          <cell r="DB10"/>
          <cell r="DC10"/>
          <cell r="DD10"/>
          <cell r="DE10"/>
          <cell r="DF10"/>
          <cell r="DG10"/>
          <cell r="DH10"/>
          <cell r="DI10"/>
          <cell r="DJ10"/>
          <cell r="DK10"/>
          <cell r="DL10"/>
          <cell r="DM10"/>
          <cell r="DN10"/>
          <cell r="DO10"/>
          <cell r="DP10"/>
          <cell r="DQ10"/>
          <cell r="DR10"/>
          <cell r="DS10"/>
          <cell r="DT10"/>
          <cell r="DU10"/>
          <cell r="DV10"/>
          <cell r="DW10"/>
          <cell r="DX10"/>
          <cell r="DY10"/>
          <cell r="DZ10"/>
          <cell r="EA10"/>
          <cell r="EB10"/>
          <cell r="EC10"/>
          <cell r="ED10"/>
          <cell r="EE10"/>
          <cell r="EF10"/>
          <cell r="EG10"/>
          <cell r="EH10"/>
          <cell r="EI10"/>
          <cell r="EJ10"/>
          <cell r="EK10"/>
          <cell r="EL10"/>
          <cell r="EM10"/>
          <cell r="EN10"/>
          <cell r="EO10"/>
          <cell r="EP10"/>
          <cell r="EQ10"/>
          <cell r="ER10"/>
          <cell r="ES10"/>
          <cell r="ET10"/>
          <cell r="EU10"/>
          <cell r="EV10"/>
          <cell r="EW10"/>
          <cell r="EX10"/>
          <cell r="EY10"/>
          <cell r="EZ10"/>
          <cell r="FA10"/>
          <cell r="FB10"/>
          <cell r="FC10"/>
          <cell r="FD10"/>
          <cell r="FE10"/>
          <cell r="FF10"/>
          <cell r="FG10"/>
          <cell r="FH10"/>
          <cell r="FI10"/>
          <cell r="FJ10"/>
          <cell r="FK10"/>
          <cell r="FL10"/>
          <cell r="FM10"/>
          <cell r="FN10"/>
          <cell r="FO10"/>
          <cell r="FP10"/>
          <cell r="FQ10"/>
          <cell r="FR10"/>
          <cell r="FS10"/>
          <cell r="FT10"/>
          <cell r="FU10"/>
        </row>
        <row r="11">
          <cell r="B11" t="str">
            <v>Valuation</v>
          </cell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  <cell r="R11"/>
          <cell r="S11"/>
          <cell r="T11"/>
          <cell r="U11"/>
          <cell r="V11"/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  <cell r="CE11"/>
          <cell r="CF11"/>
          <cell r="CG11"/>
          <cell r="CH11"/>
          <cell r="CI11"/>
          <cell r="CJ11"/>
          <cell r="CK11"/>
          <cell r="CL11"/>
          <cell r="CM11"/>
          <cell r="CN11"/>
          <cell r="CO11"/>
          <cell r="CP11"/>
          <cell r="CQ11"/>
          <cell r="CR11"/>
          <cell r="CS11"/>
          <cell r="CT11"/>
          <cell r="CU11"/>
          <cell r="CV11"/>
          <cell r="CW11"/>
          <cell r="CX11"/>
          <cell r="CY11"/>
          <cell r="CZ11"/>
          <cell r="DA11"/>
          <cell r="DB11"/>
          <cell r="DC11"/>
          <cell r="DD11"/>
          <cell r="DE11"/>
          <cell r="DF11"/>
          <cell r="DG11"/>
          <cell r="DH11"/>
          <cell r="DI11"/>
          <cell r="DJ11"/>
          <cell r="DK11"/>
          <cell r="DL11"/>
          <cell r="DM11"/>
          <cell r="DN11"/>
          <cell r="DO11"/>
          <cell r="DP11"/>
          <cell r="DQ11"/>
          <cell r="DR11"/>
          <cell r="DS11"/>
          <cell r="DT11"/>
          <cell r="DU11"/>
          <cell r="DV11"/>
          <cell r="DW11"/>
          <cell r="DX11"/>
          <cell r="DY11"/>
          <cell r="DZ11"/>
          <cell r="EA11"/>
          <cell r="EB11"/>
          <cell r="EC11"/>
          <cell r="ED11"/>
          <cell r="EE11"/>
          <cell r="EF11"/>
          <cell r="EG11"/>
          <cell r="EH11"/>
          <cell r="EI11"/>
          <cell r="EJ11"/>
          <cell r="EK11"/>
          <cell r="EL11"/>
          <cell r="EM11"/>
          <cell r="EN11"/>
          <cell r="EO11"/>
          <cell r="EP11"/>
          <cell r="EQ11"/>
          <cell r="ER11"/>
          <cell r="ES11"/>
          <cell r="ET11"/>
          <cell r="EU11"/>
          <cell r="EV11"/>
          <cell r="EW11"/>
          <cell r="EX11"/>
          <cell r="EY11"/>
          <cell r="EZ11"/>
          <cell r="FA11"/>
          <cell r="FB11"/>
          <cell r="FC11"/>
          <cell r="FD11"/>
          <cell r="FE11"/>
          <cell r="FF11"/>
          <cell r="FG11"/>
          <cell r="FH11"/>
          <cell r="FI11"/>
          <cell r="FJ11"/>
          <cell r="FK11"/>
          <cell r="FL11"/>
          <cell r="FM11"/>
          <cell r="FN11"/>
          <cell r="FO11"/>
          <cell r="FP11"/>
          <cell r="FQ11"/>
          <cell r="FR11"/>
          <cell r="FS11"/>
          <cell r="FT11"/>
          <cell r="FU11"/>
        </row>
        <row r="12">
          <cell r="A12" t="str">
            <v>Valn_AsAtDate</v>
          </cell>
          <cell r="B12" t="str">
            <v>Valuation as at date</v>
          </cell>
          <cell r="C12">
            <v>46265</v>
          </cell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  <cell r="CE12"/>
          <cell r="CF12"/>
          <cell r="CG12"/>
          <cell r="CH12"/>
          <cell r="CI12"/>
          <cell r="CJ12"/>
          <cell r="CK12"/>
          <cell r="CL12"/>
          <cell r="CM12"/>
          <cell r="CN12"/>
          <cell r="CO12"/>
          <cell r="CP12"/>
          <cell r="CQ12"/>
          <cell r="CR12"/>
          <cell r="CS12"/>
          <cell r="CT12"/>
          <cell r="CU12"/>
          <cell r="CV12"/>
          <cell r="CW12"/>
          <cell r="CX12"/>
          <cell r="CY12"/>
          <cell r="CZ12"/>
          <cell r="DA12"/>
          <cell r="DB12"/>
          <cell r="DC12"/>
          <cell r="DD12"/>
          <cell r="DE12"/>
          <cell r="DF12"/>
          <cell r="DG12"/>
          <cell r="DH12"/>
          <cell r="DI12"/>
          <cell r="DJ12"/>
          <cell r="DK12"/>
          <cell r="DL12"/>
          <cell r="DM12"/>
          <cell r="DN12"/>
          <cell r="DO12"/>
          <cell r="DP12"/>
          <cell r="DQ12"/>
          <cell r="DR12"/>
          <cell r="DS12"/>
          <cell r="DT12"/>
          <cell r="DU12"/>
          <cell r="DV12"/>
          <cell r="DW12"/>
          <cell r="DX12"/>
          <cell r="DY12"/>
          <cell r="DZ12"/>
          <cell r="EA12"/>
          <cell r="EB12"/>
          <cell r="EC12"/>
          <cell r="ED12"/>
          <cell r="EE12"/>
          <cell r="EF12"/>
          <cell r="EG12"/>
          <cell r="EH12"/>
          <cell r="EI12"/>
          <cell r="EJ12"/>
          <cell r="EK12"/>
          <cell r="EL12"/>
          <cell r="EM12"/>
          <cell r="EN12"/>
          <cell r="EO12"/>
          <cell r="EP12"/>
          <cell r="EQ12"/>
          <cell r="ER12"/>
          <cell r="ES12"/>
          <cell r="ET12"/>
          <cell r="EU12"/>
          <cell r="EV12"/>
          <cell r="EW12"/>
          <cell r="EX12"/>
          <cell r="EY12"/>
          <cell r="EZ12"/>
          <cell r="FA12"/>
          <cell r="FB12"/>
          <cell r="FC12"/>
          <cell r="FD12"/>
          <cell r="FE12"/>
          <cell r="FF12"/>
          <cell r="FG12"/>
          <cell r="FH12"/>
          <cell r="FI12"/>
          <cell r="FJ12"/>
          <cell r="FK12"/>
          <cell r="FL12"/>
          <cell r="FM12"/>
          <cell r="FN12"/>
          <cell r="FO12"/>
          <cell r="FP12"/>
          <cell r="FQ12"/>
          <cell r="FR12"/>
          <cell r="FS12"/>
          <cell r="FT12"/>
          <cell r="FU12"/>
        </row>
        <row r="13">
          <cell r="A13" t="str">
            <v>Valn_TerminalGrowth</v>
          </cell>
          <cell r="B13" t="str">
            <v>Terminal growth rate</v>
          </cell>
          <cell r="C13">
            <v>2.5000000000000001E-2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  <cell r="CE13"/>
          <cell r="CF13"/>
          <cell r="CG13"/>
          <cell r="CH13"/>
          <cell r="CI13"/>
          <cell r="CJ13"/>
          <cell r="CK13"/>
          <cell r="CL13"/>
          <cell r="CM13"/>
          <cell r="CN13"/>
          <cell r="CO13"/>
          <cell r="CP13"/>
          <cell r="CQ13"/>
          <cell r="CR13"/>
          <cell r="CS13"/>
          <cell r="CT13"/>
          <cell r="CU13"/>
          <cell r="CV13"/>
          <cell r="CW13"/>
          <cell r="CX13"/>
          <cell r="CY13"/>
          <cell r="CZ13"/>
          <cell r="DA13"/>
          <cell r="DB13"/>
          <cell r="DC13"/>
          <cell r="DD13"/>
          <cell r="DE13"/>
          <cell r="DF13"/>
          <cell r="DG13"/>
          <cell r="DH13"/>
          <cell r="DI13"/>
          <cell r="DJ13"/>
          <cell r="DK13"/>
          <cell r="DL13"/>
          <cell r="DM13"/>
          <cell r="DN13"/>
          <cell r="DO13"/>
          <cell r="DP13"/>
          <cell r="DQ13"/>
          <cell r="DR13"/>
          <cell r="DS13"/>
          <cell r="DT13"/>
          <cell r="DU13"/>
          <cell r="DV13"/>
          <cell r="DW13"/>
          <cell r="DX13"/>
          <cell r="DY13"/>
          <cell r="DZ13"/>
          <cell r="EA13"/>
          <cell r="EB13"/>
          <cell r="EC13"/>
          <cell r="ED13"/>
          <cell r="EE13"/>
          <cell r="EF13"/>
          <cell r="EG13"/>
          <cell r="EH13"/>
          <cell r="EI13"/>
          <cell r="EJ13"/>
          <cell r="EK13"/>
          <cell r="EL13"/>
          <cell r="EM13"/>
          <cell r="EN13"/>
          <cell r="EO13"/>
          <cell r="EP13"/>
          <cell r="EQ13"/>
          <cell r="ER13"/>
          <cell r="ES13"/>
          <cell r="ET13"/>
          <cell r="EU13"/>
          <cell r="EV13"/>
          <cell r="EW13"/>
          <cell r="EX13"/>
          <cell r="EY13"/>
          <cell r="EZ13"/>
          <cell r="FA13"/>
          <cell r="FB13"/>
          <cell r="FC13"/>
          <cell r="FD13"/>
          <cell r="FE13"/>
          <cell r="FF13"/>
          <cell r="FG13"/>
          <cell r="FH13"/>
          <cell r="FI13"/>
          <cell r="FJ13"/>
          <cell r="FK13"/>
          <cell r="FL13"/>
          <cell r="FM13"/>
          <cell r="FN13"/>
          <cell r="FO13"/>
          <cell r="FP13"/>
          <cell r="FQ13"/>
          <cell r="FR13"/>
          <cell r="FS13"/>
          <cell r="FT13"/>
          <cell r="FU13"/>
        </row>
        <row r="14">
          <cell r="A14" t="str">
            <v>Valn_RiskFreeRate</v>
          </cell>
          <cell r="B14" t="str">
            <v>Risk free rate (Rf)</v>
          </cell>
          <cell r="C14">
            <v>3.5000000000000003E-2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  <cell r="CE14"/>
          <cell r="CF14"/>
          <cell r="CG14"/>
          <cell r="CH14"/>
          <cell r="CI14"/>
          <cell r="CJ14"/>
          <cell r="CK14"/>
          <cell r="CL14"/>
          <cell r="CM14"/>
          <cell r="CN14"/>
          <cell r="CO14"/>
          <cell r="CP14"/>
          <cell r="CQ14"/>
          <cell r="CR14"/>
          <cell r="CS14"/>
          <cell r="CT14"/>
          <cell r="CU14"/>
          <cell r="CV14"/>
          <cell r="CW14"/>
          <cell r="CX14"/>
          <cell r="CY14"/>
          <cell r="CZ14"/>
          <cell r="DA14"/>
          <cell r="DB14"/>
          <cell r="DC14"/>
          <cell r="DD14"/>
          <cell r="DE14"/>
          <cell r="DF14"/>
          <cell r="DG14"/>
          <cell r="DH14"/>
          <cell r="DI14"/>
          <cell r="DJ14"/>
          <cell r="DK14"/>
          <cell r="DL14"/>
          <cell r="DM14"/>
          <cell r="DN14"/>
          <cell r="DO14"/>
          <cell r="DP14"/>
          <cell r="DQ14"/>
          <cell r="DR14"/>
          <cell r="DS14"/>
          <cell r="DT14"/>
          <cell r="DU14"/>
          <cell r="DV14"/>
          <cell r="DW14"/>
          <cell r="DX14"/>
          <cell r="DY14"/>
          <cell r="DZ14"/>
          <cell r="EA14"/>
          <cell r="EB14"/>
          <cell r="EC14"/>
          <cell r="ED14"/>
          <cell r="EE14"/>
          <cell r="EF14"/>
          <cell r="EG14"/>
          <cell r="EH14"/>
          <cell r="EI14"/>
          <cell r="EJ14"/>
          <cell r="EK14"/>
          <cell r="EL14"/>
          <cell r="EM14"/>
          <cell r="EN14"/>
          <cell r="EO14"/>
          <cell r="EP14"/>
          <cell r="EQ14"/>
          <cell r="ER14"/>
          <cell r="ES14"/>
          <cell r="ET14"/>
          <cell r="EU14"/>
          <cell r="EV14"/>
          <cell r="EW14"/>
          <cell r="EX14"/>
          <cell r="EY14"/>
          <cell r="EZ14"/>
          <cell r="FA14"/>
          <cell r="FB14"/>
          <cell r="FC14"/>
          <cell r="FD14"/>
          <cell r="FE14"/>
          <cell r="FF14"/>
          <cell r="FG14"/>
          <cell r="FH14"/>
          <cell r="FI14"/>
          <cell r="FJ14"/>
          <cell r="FK14"/>
          <cell r="FL14"/>
          <cell r="FM14"/>
          <cell r="FN14"/>
          <cell r="FO14"/>
          <cell r="FP14"/>
          <cell r="FQ14"/>
          <cell r="FR14"/>
          <cell r="FS14"/>
          <cell r="FT14"/>
          <cell r="FU14"/>
        </row>
        <row r="15">
          <cell r="A15" t="str">
            <v>Valn_MRP</v>
          </cell>
          <cell r="B15" t="str">
            <v>Market risk premium (Rm)</v>
          </cell>
          <cell r="C15">
            <v>0.06</v>
          </cell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  <cell r="CE15"/>
          <cell r="CF15"/>
          <cell r="CG15"/>
          <cell r="CH15"/>
          <cell r="CI15"/>
          <cell r="CJ15"/>
          <cell r="CK15"/>
          <cell r="CL15"/>
          <cell r="CM15"/>
          <cell r="CN15"/>
          <cell r="CO15"/>
          <cell r="CP15"/>
          <cell r="CQ15"/>
          <cell r="CR15"/>
          <cell r="CS15"/>
          <cell r="CT15"/>
          <cell r="CU15"/>
          <cell r="CV15"/>
          <cell r="CW15"/>
          <cell r="CX15"/>
          <cell r="CY15"/>
          <cell r="CZ15"/>
          <cell r="DA15"/>
          <cell r="DB15"/>
          <cell r="DC15"/>
          <cell r="DD15"/>
          <cell r="DE15"/>
          <cell r="DF15"/>
          <cell r="DG15"/>
          <cell r="DH15"/>
          <cell r="DI15"/>
          <cell r="DJ15"/>
          <cell r="DK15"/>
          <cell r="DL15"/>
          <cell r="DM15"/>
          <cell r="DN15"/>
          <cell r="DO15"/>
          <cell r="DP15"/>
          <cell r="DQ15"/>
          <cell r="DR15"/>
          <cell r="DS15"/>
          <cell r="DT15"/>
          <cell r="DU15"/>
          <cell r="DV15"/>
          <cell r="DW15"/>
          <cell r="DX15"/>
          <cell r="DY15"/>
          <cell r="DZ15"/>
          <cell r="EA15"/>
          <cell r="EB15"/>
          <cell r="EC15"/>
          <cell r="ED15"/>
          <cell r="EE15"/>
          <cell r="EF15"/>
          <cell r="EG15"/>
          <cell r="EH15"/>
          <cell r="EI15"/>
          <cell r="EJ15"/>
          <cell r="EK15"/>
          <cell r="EL15"/>
          <cell r="EM15"/>
          <cell r="EN15"/>
          <cell r="EO15"/>
          <cell r="EP15"/>
          <cell r="EQ15"/>
          <cell r="ER15"/>
          <cell r="ES15"/>
          <cell r="ET15"/>
          <cell r="EU15"/>
          <cell r="EV15"/>
          <cell r="EW15"/>
          <cell r="EX15"/>
          <cell r="EY15"/>
          <cell r="EZ15"/>
          <cell r="FA15"/>
          <cell r="FB15"/>
          <cell r="FC15"/>
          <cell r="FD15"/>
          <cell r="FE15"/>
          <cell r="FF15"/>
          <cell r="FG15"/>
          <cell r="FH15"/>
          <cell r="FI15"/>
          <cell r="FJ15"/>
          <cell r="FK15"/>
          <cell r="FL15"/>
          <cell r="FM15"/>
          <cell r="FN15"/>
          <cell r="FO15"/>
          <cell r="FP15"/>
          <cell r="FQ15"/>
          <cell r="FR15"/>
          <cell r="FS15"/>
          <cell r="FT15"/>
          <cell r="FU15"/>
        </row>
        <row r="16">
          <cell r="B16"/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  <cell r="CE16"/>
          <cell r="CF16"/>
          <cell r="CG16"/>
          <cell r="CH16"/>
          <cell r="CI16"/>
          <cell r="CJ16"/>
          <cell r="CK16"/>
          <cell r="CL16"/>
          <cell r="CM16"/>
          <cell r="CN16"/>
          <cell r="CO16"/>
          <cell r="CP16"/>
          <cell r="CQ16"/>
          <cell r="CR16"/>
          <cell r="CS16"/>
          <cell r="CT16"/>
          <cell r="CU16"/>
          <cell r="CV16"/>
          <cell r="CW16"/>
          <cell r="CX16"/>
          <cell r="CY16"/>
          <cell r="CZ16"/>
          <cell r="DA16"/>
          <cell r="DB16"/>
          <cell r="DC16"/>
          <cell r="DD16"/>
          <cell r="DE16"/>
          <cell r="DF16"/>
          <cell r="DG16"/>
          <cell r="DH16"/>
          <cell r="DI16"/>
          <cell r="DJ16"/>
          <cell r="DK16"/>
          <cell r="DL16"/>
          <cell r="DM16"/>
          <cell r="DN16"/>
          <cell r="DO16"/>
          <cell r="DP16"/>
          <cell r="DQ16"/>
          <cell r="DR16"/>
          <cell r="DS16"/>
          <cell r="DT16"/>
          <cell r="DU16"/>
          <cell r="DV16"/>
          <cell r="DW16"/>
          <cell r="DX16"/>
          <cell r="DY16"/>
          <cell r="DZ16"/>
          <cell r="EA16"/>
          <cell r="EB16"/>
          <cell r="EC16"/>
          <cell r="ED16"/>
          <cell r="EE16"/>
          <cell r="EF16"/>
          <cell r="EG16"/>
          <cell r="EH16"/>
          <cell r="EI16"/>
          <cell r="EJ16"/>
          <cell r="EK16"/>
          <cell r="EL16"/>
          <cell r="EM16"/>
          <cell r="EN16"/>
          <cell r="EO16"/>
          <cell r="EP16"/>
          <cell r="EQ16"/>
          <cell r="ER16"/>
          <cell r="ES16"/>
          <cell r="ET16"/>
          <cell r="EU16"/>
          <cell r="EV16"/>
          <cell r="EW16"/>
          <cell r="EX16"/>
          <cell r="EY16"/>
          <cell r="EZ16"/>
          <cell r="FA16"/>
          <cell r="FB16"/>
          <cell r="FC16"/>
          <cell r="FD16"/>
          <cell r="FE16"/>
          <cell r="FF16"/>
          <cell r="FG16"/>
          <cell r="FH16"/>
          <cell r="FI16"/>
          <cell r="FJ16"/>
          <cell r="FK16"/>
          <cell r="FL16"/>
          <cell r="FM16"/>
          <cell r="FN16"/>
          <cell r="FO16"/>
          <cell r="FP16"/>
          <cell r="FQ16"/>
          <cell r="FR16"/>
          <cell r="FS16"/>
          <cell r="FT16"/>
          <cell r="FU16"/>
        </row>
        <row r="17">
          <cell r="B17"/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  <cell r="CE17"/>
          <cell r="CF17"/>
          <cell r="CG17"/>
          <cell r="CH17"/>
          <cell r="CI17"/>
          <cell r="CJ17"/>
          <cell r="CK17"/>
          <cell r="CL17"/>
          <cell r="CM17"/>
          <cell r="CN17"/>
          <cell r="CO17"/>
          <cell r="CP17"/>
          <cell r="CQ17"/>
          <cell r="CR17"/>
          <cell r="CS17"/>
          <cell r="CT17"/>
          <cell r="CU17"/>
          <cell r="CV17"/>
          <cell r="CW17"/>
          <cell r="CX17"/>
          <cell r="CY17"/>
          <cell r="CZ17"/>
          <cell r="DA17"/>
          <cell r="DB17"/>
          <cell r="DC17"/>
          <cell r="DD17"/>
          <cell r="DE17"/>
          <cell r="DF17"/>
          <cell r="DG17"/>
          <cell r="DH17"/>
          <cell r="DI17"/>
          <cell r="DJ17"/>
          <cell r="DK17"/>
          <cell r="DL17"/>
          <cell r="DM17"/>
          <cell r="DN17"/>
          <cell r="DO17"/>
          <cell r="DP17"/>
          <cell r="DQ17"/>
          <cell r="DR17"/>
          <cell r="DS17"/>
          <cell r="DT17"/>
          <cell r="DU17"/>
          <cell r="DV17"/>
          <cell r="DW17"/>
          <cell r="DX17"/>
          <cell r="DY17"/>
          <cell r="DZ17"/>
          <cell r="EA17"/>
          <cell r="EB17"/>
          <cell r="EC17"/>
          <cell r="ED17"/>
          <cell r="EE17"/>
          <cell r="EF17"/>
          <cell r="EG17"/>
          <cell r="EH17"/>
          <cell r="EI17"/>
          <cell r="EJ17"/>
          <cell r="EK17"/>
          <cell r="EL17"/>
          <cell r="EM17"/>
          <cell r="EN17"/>
          <cell r="EO17"/>
          <cell r="EP17"/>
          <cell r="EQ17"/>
          <cell r="ER17"/>
          <cell r="ES17"/>
          <cell r="ET17"/>
          <cell r="EU17"/>
          <cell r="EV17"/>
          <cell r="EW17"/>
          <cell r="EX17"/>
          <cell r="EY17"/>
          <cell r="EZ17"/>
          <cell r="FA17"/>
          <cell r="FB17"/>
          <cell r="FC17"/>
          <cell r="FD17"/>
          <cell r="FE17"/>
          <cell r="FF17"/>
          <cell r="FG17"/>
          <cell r="FH17"/>
          <cell r="FI17"/>
          <cell r="FJ17"/>
          <cell r="FK17"/>
          <cell r="FL17"/>
          <cell r="FM17"/>
          <cell r="FN17"/>
          <cell r="FO17"/>
          <cell r="FP17"/>
          <cell r="FQ17"/>
          <cell r="FR17"/>
          <cell r="FS17"/>
          <cell r="FT17"/>
          <cell r="FU17"/>
        </row>
        <row r="18">
          <cell r="B18" t="str">
            <v>Rates - period end</v>
          </cell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  <cell r="CE18"/>
          <cell r="CF18"/>
          <cell r="CG18"/>
          <cell r="CH18"/>
          <cell r="CI18"/>
          <cell r="CJ18"/>
          <cell r="CK18"/>
          <cell r="CL18"/>
          <cell r="CM18"/>
          <cell r="CN18"/>
          <cell r="CO18"/>
          <cell r="CP18"/>
          <cell r="CQ18"/>
          <cell r="CR18"/>
          <cell r="CS18"/>
          <cell r="CT18"/>
          <cell r="CU18"/>
          <cell r="CV18"/>
          <cell r="CW18"/>
          <cell r="CX18"/>
          <cell r="CY18"/>
          <cell r="CZ18"/>
          <cell r="DA18"/>
          <cell r="DB18"/>
          <cell r="DC18"/>
          <cell r="DD18"/>
          <cell r="DE18"/>
          <cell r="DF18"/>
          <cell r="DG18"/>
          <cell r="DH18"/>
          <cell r="DI18"/>
          <cell r="DJ18"/>
          <cell r="DK18"/>
          <cell r="DL18"/>
          <cell r="DM18"/>
          <cell r="DN18"/>
          <cell r="DO18"/>
          <cell r="DP18"/>
          <cell r="DQ18"/>
          <cell r="DR18"/>
          <cell r="DS18"/>
          <cell r="DT18"/>
          <cell r="DU18"/>
          <cell r="DV18"/>
          <cell r="DW18"/>
          <cell r="DX18"/>
          <cell r="DY18"/>
          <cell r="DZ18"/>
          <cell r="EA18"/>
          <cell r="EB18"/>
          <cell r="EC18"/>
          <cell r="ED18"/>
          <cell r="EE18"/>
          <cell r="EF18"/>
          <cell r="EG18"/>
          <cell r="EH18"/>
          <cell r="EI18"/>
          <cell r="EJ18"/>
          <cell r="EK18"/>
          <cell r="EL18"/>
          <cell r="EM18"/>
          <cell r="EN18"/>
          <cell r="EO18"/>
          <cell r="EP18"/>
          <cell r="EQ18"/>
          <cell r="ER18"/>
          <cell r="ES18"/>
          <cell r="ET18"/>
          <cell r="EU18"/>
          <cell r="EV18"/>
          <cell r="EW18"/>
          <cell r="EX18"/>
          <cell r="EY18"/>
          <cell r="EZ18"/>
          <cell r="FA18"/>
          <cell r="FB18"/>
          <cell r="FC18"/>
          <cell r="FD18"/>
          <cell r="FE18"/>
          <cell r="FF18"/>
          <cell r="FG18"/>
          <cell r="FH18"/>
          <cell r="FI18"/>
          <cell r="FJ18"/>
          <cell r="FK18"/>
          <cell r="FL18"/>
          <cell r="FM18"/>
          <cell r="FN18"/>
          <cell r="FO18"/>
          <cell r="FP18"/>
          <cell r="FQ18"/>
          <cell r="FR18"/>
          <cell r="FS18"/>
          <cell r="FT18"/>
          <cell r="FU18"/>
        </row>
        <row r="19">
          <cell r="A19" t="str">
            <v>au_cash</v>
          </cell>
          <cell r="B19" t="str">
            <v>Aust cash</v>
          </cell>
          <cell r="D19">
            <v>7.4499999999999997E-2</v>
          </cell>
          <cell r="E19">
            <v>6.5000000000000002E-2</v>
          </cell>
          <cell r="F19">
            <v>5.2999999999999999E-2</v>
          </cell>
          <cell r="G19">
            <v>5.7500000000000002E-2</v>
          </cell>
          <cell r="H19">
            <v>5.1500000000000004E-2</v>
          </cell>
          <cell r="I19">
            <v>5.1500000000000004E-2</v>
          </cell>
          <cell r="J19">
            <v>4.7E-2</v>
          </cell>
          <cell r="K19">
            <v>4.8000000000000001E-2</v>
          </cell>
          <cell r="L19">
            <v>4.7500000000000001E-2</v>
          </cell>
          <cell r="M19">
            <v>4.4999999999999998E-2</v>
          </cell>
          <cell r="N19">
            <v>5.5E-2</v>
          </cell>
          <cell r="O19">
            <v>7.4499999999999997E-2</v>
          </cell>
          <cell r="P19">
            <v>7.4499999999999997E-2</v>
          </cell>
          <cell r="Q19">
            <v>7.3700000000000002E-2</v>
          </cell>
          <cell r="R19">
            <v>7.400000000000001E-2</v>
          </cell>
          <cell r="S19">
            <v>7.400000000000001E-2</v>
          </cell>
          <cell r="T19">
            <v>7.2999999999999995E-2</v>
          </cell>
          <cell r="U19">
            <v>7.0000000000000007E-2</v>
          </cell>
          <cell r="V19">
            <v>7.0499999999999993E-2</v>
          </cell>
          <cell r="W19">
            <v>6.0899999999999996E-2</v>
          </cell>
          <cell r="X19">
            <v>6.13E-2</v>
          </cell>
          <cell r="Y19">
            <v>5.5E-2</v>
          </cell>
          <cell r="Z19">
            <v>4.9800000000000004E-2</v>
          </cell>
          <cell r="AA19">
            <v>4.9800000000000004E-2</v>
          </cell>
          <cell r="AB19">
            <v>4.9800000000000004E-2</v>
          </cell>
          <cell r="AC19">
            <v>4.9800000000000004E-2</v>
          </cell>
          <cell r="AD19">
            <v>4.9599999999999998E-2</v>
          </cell>
          <cell r="AE19">
            <v>4.7199999999999999E-2</v>
          </cell>
          <cell r="AF19">
            <v>4.7400000000000005E-2</v>
          </cell>
          <cell r="AG19">
            <v>4.7800000000000002E-2</v>
          </cell>
          <cell r="AH19">
            <v>4.7599999999999996E-2</v>
          </cell>
          <cell r="AI19">
            <v>0.05</v>
          </cell>
          <cell r="AJ19">
            <v>5.5E-2</v>
          </cell>
          <cell r="AK19">
            <v>0.06</v>
          </cell>
          <cell r="AL19">
            <v>6.25E-2</v>
          </cell>
          <cell r="AM19">
            <v>6.25E-2</v>
          </cell>
          <cell r="AN19">
            <v>5.5E-2</v>
          </cell>
          <cell r="AO19">
            <v>0.05</v>
          </cell>
          <cell r="AP19">
            <v>4.7500000000000001E-2</v>
          </cell>
          <cell r="AQ19">
            <v>4.2500000000000003E-2</v>
          </cell>
          <cell r="AR19">
            <v>4.2500000000000003E-2</v>
          </cell>
          <cell r="AS19">
            <v>4.7500000000000001E-2</v>
          </cell>
          <cell r="AT19">
            <v>4.7500000000000001E-2</v>
          </cell>
          <cell r="AU19">
            <v>4.7500000000000001E-2</v>
          </cell>
          <cell r="AV19">
            <v>4.7500000000000001E-2</v>
          </cell>
          <cell r="AW19">
            <v>4.7500000000000001E-2</v>
          </cell>
          <cell r="AX19">
            <v>4.7500000000000001E-2</v>
          </cell>
          <cell r="AY19">
            <v>5.2499999999999998E-2</v>
          </cell>
          <cell r="AZ19">
            <v>5.2499999999999998E-2</v>
          </cell>
          <cell r="BA19">
            <v>5.2499999999999998E-2</v>
          </cell>
          <cell r="BB19">
            <v>5.2499999999999998E-2</v>
          </cell>
          <cell r="BC19">
            <v>5.2499999999999998E-2</v>
          </cell>
          <cell r="BD19">
            <v>5.5E-2</v>
          </cell>
          <cell r="BE19">
            <v>5.5E-2</v>
          </cell>
          <cell r="BF19">
            <v>5.5E-2</v>
          </cell>
          <cell r="BG19">
            <v>5.5E-2</v>
          </cell>
          <cell r="BH19">
            <v>5.5E-2</v>
          </cell>
          <cell r="BI19">
            <v>5.7500000000000002E-2</v>
          </cell>
          <cell r="BJ19">
            <v>0.06</v>
          </cell>
          <cell r="BK19">
            <v>6.25E-2</v>
          </cell>
          <cell r="BL19">
            <v>6.25E-2</v>
          </cell>
          <cell r="BM19">
            <v>6.25E-2</v>
          </cell>
          <cell r="BN19">
            <v>6.5000000000000002E-2</v>
          </cell>
          <cell r="BO19">
            <v>6.7500000000000004E-2</v>
          </cell>
          <cell r="BP19">
            <v>7.2499999999999995E-2</v>
          </cell>
          <cell r="BQ19">
            <v>7.2499999999999995E-2</v>
          </cell>
          <cell r="BR19">
            <v>7.0000000000000007E-2</v>
          </cell>
          <cell r="BS19">
            <v>4.2500000000000003E-2</v>
          </cell>
          <cell r="BT19">
            <v>3.2500000000000001E-2</v>
          </cell>
          <cell r="BU19">
            <v>0.03</v>
          </cell>
          <cell r="BV19">
            <v>0.03</v>
          </cell>
          <cell r="BW19">
            <v>3.7499999999999999E-2</v>
          </cell>
          <cell r="BX19">
            <v>0.04</v>
          </cell>
          <cell r="BY19">
            <v>4.4999999999999998E-2</v>
          </cell>
          <cell r="BZ19">
            <v>4.4999999999999998E-2</v>
          </cell>
          <cell r="CA19">
            <v>4.7500000000000001E-2</v>
          </cell>
          <cell r="CB19">
            <v>4.7500000000000001E-2</v>
          </cell>
          <cell r="CC19">
            <v>4.7500000000000001E-2</v>
          </cell>
          <cell r="CD19">
            <v>4.7500000000000001E-2</v>
          </cell>
          <cell r="CE19">
            <v>4.2500000000000003E-2</v>
          </cell>
          <cell r="CF19">
            <v>4.2500000000000003E-2</v>
          </cell>
          <cell r="CG19">
            <v>3.5000000000000003E-2</v>
          </cell>
          <cell r="CH19">
            <v>3.5000000000000003E-2</v>
          </cell>
          <cell r="CI19">
            <v>0.03</v>
          </cell>
          <cell r="CJ19">
            <v>0.03</v>
          </cell>
          <cell r="CK19">
            <v>2.75E-2</v>
          </cell>
          <cell r="CL19">
            <v>2.5000000000000001E-2</v>
          </cell>
          <cell r="CM19">
            <v>2.5000000000000001E-2</v>
          </cell>
          <cell r="CN19">
            <v>2.5000000000000001E-2</v>
          </cell>
          <cell r="CO19">
            <v>2.5000000000000001E-2</v>
          </cell>
          <cell r="CP19">
            <v>2.5000000000000001E-2</v>
          </cell>
          <cell r="CQ19">
            <v>2.5000000000000001E-2</v>
          </cell>
          <cell r="CR19">
            <v>2.2499999999999999E-2</v>
          </cell>
          <cell r="CS19">
            <v>0.02</v>
          </cell>
          <cell r="CT19">
            <v>0.02</v>
          </cell>
          <cell r="CU19">
            <v>0.02</v>
          </cell>
          <cell r="CV19">
            <v>0.02</v>
          </cell>
          <cell r="CW19">
            <v>1.7500000000000002E-2</v>
          </cell>
          <cell r="CX19">
            <v>1.4999999999999999E-2</v>
          </cell>
          <cell r="CY19">
            <v>1.4999999999999999E-2</v>
          </cell>
          <cell r="CZ19">
            <v>1.4999999999999999E-2</v>
          </cell>
          <cell r="DA19">
            <v>1.4999999999999999E-2</v>
          </cell>
          <cell r="DB19">
            <v>1.4999999999999999E-2</v>
          </cell>
          <cell r="DC19">
            <v>1.4999999999999999E-2</v>
          </cell>
          <cell r="DD19">
            <v>1.4999999999999999E-2</v>
          </cell>
          <cell r="DE19">
            <v>1.4999999999999999E-2</v>
          </cell>
          <cell r="DF19">
            <v>1.4999999999999999E-2</v>
          </cell>
          <cell r="DG19">
            <v>1.4999999999999999E-2</v>
          </cell>
          <cell r="DH19">
            <v>1.4999999999999999E-2</v>
          </cell>
          <cell r="DI19">
            <v>1.2500000000000001E-2</v>
          </cell>
          <cell r="DJ19">
            <v>0.01</v>
          </cell>
          <cell r="DK19">
            <v>7.4999999999999997E-3</v>
          </cell>
          <cell r="DL19">
            <v>2.5000000000000001E-3</v>
          </cell>
          <cell r="DM19">
            <v>2.5000000000000001E-3</v>
          </cell>
          <cell r="DN19">
            <v>2.5000000000000001E-3</v>
          </cell>
          <cell r="DO19">
            <v>1E-3</v>
          </cell>
          <cell r="DP19">
            <v>1E-3</v>
          </cell>
          <cell r="DQ19">
            <v>1E-3</v>
          </cell>
          <cell r="DR19">
            <v>1E-3</v>
          </cell>
          <cell r="DS19">
            <v>1E-3</v>
          </cell>
          <cell r="DT19">
            <v>1E-3</v>
          </cell>
          <cell r="DU19">
            <v>8.5000000000000006E-3</v>
          </cell>
          <cell r="DV19">
            <v>2.35E-2</v>
          </cell>
          <cell r="DW19">
            <v>3.1E-2</v>
          </cell>
          <cell r="DX19">
            <v>3.6000000000000004E-2</v>
          </cell>
          <cell r="DY19">
            <v>4.0999999999999995E-2</v>
          </cell>
          <cell r="DZ19">
            <v>4.0999999999999995E-2</v>
          </cell>
          <cell r="EA19">
            <v>4.3499999999999997E-2</v>
          </cell>
          <cell r="EB19">
            <v>4.3499999999999997E-2</v>
          </cell>
          <cell r="EC19">
            <v>4.3499999999999997E-2</v>
          </cell>
          <cell r="ED19">
            <v>4.3499999999999997E-2</v>
          </cell>
          <cell r="EE19">
            <v>4.3499999999999997E-2</v>
          </cell>
          <cell r="EF19">
            <v>4.0999999999999995E-2</v>
          </cell>
          <cell r="EG19">
            <v>3.85E-2</v>
          </cell>
          <cell r="EH19">
            <v>3.6000000000000004E-2</v>
          </cell>
          <cell r="EI19">
            <v>3.6000000000000004E-2</v>
          </cell>
          <cell r="EJ19">
            <v>3.85E-2</v>
          </cell>
          <cell r="EK19">
            <v>4.0999999999999995E-2</v>
          </cell>
          <cell r="EL19">
            <v>4.0999999999999995E-2</v>
          </cell>
          <cell r="EM19">
            <v>4.0999999999999995E-2</v>
          </cell>
          <cell r="EN19">
            <v>3.85E-2</v>
          </cell>
          <cell r="EO19">
            <v>3.6000000000000004E-2</v>
          </cell>
          <cell r="EP19">
            <v>3.6000000000000004E-2</v>
          </cell>
          <cell r="EQ19">
            <v>3.6000000000000004E-2</v>
          </cell>
          <cell r="ER19">
            <v>3.6000000000000004E-2</v>
          </cell>
          <cell r="ES19">
            <v>3.6000000000000004E-2</v>
          </cell>
          <cell r="ET19">
            <v>3.6000000000000004E-2</v>
          </cell>
          <cell r="EU19">
            <v>3.6000000000000004E-2</v>
          </cell>
          <cell r="EV19">
            <v>3.6000000000000004E-2</v>
          </cell>
          <cell r="EW19">
            <v>3.6000000000000004E-2</v>
          </cell>
          <cell r="EX19">
            <v>3.6000000000000004E-2</v>
          </cell>
          <cell r="EY19">
            <v>3.6000000000000004E-2</v>
          </cell>
          <cell r="EZ19">
            <v>3.6000000000000004E-2</v>
          </cell>
          <cell r="FA19">
            <v>3.6000000000000004E-2</v>
          </cell>
          <cell r="FB19">
            <v>3.6000000000000004E-2</v>
          </cell>
          <cell r="FC19">
            <v>3.6000000000000004E-2</v>
          </cell>
          <cell r="FD19">
            <v>3.6000000000000004E-2</v>
          </cell>
          <cell r="FE19">
            <v>3.6000000000000004E-2</v>
          </cell>
          <cell r="FF19">
            <v>3.6000000000000004E-2</v>
          </cell>
          <cell r="FG19">
            <v>3.6000000000000004E-2</v>
          </cell>
          <cell r="FH19">
            <v>3.6000000000000004E-2</v>
          </cell>
          <cell r="FI19">
            <v>3.6000000000000004E-2</v>
          </cell>
          <cell r="FJ19">
            <v>3.6000000000000004E-2</v>
          </cell>
          <cell r="FK19">
            <v>3.6000000000000004E-2</v>
          </cell>
          <cell r="FL19">
            <v>3.6000000000000004E-2</v>
          </cell>
          <cell r="FM19">
            <v>3.6000000000000004E-2</v>
          </cell>
          <cell r="FN19">
            <v>3.6000000000000004E-2</v>
          </cell>
          <cell r="FO19">
            <v>3.6000000000000004E-2</v>
          </cell>
          <cell r="FP19">
            <v>3.6000000000000004E-2</v>
          </cell>
          <cell r="FQ19">
            <v>3.6000000000000004E-2</v>
          </cell>
          <cell r="FR19">
            <v>3.6000000000000004E-2</v>
          </cell>
          <cell r="FS19">
            <v>3.6000000000000004E-2</v>
          </cell>
          <cell r="FT19">
            <v>3.6000000000000004E-2</v>
          </cell>
          <cell r="FU19">
            <v>3.6000000000000004E-2</v>
          </cell>
          <cell r="FV19"/>
        </row>
        <row r="20">
          <cell r="A20" t="str">
            <v>au_bbsw3m</v>
          </cell>
          <cell r="B20" t="str">
            <v>Aust 90 day bill</v>
          </cell>
          <cell r="D20">
            <v>7.5399999999999995E-2</v>
          </cell>
          <cell r="E20">
            <v>6.2300000000000001E-2</v>
          </cell>
          <cell r="F20">
            <v>0.06</v>
          </cell>
          <cell r="G20">
            <v>5.9400000000000001E-2</v>
          </cell>
          <cell r="H20">
            <v>5.3399999999999996E-2</v>
          </cell>
          <cell r="I20">
            <v>5.2600000000000001E-2</v>
          </cell>
          <cell r="J20">
            <v>4.87E-2</v>
          </cell>
          <cell r="K20">
            <v>4.8399999999999999E-2</v>
          </cell>
          <cell r="L20">
            <v>4.9699999999999994E-2</v>
          </cell>
          <cell r="M20">
            <v>5.6900000000000006E-2</v>
          </cell>
          <cell r="N20">
            <v>6.2329999999999997E-2</v>
          </cell>
          <cell r="O20">
            <v>8.2180000000000003E-2</v>
          </cell>
          <cell r="P20">
            <v>8.1750000000000003E-2</v>
          </cell>
          <cell r="Q20">
            <v>7.5740000000000002E-2</v>
          </cell>
          <cell r="R20">
            <v>7.5179999999999997E-2</v>
          </cell>
          <cell r="S20">
            <v>7.4370000000000006E-2</v>
          </cell>
          <cell r="T20">
            <v>7.5830000000000009E-2</v>
          </cell>
          <cell r="U20">
            <v>7.5869999999999993E-2</v>
          </cell>
          <cell r="V20">
            <v>6.8430000000000005E-2</v>
          </cell>
          <cell r="W20">
            <v>5.987E-2</v>
          </cell>
          <cell r="X20">
            <v>6.0929999999999998E-2</v>
          </cell>
          <cell r="Y20">
            <v>5.3467000000000001E-2</v>
          </cell>
          <cell r="Z20">
            <v>4.7750000000000001E-2</v>
          </cell>
          <cell r="AA20">
            <v>5.0650000000000001E-2</v>
          </cell>
          <cell r="AB20">
            <v>4.9800000000000004E-2</v>
          </cell>
          <cell r="AC20">
            <v>5.2699999999999997E-2</v>
          </cell>
          <cell r="AD20">
            <v>4.9867000000000002E-2</v>
          </cell>
          <cell r="AE20">
            <v>4.8250000000000001E-2</v>
          </cell>
          <cell r="AF20">
            <v>4.8282999999999993E-2</v>
          </cell>
          <cell r="AG20">
            <v>4.9832999999999995E-2</v>
          </cell>
          <cell r="AH20">
            <v>5.0999999999999997E-2</v>
          </cell>
          <cell r="AI20">
            <v>5.7382999999999997E-2</v>
          </cell>
          <cell r="AJ20">
            <v>6.0449999999999997E-2</v>
          </cell>
          <cell r="AK20">
            <v>6.1717000000000001E-2</v>
          </cell>
          <cell r="AL20">
            <v>6.6317000000000001E-2</v>
          </cell>
          <cell r="AM20">
            <v>6.1500000000000006E-2</v>
          </cell>
          <cell r="AN20">
            <v>5.1200000000000002E-2</v>
          </cell>
          <cell r="AO20">
            <v>5.0117000000000002E-2</v>
          </cell>
          <cell r="AP20">
            <v>4.3799999999999999E-2</v>
          </cell>
          <cell r="AQ20">
            <v>4.2466999999999998E-2</v>
          </cell>
          <cell r="AR20">
            <v>4.6367000000000005E-2</v>
          </cell>
          <cell r="AS20">
            <v>5.1150000000000001E-2</v>
          </cell>
          <cell r="AT20">
            <v>4.9016999999999998E-2</v>
          </cell>
          <cell r="AU20">
            <v>4.7899999999999998E-2</v>
          </cell>
          <cell r="AV20">
            <v>4.7933000000000003E-2</v>
          </cell>
          <cell r="AW20">
            <v>4.6799999999999994E-2</v>
          </cell>
          <cell r="AX20">
            <v>4.9067E-2</v>
          </cell>
          <cell r="AY20">
            <v>5.525E-2</v>
          </cell>
          <cell r="AZ20">
            <v>5.5217000000000002E-2</v>
          </cell>
          <cell r="BA20">
            <v>5.4782999999999998E-2</v>
          </cell>
          <cell r="BB20">
            <v>5.4332999999999999E-2</v>
          </cell>
          <cell r="BC20">
            <v>5.4332999999999999E-2</v>
          </cell>
          <cell r="BD20">
            <v>5.9249999999999997E-2</v>
          </cell>
          <cell r="BE20">
            <v>5.6666999999999995E-2</v>
          </cell>
          <cell r="BF20">
            <v>5.6550000000000003E-2</v>
          </cell>
          <cell r="BG20">
            <v>5.6482999999999998E-2</v>
          </cell>
          <cell r="BH20">
            <v>5.6100000000000004E-2</v>
          </cell>
          <cell r="BI20">
            <v>5.9800000000000006E-2</v>
          </cell>
          <cell r="BJ20">
            <v>6.1733000000000003E-2</v>
          </cell>
          <cell r="BK20">
            <v>6.4417000000000002E-2</v>
          </cell>
          <cell r="BL20">
            <v>6.515E-2</v>
          </cell>
          <cell r="BM20">
            <v>6.4367000000000008E-2</v>
          </cell>
          <cell r="BN20">
            <v>6.8849999999999995E-2</v>
          </cell>
          <cell r="BO20">
            <v>7.2400000000000006E-2</v>
          </cell>
          <cell r="BP20">
            <v>7.8632999999999995E-2</v>
          </cell>
          <cell r="BQ20">
            <v>7.8383000000000008E-2</v>
          </cell>
          <cell r="BR20">
            <v>7.3217000000000004E-2</v>
          </cell>
          <cell r="BS20">
            <v>4.1500000000000002E-2</v>
          </cell>
          <cell r="BT20">
            <v>3.1383000000000001E-2</v>
          </cell>
          <cell r="BU20">
            <v>3.1899999999999998E-2</v>
          </cell>
          <cell r="BV20">
            <v>3.3766999999999998E-2</v>
          </cell>
          <cell r="BW20">
            <v>4.2782999999999995E-2</v>
          </cell>
          <cell r="BX20">
            <v>4.4932999999999994E-2</v>
          </cell>
          <cell r="BY20">
            <v>4.9200000000000001E-2</v>
          </cell>
          <cell r="BZ20">
            <v>5.0117000000000002E-2</v>
          </cell>
          <cell r="CA20">
            <v>5.0317000000000001E-2</v>
          </cell>
          <cell r="CB20">
            <v>4.9317E-2</v>
          </cell>
          <cell r="CC20">
            <v>5.0332999999999996E-2</v>
          </cell>
          <cell r="CD20">
            <v>4.9217000000000004E-2</v>
          </cell>
          <cell r="CE20">
            <v>4.4782999999999996E-2</v>
          </cell>
          <cell r="CF20">
            <v>4.3400000000000001E-2</v>
          </cell>
          <cell r="CG20">
            <v>3.4849999999999999E-2</v>
          </cell>
          <cell r="CH20">
            <v>3.3700000000000001E-2</v>
          </cell>
          <cell r="CI20">
            <v>3.1099999999999999E-2</v>
          </cell>
          <cell r="CJ20">
            <v>3.1042E-2</v>
          </cell>
          <cell r="CK20">
            <v>2.8199999999999999E-2</v>
          </cell>
          <cell r="CL20">
            <v>2.5966999999999997E-2</v>
          </cell>
          <cell r="CM20">
            <v>2.6467000000000001E-2</v>
          </cell>
          <cell r="CN20">
            <v>2.6949999999999998E-2</v>
          </cell>
          <cell r="CO20">
            <v>2.7050000000000001E-2</v>
          </cell>
          <cell r="CP20">
            <v>2.665E-2</v>
          </cell>
          <cell r="CQ20">
            <v>2.7699999999999999E-2</v>
          </cell>
          <cell r="CR20">
            <v>2.2250000000000002E-2</v>
          </cell>
          <cell r="CS20">
            <v>2.1499999999999998E-2</v>
          </cell>
          <cell r="CT20">
            <v>2.18E-2</v>
          </cell>
          <cell r="CU20">
            <v>2.375E-2</v>
          </cell>
          <cell r="CV20">
            <v>2.2850000000000002E-2</v>
          </cell>
          <cell r="CW20">
            <v>1.9599999999999999E-2</v>
          </cell>
          <cell r="CX20">
            <v>1.7399999999999999E-2</v>
          </cell>
          <cell r="CY20">
            <v>1.8149999999999999E-2</v>
          </cell>
          <cell r="CZ20">
            <v>1.7950000000000001E-2</v>
          </cell>
          <cell r="DA20">
            <v>1.7049999999999999E-2</v>
          </cell>
          <cell r="DB20">
            <v>1.7100000000000001E-2</v>
          </cell>
          <cell r="DC20">
            <v>1.7950000000000001E-2</v>
          </cell>
          <cell r="DD20">
            <v>2.0299999999999999E-2</v>
          </cell>
          <cell r="DE20">
            <v>2.1104999999999999E-2</v>
          </cell>
          <cell r="DF20">
            <v>1.9400000000000001E-2</v>
          </cell>
          <cell r="DG20">
            <v>2.0899999999999998E-2</v>
          </cell>
          <cell r="DH20">
            <v>1.7704999999999999E-2</v>
          </cell>
          <cell r="DI20">
            <v>1.2045999999999999E-2</v>
          </cell>
          <cell r="DJ20">
            <v>9.4999999999999998E-3</v>
          </cell>
          <cell r="DK20">
            <v>9.2239999999999996E-3</v>
          </cell>
          <cell r="DL20">
            <v>3.7330000000000002E-3</v>
          </cell>
          <cell r="DM20">
            <v>1.0150000000000001E-3</v>
          </cell>
          <cell r="DN20">
            <v>8.9999999999999998E-4</v>
          </cell>
          <cell r="DO20">
            <v>1E-4</v>
          </cell>
          <cell r="DP20">
            <v>3.5000000000000005E-4</v>
          </cell>
          <cell r="DQ20">
            <v>3.0299999999999999E-4</v>
          </cell>
          <cell r="DR20">
            <v>1.9599999999999999E-4</v>
          </cell>
          <cell r="DS20">
            <v>6.7699999999999998E-4</v>
          </cell>
          <cell r="DT20">
            <v>2.3150000000000002E-3</v>
          </cell>
          <cell r="DU20">
            <v>1.8131999999999999E-2</v>
          </cell>
          <cell r="DV20">
            <v>3.0630999999999999E-2</v>
          </cell>
          <cell r="DW20">
            <v>3.2647000000000002E-2</v>
          </cell>
          <cell r="DX20">
            <v>3.7149999999999996E-2</v>
          </cell>
          <cell r="DY20">
            <v>4.3506999999999997E-2</v>
          </cell>
          <cell r="DZ20">
            <v>4.1399999999999999E-2</v>
          </cell>
          <cell r="EA20">
            <v>4.36E-2</v>
          </cell>
          <cell r="EB20">
            <v>4.3442000000000001E-2</v>
          </cell>
          <cell r="EC20">
            <v>4.4452999999999993E-2</v>
          </cell>
          <cell r="ED20">
            <v>4.4340999999999998E-2</v>
          </cell>
          <cell r="EE20">
            <v>4.4162999999999994E-2</v>
          </cell>
          <cell r="EF20">
            <v>4.1253999999999999E-2</v>
          </cell>
          <cell r="EG20">
            <v>3.6037E-2</v>
          </cell>
          <cell r="EH20">
            <v>3.5763999999999997E-2</v>
          </cell>
          <cell r="EI20">
            <v>3.7374999999999999E-2</v>
          </cell>
          <cell r="EJ20">
            <v>3.95E-2</v>
          </cell>
          <cell r="EK20">
            <v>4.2499999999999996E-2</v>
          </cell>
          <cell r="EL20">
            <v>4.2999999999999997E-2</v>
          </cell>
          <cell r="EM20">
            <v>4.3499999999999997E-2</v>
          </cell>
          <cell r="EN20">
            <v>4.1000000000000002E-2</v>
          </cell>
          <cell r="EO20">
            <v>3.8500000000000006E-2</v>
          </cell>
          <cell r="EP20">
            <v>3.8500000000000006E-2</v>
          </cell>
          <cell r="EQ20">
            <v>3.8500000000000006E-2</v>
          </cell>
          <cell r="ER20">
            <v>3.8500000000000006E-2</v>
          </cell>
          <cell r="ES20">
            <v>3.8500000000000006E-2</v>
          </cell>
          <cell r="ET20">
            <v>3.8500000000000006E-2</v>
          </cell>
          <cell r="EU20">
            <v>3.8500000000000006E-2</v>
          </cell>
          <cell r="EV20">
            <v>3.8500000000000006E-2</v>
          </cell>
          <cell r="EW20">
            <v>3.8500000000000006E-2</v>
          </cell>
          <cell r="EX20">
            <v>3.8500000000000006E-2</v>
          </cell>
          <cell r="EY20">
            <v>3.8500000000000006E-2</v>
          </cell>
          <cell r="EZ20">
            <v>3.8500000000000006E-2</v>
          </cell>
          <cell r="FA20">
            <v>3.8500000000000006E-2</v>
          </cell>
          <cell r="FB20">
            <v>3.8500000000000006E-2</v>
          </cell>
          <cell r="FC20">
            <v>3.8500000000000006E-2</v>
          </cell>
          <cell r="FD20">
            <v>3.8500000000000006E-2</v>
          </cell>
          <cell r="FE20">
            <v>3.8500000000000006E-2</v>
          </cell>
          <cell r="FF20">
            <v>3.8500000000000006E-2</v>
          </cell>
          <cell r="FG20">
            <v>3.8500000000000006E-2</v>
          </cell>
          <cell r="FH20">
            <v>3.8500000000000006E-2</v>
          </cell>
          <cell r="FI20">
            <v>3.8500000000000006E-2</v>
          </cell>
          <cell r="FJ20">
            <v>3.8500000000000006E-2</v>
          </cell>
          <cell r="FK20">
            <v>3.8500000000000006E-2</v>
          </cell>
          <cell r="FL20">
            <v>3.8500000000000006E-2</v>
          </cell>
          <cell r="FM20">
            <v>3.8500000000000006E-2</v>
          </cell>
          <cell r="FN20">
            <v>3.8500000000000006E-2</v>
          </cell>
          <cell r="FO20">
            <v>3.8500000000000006E-2</v>
          </cell>
          <cell r="FP20">
            <v>3.8500000000000006E-2</v>
          </cell>
          <cell r="FQ20">
            <v>3.8500000000000006E-2</v>
          </cell>
          <cell r="FR20">
            <v>3.8500000000000006E-2</v>
          </cell>
          <cell r="FS20">
            <v>3.8500000000000006E-2</v>
          </cell>
          <cell r="FT20">
            <v>3.8500000000000006E-2</v>
          </cell>
          <cell r="FU20">
            <v>3.8500000000000006E-2</v>
          </cell>
        </row>
        <row r="21">
          <cell r="A21" t="str">
            <v>au_govt10y</v>
          </cell>
          <cell r="B21" t="str">
            <v>Aust 10 yr Bond Rate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>
            <v>9.64E-2</v>
          </cell>
          <cell r="N21">
            <v>0.1033</v>
          </cell>
          <cell r="O21">
            <v>0.10039999999999999</v>
          </cell>
          <cell r="P21">
            <v>9.8299999999999998E-2</v>
          </cell>
          <cell r="Q21">
            <v>9.2200000000000004E-2</v>
          </cell>
          <cell r="R21">
            <v>8.5699999999999998E-2</v>
          </cell>
          <cell r="S21">
            <v>8.1600000000000006E-2</v>
          </cell>
          <cell r="T21">
            <v>8.8800000000000004E-2</v>
          </cell>
          <cell r="U21">
            <v>8.8699999999999987E-2</v>
          </cell>
          <cell r="V21">
            <v>7.7899999999999997E-2</v>
          </cell>
          <cell r="W21">
            <v>7.3700000000000002E-2</v>
          </cell>
          <cell r="X21">
            <v>0.08</v>
          </cell>
          <cell r="Y21">
            <v>6.9800000000000001E-2</v>
          </cell>
          <cell r="Z21">
            <v>6.0599999999999994E-2</v>
          </cell>
          <cell r="AA21">
            <v>6.0499999999999998E-2</v>
          </cell>
          <cell r="AB21">
            <v>5.7500000000000002E-2</v>
          </cell>
          <cell r="AC21">
            <v>5.5899999999999998E-2</v>
          </cell>
          <cell r="AD21">
            <v>5.0799999999999998E-2</v>
          </cell>
          <cell r="AE21">
            <v>5.0199999999999995E-2</v>
          </cell>
          <cell r="AF21">
            <v>5.4900000000000004E-2</v>
          </cell>
          <cell r="AG21">
            <v>6.2699999999999992E-2</v>
          </cell>
          <cell r="AH21">
            <v>6.2400000000000004E-2</v>
          </cell>
          <cell r="AI21">
            <v>6.9599999999999995E-2</v>
          </cell>
          <cell r="AJ21">
            <v>6.3700000000000007E-2</v>
          </cell>
          <cell r="AK21">
            <v>6.1699999999999998E-2</v>
          </cell>
          <cell r="AL21">
            <v>6.2300000000000001E-2</v>
          </cell>
          <cell r="AM21">
            <v>5.4450000000000005E-2</v>
          </cell>
          <cell r="AN21">
            <v>5.2750000000000005E-2</v>
          </cell>
          <cell r="AO21">
            <v>6.0400000000000002E-2</v>
          </cell>
          <cell r="AP21">
            <v>5.5099999999999996E-2</v>
          </cell>
          <cell r="AQ21">
            <v>0.06</v>
          </cell>
          <cell r="AR21">
            <v>6.3200000000000006E-2</v>
          </cell>
          <cell r="AS21">
            <v>5.9900000000000002E-2</v>
          </cell>
          <cell r="AT21">
            <v>5.3399999999999996E-2</v>
          </cell>
          <cell r="AU21">
            <v>5.1399999999999994E-2</v>
          </cell>
          <cell r="AV21">
            <v>5.3200000000000004E-2</v>
          </cell>
          <cell r="AW21">
            <v>5.0049999999999997E-2</v>
          </cell>
          <cell r="AX21">
            <v>5.3749999999999999E-2</v>
          </cell>
          <cell r="AY21">
            <v>5.6100000000000004E-2</v>
          </cell>
          <cell r="AZ21">
            <v>5.4949999999999999E-2</v>
          </cell>
          <cell r="BA21">
            <v>5.8600000000000006E-2</v>
          </cell>
          <cell r="BB21">
            <v>5.4299999999999994E-2</v>
          </cell>
          <cell r="BC21">
            <v>5.2900000000000003E-2</v>
          </cell>
          <cell r="BD21">
            <v>5.67E-2</v>
          </cell>
          <cell r="BE21">
            <v>5.1050000000000005E-2</v>
          </cell>
          <cell r="BF21">
            <v>5.3600000000000002E-2</v>
          </cell>
          <cell r="BG21">
            <v>5.2000000000000005E-2</v>
          </cell>
          <cell r="BH21">
            <v>5.425E-2</v>
          </cell>
          <cell r="BI21">
            <v>5.7874999999999996E-2</v>
          </cell>
          <cell r="BJ21">
            <v>5.5024999999999998E-2</v>
          </cell>
          <cell r="BK21">
            <v>5.8700000000000002E-2</v>
          </cell>
          <cell r="BL21">
            <v>5.885E-2</v>
          </cell>
          <cell r="BM21">
            <v>6.2545000000000003E-2</v>
          </cell>
          <cell r="BN21">
            <v>6.1550000000000001E-2</v>
          </cell>
          <cell r="BO21">
            <v>6.3269999999999993E-2</v>
          </cell>
          <cell r="BP21">
            <v>6.0504999999999996E-2</v>
          </cell>
          <cell r="BQ21">
            <v>6.4450000000000007E-2</v>
          </cell>
          <cell r="BR21">
            <v>5.3899999999999997E-2</v>
          </cell>
          <cell r="BS21">
            <v>3.9850000000000003E-2</v>
          </cell>
          <cell r="BT21">
            <v>4.6100000000000002E-2</v>
          </cell>
          <cell r="BU21">
            <v>5.6250000000000001E-2</v>
          </cell>
          <cell r="BV21">
            <v>5.4389E-2</v>
          </cell>
          <cell r="BW21">
            <v>5.7264000000000002E-2</v>
          </cell>
          <cell r="BX21">
            <v>5.765E-2</v>
          </cell>
          <cell r="BY21">
            <v>5.0903999999999998E-2</v>
          </cell>
          <cell r="BZ21">
            <v>4.9627999999999999E-2</v>
          </cell>
          <cell r="CA21">
            <v>5.5052000000000004E-2</v>
          </cell>
          <cell r="CB21">
            <v>5.5015999999999995E-2</v>
          </cell>
          <cell r="CC21">
            <v>5.2083999999999998E-2</v>
          </cell>
          <cell r="CD21">
            <v>4.2362999999999998E-2</v>
          </cell>
          <cell r="CE21">
            <v>3.6695999999999999E-2</v>
          </cell>
          <cell r="CF21">
            <v>4.0830000000000005E-2</v>
          </cell>
          <cell r="CG21">
            <v>3.0381999999999999E-2</v>
          </cell>
          <cell r="CH21">
            <v>3.0010999999999999E-2</v>
          </cell>
          <cell r="CI21">
            <v>3.2697999999999998E-2</v>
          </cell>
          <cell r="CJ21">
            <v>3.415E-2</v>
          </cell>
          <cell r="CK21">
            <v>3.7615999999999997E-2</v>
          </cell>
          <cell r="CL21">
            <v>3.8094000000000003E-2</v>
          </cell>
          <cell r="CM21">
            <v>4.2351E-2</v>
          </cell>
          <cell r="CN21">
            <v>4.0857999999999998E-2</v>
          </cell>
          <cell r="CO21">
            <v>3.5410000000000004E-2</v>
          </cell>
          <cell r="CP21">
            <v>3.4842000000000005E-2</v>
          </cell>
          <cell r="CQ21">
            <v>2.7339000000000002E-2</v>
          </cell>
          <cell r="CR21">
            <v>2.3190999999999996E-2</v>
          </cell>
          <cell r="CS21">
            <v>3.0117000000000001E-2</v>
          </cell>
          <cell r="CT21">
            <v>2.6086999999999999E-2</v>
          </cell>
          <cell r="CU21">
            <v>2.8147999999999999E-2</v>
          </cell>
          <cell r="CV21">
            <v>2.4913999999999995E-2</v>
          </cell>
          <cell r="CW21">
            <v>1.9859000000000002E-2</v>
          </cell>
          <cell r="CX21">
            <v>1.9078999999999999E-2</v>
          </cell>
          <cell r="CY21">
            <v>2.7549999999999998E-2</v>
          </cell>
          <cell r="CZ21">
            <v>2.6915000000000001E-2</v>
          </cell>
          <cell r="DA21">
            <v>2.5980999999999997E-2</v>
          </cell>
          <cell r="DB21">
            <v>2.8372000000000001E-2</v>
          </cell>
          <cell r="DC21">
            <v>2.6330999999999997E-2</v>
          </cell>
          <cell r="DD21">
            <v>2.5976999999999997E-2</v>
          </cell>
          <cell r="DE21">
            <v>2.6369999999999994E-2</v>
          </cell>
          <cell r="DF21">
            <v>2.6707999999999999E-2</v>
          </cell>
          <cell r="DG21">
            <v>2.3208000000000003E-2</v>
          </cell>
          <cell r="DH21">
            <v>1.7795000000000002E-2</v>
          </cell>
          <cell r="DI21">
            <v>1.3245E-2</v>
          </cell>
          <cell r="DJ21">
            <v>1.0171999999999999E-2</v>
          </cell>
          <cell r="DK21">
            <v>1.3746000000000001E-2</v>
          </cell>
          <cell r="DL21">
            <v>7.5829999999999995E-3</v>
          </cell>
          <cell r="DM21">
            <v>8.6899999999999998E-3</v>
          </cell>
          <cell r="DN21">
            <v>7.9050000000000006E-3</v>
          </cell>
          <cell r="DO21">
            <v>9.7149999999999997E-3</v>
          </cell>
          <cell r="DP21">
            <v>1.789E-2</v>
          </cell>
          <cell r="DQ21">
            <v>1.5339999999999999E-2</v>
          </cell>
          <cell r="DR21">
            <v>1.4910000000000001E-2</v>
          </cell>
          <cell r="DS21">
            <v>1.6709999999999999E-2</v>
          </cell>
          <cell r="DT21">
            <v>2.826E-2</v>
          </cell>
          <cell r="DU21">
            <v>3.6589999999999998E-2</v>
          </cell>
          <cell r="DV21">
            <v>3.8890000000000001E-2</v>
          </cell>
          <cell r="DW21">
            <v>4.0510000000000004E-2</v>
          </cell>
          <cell r="DX21">
            <v>3.2989999999999998E-2</v>
          </cell>
          <cell r="DY21">
            <v>4.0220000000000006E-2</v>
          </cell>
          <cell r="DZ21">
            <v>4.4880000000000003E-2</v>
          </cell>
          <cell r="EA21">
            <v>3.9550000000000002E-2</v>
          </cell>
          <cell r="EB21">
            <v>3.9660000000000001E-2</v>
          </cell>
          <cell r="EC21">
            <v>4.3120000000000006E-2</v>
          </cell>
          <cell r="ED21">
            <v>3.9740000000000004E-2</v>
          </cell>
          <cell r="EE21">
            <v>4.3680000000000004E-2</v>
          </cell>
          <cell r="EF21">
            <v>4.3860000000000003E-2</v>
          </cell>
          <cell r="EG21">
            <v>4.1619999999999997E-2</v>
          </cell>
          <cell r="EH21">
            <v>4.3019999999999996E-2</v>
          </cell>
          <cell r="EI21">
            <v>4.7539999999999999E-2</v>
          </cell>
          <cell r="EJ21">
            <v>4.2999999999999997E-2</v>
          </cell>
          <cell r="EK21">
            <v>4.2999999999999997E-2</v>
          </cell>
          <cell r="EL21">
            <v>4.3499999999999997E-2</v>
          </cell>
          <cell r="EM21">
            <v>4.3499999999999997E-2</v>
          </cell>
          <cell r="EN21">
            <v>4.3999999999999997E-2</v>
          </cell>
          <cell r="EO21">
            <v>4.3999999999999997E-2</v>
          </cell>
          <cell r="EP21">
            <v>4.4499999999999998E-2</v>
          </cell>
          <cell r="EQ21">
            <v>4.4999999999999998E-2</v>
          </cell>
          <cell r="ER21">
            <v>4.4999999999999998E-2</v>
          </cell>
          <cell r="ES21">
            <v>4.4999999999999998E-2</v>
          </cell>
          <cell r="ET21">
            <v>4.4999999999999998E-2</v>
          </cell>
          <cell r="EU21">
            <v>4.4999999999999998E-2</v>
          </cell>
          <cell r="EV21">
            <v>4.4999999999999998E-2</v>
          </cell>
          <cell r="EW21">
            <v>4.4999999999999998E-2</v>
          </cell>
          <cell r="EX21">
            <v>4.4999999999999998E-2</v>
          </cell>
          <cell r="EY21">
            <v>4.4999999999999998E-2</v>
          </cell>
          <cell r="EZ21">
            <v>4.4999999999999998E-2</v>
          </cell>
          <cell r="FA21">
            <v>4.4999999999999998E-2</v>
          </cell>
          <cell r="FB21">
            <v>4.4999999999999998E-2</v>
          </cell>
          <cell r="FC21">
            <v>4.4999999999999998E-2</v>
          </cell>
          <cell r="FD21">
            <v>4.4999999999999998E-2</v>
          </cell>
          <cell r="FE21">
            <v>4.4999999999999998E-2</v>
          </cell>
          <cell r="FF21">
            <v>4.4999999999999998E-2</v>
          </cell>
          <cell r="FG21">
            <v>4.4999999999999998E-2</v>
          </cell>
          <cell r="FH21">
            <v>4.4999999999999998E-2</v>
          </cell>
          <cell r="FI21">
            <v>4.4999999999999998E-2</v>
          </cell>
          <cell r="FJ21">
            <v>4.4999999999999998E-2</v>
          </cell>
          <cell r="FK21">
            <v>4.4999999999999998E-2</v>
          </cell>
          <cell r="FL21">
            <v>4.4999999999999998E-2</v>
          </cell>
          <cell r="FM21">
            <v>4.4999999999999998E-2</v>
          </cell>
          <cell r="FN21">
            <v>4.4999999999999998E-2</v>
          </cell>
          <cell r="FO21">
            <v>4.4999999999999998E-2</v>
          </cell>
          <cell r="FP21">
            <v>4.4999999999999998E-2</v>
          </cell>
          <cell r="FQ21">
            <v>4.4999999999999998E-2</v>
          </cell>
          <cell r="FR21">
            <v>4.4999999999999998E-2</v>
          </cell>
          <cell r="FS21">
            <v>4.4999999999999998E-2</v>
          </cell>
          <cell r="FT21">
            <v>4.4999999999999998E-2</v>
          </cell>
          <cell r="FU21">
            <v>4.4999999999999998E-2</v>
          </cell>
        </row>
        <row r="22">
          <cell r="A22" t="str">
            <v>us_govt10y</v>
          </cell>
          <cell r="B22" t="str">
            <v>US 10 yr bond</v>
          </cell>
          <cell r="D22">
            <v>7.5240000000000001E-2</v>
          </cell>
          <cell r="E22">
            <v>7.1210000000000009E-2</v>
          </cell>
          <cell r="F22">
            <v>6.3539999999999999E-2</v>
          </cell>
          <cell r="G22">
            <v>6.701E-2</v>
          </cell>
          <cell r="H22">
            <v>6.0199999999999997E-2</v>
          </cell>
          <cell r="I22">
            <v>5.774E-2</v>
          </cell>
          <cell r="J22">
            <v>5.3739999999999996E-2</v>
          </cell>
          <cell r="K22">
            <v>5.79E-2</v>
          </cell>
          <cell r="L22">
            <v>6.7369999999999999E-2</v>
          </cell>
          <cell r="M22">
            <v>7.3220000000000007E-2</v>
          </cell>
          <cell r="N22">
            <v>7.6079999999999995E-2</v>
          </cell>
          <cell r="O22">
            <v>7.8200000000000006E-2</v>
          </cell>
          <cell r="P22">
            <v>7.1940000000000004E-2</v>
          </cell>
          <cell r="Q22">
            <v>6.2030000000000002E-2</v>
          </cell>
          <cell r="R22">
            <v>6.1820000000000007E-2</v>
          </cell>
          <cell r="S22">
            <v>5.5810000000000005E-2</v>
          </cell>
          <cell r="T22">
            <v>6.3280000000000003E-2</v>
          </cell>
          <cell r="U22">
            <v>6.7110000000000003E-2</v>
          </cell>
          <cell r="V22">
            <v>6.701E-2</v>
          </cell>
          <cell r="W22">
            <v>6.4180000000000001E-2</v>
          </cell>
          <cell r="X22">
            <v>6.905E-2</v>
          </cell>
          <cell r="Y22">
            <v>6.4960000000000004E-2</v>
          </cell>
          <cell r="Z22">
            <v>6.0999999999999999E-2</v>
          </cell>
          <cell r="AA22">
            <v>5.7249999999999995E-2</v>
          </cell>
          <cell r="AB22">
            <v>5.6509999999999998E-2</v>
          </cell>
          <cell r="AC22">
            <v>5.4400000000000004E-2</v>
          </cell>
          <cell r="AD22">
            <v>4.4020000000000004E-2</v>
          </cell>
          <cell r="AE22">
            <v>4.6539999999999998E-2</v>
          </cell>
          <cell r="AF22">
            <v>5.2380000000000003E-2</v>
          </cell>
          <cell r="AG22">
            <v>5.7759999999999999E-2</v>
          </cell>
          <cell r="AH22">
            <v>5.8739999999999994E-2</v>
          </cell>
          <cell r="AI22">
            <v>6.4399999999999999E-2</v>
          </cell>
          <cell r="AJ22">
            <v>0.06</v>
          </cell>
          <cell r="AK22">
            <v>6.0179999999999997E-2</v>
          </cell>
          <cell r="AL22">
            <v>5.7990000000000007E-2</v>
          </cell>
          <cell r="AM22">
            <v>5.1020000000000003E-2</v>
          </cell>
          <cell r="AN22">
            <v>4.9230000000000003E-2</v>
          </cell>
          <cell r="AO22">
            <v>5.3920000000000003E-2</v>
          </cell>
          <cell r="AP22">
            <v>4.5720000000000004E-2</v>
          </cell>
          <cell r="AQ22">
            <v>5.0220000000000001E-2</v>
          </cell>
          <cell r="AR22">
            <v>5.3940000000000002E-2</v>
          </cell>
          <cell r="AS22">
            <v>4.8140000000000002E-2</v>
          </cell>
          <cell r="AT22">
            <v>3.5929999999999997E-2</v>
          </cell>
          <cell r="AU22">
            <v>3.8181E-2</v>
          </cell>
          <cell r="AV22">
            <v>3.8013999999999999E-2</v>
          </cell>
          <cell r="AW22">
            <v>3.5240999999999995E-2</v>
          </cell>
          <cell r="AX22">
            <v>3.9419000000000003E-2</v>
          </cell>
          <cell r="AY22">
            <v>4.2523999999999999E-2</v>
          </cell>
          <cell r="AZ22">
            <v>3.8350000000000002E-2</v>
          </cell>
          <cell r="BA22">
            <v>4.5815999999999996E-2</v>
          </cell>
          <cell r="BB22">
            <v>4.1200000000000001E-2</v>
          </cell>
          <cell r="BC22">
            <v>4.2159999999999996E-2</v>
          </cell>
          <cell r="BD22">
            <v>4.4835E-2</v>
          </cell>
          <cell r="BE22">
            <v>3.9139999999999994E-2</v>
          </cell>
          <cell r="BF22">
            <v>4.3289999999999995E-2</v>
          </cell>
          <cell r="BG22">
            <v>4.3949999999999996E-2</v>
          </cell>
          <cell r="BH22">
            <v>4.8499999999999995E-2</v>
          </cell>
          <cell r="BI22">
            <v>5.1404999999999992E-2</v>
          </cell>
          <cell r="BJ22">
            <v>4.6315000000000002E-2</v>
          </cell>
          <cell r="BK22">
            <v>4.6981999999999996E-2</v>
          </cell>
          <cell r="BL22">
            <v>4.6452999999999994E-2</v>
          </cell>
          <cell r="BM22">
            <v>5.0285500000000004E-2</v>
          </cell>
          <cell r="BN22">
            <v>4.5845500000000004E-2</v>
          </cell>
          <cell r="BO22">
            <v>4.0289499999999999E-2</v>
          </cell>
          <cell r="BP22">
            <v>3.4132999999999997E-2</v>
          </cell>
          <cell r="BQ22">
            <v>3.9710000000000002E-2</v>
          </cell>
          <cell r="BR22">
            <v>3.8224500000000002E-2</v>
          </cell>
          <cell r="BS22">
            <v>2.2123E-2</v>
          </cell>
          <cell r="BT22">
            <v>2.6646999999999997E-2</v>
          </cell>
          <cell r="BU22">
            <v>3.5354999999999998E-2</v>
          </cell>
          <cell r="BV22">
            <v>3.3058000000000004E-2</v>
          </cell>
          <cell r="BW22">
            <v>3.8334E-2</v>
          </cell>
          <cell r="BX22">
            <v>3.8330000000000003E-2</v>
          </cell>
          <cell r="BY22">
            <v>2.9327000000000002E-2</v>
          </cell>
          <cell r="BZ22">
            <v>2.5139000000000002E-2</v>
          </cell>
          <cell r="CA22">
            <v>3.2901E-2</v>
          </cell>
          <cell r="CB22">
            <v>3.4692000000000001E-2</v>
          </cell>
          <cell r="CC22">
            <v>3.1632E-2</v>
          </cell>
          <cell r="CD22">
            <v>1.9171000000000001E-2</v>
          </cell>
          <cell r="CE22">
            <v>1.8790999999999999E-2</v>
          </cell>
          <cell r="CF22">
            <v>2.2126999999999997E-2</v>
          </cell>
          <cell r="CG22">
            <v>1.65065E-2</v>
          </cell>
          <cell r="CH22">
            <v>1.63705E-2</v>
          </cell>
          <cell r="CI22">
            <v>1.7604500000000002E-2</v>
          </cell>
          <cell r="CJ22">
            <v>1.8538499999999999E-2</v>
          </cell>
          <cell r="CK22">
            <v>2.4867499999999997E-2</v>
          </cell>
          <cell r="CL22">
            <v>2.6110999999999999E-2</v>
          </cell>
          <cell r="CM22">
            <v>3.0350499999999999E-2</v>
          </cell>
          <cell r="CN22">
            <v>2.7191999999999997E-2</v>
          </cell>
          <cell r="CO22">
            <v>2.5297E-2</v>
          </cell>
          <cell r="CP22">
            <v>2.4908E-2</v>
          </cell>
          <cell r="CQ22">
            <v>2.1696E-2</v>
          </cell>
          <cell r="CR22">
            <v>1.92325E-2</v>
          </cell>
          <cell r="CS22">
            <v>2.3505999999999999E-2</v>
          </cell>
          <cell r="CT22">
            <v>2.03955E-2</v>
          </cell>
          <cell r="CU22">
            <v>2.2685E-2</v>
          </cell>
          <cell r="CV22">
            <v>1.7696E-2</v>
          </cell>
          <cell r="CW22">
            <v>1.4723000000000002E-2</v>
          </cell>
          <cell r="CX22">
            <v>1.5945000000000001E-2</v>
          </cell>
          <cell r="CY22">
            <v>2.4444999999999998E-2</v>
          </cell>
          <cell r="CZ22">
            <v>2.3830999999999998E-2</v>
          </cell>
          <cell r="DA22">
            <v>2.3011999999999998E-2</v>
          </cell>
          <cell r="DB22">
            <v>2.3338000000000001E-2</v>
          </cell>
          <cell r="DC22">
            <v>2.4092000000000002E-2</v>
          </cell>
          <cell r="DD22">
            <v>2.7382499999999997E-2</v>
          </cell>
          <cell r="DE22">
            <v>2.8650000000000002E-2</v>
          </cell>
          <cell r="DF22">
            <v>3.05875E-2</v>
          </cell>
          <cell r="DG22">
            <v>2.6836000000000002E-2</v>
          </cell>
          <cell r="DH22">
            <v>2.4059000000000001E-2</v>
          </cell>
          <cell r="DI22">
            <v>2.0052500000000001E-2</v>
          </cell>
          <cell r="DJ22">
            <v>1.66555E-2</v>
          </cell>
          <cell r="DK22">
            <v>1.91845E-2</v>
          </cell>
          <cell r="DL22">
            <v>6.5854999999999993E-3</v>
          </cell>
          <cell r="DM22">
            <v>6.5365000000000006E-3</v>
          </cell>
          <cell r="DN22">
            <v>6.8234999999999997E-3</v>
          </cell>
          <cell r="DO22">
            <v>9.1734999999999994E-3</v>
          </cell>
          <cell r="DP22">
            <v>1.7432E-2</v>
          </cell>
          <cell r="DQ22">
            <v>1.4672000000000001E-2</v>
          </cell>
          <cell r="DR22">
            <v>1.5245999999999999E-2</v>
          </cell>
          <cell r="DS22">
            <v>1.5196000000000001E-2</v>
          </cell>
          <cell r="DT22">
            <v>2.3161999999999999E-2</v>
          </cell>
          <cell r="DU22">
            <v>3.0620999999999999E-2</v>
          </cell>
          <cell r="DV22">
            <v>3.7101000000000002E-2</v>
          </cell>
          <cell r="DW22">
            <v>3.8330999999999997E-2</v>
          </cell>
          <cell r="DX22">
            <v>3.5743999999999998E-2</v>
          </cell>
          <cell r="DY22">
            <v>3.8799E-2</v>
          </cell>
          <cell r="DZ22">
            <v>4.5414000000000003E-2</v>
          </cell>
          <cell r="EA22">
            <v>3.8408999999999999E-2</v>
          </cell>
          <cell r="EB22">
            <v>4.2008000000000004E-2</v>
          </cell>
          <cell r="EC22">
            <v>4.3083000000000003E-2</v>
          </cell>
          <cell r="ED22">
            <v>3.7789999999999997E-2</v>
          </cell>
          <cell r="EE22">
            <v>4.5197000000000001E-2</v>
          </cell>
          <cell r="EF22">
            <v>4.2053E-2</v>
          </cell>
          <cell r="EG22">
            <v>4.2529000000000004E-2</v>
          </cell>
          <cell r="EH22">
            <v>4.1338E-2</v>
          </cell>
          <cell r="EI22">
            <v>4.1180000000000001E-2</v>
          </cell>
          <cell r="EJ22">
            <v>4.3999999999999997E-2</v>
          </cell>
          <cell r="EK22">
            <v>4.3999999999999997E-2</v>
          </cell>
          <cell r="EL22">
            <v>4.4499999999999998E-2</v>
          </cell>
          <cell r="EM22">
            <v>4.4499999999999998E-2</v>
          </cell>
          <cell r="EN22">
            <v>4.4999999999999998E-2</v>
          </cell>
          <cell r="EO22">
            <v>4.4999999999999998E-2</v>
          </cell>
          <cell r="EP22">
            <v>4.5499999999999999E-2</v>
          </cell>
          <cell r="EQ22">
            <v>4.5499999999999999E-2</v>
          </cell>
          <cell r="ER22">
            <v>4.5999999999999999E-2</v>
          </cell>
          <cell r="ES22">
            <v>4.5999999999999999E-2</v>
          </cell>
          <cell r="ET22">
            <v>4.5999999999999999E-2</v>
          </cell>
          <cell r="EU22">
            <v>4.5999999999999999E-2</v>
          </cell>
          <cell r="EV22">
            <v>4.5999999999999999E-2</v>
          </cell>
          <cell r="EW22">
            <v>4.5999999999999999E-2</v>
          </cell>
          <cell r="EX22">
            <v>4.5999999999999999E-2</v>
          </cell>
          <cell r="EY22">
            <v>4.5999999999999999E-2</v>
          </cell>
          <cell r="EZ22">
            <v>4.5999999999999999E-2</v>
          </cell>
          <cell r="FA22">
            <v>4.5999999999999999E-2</v>
          </cell>
          <cell r="FB22">
            <v>4.5999999999999999E-2</v>
          </cell>
          <cell r="FC22">
            <v>4.5999999999999999E-2</v>
          </cell>
          <cell r="FD22">
            <v>4.5999999999999999E-2</v>
          </cell>
          <cell r="FE22">
            <v>4.5999999999999999E-2</v>
          </cell>
          <cell r="FF22">
            <v>4.5999999999999999E-2</v>
          </cell>
          <cell r="FG22">
            <v>4.5999999999999999E-2</v>
          </cell>
          <cell r="FH22">
            <v>4.5999999999999999E-2</v>
          </cell>
          <cell r="FI22">
            <v>4.5999999999999999E-2</v>
          </cell>
          <cell r="FJ22">
            <v>4.5999999999999999E-2</v>
          </cell>
          <cell r="FK22">
            <v>4.5999999999999999E-2</v>
          </cell>
          <cell r="FL22">
            <v>4.5999999999999999E-2</v>
          </cell>
          <cell r="FM22">
            <v>4.5999999999999999E-2</v>
          </cell>
          <cell r="FN22">
            <v>4.5999999999999999E-2</v>
          </cell>
          <cell r="FO22">
            <v>4.5999999999999999E-2</v>
          </cell>
          <cell r="FP22">
            <v>4.5999999999999999E-2</v>
          </cell>
          <cell r="FQ22">
            <v>4.5999999999999999E-2</v>
          </cell>
          <cell r="FR22">
            <v>4.5999999999999999E-2</v>
          </cell>
          <cell r="FS22">
            <v>4.5999999999999999E-2</v>
          </cell>
          <cell r="FT22">
            <v>4.5999999999999999E-2</v>
          </cell>
          <cell r="FU22">
            <v>4.5999999999999999E-2</v>
          </cell>
        </row>
        <row r="23"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  <cell r="CE23"/>
          <cell r="CF23"/>
          <cell r="CG23"/>
          <cell r="CH23"/>
          <cell r="CI23"/>
          <cell r="CJ23"/>
          <cell r="CK23"/>
          <cell r="CL23"/>
          <cell r="CM23"/>
          <cell r="CN23"/>
          <cell r="CO23"/>
          <cell r="CP23"/>
          <cell r="CQ23"/>
          <cell r="CR23"/>
          <cell r="CS23"/>
          <cell r="CT23"/>
          <cell r="CU23"/>
          <cell r="CV23"/>
          <cell r="CW23"/>
          <cell r="CX23"/>
          <cell r="CY23"/>
          <cell r="CZ23"/>
          <cell r="DA23"/>
          <cell r="DB23"/>
          <cell r="DC23"/>
          <cell r="DD23"/>
          <cell r="DE23"/>
          <cell r="DF23"/>
          <cell r="DG23"/>
          <cell r="DH23"/>
          <cell r="DI23"/>
          <cell r="DJ23"/>
          <cell r="DK23"/>
          <cell r="DL23"/>
          <cell r="DM23"/>
          <cell r="DN23"/>
          <cell r="DO23"/>
          <cell r="DP23"/>
          <cell r="DQ23"/>
          <cell r="DR23"/>
          <cell r="DS23"/>
          <cell r="DT23"/>
          <cell r="DU23"/>
          <cell r="DV23"/>
          <cell r="DW23"/>
          <cell r="DX23"/>
          <cell r="DY23"/>
          <cell r="DZ23"/>
          <cell r="EA23"/>
          <cell r="EB23"/>
          <cell r="EC23"/>
          <cell r="ED23"/>
          <cell r="EE23"/>
          <cell r="EG23"/>
          <cell r="EH23"/>
        </row>
        <row r="24">
          <cell r="B24" t="str">
            <v>Rates - average (6mo)</v>
          </cell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  <cell r="CE24"/>
          <cell r="CF24"/>
          <cell r="CG24"/>
          <cell r="CH24"/>
          <cell r="CI24"/>
          <cell r="CJ24"/>
          <cell r="CK24"/>
          <cell r="CL24"/>
          <cell r="CM24"/>
          <cell r="CN24"/>
          <cell r="CO24"/>
          <cell r="CP24"/>
          <cell r="CQ24"/>
          <cell r="CR24"/>
          <cell r="CS24"/>
          <cell r="CT24"/>
          <cell r="CU24"/>
          <cell r="CV24"/>
          <cell r="CW24"/>
          <cell r="CX24"/>
          <cell r="CY24"/>
          <cell r="CZ24"/>
          <cell r="DA24"/>
          <cell r="DB24"/>
          <cell r="DC24"/>
          <cell r="DD24"/>
          <cell r="DE24"/>
          <cell r="DF24"/>
          <cell r="DG24"/>
          <cell r="DH24"/>
          <cell r="DI24"/>
          <cell r="DJ24"/>
          <cell r="DK24"/>
          <cell r="DL24"/>
          <cell r="DM24"/>
          <cell r="DN24"/>
          <cell r="DO24"/>
          <cell r="DP24"/>
          <cell r="DQ24"/>
          <cell r="DR24"/>
          <cell r="DS24"/>
          <cell r="DT24"/>
          <cell r="DU24"/>
          <cell r="DV24"/>
          <cell r="DW24"/>
          <cell r="DX24"/>
          <cell r="DY24"/>
          <cell r="DZ24"/>
          <cell r="EA24"/>
          <cell r="EB24"/>
          <cell r="EC24"/>
          <cell r="ED24"/>
          <cell r="EE24"/>
          <cell r="EF24"/>
          <cell r="EG24"/>
          <cell r="EH24"/>
          <cell r="EI24"/>
          <cell r="EJ24"/>
          <cell r="EK24"/>
          <cell r="EL24"/>
          <cell r="EM24"/>
          <cell r="EN24"/>
          <cell r="EO24"/>
          <cell r="EP24"/>
          <cell r="EQ24"/>
          <cell r="ER24"/>
          <cell r="ES24"/>
          <cell r="ET24"/>
          <cell r="EU24"/>
          <cell r="EV24"/>
          <cell r="EW24"/>
          <cell r="EX24"/>
          <cell r="EY24"/>
          <cell r="EZ24"/>
          <cell r="FA24"/>
          <cell r="FB24"/>
          <cell r="FC24"/>
          <cell r="FD24"/>
          <cell r="FE24"/>
          <cell r="FF24"/>
          <cell r="FG24"/>
          <cell r="FH24"/>
          <cell r="FI24"/>
          <cell r="FJ24"/>
          <cell r="FK24"/>
          <cell r="FL24"/>
          <cell r="FM24"/>
          <cell r="FN24"/>
          <cell r="FO24"/>
          <cell r="FP24"/>
          <cell r="FQ24"/>
          <cell r="FR24"/>
          <cell r="FS24"/>
          <cell r="FT24"/>
          <cell r="FU24"/>
        </row>
        <row r="25">
          <cell r="A25" t="str">
            <v>6MoCashg</v>
          </cell>
          <cell r="B25" t="str">
            <v>Aust cash</v>
          </cell>
          <cell r="D25">
            <v>8.1583333333333327E-2</v>
          </cell>
          <cell r="E25">
            <v>7.1583333333333346E-2</v>
          </cell>
          <cell r="F25">
            <v>6.1499999999999992E-2</v>
          </cell>
          <cell r="G25">
            <v>5.6000000000000008E-2</v>
          </cell>
          <cell r="H25">
            <v>5.6250000000000001E-2</v>
          </cell>
          <cell r="I25">
            <v>5.3583333333333337E-2</v>
          </cell>
          <cell r="J25">
            <v>4.9500000000000002E-2</v>
          </cell>
          <cell r="K25">
            <v>4.7416666666666663E-2</v>
          </cell>
          <cell r="L25">
            <v>4.7500000000000001E-2</v>
          </cell>
          <cell r="M25">
            <v>4.675E-2</v>
          </cell>
          <cell r="N25">
            <v>4.8999999999999995E-2</v>
          </cell>
          <cell r="O25">
            <v>5.9750000000000004E-2</v>
          </cell>
          <cell r="P25">
            <v>7.1083333333333346E-2</v>
          </cell>
          <cell r="Q25">
            <v>7.4366666666666664E-2</v>
          </cell>
          <cell r="R25">
            <v>7.4116666666666664E-2</v>
          </cell>
          <cell r="S25">
            <v>7.4166666666666672E-2</v>
          </cell>
          <cell r="T25">
            <v>7.4166666666666672E-2</v>
          </cell>
          <cell r="U25">
            <v>7.3166666666666658E-2</v>
          </cell>
          <cell r="V25">
            <v>7.1166666666666656E-2</v>
          </cell>
          <cell r="W25">
            <v>6.7616666666666672E-2</v>
          </cell>
          <cell r="X25">
            <v>6.2766666666666679E-2</v>
          </cell>
          <cell r="Y25">
            <v>5.8633333333333336E-2</v>
          </cell>
          <cell r="Z25">
            <v>5.3399999999999996E-2</v>
          </cell>
          <cell r="AA25">
            <v>4.9816666666666662E-2</v>
          </cell>
          <cell r="AB25">
            <v>4.9800000000000004E-2</v>
          </cell>
          <cell r="AC25">
            <v>4.9766666666666674E-2</v>
          </cell>
          <cell r="AD25">
            <v>4.9783333333333346E-2</v>
          </cell>
          <cell r="AE25">
            <v>4.9383333333333335E-2</v>
          </cell>
          <cell r="AF25">
            <v>4.8099999999999997E-2</v>
          </cell>
          <cell r="AG25">
            <v>4.7399999999999991E-2</v>
          </cell>
          <cell r="AH25">
            <v>4.7566666666666667E-2</v>
          </cell>
          <cell r="AI25">
            <v>4.8333333333333332E-2</v>
          </cell>
          <cell r="AJ25">
            <v>5.1200000000000002E-2</v>
          </cell>
          <cell r="AK25">
            <v>5.6250000000000001E-2</v>
          </cell>
          <cell r="AL25">
            <v>6.0416666666666667E-2</v>
          </cell>
          <cell r="AM25">
            <v>6.2083333333333331E-2</v>
          </cell>
          <cell r="AN25">
            <v>6.0416666666666667E-2</v>
          </cell>
          <cell r="AO25">
            <v>5.4166666666666669E-2</v>
          </cell>
          <cell r="AP25">
            <v>4.9583333333333333E-2</v>
          </cell>
          <cell r="AQ25">
            <v>4.6666666666666669E-2</v>
          </cell>
          <cell r="AR25">
            <v>4.3333333333333328E-2</v>
          </cell>
          <cell r="AS25">
            <v>4.3749999999999997E-2</v>
          </cell>
          <cell r="AT25">
            <v>4.6249999999999999E-2</v>
          </cell>
          <cell r="AU25">
            <v>4.7500000000000001E-2</v>
          </cell>
          <cell r="AV25">
            <v>4.7500000000000001E-2</v>
          </cell>
          <cell r="AW25">
            <v>4.7500000000000001E-2</v>
          </cell>
          <cell r="AX25">
            <v>4.7500000000000001E-2</v>
          </cell>
          <cell r="AY25">
            <v>4.8750000000000002E-2</v>
          </cell>
          <cell r="AZ25">
            <v>5.1249999999999997E-2</v>
          </cell>
          <cell r="BA25">
            <v>5.2499999999999998E-2</v>
          </cell>
          <cell r="BB25">
            <v>5.2499999999999998E-2</v>
          </cell>
          <cell r="BC25">
            <v>5.2499999999999998E-2</v>
          </cell>
          <cell r="BD25">
            <v>5.2916666666666667E-2</v>
          </cell>
          <cell r="BE25">
            <v>5.4166666666666669E-2</v>
          </cell>
          <cell r="BF25">
            <v>5.5E-2</v>
          </cell>
          <cell r="BG25">
            <v>5.5E-2</v>
          </cell>
          <cell r="BH25">
            <v>5.5E-2</v>
          </cell>
          <cell r="BI25">
            <v>5.5833333333333332E-2</v>
          </cell>
          <cell r="BJ25">
            <v>5.7916666666666672E-2</v>
          </cell>
          <cell r="BK25">
            <v>6.0416666666666667E-2</v>
          </cell>
          <cell r="BL25">
            <v>6.2083333333333331E-2</v>
          </cell>
          <cell r="BM25">
            <v>6.25E-2</v>
          </cell>
          <cell r="BN25">
            <v>6.3333333333333325E-2</v>
          </cell>
          <cell r="BO25">
            <v>6.5416666666666665E-2</v>
          </cell>
          <cell r="BP25">
            <v>6.8333333333333329E-2</v>
          </cell>
          <cell r="BQ25">
            <v>7.1249999999999994E-2</v>
          </cell>
          <cell r="BR25">
            <v>7.2083333333333333E-2</v>
          </cell>
          <cell r="BS25">
            <v>6.1666666666666668E-2</v>
          </cell>
          <cell r="BT25">
            <v>4.3749999999999997E-2</v>
          </cell>
          <cell r="BU25">
            <v>3.2916666666666664E-2</v>
          </cell>
          <cell r="BV25">
            <v>0.03</v>
          </cell>
          <cell r="BW25">
            <v>3.2500000000000001E-2</v>
          </cell>
          <cell r="BX25">
            <v>3.6666666666666667E-2</v>
          </cell>
          <cell r="BY25">
            <v>4.1250000000000002E-2</v>
          </cell>
          <cell r="BZ25">
            <v>4.4583333333333329E-2</v>
          </cell>
          <cell r="CA25">
            <v>4.583333333333333E-2</v>
          </cell>
          <cell r="CB25">
            <v>4.7083333333333331E-2</v>
          </cell>
          <cell r="CC25">
            <v>4.7500000000000001E-2</v>
          </cell>
          <cell r="CD25">
            <v>4.7500000000000001E-2</v>
          </cell>
          <cell r="CE25">
            <v>4.6249999999999999E-2</v>
          </cell>
          <cell r="CF25">
            <v>4.3749999999999997E-2</v>
          </cell>
          <cell r="CG25">
            <v>4.041666666666667E-2</v>
          </cell>
          <cell r="CH25">
            <v>3.6666666666666667E-2</v>
          </cell>
          <cell r="CI25">
            <v>3.3333333333333333E-2</v>
          </cell>
          <cell r="CJ25">
            <v>3.0833333333333334E-2</v>
          </cell>
          <cell r="CK25">
            <v>2.9166666666666664E-2</v>
          </cell>
          <cell r="CL25">
            <v>2.7083333333333334E-2</v>
          </cell>
          <cell r="CM25">
            <v>2.5416666666666664E-2</v>
          </cell>
          <cell r="CN25">
            <v>2.5000000000000001E-2</v>
          </cell>
          <cell r="CO25">
            <v>2.5000000000000001E-2</v>
          </cell>
          <cell r="CP25">
            <v>2.5000000000000001E-2</v>
          </cell>
          <cell r="CQ25">
            <v>2.5000000000000001E-2</v>
          </cell>
          <cell r="CR25">
            <v>2.4166666666666666E-2</v>
          </cell>
          <cell r="CS25">
            <v>2.2083333333333333E-2</v>
          </cell>
          <cell r="CT25">
            <v>2.0416666666666666E-2</v>
          </cell>
          <cell r="CU25">
            <v>0.02</v>
          </cell>
          <cell r="CV25">
            <v>0.02</v>
          </cell>
          <cell r="CW25">
            <v>1.9166666666666669E-2</v>
          </cell>
          <cell r="CX25">
            <v>1.7083333333333332E-2</v>
          </cell>
          <cell r="CY25">
            <v>1.5416666666666667E-2</v>
          </cell>
          <cell r="CZ25">
            <v>1.4999999999999999E-2</v>
          </cell>
          <cell r="DA25">
            <v>1.4999999999999999E-2</v>
          </cell>
          <cell r="DB25">
            <v>1.4999999999999999E-2</v>
          </cell>
          <cell r="DC25">
            <v>1.4999999999999999E-2</v>
          </cell>
          <cell r="DD25">
            <v>1.4999999999999999E-2</v>
          </cell>
          <cell r="DE25">
            <v>1.4999999999999999E-2</v>
          </cell>
          <cell r="DF25">
            <v>1.4999999999999999E-2</v>
          </cell>
          <cell r="DG25">
            <v>1.4999999999999999E-2</v>
          </cell>
          <cell r="DH25">
            <v>1.4999999999999999E-2</v>
          </cell>
          <cell r="DI25">
            <v>1.4583333333333332E-2</v>
          </cell>
          <cell r="DJ25">
            <v>1.2083333333333333E-2</v>
          </cell>
          <cell r="DK25">
            <v>8.7500000000000008E-3</v>
          </cell>
          <cell r="DL25">
            <v>6.6666666666666662E-3</v>
          </cell>
          <cell r="DM25">
            <v>4.1666666666666666E-3</v>
          </cell>
          <cell r="DN25">
            <v>2.5000000000000001E-3</v>
          </cell>
          <cell r="DO25">
            <v>2.0000000000000005E-3</v>
          </cell>
          <cell r="DP25">
            <v>1.2499999999999998E-3</v>
          </cell>
          <cell r="DQ25">
            <v>1E-3</v>
          </cell>
          <cell r="DR25">
            <v>1E-3</v>
          </cell>
          <cell r="DS25">
            <v>1E-3</v>
          </cell>
          <cell r="DT25">
            <v>1E-3</v>
          </cell>
          <cell r="DU25">
            <v>2.6666666666666666E-3</v>
          </cell>
          <cell r="DV25">
            <v>1.1416666666666665E-2</v>
          </cell>
          <cell r="DW25">
            <v>2.35E-2</v>
          </cell>
          <cell r="DX25">
            <v>3.1E-2</v>
          </cell>
          <cell r="DY25">
            <v>3.6000000000000004E-2</v>
          </cell>
          <cell r="DZ25">
            <v>3.9750000000000001E-2</v>
          </cell>
          <cell r="EA25">
            <v>4.1833333333333333E-2</v>
          </cell>
          <cell r="EB25">
            <v>4.3083333333333335E-2</v>
          </cell>
          <cell r="EC25">
            <v>4.3500000000000004E-2</v>
          </cell>
          <cell r="ED25">
            <v>4.3500000000000004E-2</v>
          </cell>
          <cell r="EE25">
            <v>4.3500000000000004E-2</v>
          </cell>
          <cell r="EF25">
            <v>4.2666666666666665E-2</v>
          </cell>
          <cell r="EG25">
            <v>4.0583333333333332E-2</v>
          </cell>
          <cell r="EH25">
            <v>3.8083333333333337E-2</v>
          </cell>
          <cell r="EI25">
            <v>3.6416666666666674E-2</v>
          </cell>
          <cell r="EJ25">
            <v>3.6833333333333336E-2</v>
          </cell>
          <cell r="EK25">
            <v>3.85E-2</v>
          </cell>
          <cell r="EL25">
            <v>4.0166666666666663E-2</v>
          </cell>
          <cell r="EM25">
            <v>4.0999999999999995E-2</v>
          </cell>
          <cell r="EN25">
            <v>4.0166666666666663E-2</v>
          </cell>
          <cell r="EO25">
            <v>3.85E-2</v>
          </cell>
          <cell r="EP25">
            <v>3.6833333333333336E-2</v>
          </cell>
          <cell r="EQ25">
            <v>3.6000000000000004E-2</v>
          </cell>
          <cell r="ER25">
            <v>3.6000000000000004E-2</v>
          </cell>
          <cell r="ES25">
            <v>3.6000000000000004E-2</v>
          </cell>
          <cell r="ET25">
            <v>3.6000000000000004E-2</v>
          </cell>
          <cell r="EU25">
            <v>3.6000000000000004E-2</v>
          </cell>
          <cell r="EV25">
            <v>3.6000000000000004E-2</v>
          </cell>
          <cell r="EW25">
            <v>3.6000000000000004E-2</v>
          </cell>
          <cell r="EX25">
            <v>3.6000000000000004E-2</v>
          </cell>
          <cell r="EY25">
            <v>3.6000000000000004E-2</v>
          </cell>
          <cell r="EZ25">
            <v>3.6000000000000004E-2</v>
          </cell>
          <cell r="FA25">
            <v>3.6000000000000004E-2</v>
          </cell>
          <cell r="FB25">
            <v>3.6000000000000004E-2</v>
          </cell>
          <cell r="FC25">
            <v>3.6000000000000004E-2</v>
          </cell>
          <cell r="FD25">
            <v>3.6000000000000004E-2</v>
          </cell>
          <cell r="FE25">
            <v>3.6000000000000004E-2</v>
          </cell>
          <cell r="FF25">
            <v>3.6000000000000004E-2</v>
          </cell>
          <cell r="FG25">
            <v>3.6000000000000004E-2</v>
          </cell>
          <cell r="FH25">
            <v>3.6000000000000004E-2</v>
          </cell>
          <cell r="FI25">
            <v>3.6000000000000004E-2</v>
          </cell>
          <cell r="FJ25">
            <v>3.6000000000000004E-2</v>
          </cell>
          <cell r="FK25">
            <v>3.6000000000000004E-2</v>
          </cell>
          <cell r="FL25">
            <v>3.6000000000000004E-2</v>
          </cell>
          <cell r="FM25">
            <v>3.6000000000000004E-2</v>
          </cell>
          <cell r="FN25">
            <v>3.6000000000000004E-2</v>
          </cell>
          <cell r="FO25">
            <v>3.6000000000000004E-2</v>
          </cell>
          <cell r="FP25">
            <v>3.6000000000000004E-2</v>
          </cell>
          <cell r="FQ25">
            <v>3.6000000000000004E-2</v>
          </cell>
          <cell r="FR25">
            <v>3.6000000000000004E-2</v>
          </cell>
          <cell r="FS25">
            <v>3.6000000000000004E-2</v>
          </cell>
          <cell r="FT25">
            <v>3.6000000000000004E-2</v>
          </cell>
          <cell r="FU25">
            <v>3.6000000000000004E-2</v>
          </cell>
        </row>
        <row r="26">
          <cell r="A26" t="str">
            <v>au_bbsw3m_avg_6m</v>
          </cell>
          <cell r="B26" t="str">
            <v>Aust 90 day bill</v>
          </cell>
          <cell r="D26">
            <v>7.8383333333333347E-2</v>
          </cell>
          <cell r="E26">
            <v>7.0033333333333336E-2</v>
          </cell>
          <cell r="F26">
            <v>6.1366666666666667E-2</v>
          </cell>
          <cell r="G26">
            <v>5.8550000000000005E-2</v>
          </cell>
          <cell r="H26">
            <v>5.7516666666666681E-2</v>
          </cell>
          <cell r="I26">
            <v>5.4083333333333324E-2</v>
          </cell>
          <cell r="J26">
            <v>5.0333333333333334E-2</v>
          </cell>
          <cell r="K26">
            <v>4.8233333333333329E-2</v>
          </cell>
          <cell r="L26">
            <v>4.8366666666666662E-2</v>
          </cell>
          <cell r="M26">
            <v>5.000000000000001E-2</v>
          </cell>
          <cell r="N26">
            <v>5.4664999999999998E-2</v>
          </cell>
          <cell r="O26">
            <v>6.5886666666666663E-2</v>
          </cell>
          <cell r="P26">
            <v>7.7175000000000007E-2</v>
          </cell>
          <cell r="Q26">
            <v>7.8698333333333328E-2</v>
          </cell>
          <cell r="R26">
            <v>7.6266666666666677E-2</v>
          </cell>
          <cell r="S26">
            <v>7.5074999999999989E-2</v>
          </cell>
          <cell r="T26">
            <v>7.4855000000000005E-2</v>
          </cell>
          <cell r="U26">
            <v>7.5434999999999988E-2</v>
          </cell>
          <cell r="V26">
            <v>7.2468333333333315E-2</v>
          </cell>
          <cell r="W26">
            <v>6.6380000000000008E-2</v>
          </cell>
          <cell r="X26">
            <v>6.1489000000000002E-2</v>
          </cell>
          <cell r="Y26">
            <v>5.783566666666666E-2</v>
          </cell>
          <cell r="Z26">
            <v>5.238333333333333E-2</v>
          </cell>
          <cell r="AA26">
            <v>4.9211166666666674E-2</v>
          </cell>
          <cell r="AB26">
            <v>4.9933333333333343E-2</v>
          </cell>
          <cell r="AC26">
            <v>5.0369333333333328E-2</v>
          </cell>
          <cell r="AD26">
            <v>5.1316666666666656E-2</v>
          </cell>
          <cell r="AE26">
            <v>5.0166666666666665E-2</v>
          </cell>
          <cell r="AF26">
            <v>4.8224833333333335E-2</v>
          </cell>
          <cell r="AG26">
            <v>4.852483333333333E-2</v>
          </cell>
          <cell r="AH26">
            <v>4.9466666666666666E-2</v>
          </cell>
          <cell r="AI26">
            <v>5.2777833333333329E-2</v>
          </cell>
          <cell r="AJ26">
            <v>5.6919499999999991E-2</v>
          </cell>
          <cell r="AK26">
            <v>6.0261166666666657E-2</v>
          </cell>
          <cell r="AL26">
            <v>6.3722333333333339E-2</v>
          </cell>
          <cell r="AM26">
            <v>6.4011166666666675E-2</v>
          </cell>
          <cell r="AN26">
            <v>5.8785999999999998E-2</v>
          </cell>
          <cell r="AO26">
            <v>5.2130499999999996E-2</v>
          </cell>
          <cell r="AP26">
            <v>4.8563833333333327E-2</v>
          </cell>
          <cell r="AQ26">
            <v>4.5136000000000003E-2</v>
          </cell>
          <cell r="AR26">
            <v>4.3449999999999996E-2</v>
          </cell>
          <cell r="AS26">
            <v>4.6577833333333346E-2</v>
          </cell>
          <cell r="AT26">
            <v>4.9258500000000004E-2</v>
          </cell>
          <cell r="AU26">
            <v>4.8975166666666674E-2</v>
          </cell>
          <cell r="AV26">
            <v>4.8122166666666667E-2</v>
          </cell>
          <cell r="AW26">
            <v>4.7716666666666664E-2</v>
          </cell>
          <cell r="AX26">
            <v>4.7991666666666676E-2</v>
          </cell>
          <cell r="AY26">
            <v>5.0808166666666675E-2</v>
          </cell>
          <cell r="AZ26">
            <v>5.4583333333333331E-2</v>
          </cell>
          <cell r="BA26">
            <v>5.5549999999999995E-2</v>
          </cell>
          <cell r="BB26">
            <v>5.4836000000000003E-2</v>
          </cell>
          <cell r="BC26">
            <v>5.4416666666666662E-2</v>
          </cell>
          <cell r="BD26">
            <v>5.5772166666666657E-2</v>
          </cell>
          <cell r="BE26">
            <v>5.7039000000000006E-2</v>
          </cell>
          <cell r="BF26">
            <v>5.662233333333333E-2</v>
          </cell>
          <cell r="BG26">
            <v>5.641100000000001E-2</v>
          </cell>
          <cell r="BH26">
            <v>5.6294333333333342E-2</v>
          </cell>
          <cell r="BI26">
            <v>5.7594500000000014E-2</v>
          </cell>
          <cell r="BJ26">
            <v>6.0472333333333336E-2</v>
          </cell>
          <cell r="BK26">
            <v>6.2972333333333338E-2</v>
          </cell>
          <cell r="BL26">
            <v>6.4094499999999999E-2</v>
          </cell>
          <cell r="BM26">
            <v>6.4052666666666674E-2</v>
          </cell>
          <cell r="BN26">
            <v>6.5952666666666659E-2</v>
          </cell>
          <cell r="BO26">
            <v>6.9819500000000007E-2</v>
          </cell>
          <cell r="BP26">
            <v>7.4508333333333343E-2</v>
          </cell>
          <cell r="BQ26">
            <v>7.7711000000000002E-2</v>
          </cell>
          <cell r="BR26">
            <v>7.6283333333333342E-2</v>
          </cell>
          <cell r="BS26">
            <v>6.1702833333333339E-2</v>
          </cell>
          <cell r="BT26">
            <v>4.0635999999999999E-2</v>
          </cell>
          <cell r="BU26">
            <v>3.1949833333333337E-2</v>
          </cell>
          <cell r="BV26">
            <v>3.2550000000000003E-2</v>
          </cell>
          <cell r="BW26">
            <v>3.7194333333333336E-2</v>
          </cell>
          <cell r="BX26">
            <v>4.2074833333333332E-2</v>
          </cell>
          <cell r="BY26">
            <v>4.5691666666666665E-2</v>
          </cell>
          <cell r="BZ26">
            <v>4.8258500000000003E-2</v>
          </cell>
          <cell r="CA26">
            <v>4.9141833333333336E-2</v>
          </cell>
          <cell r="CB26">
            <v>4.9614000000000005E-2</v>
          </cell>
          <cell r="CC26">
            <v>4.9663833333333338E-2</v>
          </cell>
          <cell r="CD26">
            <v>4.9727666666666677E-2</v>
          </cell>
          <cell r="CE26">
            <v>4.7736000000000001E-2</v>
          </cell>
          <cell r="CF26">
            <v>4.4900000000000002E-2</v>
          </cell>
          <cell r="CG26">
            <v>4.037516666666667E-2</v>
          </cell>
          <cell r="CH26">
            <v>3.6105666666666668E-2</v>
          </cell>
          <cell r="CI26">
            <v>3.3511166666666668E-2</v>
          </cell>
          <cell r="CJ26">
            <v>3.0893166666666669E-2</v>
          </cell>
          <cell r="CK26">
            <v>2.9276499999999997E-2</v>
          </cell>
          <cell r="CL26">
            <v>2.7312499999999997E-2</v>
          </cell>
          <cell r="CM26">
            <v>2.6159833333333337E-2</v>
          </cell>
          <cell r="CN26">
            <v>2.6327833333333339E-2</v>
          </cell>
          <cell r="CO26">
            <v>2.6741666666666667E-2</v>
          </cell>
          <cell r="CP26">
            <v>2.6741666666666664E-2</v>
          </cell>
          <cell r="CQ26">
            <v>2.6997166666666669E-2</v>
          </cell>
          <cell r="CR26">
            <v>2.5600000000000001E-2</v>
          </cell>
          <cell r="CS26">
            <v>2.2755499999999998E-2</v>
          </cell>
          <cell r="CT26">
            <v>2.1688833333333334E-2</v>
          </cell>
          <cell r="CU26">
            <v>2.2027833333333337E-2</v>
          </cell>
          <cell r="CV26">
            <v>2.2677833333333335E-2</v>
          </cell>
          <cell r="CW26">
            <v>2.1594333333333337E-2</v>
          </cell>
          <cell r="CX26">
            <v>1.9052666666666666E-2</v>
          </cell>
          <cell r="CY26">
            <v>1.7766666666666667E-2</v>
          </cell>
          <cell r="CZ26">
            <v>1.7783333333333332E-2</v>
          </cell>
          <cell r="DA26">
            <v>1.755E-2</v>
          </cell>
          <cell r="DB26">
            <v>1.7174999999999999E-2</v>
          </cell>
          <cell r="DC26">
            <v>1.7241666666666669E-2</v>
          </cell>
          <cell r="DD26">
            <v>1.8024999999999999E-2</v>
          </cell>
          <cell r="DE26">
            <v>1.9525500000000001E-2</v>
          </cell>
          <cell r="DF26">
            <v>1.9958E-2</v>
          </cell>
          <cell r="DG26">
            <v>1.9665833333333334E-2</v>
          </cell>
          <cell r="DH26">
            <v>1.9425666666666664E-2</v>
          </cell>
          <cell r="DI26">
            <v>1.6480499999999999E-2</v>
          </cell>
          <cell r="DJ26">
            <v>1.1851166666666668E-2</v>
          </cell>
          <cell r="DK26">
            <v>9.4336666666666649E-3</v>
          </cell>
          <cell r="DL26">
            <v>7.9928333333333327E-3</v>
          </cell>
          <cell r="DM26">
            <v>3.9301666666666677E-3</v>
          </cell>
          <cell r="DN26">
            <v>9.5799999999999998E-4</v>
          </cell>
          <cell r="DO26">
            <v>6.1133333333333341E-4</v>
          </cell>
          <cell r="DP26">
            <v>2.6966666666666664E-4</v>
          </cell>
          <cell r="DQ26">
            <v>3.0216666666666667E-4</v>
          </cell>
          <cell r="DR26">
            <v>2.6416666666666667E-4</v>
          </cell>
          <cell r="DS26">
            <v>3.9616666666666668E-4</v>
          </cell>
          <cell r="DT26">
            <v>9.5299999999999996E-4</v>
          </cell>
          <cell r="DU26">
            <v>6.8135000000000001E-3</v>
          </cell>
          <cell r="DV26">
            <v>1.8903833333333332E-2</v>
          </cell>
          <cell r="DW26">
            <v>2.8466666666666661E-2</v>
          </cell>
          <cell r="DX26">
            <v>3.3483833333333331E-2</v>
          </cell>
          <cell r="DY26">
            <v>3.7768999999999997E-2</v>
          </cell>
          <cell r="DZ26">
            <v>4.0896499999999995E-2</v>
          </cell>
          <cell r="EA26">
            <v>4.267566666666666E-2</v>
          </cell>
          <cell r="EB26">
            <v>4.3505500000000003E-2</v>
          </cell>
          <cell r="EC26">
            <v>4.3715166666666666E-2</v>
          </cell>
          <cell r="ED26">
            <v>4.4202666666666668E-2</v>
          </cell>
          <cell r="EE26">
            <v>4.4300166666666661E-2</v>
          </cell>
          <cell r="EF26">
            <v>4.2922333333333326E-2</v>
          </cell>
          <cell r="EG26">
            <v>3.9490333333333336E-2</v>
          </cell>
          <cell r="EH26">
            <v>3.6722999999999999E-2</v>
          </cell>
          <cell r="EI26">
            <v>3.6443333333333341E-2</v>
          </cell>
          <cell r="EJ26">
            <v>3.8437499999999999E-2</v>
          </cell>
          <cell r="EK26">
            <v>4.0999999999999995E-2</v>
          </cell>
          <cell r="EL26">
            <v>4.2749999999999996E-2</v>
          </cell>
          <cell r="EM26">
            <v>4.3249999999999997E-2</v>
          </cell>
          <cell r="EN26">
            <v>4.2249999999999996E-2</v>
          </cell>
          <cell r="EO26">
            <v>3.9750000000000008E-2</v>
          </cell>
          <cell r="EP26">
            <v>3.8500000000000006E-2</v>
          </cell>
          <cell r="EQ26">
            <v>3.8500000000000006E-2</v>
          </cell>
          <cell r="ER26">
            <v>3.8500000000000006E-2</v>
          </cell>
          <cell r="ES26">
            <v>3.8500000000000006E-2</v>
          </cell>
          <cell r="ET26">
            <v>3.8500000000000006E-2</v>
          </cell>
          <cell r="EU26">
            <v>3.8500000000000006E-2</v>
          </cell>
          <cell r="EV26">
            <v>3.8500000000000006E-2</v>
          </cell>
          <cell r="EW26">
            <v>3.8500000000000006E-2</v>
          </cell>
          <cell r="EX26">
            <v>3.8500000000000006E-2</v>
          </cell>
          <cell r="EY26">
            <v>3.8500000000000006E-2</v>
          </cell>
          <cell r="EZ26">
            <v>3.8500000000000006E-2</v>
          </cell>
          <cell r="FA26">
            <v>3.8500000000000006E-2</v>
          </cell>
          <cell r="FB26">
            <v>3.8500000000000006E-2</v>
          </cell>
          <cell r="FC26">
            <v>3.8500000000000006E-2</v>
          </cell>
          <cell r="FD26">
            <v>3.8500000000000006E-2</v>
          </cell>
          <cell r="FE26">
            <v>3.8500000000000006E-2</v>
          </cell>
          <cell r="FF26">
            <v>3.8500000000000006E-2</v>
          </cell>
          <cell r="FG26">
            <v>3.8500000000000006E-2</v>
          </cell>
          <cell r="FH26">
            <v>3.8500000000000006E-2</v>
          </cell>
          <cell r="FI26">
            <v>3.8500000000000006E-2</v>
          </cell>
          <cell r="FJ26">
            <v>3.8500000000000006E-2</v>
          </cell>
          <cell r="FK26">
            <v>3.8500000000000006E-2</v>
          </cell>
          <cell r="FL26">
            <v>3.8500000000000006E-2</v>
          </cell>
          <cell r="FM26">
            <v>3.8500000000000006E-2</v>
          </cell>
          <cell r="FN26">
            <v>3.8500000000000006E-2</v>
          </cell>
          <cell r="FO26">
            <v>3.8500000000000006E-2</v>
          </cell>
          <cell r="FP26">
            <v>3.8500000000000006E-2</v>
          </cell>
          <cell r="FQ26">
            <v>3.8500000000000006E-2</v>
          </cell>
          <cell r="FR26">
            <v>3.8500000000000006E-2</v>
          </cell>
          <cell r="FS26">
            <v>3.8500000000000006E-2</v>
          </cell>
          <cell r="FT26">
            <v>3.8500000000000006E-2</v>
          </cell>
          <cell r="FU26">
            <v>3.8500000000000006E-2</v>
          </cell>
        </row>
        <row r="27">
          <cell r="A27" t="str">
            <v>au_govt10y_avg_6m</v>
          </cell>
          <cell r="B27" t="str">
            <v>Aust 10 yr Bond Rate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>
            <v>9.3566666666666659E-2</v>
          </cell>
          <cell r="O27">
            <v>0.10048333333333331</v>
          </cell>
          <cell r="P27">
            <v>0.10183333333333333</v>
          </cell>
          <cell r="Q27">
            <v>9.6549999999999997E-2</v>
          </cell>
          <cell r="R27">
            <v>9.1366666666666665E-2</v>
          </cell>
          <cell r="S27">
            <v>8.6816666666666667E-2</v>
          </cell>
          <cell r="T27">
            <v>8.4400000000000017E-2</v>
          </cell>
          <cell r="U27">
            <v>8.6616666666666675E-2</v>
          </cell>
          <cell r="V27">
            <v>8.4366666666666659E-2</v>
          </cell>
          <cell r="W27">
            <v>7.6833333333333337E-2</v>
          </cell>
          <cell r="X27">
            <v>7.5033333333333341E-2</v>
          </cell>
          <cell r="Y27">
            <v>7.5566666666666671E-2</v>
          </cell>
          <cell r="Z27">
            <v>6.8433333333333332E-2</v>
          </cell>
          <cell r="AA27">
            <v>6.1516666666666664E-2</v>
          </cell>
          <cell r="AB27">
            <v>5.9550000000000013E-2</v>
          </cell>
          <cell r="AC27">
            <v>5.7483333333333338E-2</v>
          </cell>
          <cell r="AD27">
            <v>5.5633333333333333E-2</v>
          </cell>
          <cell r="AE27">
            <v>5.2533333333333342E-2</v>
          </cell>
          <cell r="AF27">
            <v>5.1749999999999997E-2</v>
          </cell>
          <cell r="AG27">
            <v>5.6383333333333327E-2</v>
          </cell>
          <cell r="AH27">
            <v>6.076666666666667E-2</v>
          </cell>
          <cell r="AI27">
            <v>6.4783333333333332E-2</v>
          </cell>
          <cell r="AJ27">
            <v>6.7333333333333328E-2</v>
          </cell>
          <cell r="AK27">
            <v>6.5100000000000005E-2</v>
          </cell>
          <cell r="AL27">
            <v>6.2716666666666657E-2</v>
          </cell>
          <cell r="AM27">
            <v>6.0300000000000013E-2</v>
          </cell>
          <cell r="AN27">
            <v>5.5374999999999987E-2</v>
          </cell>
          <cell r="AO27">
            <v>5.6116666666666676E-2</v>
          </cell>
          <cell r="AP27">
            <v>5.8266666666666668E-2</v>
          </cell>
          <cell r="AQ27">
            <v>5.6524999999999999E-2</v>
          </cell>
          <cell r="AR27">
            <v>5.8450000000000016E-2</v>
          </cell>
          <cell r="AS27">
            <v>6.0899999999999996E-2</v>
          </cell>
          <cell r="AT27">
            <v>5.8700000000000002E-2</v>
          </cell>
          <cell r="AU27">
            <v>5.5583333333333339E-2</v>
          </cell>
          <cell r="AV27">
            <v>5.3249999999999999E-2</v>
          </cell>
          <cell r="AW27">
            <v>5.1150000000000001E-2</v>
          </cell>
          <cell r="AX27">
            <v>5.238333333333333E-2</v>
          </cell>
          <cell r="AY27">
            <v>5.6024999999999991E-2</v>
          </cell>
          <cell r="AZ27">
            <v>5.699166666666667E-2</v>
          </cell>
          <cell r="BA27">
            <v>5.7533333333333339E-2</v>
          </cell>
          <cell r="BB27">
            <v>5.7433333333333329E-2</v>
          </cell>
          <cell r="BC27">
            <v>5.4400000000000004E-2</v>
          </cell>
          <cell r="BD27">
            <v>5.4058333333333326E-2</v>
          </cell>
          <cell r="BE27">
            <v>5.3633333333333325E-2</v>
          </cell>
          <cell r="BF27">
            <v>5.1841666666666668E-2</v>
          </cell>
          <cell r="BG27">
            <v>5.264166666666667E-2</v>
          </cell>
          <cell r="BH27">
            <v>5.3541666666666668E-2</v>
          </cell>
          <cell r="BI27">
            <v>5.5474999999999997E-2</v>
          </cell>
          <cell r="BJ27">
            <v>5.7054166666666656E-2</v>
          </cell>
          <cell r="BK27">
            <v>5.6909166666666663E-2</v>
          </cell>
          <cell r="BL27">
            <v>5.7738333333333322E-2</v>
          </cell>
          <cell r="BM27">
            <v>5.9435833333333334E-2</v>
          </cell>
          <cell r="BN27">
            <v>6.0406666666666664E-2</v>
          </cell>
          <cell r="BO27">
            <v>6.0978333333333336E-2</v>
          </cell>
          <cell r="BP27">
            <v>6.1404166666666669E-2</v>
          </cell>
          <cell r="BQ27">
            <v>6.2666666666666662E-2</v>
          </cell>
          <cell r="BR27">
            <v>6.1021666666666662E-2</v>
          </cell>
          <cell r="BS27">
            <v>5.1814166666666661E-2</v>
          </cell>
          <cell r="BT27">
            <v>4.4725000000000001E-2</v>
          </cell>
          <cell r="BU27">
            <v>4.8212499999999998E-2</v>
          </cell>
          <cell r="BV27">
            <v>5.4051500000000002E-2</v>
          </cell>
          <cell r="BW27">
            <v>5.5404499999999995E-2</v>
          </cell>
          <cell r="BX27">
            <v>5.5547333333333337E-2</v>
          </cell>
          <cell r="BY27">
            <v>5.4795166666666659E-2</v>
          </cell>
          <cell r="BZ27">
            <v>5.1851999999999988E-2</v>
          </cell>
          <cell r="CA27">
            <v>5.174949999999999E-2</v>
          </cell>
          <cell r="CB27">
            <v>5.4378666666666658E-2</v>
          </cell>
          <cell r="CC27">
            <v>5.3948666666666666E-2</v>
          </cell>
          <cell r="CD27">
            <v>4.8794000000000004E-2</v>
          </cell>
          <cell r="CE27">
            <v>4.2575499999999995E-2</v>
          </cell>
          <cell r="CF27">
            <v>4.0020500000000007E-2</v>
          </cell>
          <cell r="CG27">
            <v>3.5889833333333329E-2</v>
          </cell>
          <cell r="CH27">
            <v>3.1283166666666667E-2</v>
          </cell>
          <cell r="CI27">
            <v>3.1135666666666669E-2</v>
          </cell>
          <cell r="CJ27">
            <v>3.2968499999999998E-2</v>
          </cell>
          <cell r="CK27">
            <v>3.405366666666667E-2</v>
          </cell>
          <cell r="CL27">
            <v>3.6064000000000006E-2</v>
          </cell>
          <cell r="CM27">
            <v>3.9850166666666659E-2</v>
          </cell>
          <cell r="CN27">
            <v>4.0980166666666665E-2</v>
          </cell>
          <cell r="CO27">
            <v>3.8759666666666664E-2</v>
          </cell>
          <cell r="CP27">
            <v>3.5723499999999998E-2</v>
          </cell>
          <cell r="CQ27">
            <v>3.2227833333333337E-2</v>
          </cell>
          <cell r="CR27">
            <v>2.7133666666666671E-2</v>
          </cell>
          <cell r="CS27">
            <v>2.6023999999999999E-2</v>
          </cell>
          <cell r="CT27">
            <v>2.7368666666666663E-2</v>
          </cell>
          <cell r="CU27">
            <v>2.7199833333333333E-2</v>
          </cell>
          <cell r="CV27">
            <v>2.6260833333333334E-2</v>
          </cell>
          <cell r="CW27">
            <v>2.3805833333333335E-2</v>
          </cell>
          <cell r="CX27">
            <v>2.0695499999999999E-2</v>
          </cell>
          <cell r="CY27">
            <v>2.2383833333333332E-2</v>
          </cell>
          <cell r="CZ27">
            <v>2.6583333333333334E-2</v>
          </cell>
          <cell r="DA27">
            <v>2.6148500000000002E-2</v>
          </cell>
          <cell r="DB27">
            <v>2.6318666666666667E-2</v>
          </cell>
          <cell r="DC27">
            <v>2.6717666666666667E-2</v>
          </cell>
          <cell r="DD27">
            <v>2.6624999999999996E-2</v>
          </cell>
          <cell r="DE27">
            <v>2.7087833333333328E-2</v>
          </cell>
          <cell r="DF27">
            <v>2.6532666666666666E-2</v>
          </cell>
          <cell r="DG27">
            <v>2.5626833333333331E-2</v>
          </cell>
          <cell r="DH27">
            <v>2.2767500000000003E-2</v>
          </cell>
          <cell r="DI27">
            <v>1.7824666666666669E-2</v>
          </cell>
          <cell r="DJ27">
            <v>1.2769499999999998E-2</v>
          </cell>
          <cell r="DK27">
            <v>1.1065166666666666E-2</v>
          </cell>
          <cell r="DL27">
            <v>1.0129666666666669E-2</v>
          </cell>
          <cell r="DM27">
            <v>8.6208333333333328E-3</v>
          </cell>
          <cell r="DN27">
            <v>8.723666666666666E-3</v>
          </cell>
          <cell r="DO27">
            <v>8.820999999999999E-3</v>
          </cell>
          <cell r="DP27">
            <v>1.2442833333333334E-2</v>
          </cell>
          <cell r="DQ27">
            <v>1.6071999999999999E-2</v>
          </cell>
          <cell r="DR27">
            <v>1.4515E-2</v>
          </cell>
          <cell r="DS27">
            <v>1.5465E-2</v>
          </cell>
          <cell r="DT27">
            <v>2.0489999999999998E-2</v>
          </cell>
          <cell r="DU27">
            <v>2.8281666666666667E-2</v>
          </cell>
          <cell r="DV27">
            <v>3.4450000000000001E-2</v>
          </cell>
          <cell r="DW27">
            <v>3.6469999999999995E-2</v>
          </cell>
          <cell r="DX27">
            <v>3.6735000000000004E-2</v>
          </cell>
          <cell r="DY27">
            <v>3.6123333333333334E-2</v>
          </cell>
          <cell r="DZ27">
            <v>3.9220000000000005E-2</v>
          </cell>
          <cell r="EA27">
            <v>4.3081666666666657E-2</v>
          </cell>
          <cell r="EB27">
            <v>4.2336666666666668E-2</v>
          </cell>
          <cell r="EC27">
            <v>4.2099999999999999E-2</v>
          </cell>
          <cell r="ED27">
            <v>4.2003333333333337E-2</v>
          </cell>
          <cell r="EE27">
            <v>4.2124999999999996E-2</v>
          </cell>
          <cell r="EF27">
            <v>4.3888333333333335E-2</v>
          </cell>
          <cell r="EG27">
            <v>4.2773333333333337E-2</v>
          </cell>
          <cell r="EH27">
            <v>4.2320000000000003E-2</v>
          </cell>
          <cell r="EI27">
            <v>4.402166666666666E-2</v>
          </cell>
          <cell r="EJ27">
            <v>4.5269999999999998E-2</v>
          </cell>
          <cell r="EK27">
            <v>4.2999999999999997E-2</v>
          </cell>
          <cell r="EL27">
            <v>4.3249999999999997E-2</v>
          </cell>
          <cell r="EM27">
            <v>4.3499999999999997E-2</v>
          </cell>
          <cell r="EN27">
            <v>4.3749999999999997E-2</v>
          </cell>
          <cell r="EO27">
            <v>4.3999999999999997E-2</v>
          </cell>
          <cell r="EP27">
            <v>4.4249999999999998E-2</v>
          </cell>
          <cell r="EQ27">
            <v>4.4749999999999998E-2</v>
          </cell>
          <cell r="ER27">
            <v>4.4999999999999998E-2</v>
          </cell>
          <cell r="ES27">
            <v>4.4999999999999998E-2</v>
          </cell>
          <cell r="ET27">
            <v>4.4999999999999998E-2</v>
          </cell>
          <cell r="EU27">
            <v>4.4999999999999998E-2</v>
          </cell>
          <cell r="EV27">
            <v>4.4999999999999998E-2</v>
          </cell>
          <cell r="EW27">
            <v>4.4999999999999998E-2</v>
          </cell>
          <cell r="EX27">
            <v>4.4999999999999998E-2</v>
          </cell>
          <cell r="EY27">
            <v>4.4999999999999998E-2</v>
          </cell>
          <cell r="EZ27">
            <v>4.4999999999999998E-2</v>
          </cell>
          <cell r="FA27">
            <v>4.4999999999999998E-2</v>
          </cell>
          <cell r="FB27">
            <v>4.4999999999999998E-2</v>
          </cell>
          <cell r="FC27">
            <v>4.4999999999999998E-2</v>
          </cell>
          <cell r="FD27">
            <v>4.4999999999999998E-2</v>
          </cell>
          <cell r="FE27">
            <v>4.4999999999999998E-2</v>
          </cell>
          <cell r="FF27">
            <v>4.4999999999999998E-2</v>
          </cell>
          <cell r="FG27">
            <v>4.4999999999999998E-2</v>
          </cell>
          <cell r="FH27">
            <v>4.4999999999999998E-2</v>
          </cell>
          <cell r="FI27">
            <v>4.4999999999999998E-2</v>
          </cell>
          <cell r="FJ27">
            <v>4.4999999999999998E-2</v>
          </cell>
          <cell r="FK27">
            <v>4.4999999999999998E-2</v>
          </cell>
          <cell r="FL27">
            <v>4.4999999999999998E-2</v>
          </cell>
          <cell r="FM27">
            <v>4.4999999999999998E-2</v>
          </cell>
          <cell r="FN27">
            <v>4.4999999999999998E-2</v>
          </cell>
          <cell r="FO27">
            <v>4.4999999999999998E-2</v>
          </cell>
          <cell r="FP27">
            <v>4.4999999999999998E-2</v>
          </cell>
          <cell r="FQ27">
            <v>4.4999999999999998E-2</v>
          </cell>
          <cell r="FR27">
            <v>4.4999999999999998E-2</v>
          </cell>
          <cell r="FS27">
            <v>4.4999999999999998E-2</v>
          </cell>
          <cell r="FT27">
            <v>4.4999999999999998E-2</v>
          </cell>
          <cell r="FU27">
            <v>4.4999999999999998E-2</v>
          </cell>
        </row>
        <row r="28">
          <cell r="A28" t="str">
            <v>us_govt10y_avg_6m</v>
          </cell>
          <cell r="B28" t="str">
            <v>US 10 yr bond</v>
          </cell>
          <cell r="D28">
            <v>7.266333333333333E-2</v>
          </cell>
          <cell r="E28">
            <v>7.3453333333333329E-2</v>
          </cell>
          <cell r="F28">
            <v>6.9463333333333349E-2</v>
          </cell>
          <cell r="G28">
            <v>6.6816666666666663E-2</v>
          </cell>
          <cell r="H28">
            <v>6.467666666666666E-2</v>
          </cell>
          <cell r="I28">
            <v>6.0518333333333334E-2</v>
          </cell>
          <cell r="J28">
            <v>5.758166666666667E-2</v>
          </cell>
          <cell r="K28">
            <v>5.6073333333333329E-2</v>
          </cell>
          <cell r="L28">
            <v>5.9230000000000012E-2</v>
          </cell>
          <cell r="M28">
            <v>6.6695000000000004E-2</v>
          </cell>
          <cell r="N28">
            <v>7.2323333333333337E-2</v>
          </cell>
          <cell r="O28">
            <v>7.5718333333333332E-2</v>
          </cell>
          <cell r="P28">
            <v>7.5843333333333332E-2</v>
          </cell>
          <cell r="Q28">
            <v>6.9163333333333341E-2</v>
          </cell>
          <cell r="R28">
            <v>6.4031666666666667E-2</v>
          </cell>
          <cell r="S28">
            <v>6.0380000000000003E-2</v>
          </cell>
          <cell r="T28">
            <v>5.8905000000000006E-2</v>
          </cell>
          <cell r="U28">
            <v>6.3709999999999989E-2</v>
          </cell>
          <cell r="V28">
            <v>6.7768333333333333E-2</v>
          </cell>
          <cell r="W28">
            <v>6.5401666666666664E-2</v>
          </cell>
          <cell r="X28">
            <v>6.4578333333333335E-2</v>
          </cell>
          <cell r="Y28">
            <v>6.6356666666666661E-2</v>
          </cell>
          <cell r="Z28">
            <v>6.3854999999999995E-2</v>
          </cell>
          <cell r="AA28">
            <v>5.9773333333333331E-2</v>
          </cell>
          <cell r="AB28">
            <v>5.6973333333333327E-2</v>
          </cell>
          <cell r="AC28">
            <v>5.5696666666666665E-2</v>
          </cell>
          <cell r="AD28">
            <v>5.2498333333333341E-2</v>
          </cell>
          <cell r="AE28">
            <v>4.7913333333333336E-2</v>
          </cell>
          <cell r="AF28">
            <v>4.8453333333333334E-2</v>
          </cell>
          <cell r="AG28">
            <v>5.3156666666666658E-2</v>
          </cell>
          <cell r="AH28">
            <v>5.7429999999999995E-2</v>
          </cell>
          <cell r="AI28">
            <v>6.0635000000000001E-2</v>
          </cell>
          <cell r="AJ28">
            <v>6.2859999999999999E-2</v>
          </cell>
          <cell r="AK28">
            <v>6.2611666666666677E-2</v>
          </cell>
          <cell r="AL28">
            <v>6.0080000000000001E-2</v>
          </cell>
          <cell r="AM28">
            <v>5.6444999999999995E-2</v>
          </cell>
          <cell r="AN28">
            <v>5.2089999999999997E-2</v>
          </cell>
          <cell r="AO28">
            <v>5.1741666666666665E-2</v>
          </cell>
          <cell r="AP28">
            <v>5.0919999999999993E-2</v>
          </cell>
          <cell r="AQ28">
            <v>4.7399999999999991E-2</v>
          </cell>
          <cell r="AR28">
            <v>4.8820000000000002E-2</v>
          </cell>
          <cell r="AS28">
            <v>5.038666666666667E-2</v>
          </cell>
          <cell r="AT28">
            <v>4.5179999999999998E-2</v>
          </cell>
          <cell r="AU28">
            <v>4.0143333333333329E-2</v>
          </cell>
          <cell r="AV28">
            <v>3.8956333333333329E-2</v>
          </cell>
          <cell r="AW28">
            <v>3.6980666666666662E-2</v>
          </cell>
          <cell r="AX28">
            <v>3.9238999999999996E-2</v>
          </cell>
          <cell r="AY28">
            <v>4.2815833333333338E-2</v>
          </cell>
          <cell r="AZ28">
            <v>4.1368500000000002E-2</v>
          </cell>
          <cell r="BA28">
            <v>4.282600000000001E-2</v>
          </cell>
          <cell r="BB28">
            <v>4.4121500000000008E-2</v>
          </cell>
          <cell r="BC28">
            <v>4.2192833333333332E-2</v>
          </cell>
          <cell r="BD28">
            <v>4.2644166666666664E-2</v>
          </cell>
          <cell r="BE28">
            <v>4.1814166666666666E-2</v>
          </cell>
          <cell r="BF28">
            <v>4.1189999999999997E-2</v>
          </cell>
          <cell r="BG28">
            <v>4.3429999999999996E-2</v>
          </cell>
          <cell r="BH28">
            <v>4.559333333333334E-2</v>
          </cell>
          <cell r="BI28">
            <v>4.8734166666666655E-2</v>
          </cell>
          <cell r="BJ28">
            <v>4.9441166666666668E-2</v>
          </cell>
          <cell r="BK28">
            <v>4.683416666666667E-2</v>
          </cell>
          <cell r="BL28">
            <v>4.630716666666667E-2</v>
          </cell>
          <cell r="BM28">
            <v>4.7611250000000008E-2</v>
          </cell>
          <cell r="BN28">
            <v>4.7328916666666672E-2</v>
          </cell>
          <cell r="BO28">
            <v>4.3831416666666671E-2</v>
          </cell>
          <cell r="BP28">
            <v>3.8277166666666668E-2</v>
          </cell>
          <cell r="BQ28">
            <v>3.7134166666666669E-2</v>
          </cell>
          <cell r="BR28">
            <v>3.8919916666666665E-2</v>
          </cell>
          <cell r="BS28">
            <v>3.4471416666666664E-2</v>
          </cell>
          <cell r="BT28">
            <v>2.9366500000000004E-2</v>
          </cell>
          <cell r="BU28">
            <v>3.1078333333333333E-2</v>
          </cell>
          <cell r="BV28">
            <v>3.3844166666666668E-2</v>
          </cell>
          <cell r="BW28">
            <v>3.4335583333333336E-2</v>
          </cell>
          <cell r="BX28">
            <v>3.574666666666667E-2</v>
          </cell>
          <cell r="BY28">
            <v>3.4877166666666667E-2</v>
          </cell>
          <cell r="BZ28">
            <v>2.9628833333333337E-2</v>
          </cell>
          <cell r="CA28">
            <v>2.7630666666666664E-2</v>
          </cell>
          <cell r="CB28">
            <v>3.1599833333333334E-2</v>
          </cell>
          <cell r="CC28">
            <v>3.2969166666666667E-2</v>
          </cell>
          <cell r="CD28">
            <v>2.7430333333333334E-2</v>
          </cell>
          <cell r="CE28">
            <v>2.1708166666666667E-2</v>
          </cell>
          <cell r="CF28">
            <v>2.0108416666666663E-2</v>
          </cell>
          <cell r="CG28">
            <v>1.8521500000000003E-2</v>
          </cell>
          <cell r="CH28">
            <v>1.6308166666666669E-2</v>
          </cell>
          <cell r="CI28">
            <v>1.6221583333333331E-2</v>
          </cell>
          <cell r="CJ28">
            <v>1.7998333333333328E-2</v>
          </cell>
          <cell r="CK28">
            <v>2.0029833333333334E-2</v>
          </cell>
          <cell r="CL28">
            <v>2.3797250000000002E-2</v>
          </cell>
          <cell r="CM28">
            <v>2.7208333333333338E-2</v>
          </cell>
          <cell r="CN28">
            <v>2.7318416666666664E-2</v>
          </cell>
          <cell r="CO28">
            <v>2.6169333333333333E-2</v>
          </cell>
          <cell r="CP28">
            <v>2.5071833333333335E-2</v>
          </cell>
          <cell r="CQ28">
            <v>2.3441416666666669E-2</v>
          </cell>
          <cell r="CR28">
            <v>2.0386083333333332E-2</v>
          </cell>
          <cell r="CS28">
            <v>2.0106249999999996E-2</v>
          </cell>
          <cell r="CT28">
            <v>2.1572666666666664E-2</v>
          </cell>
          <cell r="CU28">
            <v>2.1759500000000001E-2</v>
          </cell>
          <cell r="CV28">
            <v>2.0076083333333331E-2</v>
          </cell>
          <cell r="CW28">
            <v>1.7635166666666667E-2</v>
          </cell>
          <cell r="CX28">
            <v>1.6298833333333335E-2</v>
          </cell>
          <cell r="CY28">
            <v>1.8804249999999998E-2</v>
          </cell>
          <cell r="CZ28">
            <v>2.3196666666666664E-2</v>
          </cell>
          <cell r="DA28">
            <v>2.341883333333333E-2</v>
          </cell>
          <cell r="DB28">
            <v>2.2562916666666669E-2</v>
          </cell>
          <cell r="DC28">
            <v>2.3239333333333338E-2</v>
          </cell>
          <cell r="DD28">
            <v>2.5842416666666666E-2</v>
          </cell>
          <cell r="DE28">
            <v>2.8314416666666665E-2</v>
          </cell>
          <cell r="DF28">
            <v>2.9263916666666671E-2</v>
          </cell>
          <cell r="DG28">
            <v>2.9489666666666667E-2</v>
          </cell>
          <cell r="DH28">
            <v>2.7606749999999996E-2</v>
          </cell>
          <cell r="DI28">
            <v>2.3978000000000003E-2</v>
          </cell>
          <cell r="DJ28">
            <v>1.9702916666666667E-2</v>
          </cell>
          <cell r="DK28">
            <v>1.7617999999999998E-2</v>
          </cell>
          <cell r="DL28">
            <v>1.4499916666666666E-2</v>
          </cell>
          <cell r="DM28">
            <v>8.7670000000000005E-3</v>
          </cell>
          <cell r="DN28">
            <v>6.4483333333333337E-3</v>
          </cell>
          <cell r="DO28">
            <v>7.6017499999999991E-3</v>
          </cell>
          <cell r="DP28">
            <v>1.1464416666666668E-2</v>
          </cell>
          <cell r="DQ28">
            <v>1.4856666666666667E-2</v>
          </cell>
          <cell r="DR28">
            <v>1.4540333333333332E-2</v>
          </cell>
          <cell r="DS28">
            <v>1.4391000000000001E-2</v>
          </cell>
          <cell r="DT28">
            <v>1.7661166666666669E-2</v>
          </cell>
          <cell r="DU28">
            <v>2.4586166666666666E-2</v>
          </cell>
          <cell r="DV28">
            <v>3.0458833333333327E-2</v>
          </cell>
          <cell r="DW28">
            <v>3.5236833333333328E-2</v>
          </cell>
          <cell r="DX28">
            <v>3.7760500000000002E-2</v>
          </cell>
          <cell r="DY28">
            <v>3.6746333333333339E-2</v>
          </cell>
          <cell r="DZ28">
            <v>3.937633333333334E-2</v>
          </cell>
          <cell r="EA28">
            <v>4.2609000000000001E-2</v>
          </cell>
          <cell r="EB28">
            <v>4.2372500000000007E-2</v>
          </cell>
          <cell r="EC28">
            <v>4.3317833333333333E-2</v>
          </cell>
          <cell r="ED28">
            <v>4.2138833333333327E-2</v>
          </cell>
          <cell r="EE28">
            <v>4.1321166666666666E-2</v>
          </cell>
          <cell r="EF28">
            <v>4.3323333333333339E-2</v>
          </cell>
          <cell r="EG28">
            <v>4.3055666666666666E-2</v>
          </cell>
          <cell r="EH28">
            <v>4.2617500000000003E-2</v>
          </cell>
          <cell r="EI28">
            <v>4.1593666666666668E-2</v>
          </cell>
          <cell r="EJ28">
            <v>4.2590000000000003E-2</v>
          </cell>
          <cell r="EK28">
            <v>4.3999999999999997E-2</v>
          </cell>
          <cell r="EL28">
            <v>4.4249999999999998E-2</v>
          </cell>
          <cell r="EM28">
            <v>4.4499999999999998E-2</v>
          </cell>
          <cell r="EN28">
            <v>4.4749999999999998E-2</v>
          </cell>
          <cell r="EO28">
            <v>4.4999999999999998E-2</v>
          </cell>
          <cell r="EP28">
            <v>4.5249999999999999E-2</v>
          </cell>
          <cell r="EQ28">
            <v>4.5499999999999999E-2</v>
          </cell>
          <cell r="ER28">
            <v>4.5749999999999999E-2</v>
          </cell>
          <cell r="ES28">
            <v>4.5999999999999999E-2</v>
          </cell>
          <cell r="ET28">
            <v>4.5999999999999999E-2</v>
          </cell>
          <cell r="EU28">
            <v>4.5999999999999999E-2</v>
          </cell>
          <cell r="EV28">
            <v>4.5999999999999999E-2</v>
          </cell>
          <cell r="EW28">
            <v>4.5999999999999999E-2</v>
          </cell>
          <cell r="EX28">
            <v>4.5999999999999999E-2</v>
          </cell>
          <cell r="EY28">
            <v>4.5999999999999999E-2</v>
          </cell>
          <cell r="EZ28">
            <v>4.5999999999999999E-2</v>
          </cell>
          <cell r="FA28">
            <v>4.5999999999999999E-2</v>
          </cell>
          <cell r="FB28">
            <v>4.5999999999999999E-2</v>
          </cell>
          <cell r="FC28">
            <v>4.5999999999999999E-2</v>
          </cell>
          <cell r="FD28">
            <v>4.5999999999999999E-2</v>
          </cell>
          <cell r="FE28">
            <v>4.5999999999999999E-2</v>
          </cell>
          <cell r="FF28">
            <v>4.5999999999999999E-2</v>
          </cell>
          <cell r="FG28">
            <v>4.5999999999999999E-2</v>
          </cell>
          <cell r="FH28">
            <v>4.5999999999999999E-2</v>
          </cell>
          <cell r="FI28">
            <v>4.5999999999999999E-2</v>
          </cell>
          <cell r="FJ28">
            <v>4.5999999999999999E-2</v>
          </cell>
          <cell r="FK28">
            <v>4.5999999999999999E-2</v>
          </cell>
          <cell r="FL28">
            <v>4.5999999999999999E-2</v>
          </cell>
          <cell r="FM28">
            <v>4.5999999999999999E-2</v>
          </cell>
          <cell r="FN28">
            <v>4.5999999999999999E-2</v>
          </cell>
          <cell r="FO28">
            <v>4.5999999999999999E-2</v>
          </cell>
          <cell r="FP28">
            <v>4.5999999999999999E-2</v>
          </cell>
          <cell r="FQ28">
            <v>4.5999999999999999E-2</v>
          </cell>
          <cell r="FR28">
            <v>4.5999999999999999E-2</v>
          </cell>
          <cell r="FS28">
            <v>4.5999999999999999E-2</v>
          </cell>
          <cell r="FT28">
            <v>4.5999999999999999E-2</v>
          </cell>
          <cell r="FU28">
            <v>4.5999999999999999E-2</v>
          </cell>
        </row>
        <row r="29"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  <cell r="CE29"/>
          <cell r="CF29"/>
          <cell r="CG29"/>
          <cell r="CH29"/>
          <cell r="CI29"/>
          <cell r="CJ29"/>
          <cell r="CK29"/>
          <cell r="CL29"/>
          <cell r="CM29"/>
          <cell r="CN29"/>
          <cell r="CO29"/>
          <cell r="CP29"/>
          <cell r="CQ29"/>
          <cell r="CR29"/>
          <cell r="CS29"/>
          <cell r="CT29"/>
          <cell r="CU29"/>
          <cell r="CV29"/>
          <cell r="CW29"/>
          <cell r="CX29"/>
          <cell r="CY29"/>
          <cell r="CZ29"/>
          <cell r="DA29"/>
          <cell r="DB29"/>
          <cell r="DC29"/>
          <cell r="DD29"/>
          <cell r="DE29"/>
          <cell r="DF29"/>
          <cell r="DG29"/>
          <cell r="DH29"/>
          <cell r="DI29"/>
          <cell r="DJ29"/>
          <cell r="DK29"/>
          <cell r="DL29"/>
          <cell r="DM29"/>
          <cell r="DN29"/>
          <cell r="DO29"/>
          <cell r="DP29"/>
          <cell r="DQ29"/>
          <cell r="DR29"/>
          <cell r="DS29"/>
          <cell r="DT29"/>
          <cell r="DU29"/>
          <cell r="DV29"/>
          <cell r="DW29"/>
          <cell r="DX29"/>
          <cell r="DY29"/>
          <cell r="DZ29"/>
          <cell r="EA29"/>
          <cell r="EB29"/>
          <cell r="EC29"/>
          <cell r="ED29"/>
          <cell r="EE29"/>
          <cell r="EG29"/>
          <cell r="EH29"/>
          <cell r="EI29"/>
        </row>
        <row r="30">
          <cell r="B30" t="str">
            <v>Rates - average (12mo)</v>
          </cell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  <cell r="CE30"/>
          <cell r="CF30"/>
          <cell r="CG30"/>
          <cell r="CH30"/>
          <cell r="CI30"/>
          <cell r="CJ30"/>
          <cell r="CK30"/>
          <cell r="CL30"/>
          <cell r="CM30"/>
          <cell r="CN30"/>
          <cell r="CO30"/>
          <cell r="CP30"/>
          <cell r="CQ30"/>
          <cell r="CR30"/>
          <cell r="CS30"/>
          <cell r="CT30"/>
          <cell r="CU30"/>
          <cell r="CV30"/>
          <cell r="CW30"/>
          <cell r="CX30"/>
          <cell r="CY30"/>
          <cell r="CZ30"/>
          <cell r="DA30"/>
          <cell r="DB30"/>
          <cell r="DC30"/>
          <cell r="DD30"/>
          <cell r="DE30"/>
          <cell r="DF30"/>
          <cell r="DG30"/>
          <cell r="DH30"/>
          <cell r="DI30"/>
          <cell r="DJ30"/>
          <cell r="DK30"/>
          <cell r="DL30"/>
          <cell r="DM30"/>
          <cell r="DN30"/>
          <cell r="DO30"/>
          <cell r="DP30"/>
          <cell r="DQ30"/>
          <cell r="DR30"/>
          <cell r="DS30"/>
          <cell r="DT30"/>
          <cell r="DU30"/>
          <cell r="DV30"/>
          <cell r="DW30"/>
          <cell r="DX30"/>
          <cell r="DY30"/>
          <cell r="DZ30"/>
          <cell r="EA30"/>
          <cell r="EB30"/>
          <cell r="EC30"/>
          <cell r="ED30"/>
          <cell r="EE30"/>
          <cell r="EF30"/>
          <cell r="EG30"/>
          <cell r="EH30"/>
          <cell r="EI30"/>
          <cell r="EJ30"/>
          <cell r="EK30"/>
          <cell r="EL30"/>
          <cell r="EM30"/>
          <cell r="EN30"/>
          <cell r="EO30"/>
          <cell r="EP30"/>
          <cell r="EQ30"/>
          <cell r="ER30"/>
          <cell r="ES30"/>
          <cell r="ET30"/>
          <cell r="EU30"/>
          <cell r="EV30"/>
          <cell r="EW30"/>
          <cell r="EX30"/>
          <cell r="EY30"/>
          <cell r="EZ30"/>
          <cell r="FA30"/>
          <cell r="FB30"/>
          <cell r="FC30"/>
          <cell r="FD30"/>
          <cell r="FE30"/>
          <cell r="FF30"/>
          <cell r="FG30"/>
          <cell r="FH30"/>
          <cell r="FI30"/>
          <cell r="FJ30"/>
          <cell r="FK30"/>
          <cell r="FL30"/>
          <cell r="FM30"/>
          <cell r="FN30"/>
          <cell r="FO30"/>
          <cell r="FP30"/>
          <cell r="FQ30"/>
          <cell r="FR30"/>
          <cell r="FS30"/>
          <cell r="FT30"/>
          <cell r="FU30"/>
        </row>
        <row r="31">
          <cell r="A31" t="str">
            <v>12MoCashg</v>
          </cell>
          <cell r="B31" t="str">
            <v>Aust cash</v>
          </cell>
          <cell r="D31">
            <v>9.3208333333333351E-2</v>
          </cell>
          <cell r="E31">
            <v>8.3291666666666681E-2</v>
          </cell>
          <cell r="F31">
            <v>7.154166666666667E-2</v>
          </cell>
          <cell r="G31">
            <v>6.3791666666666663E-2</v>
          </cell>
          <cell r="H31">
            <v>5.8875000000000004E-2</v>
          </cell>
          <cell r="I31">
            <v>5.4791666666666676E-2</v>
          </cell>
          <cell r="J31">
            <v>5.2875000000000005E-2</v>
          </cell>
          <cell r="K31">
            <v>5.0499999999999996E-2</v>
          </cell>
          <cell r="L31">
            <v>4.8500000000000008E-2</v>
          </cell>
          <cell r="M31">
            <v>4.7083333333333338E-2</v>
          </cell>
          <cell r="N31">
            <v>4.8250000000000001E-2</v>
          </cell>
          <cell r="O31">
            <v>5.3249999999999999E-2</v>
          </cell>
          <cell r="P31">
            <v>6.0041666666666674E-2</v>
          </cell>
          <cell r="Q31">
            <v>6.7058333333333345E-2</v>
          </cell>
          <cell r="R31">
            <v>7.2600000000000026E-2</v>
          </cell>
          <cell r="S31">
            <v>7.4266666666666661E-2</v>
          </cell>
          <cell r="T31">
            <v>7.4141666666666675E-2</v>
          </cell>
          <cell r="U31">
            <v>7.3666666666666672E-2</v>
          </cell>
          <cell r="V31">
            <v>7.2666666666666657E-2</v>
          </cell>
          <cell r="W31">
            <v>7.0391666666666672E-2</v>
          </cell>
          <cell r="X31">
            <v>6.696666666666666E-2</v>
          </cell>
          <cell r="Y31">
            <v>6.3125000000000014E-2</v>
          </cell>
          <cell r="Z31">
            <v>5.8083333333333348E-2</v>
          </cell>
          <cell r="AA31">
            <v>5.4225000000000023E-2</v>
          </cell>
          <cell r="AB31">
            <v>5.1600000000000007E-2</v>
          </cell>
          <cell r="AC31">
            <v>4.9791666666666679E-2</v>
          </cell>
          <cell r="AD31">
            <v>4.9791666666666679E-2</v>
          </cell>
          <cell r="AE31">
            <v>4.9575000000000008E-2</v>
          </cell>
          <cell r="AF31">
            <v>4.8941666666666668E-2</v>
          </cell>
          <cell r="AG31">
            <v>4.8391666666666666E-2</v>
          </cell>
          <cell r="AH31">
            <v>4.7833333333333325E-2</v>
          </cell>
          <cell r="AI31">
            <v>4.7866666666666662E-2</v>
          </cell>
          <cell r="AJ31">
            <v>4.9383333333333335E-2</v>
          </cell>
          <cell r="AK31">
            <v>5.2291666666666667E-2</v>
          </cell>
          <cell r="AL31">
            <v>5.5808333333333335E-2</v>
          </cell>
          <cell r="AM31">
            <v>5.9166666666666673E-2</v>
          </cell>
          <cell r="AN31">
            <v>6.0416666666666667E-2</v>
          </cell>
          <cell r="AO31">
            <v>5.8125000000000003E-2</v>
          </cell>
          <cell r="AP31">
            <v>5.5E-2</v>
          </cell>
          <cell r="AQ31">
            <v>5.0416666666666672E-2</v>
          </cell>
          <cell r="AR31">
            <v>4.6458333333333331E-2</v>
          </cell>
          <cell r="AS31">
            <v>4.520833333333333E-2</v>
          </cell>
          <cell r="AT31">
            <v>4.4791666666666667E-2</v>
          </cell>
          <cell r="AU31">
            <v>4.5624999999999999E-2</v>
          </cell>
          <cell r="AV31">
            <v>4.6875E-2</v>
          </cell>
          <cell r="AW31">
            <v>4.7500000000000001E-2</v>
          </cell>
          <cell r="AX31">
            <v>4.7500000000000001E-2</v>
          </cell>
          <cell r="AY31">
            <v>4.8125000000000001E-2</v>
          </cell>
          <cell r="AZ31">
            <v>4.9375000000000002E-2</v>
          </cell>
          <cell r="BA31">
            <v>5.0625000000000003E-2</v>
          </cell>
          <cell r="BB31">
            <v>5.1874999999999998E-2</v>
          </cell>
          <cell r="BC31">
            <v>5.2499999999999998E-2</v>
          </cell>
          <cell r="BD31">
            <v>5.2708333333333329E-2</v>
          </cell>
          <cell r="BE31">
            <v>5.333333333333333E-2</v>
          </cell>
          <cell r="BF31">
            <v>5.395833333333333E-2</v>
          </cell>
          <cell r="BG31">
            <v>5.4583333333333331E-2</v>
          </cell>
          <cell r="BH31">
            <v>5.5E-2</v>
          </cell>
          <cell r="BI31">
            <v>5.541666666666667E-2</v>
          </cell>
          <cell r="BJ31">
            <v>5.6458333333333333E-2</v>
          </cell>
          <cell r="BK31">
            <v>5.8125000000000003E-2</v>
          </cell>
          <cell r="BL31">
            <v>0.06</v>
          </cell>
          <cell r="BM31">
            <v>6.145833333333333E-2</v>
          </cell>
          <cell r="BN31">
            <v>6.2708333333333324E-2</v>
          </cell>
          <cell r="BO31">
            <v>6.3958333333333325E-2</v>
          </cell>
          <cell r="BP31">
            <v>6.5833333333333327E-2</v>
          </cell>
          <cell r="BQ31">
            <v>6.8333333333333329E-2</v>
          </cell>
          <cell r="BR31">
            <v>7.0208333333333331E-2</v>
          </cell>
          <cell r="BS31">
            <v>6.6458333333333328E-2</v>
          </cell>
          <cell r="BT31">
            <v>5.7916666666666672E-2</v>
          </cell>
          <cell r="BU31">
            <v>4.7291666666666669E-2</v>
          </cell>
          <cell r="BV31">
            <v>3.6874999999999998E-2</v>
          </cell>
          <cell r="BW31">
            <v>3.2708333333333332E-2</v>
          </cell>
          <cell r="BX31">
            <v>3.3333333333333333E-2</v>
          </cell>
          <cell r="BY31">
            <v>3.6874999999999998E-2</v>
          </cell>
          <cell r="BZ31">
            <v>4.0625000000000001E-2</v>
          </cell>
          <cell r="CA31">
            <v>4.3541666666666673E-2</v>
          </cell>
          <cell r="CB31">
            <v>4.583333333333333E-2</v>
          </cell>
          <cell r="CC31">
            <v>4.6666666666666669E-2</v>
          </cell>
          <cell r="CD31">
            <v>4.7291666666666669E-2</v>
          </cell>
          <cell r="CE31">
            <v>4.6875E-2</v>
          </cell>
          <cell r="CF31">
            <v>4.5624999999999999E-2</v>
          </cell>
          <cell r="CG31">
            <v>4.3333333333333328E-2</v>
          </cell>
          <cell r="CH31">
            <v>4.0208333333333332E-2</v>
          </cell>
          <cell r="CI31">
            <v>3.6874999999999998E-2</v>
          </cell>
          <cell r="CJ31">
            <v>3.3750000000000002E-2</v>
          </cell>
          <cell r="CK31">
            <v>3.125E-2</v>
          </cell>
          <cell r="CL31">
            <v>2.8958333333333336E-2</v>
          </cell>
          <cell r="CM31">
            <v>2.7291666666666665E-2</v>
          </cell>
          <cell r="CN31">
            <v>2.6041666666666664E-2</v>
          </cell>
          <cell r="CO31">
            <v>2.5208333333333336E-2</v>
          </cell>
          <cell r="CP31">
            <v>2.5000000000000001E-2</v>
          </cell>
          <cell r="CQ31">
            <v>2.5000000000000001E-2</v>
          </cell>
          <cell r="CR31">
            <v>2.4583333333333336E-2</v>
          </cell>
          <cell r="CS31">
            <v>2.3541666666666666E-2</v>
          </cell>
          <cell r="CT31">
            <v>2.2291666666666664E-2</v>
          </cell>
          <cell r="CU31">
            <v>2.1041666666666667E-2</v>
          </cell>
          <cell r="CV31">
            <v>2.0208333333333335E-2</v>
          </cell>
          <cell r="CW31">
            <v>1.9583333333333331E-2</v>
          </cell>
          <cell r="CX31">
            <v>1.8541666666666668E-2</v>
          </cell>
          <cell r="CY31">
            <v>1.7291666666666667E-2</v>
          </cell>
          <cell r="CZ31">
            <v>1.6041666666666666E-2</v>
          </cell>
          <cell r="DA31">
            <v>1.5208333333333332E-2</v>
          </cell>
          <cell r="DB31">
            <v>1.4999999999999999E-2</v>
          </cell>
          <cell r="DC31">
            <v>1.4999999999999999E-2</v>
          </cell>
          <cell r="DD31">
            <v>1.4999999999999999E-2</v>
          </cell>
          <cell r="DE31">
            <v>1.4999999999999999E-2</v>
          </cell>
          <cell r="DF31">
            <v>1.4999999999999999E-2</v>
          </cell>
          <cell r="DG31">
            <v>1.4999999999999999E-2</v>
          </cell>
          <cell r="DH31">
            <v>1.4999999999999999E-2</v>
          </cell>
          <cell r="DI31">
            <v>1.4791666666666668E-2</v>
          </cell>
          <cell r="DJ31">
            <v>1.3541666666666667E-2</v>
          </cell>
          <cell r="DK31">
            <v>1.1666666666666667E-2</v>
          </cell>
          <cell r="DL31">
            <v>9.3749999999999997E-3</v>
          </cell>
          <cell r="DM31">
            <v>6.4583333333333333E-3</v>
          </cell>
          <cell r="DN31">
            <v>4.5833333333333334E-3</v>
          </cell>
          <cell r="DO31">
            <v>3.0833333333333333E-3</v>
          </cell>
          <cell r="DP31">
            <v>1.8750000000000004E-3</v>
          </cell>
          <cell r="DQ31">
            <v>1.5000000000000005E-3</v>
          </cell>
          <cell r="DR31">
            <v>1.1250000000000001E-3</v>
          </cell>
          <cell r="DS31">
            <v>1E-3</v>
          </cell>
          <cell r="DT31">
            <v>1E-3</v>
          </cell>
          <cell r="DU31">
            <v>1.8333333333333333E-3</v>
          </cell>
          <cell r="DV31">
            <v>6.2083333333333322E-3</v>
          </cell>
          <cell r="DW31">
            <v>1.3083333333333334E-2</v>
          </cell>
          <cell r="DX31">
            <v>2.1208333333333336E-2</v>
          </cell>
          <cell r="DY31">
            <v>2.9750000000000002E-2</v>
          </cell>
          <cell r="DZ31">
            <v>3.5375000000000011E-2</v>
          </cell>
          <cell r="EA31">
            <v>3.8916666666666676E-2</v>
          </cell>
          <cell r="EB31">
            <v>4.1416666666666678E-2</v>
          </cell>
          <cell r="EC31">
            <v>4.2666666666666672E-2</v>
          </cell>
          <cell r="ED31">
            <v>4.3291666666666673E-2</v>
          </cell>
          <cell r="EE31">
            <v>4.3500000000000004E-2</v>
          </cell>
          <cell r="EF31">
            <v>4.3083333333333342E-2</v>
          </cell>
          <cell r="EG31">
            <v>4.2041666666666672E-2</v>
          </cell>
          <cell r="EH31">
            <v>4.0375000000000008E-2</v>
          </cell>
          <cell r="EI31">
            <v>3.8500000000000006E-2</v>
          </cell>
          <cell r="EJ31">
            <v>3.7250000000000005E-2</v>
          </cell>
          <cell r="EK31">
            <v>3.7875000000000006E-2</v>
          </cell>
          <cell r="EL31">
            <v>3.9125E-2</v>
          </cell>
          <cell r="EM31">
            <v>4.0374999999999994E-2</v>
          </cell>
          <cell r="EN31">
            <v>4.0374999999999994E-2</v>
          </cell>
          <cell r="EO31">
            <v>3.9125E-2</v>
          </cell>
          <cell r="EP31">
            <v>3.7874999999999999E-2</v>
          </cell>
          <cell r="EQ31">
            <v>3.6625000000000005E-2</v>
          </cell>
          <cell r="ER31">
            <v>3.6000000000000004E-2</v>
          </cell>
          <cell r="ES31">
            <v>3.6000000000000004E-2</v>
          </cell>
          <cell r="ET31">
            <v>3.6000000000000004E-2</v>
          </cell>
          <cell r="EU31">
            <v>3.6000000000000004E-2</v>
          </cell>
          <cell r="EV31">
            <v>3.6000000000000004E-2</v>
          </cell>
          <cell r="EW31">
            <v>3.6000000000000004E-2</v>
          </cell>
          <cell r="EX31">
            <v>3.6000000000000004E-2</v>
          </cell>
          <cell r="EY31">
            <v>3.6000000000000004E-2</v>
          </cell>
          <cell r="EZ31">
            <v>3.6000000000000004E-2</v>
          </cell>
          <cell r="FA31">
            <v>3.6000000000000004E-2</v>
          </cell>
          <cell r="FB31">
            <v>3.6000000000000004E-2</v>
          </cell>
          <cell r="FC31">
            <v>3.6000000000000004E-2</v>
          </cell>
          <cell r="FD31">
            <v>3.6000000000000004E-2</v>
          </cell>
          <cell r="FE31">
            <v>3.6000000000000004E-2</v>
          </cell>
          <cell r="FF31">
            <v>3.6000000000000004E-2</v>
          </cell>
          <cell r="FG31">
            <v>3.6000000000000004E-2</v>
          </cell>
          <cell r="FH31">
            <v>3.6000000000000004E-2</v>
          </cell>
          <cell r="FI31">
            <v>3.6000000000000004E-2</v>
          </cell>
          <cell r="FJ31">
            <v>3.6000000000000004E-2</v>
          </cell>
          <cell r="FK31">
            <v>3.6000000000000004E-2</v>
          </cell>
          <cell r="FL31">
            <v>3.6000000000000004E-2</v>
          </cell>
          <cell r="FM31">
            <v>3.6000000000000004E-2</v>
          </cell>
          <cell r="FN31">
            <v>3.6000000000000004E-2</v>
          </cell>
          <cell r="FO31">
            <v>3.6000000000000004E-2</v>
          </cell>
          <cell r="FP31">
            <v>3.6000000000000004E-2</v>
          </cell>
          <cell r="FQ31">
            <v>3.6000000000000004E-2</v>
          </cell>
          <cell r="FR31">
            <v>3.6000000000000004E-2</v>
          </cell>
          <cell r="FS31">
            <v>3.6000000000000004E-2</v>
          </cell>
          <cell r="FT31">
            <v>3.6000000000000004E-2</v>
          </cell>
          <cell r="FU31">
            <v>3.6000000000000004E-2</v>
          </cell>
        </row>
        <row r="32">
          <cell r="A32" t="str">
            <v>au_bbsw3m_avg_12m</v>
          </cell>
          <cell r="B32" t="str">
            <v>Aust 90 day bill</v>
          </cell>
          <cell r="D32">
            <v>9.1108333333333333E-2</v>
          </cell>
          <cell r="E32">
            <v>8.0391666666666681E-2</v>
          </cell>
          <cell r="F32">
            <v>6.987500000000002E-2</v>
          </cell>
          <cell r="G32">
            <v>6.4291666666666678E-2</v>
          </cell>
          <cell r="H32">
            <v>5.944166666666667E-2</v>
          </cell>
          <cell r="I32">
            <v>5.6316666666666668E-2</v>
          </cell>
          <cell r="J32">
            <v>5.3925000000000008E-2</v>
          </cell>
          <cell r="K32">
            <v>5.115833333333332E-2</v>
          </cell>
          <cell r="L32">
            <v>4.9349999999999998E-2</v>
          </cell>
          <cell r="M32">
            <v>4.9116666666666663E-2</v>
          </cell>
          <cell r="N32">
            <v>5.151583333333333E-2</v>
          </cell>
          <cell r="O32">
            <v>5.7943333333333333E-2</v>
          </cell>
          <cell r="P32">
            <v>6.5919999999999992E-2</v>
          </cell>
          <cell r="Q32">
            <v>7.229250000000001E-2</v>
          </cell>
          <cell r="R32">
            <v>7.6720833333333335E-2</v>
          </cell>
          <cell r="S32">
            <v>7.6886666666666659E-2</v>
          </cell>
          <cell r="T32">
            <v>7.5560833333333341E-2</v>
          </cell>
          <cell r="U32">
            <v>7.5255000000000002E-2</v>
          </cell>
          <cell r="V32">
            <v>7.3661666666666681E-2</v>
          </cell>
          <cell r="W32">
            <v>7.0907499999999984E-2</v>
          </cell>
          <cell r="X32">
            <v>6.6978666666666659E-2</v>
          </cell>
          <cell r="Y32">
            <v>6.2107833333333341E-2</v>
          </cell>
          <cell r="Z32">
            <v>5.6936166666666663E-2</v>
          </cell>
          <cell r="AA32">
            <v>5.3523416666666671E-2</v>
          </cell>
          <cell r="AB32">
            <v>5.1158333333333333E-2</v>
          </cell>
          <cell r="AC32">
            <v>4.9790250000000001E-2</v>
          </cell>
          <cell r="AD32">
            <v>5.062500000000001E-2</v>
          </cell>
          <cell r="AE32">
            <v>5.0268000000000007E-2</v>
          </cell>
          <cell r="AF32">
            <v>4.9770749999999996E-2</v>
          </cell>
          <cell r="AG32">
            <v>4.9345749999999994E-2</v>
          </cell>
          <cell r="AH32">
            <v>4.8845750000000007E-2</v>
          </cell>
          <cell r="AI32">
            <v>5.065133333333334E-2</v>
          </cell>
          <cell r="AJ32">
            <v>5.3193083333333349E-2</v>
          </cell>
          <cell r="AK32">
            <v>5.65195E-2</v>
          </cell>
          <cell r="AL32">
            <v>6.0320916666666662E-2</v>
          </cell>
          <cell r="AM32">
            <v>6.2136166666666666E-2</v>
          </cell>
          <cell r="AN32">
            <v>6.1254166666666672E-2</v>
          </cell>
          <cell r="AO32">
            <v>5.8070833333333335E-2</v>
          </cell>
          <cell r="AP32">
            <v>5.3674916666666662E-2</v>
          </cell>
          <cell r="AQ32">
            <v>4.8633250000000003E-2</v>
          </cell>
          <cell r="AR32">
            <v>4.6006916666666661E-2</v>
          </cell>
          <cell r="AS32">
            <v>4.5856916666666664E-2</v>
          </cell>
          <cell r="AT32">
            <v>4.6354250000000007E-2</v>
          </cell>
          <cell r="AU32">
            <v>4.7776500000000006E-2</v>
          </cell>
          <cell r="AV32">
            <v>4.8690333333333342E-2</v>
          </cell>
          <cell r="AW32">
            <v>4.8345916666666676E-2</v>
          </cell>
          <cell r="AX32">
            <v>4.8056916666666671E-2</v>
          </cell>
          <cell r="AY32">
            <v>4.9262416666666663E-2</v>
          </cell>
          <cell r="AZ32">
            <v>5.12875E-2</v>
          </cell>
          <cell r="BA32">
            <v>5.3179083333333342E-2</v>
          </cell>
          <cell r="BB32">
            <v>5.4709666666666663E-2</v>
          </cell>
          <cell r="BC32">
            <v>5.4983333333333342E-2</v>
          </cell>
          <cell r="BD32">
            <v>5.5304083333333337E-2</v>
          </cell>
          <cell r="BE32">
            <v>5.5727833333333338E-2</v>
          </cell>
          <cell r="BF32">
            <v>5.619724999999999E-2</v>
          </cell>
          <cell r="BG32">
            <v>5.6725000000000005E-2</v>
          </cell>
          <cell r="BH32">
            <v>5.6458333333333333E-2</v>
          </cell>
          <cell r="BI32">
            <v>5.7002750000000005E-2</v>
          </cell>
          <cell r="BJ32">
            <v>5.8383333333333336E-2</v>
          </cell>
          <cell r="BK32">
            <v>6.0283416666666673E-2</v>
          </cell>
          <cell r="BL32">
            <v>6.2283416666666661E-2</v>
          </cell>
          <cell r="BM32">
            <v>6.35125E-2</v>
          </cell>
          <cell r="BN32">
            <v>6.5023583333333329E-2</v>
          </cell>
          <cell r="BO32">
            <v>6.693608333333334E-2</v>
          </cell>
          <cell r="BP32">
            <v>7.0230499999999987E-2</v>
          </cell>
          <cell r="BQ32">
            <v>7.3765250000000004E-2</v>
          </cell>
          <cell r="BR32">
            <v>7.5395833333333356E-2</v>
          </cell>
          <cell r="BS32">
            <v>6.9706916666666674E-2</v>
          </cell>
          <cell r="BT32">
            <v>5.8459666666666667E-2</v>
          </cell>
          <cell r="BU32">
            <v>4.6826333333333324E-2</v>
          </cell>
          <cell r="BV32">
            <v>3.6593000000000001E-2</v>
          </cell>
          <cell r="BW32">
            <v>3.4572083333333337E-2</v>
          </cell>
          <cell r="BX32">
            <v>3.7312416666666667E-2</v>
          </cell>
          <cell r="BY32">
            <v>4.1443000000000001E-2</v>
          </cell>
          <cell r="BZ32">
            <v>4.5166666666666667E-2</v>
          </cell>
          <cell r="CA32">
            <v>4.7416750000000001E-2</v>
          </cell>
          <cell r="CB32">
            <v>4.8936250000000001E-2</v>
          </cell>
          <cell r="CC32">
            <v>4.9402833333333333E-2</v>
          </cell>
          <cell r="CD32">
            <v>4.9670833333333331E-2</v>
          </cell>
          <cell r="CE32">
            <v>4.8699916666666662E-2</v>
          </cell>
          <cell r="CF32">
            <v>4.7313833333333333E-2</v>
          </cell>
          <cell r="CG32">
            <v>4.4055583333333329E-2</v>
          </cell>
          <cell r="CH32">
            <v>4.0502833333333335E-2</v>
          </cell>
          <cell r="CI32">
            <v>3.6943166666666666E-2</v>
          </cell>
          <cell r="CJ32">
            <v>3.3499416666666663E-2</v>
          </cell>
          <cell r="CK32">
            <v>3.1393833333333329E-2</v>
          </cell>
          <cell r="CL32">
            <v>2.9102833333333335E-2</v>
          </cell>
          <cell r="CM32">
            <v>2.7718166666666665E-2</v>
          </cell>
          <cell r="CN32">
            <v>2.6820166666666662E-2</v>
          </cell>
          <cell r="CO32">
            <v>2.6450750000000002E-2</v>
          </cell>
          <cell r="CP32">
            <v>2.6534749999999999E-2</v>
          </cell>
          <cell r="CQ32">
            <v>2.6869416666666673E-2</v>
          </cell>
          <cell r="CR32">
            <v>2.6170833333333331E-2</v>
          </cell>
          <cell r="CS32">
            <v>2.487633333333333E-2</v>
          </cell>
          <cell r="CT32">
            <v>2.3644416666666664E-2</v>
          </cell>
          <cell r="CU32">
            <v>2.2391666666666667E-2</v>
          </cell>
          <cell r="CV32">
            <v>2.2183333333333333E-2</v>
          </cell>
          <cell r="CW32">
            <v>2.1811083333333335E-2</v>
          </cell>
          <cell r="CX32">
            <v>2.0865249999999995E-2</v>
          </cell>
          <cell r="CY32">
            <v>1.96805E-2</v>
          </cell>
          <cell r="CZ32">
            <v>1.8418000000000004E-2</v>
          </cell>
          <cell r="DA32">
            <v>1.7658333333333331E-2</v>
          </cell>
          <cell r="DB32">
            <v>1.7479166666666667E-2</v>
          </cell>
          <cell r="DC32">
            <v>1.7395833333333333E-2</v>
          </cell>
          <cell r="DD32">
            <v>1.7600000000000001E-2</v>
          </cell>
          <cell r="DE32">
            <v>1.8383583333333332E-2</v>
          </cell>
          <cell r="DF32">
            <v>1.8991500000000005E-2</v>
          </cell>
          <cell r="DG32">
            <v>1.9595666666666667E-2</v>
          </cell>
          <cell r="DH32">
            <v>1.9691833333333329E-2</v>
          </cell>
          <cell r="DI32">
            <v>1.8073166666666661E-2</v>
          </cell>
          <cell r="DJ32">
            <v>1.5638416666666662E-2</v>
          </cell>
          <cell r="DK32">
            <v>1.2957083333333333E-2</v>
          </cell>
          <cell r="DL32">
            <v>9.9220000000000003E-3</v>
          </cell>
          <cell r="DM32">
            <v>6.6819166666666659E-3</v>
          </cell>
          <cell r="DN32">
            <v>4.4754166666666657E-3</v>
          </cell>
          <cell r="DO32">
            <v>2.2707500000000002E-3</v>
          </cell>
          <cell r="DP32">
            <v>6.1383333333333342E-4</v>
          </cell>
          <cell r="DQ32">
            <v>4.5675000000000002E-4</v>
          </cell>
          <cell r="DR32">
            <v>2.6691666666666671E-4</v>
          </cell>
          <cell r="DS32">
            <v>3.4916666666666673E-4</v>
          </cell>
          <cell r="DT32">
            <v>6.0858333333333326E-4</v>
          </cell>
          <cell r="DU32">
            <v>3.6048333333333332E-3</v>
          </cell>
          <cell r="DV32">
            <v>9.928416666666667E-3</v>
          </cell>
          <cell r="DW32">
            <v>1.7640083333333331E-2</v>
          </cell>
          <cell r="DX32">
            <v>2.6193833333333333E-2</v>
          </cell>
          <cell r="DY32">
            <v>3.3117833333333332E-2</v>
          </cell>
          <cell r="DZ32">
            <v>3.7190166666666663E-2</v>
          </cell>
          <cell r="EA32">
            <v>4.0222333333333332E-2</v>
          </cell>
          <cell r="EB32">
            <v>4.2201000000000002E-2</v>
          </cell>
          <cell r="EC32">
            <v>4.3195416666666667E-2</v>
          </cell>
          <cell r="ED32">
            <v>4.3854083333333335E-2</v>
          </cell>
          <cell r="EE32">
            <v>4.4007666666666667E-2</v>
          </cell>
          <cell r="EF32">
            <v>4.3562500000000004E-2</v>
          </cell>
          <cell r="EG32">
            <v>4.1895249999999995E-2</v>
          </cell>
          <cell r="EH32">
            <v>3.9822666666666659E-2</v>
          </cell>
          <cell r="EI32">
            <v>3.7966833333333339E-2</v>
          </cell>
          <cell r="EJ32">
            <v>3.7169000000000001E-2</v>
          </cell>
          <cell r="EK32">
            <v>3.8784749999999993E-2</v>
          </cell>
          <cell r="EL32">
            <v>4.0593749999999998E-2</v>
          </cell>
          <cell r="EM32">
            <v>4.2124999999999996E-2</v>
          </cell>
          <cell r="EN32">
            <v>4.2500000000000003E-2</v>
          </cell>
          <cell r="EO32">
            <v>4.1500000000000002E-2</v>
          </cell>
          <cell r="EP32">
            <v>4.0375000000000001E-2</v>
          </cell>
          <cell r="EQ32">
            <v>3.9125000000000007E-2</v>
          </cell>
          <cell r="ER32">
            <v>3.8500000000000006E-2</v>
          </cell>
          <cell r="ES32">
            <v>3.8500000000000006E-2</v>
          </cell>
          <cell r="ET32">
            <v>3.8500000000000006E-2</v>
          </cell>
          <cell r="EU32">
            <v>3.8500000000000006E-2</v>
          </cell>
          <cell r="EV32">
            <v>3.8500000000000006E-2</v>
          </cell>
          <cell r="EW32">
            <v>3.8500000000000006E-2</v>
          </cell>
          <cell r="EX32">
            <v>3.8500000000000006E-2</v>
          </cell>
          <cell r="EY32">
            <v>3.8500000000000006E-2</v>
          </cell>
          <cell r="EZ32">
            <v>3.8500000000000006E-2</v>
          </cell>
          <cell r="FA32">
            <v>3.8500000000000006E-2</v>
          </cell>
          <cell r="FB32">
            <v>3.8500000000000006E-2</v>
          </cell>
          <cell r="FC32">
            <v>3.8500000000000006E-2</v>
          </cell>
          <cell r="FD32">
            <v>3.8500000000000006E-2</v>
          </cell>
          <cell r="FE32">
            <v>3.8500000000000006E-2</v>
          </cell>
          <cell r="FF32">
            <v>3.8500000000000006E-2</v>
          </cell>
          <cell r="FG32">
            <v>3.8500000000000006E-2</v>
          </cell>
          <cell r="FH32">
            <v>3.8500000000000006E-2</v>
          </cell>
          <cell r="FI32">
            <v>3.8500000000000006E-2</v>
          </cell>
          <cell r="FJ32">
            <v>3.8500000000000006E-2</v>
          </cell>
          <cell r="FK32">
            <v>3.8500000000000006E-2</v>
          </cell>
          <cell r="FL32">
            <v>3.8500000000000006E-2</v>
          </cell>
          <cell r="FM32">
            <v>3.8500000000000006E-2</v>
          </cell>
          <cell r="FN32">
            <v>3.8500000000000006E-2</v>
          </cell>
          <cell r="FO32">
            <v>3.8500000000000006E-2</v>
          </cell>
          <cell r="FP32">
            <v>3.8500000000000006E-2</v>
          </cell>
          <cell r="FQ32">
            <v>3.8500000000000006E-2</v>
          </cell>
          <cell r="FR32">
            <v>3.8500000000000006E-2</v>
          </cell>
          <cell r="FS32">
            <v>3.8500000000000006E-2</v>
          </cell>
          <cell r="FT32">
            <v>3.8500000000000006E-2</v>
          </cell>
          <cell r="FU32">
            <v>3.8500000000000006E-2</v>
          </cell>
        </row>
        <row r="33">
          <cell r="A33" t="str">
            <v>au_govt10y_avg_12m</v>
          </cell>
          <cell r="B33" t="str">
            <v>Aust 10 yr Bond Rate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>
            <v>9.7699999999999995E-2</v>
          </cell>
          <cell r="Q33">
            <v>9.8516666666666641E-2</v>
          </cell>
          <cell r="R33">
            <v>9.6600000000000019E-2</v>
          </cell>
          <cell r="S33">
            <v>9.1683333333333353E-2</v>
          </cell>
          <cell r="T33">
            <v>8.7883333333333327E-2</v>
          </cell>
          <cell r="U33">
            <v>8.6716666666666664E-2</v>
          </cell>
          <cell r="V33">
            <v>8.4383333333333338E-2</v>
          </cell>
          <cell r="W33">
            <v>8.1724999999999992E-2</v>
          </cell>
          <cell r="X33">
            <v>7.9700000000000021E-2</v>
          </cell>
          <cell r="Y33">
            <v>7.6200000000000004E-2</v>
          </cell>
          <cell r="Z33">
            <v>7.173333333333333E-2</v>
          </cell>
          <cell r="AA33">
            <v>6.8541666666666667E-2</v>
          </cell>
          <cell r="AB33">
            <v>6.3991666666666669E-2</v>
          </cell>
          <cell r="AC33">
            <v>5.949999999999999E-2</v>
          </cell>
          <cell r="AD33">
            <v>5.7591666666666666E-2</v>
          </cell>
          <cell r="AE33">
            <v>5.5008333333333333E-2</v>
          </cell>
          <cell r="AF33">
            <v>5.3691666666666672E-2</v>
          </cell>
          <cell r="AG33">
            <v>5.4458333333333331E-2</v>
          </cell>
          <cell r="AH33">
            <v>5.6258333333333327E-2</v>
          </cell>
          <cell r="AI33">
            <v>6.0583333333333329E-2</v>
          </cell>
          <cell r="AJ33">
            <v>6.4049999999999996E-2</v>
          </cell>
          <cell r="AK33">
            <v>6.4941666666666675E-2</v>
          </cell>
          <cell r="AL33">
            <v>6.5025000000000013E-2</v>
          </cell>
          <cell r="AM33">
            <v>6.2700000000000006E-2</v>
          </cell>
          <cell r="AN33">
            <v>5.9045833333333339E-2</v>
          </cell>
          <cell r="AO33">
            <v>5.8208333333333334E-2</v>
          </cell>
          <cell r="AP33">
            <v>5.682083333333332E-2</v>
          </cell>
          <cell r="AQ33">
            <v>5.6320833333333341E-2</v>
          </cell>
          <cell r="AR33">
            <v>5.8358333333333332E-2</v>
          </cell>
          <cell r="AS33">
            <v>5.8712499999999987E-2</v>
          </cell>
          <cell r="AT33">
            <v>5.8575000000000016E-2</v>
          </cell>
          <cell r="AU33">
            <v>5.8241666666666664E-2</v>
          </cell>
          <cell r="AV33">
            <v>5.5975000000000004E-2</v>
          </cell>
          <cell r="AW33">
            <v>5.3366666666666666E-2</v>
          </cell>
          <cell r="AX33">
            <v>5.2816666666666671E-2</v>
          </cell>
          <cell r="AY33">
            <v>5.3587500000000003E-2</v>
          </cell>
          <cell r="AZ33">
            <v>5.46875E-2</v>
          </cell>
          <cell r="BA33">
            <v>5.6779166666666658E-2</v>
          </cell>
          <cell r="BB33">
            <v>5.7212500000000006E-2</v>
          </cell>
          <cell r="BC33">
            <v>5.5966666666666678E-2</v>
          </cell>
          <cell r="BD33">
            <v>5.5745833333333328E-2</v>
          </cell>
          <cell r="BE33">
            <v>5.4016666666666671E-2</v>
          </cell>
          <cell r="BF33">
            <v>5.294999999999999E-2</v>
          </cell>
          <cell r="BG33">
            <v>5.313749999999999E-2</v>
          </cell>
          <cell r="BH33">
            <v>5.2691666666666664E-2</v>
          </cell>
          <cell r="BI33">
            <v>5.4058333333333326E-2</v>
          </cell>
          <cell r="BJ33">
            <v>5.5297916666666669E-2</v>
          </cell>
          <cell r="BK33">
            <v>5.619208333333333E-2</v>
          </cell>
          <cell r="BL33">
            <v>5.7396249999999996E-2</v>
          </cell>
          <cell r="BM33">
            <v>5.8172499999999988E-2</v>
          </cell>
          <cell r="BN33">
            <v>5.90725E-2</v>
          </cell>
          <cell r="BO33">
            <v>6.0207083333333342E-2</v>
          </cell>
          <cell r="BP33">
            <v>6.090541666666667E-2</v>
          </cell>
          <cell r="BQ33">
            <v>6.1822500000000009E-2</v>
          </cell>
          <cell r="BR33">
            <v>6.1212916666666672E-2</v>
          </cell>
          <cell r="BS33">
            <v>5.7240416666666655E-2</v>
          </cell>
          <cell r="BT33">
            <v>5.2873333333333335E-2</v>
          </cell>
          <cell r="BU33">
            <v>5.0013333333333333E-2</v>
          </cell>
          <cell r="BV33">
            <v>4.9388250000000002E-2</v>
          </cell>
          <cell r="BW33">
            <v>5.1808500000000007E-2</v>
          </cell>
          <cell r="BX33">
            <v>5.4799416666666663E-2</v>
          </cell>
          <cell r="BY33">
            <v>5.5099833333333334E-2</v>
          </cell>
          <cell r="BZ33">
            <v>5.3699666666666673E-2</v>
          </cell>
          <cell r="CA33">
            <v>5.3272333333333338E-2</v>
          </cell>
          <cell r="CB33">
            <v>5.3115333333333334E-2</v>
          </cell>
          <cell r="CC33">
            <v>5.2849083333333324E-2</v>
          </cell>
          <cell r="CD33">
            <v>5.1586333333333317E-2</v>
          </cell>
          <cell r="CE33">
            <v>4.826208333333333E-2</v>
          </cell>
          <cell r="CF33">
            <v>4.4407250000000002E-2</v>
          </cell>
          <cell r="CG33">
            <v>3.9232666666666666E-2</v>
          </cell>
          <cell r="CH33">
            <v>3.5651833333333334E-2</v>
          </cell>
          <cell r="CI33">
            <v>3.3512750000000001E-2</v>
          </cell>
          <cell r="CJ33">
            <v>3.2125833333333333E-2</v>
          </cell>
          <cell r="CK33">
            <v>3.2594666666666668E-2</v>
          </cell>
          <cell r="CL33">
            <v>3.4516249999999998E-2</v>
          </cell>
          <cell r="CM33">
            <v>3.6951916666666675E-2</v>
          </cell>
          <cell r="CN33">
            <v>3.8522083333333339E-2</v>
          </cell>
          <cell r="CO33">
            <v>3.9304916666666662E-2</v>
          </cell>
          <cell r="CP33">
            <v>3.8351833333333335E-2</v>
          </cell>
          <cell r="CQ33">
            <v>3.5493749999999998E-2</v>
          </cell>
          <cell r="CR33">
            <v>3.1428583333333329E-2</v>
          </cell>
          <cell r="CS33">
            <v>2.9125916666666661E-2</v>
          </cell>
          <cell r="CT33">
            <v>2.7251166666666667E-2</v>
          </cell>
          <cell r="CU33">
            <v>2.6611916666666659E-2</v>
          </cell>
          <cell r="CV33">
            <v>2.6814750000000002E-2</v>
          </cell>
          <cell r="CW33">
            <v>2.5502833333333332E-2</v>
          </cell>
          <cell r="CX33">
            <v>2.3478166666666668E-2</v>
          </cell>
          <cell r="CY33">
            <v>2.3094833333333332E-2</v>
          </cell>
          <cell r="CZ33">
            <v>2.363941666666667E-2</v>
          </cell>
          <cell r="DA33">
            <v>2.4266166666666665E-2</v>
          </cell>
          <cell r="DB33">
            <v>2.6450999999999999E-2</v>
          </cell>
          <cell r="DC33">
            <v>2.6433083333333333E-2</v>
          </cell>
          <cell r="DD33">
            <v>2.647183333333333E-2</v>
          </cell>
          <cell r="DE33">
            <v>2.6902749999999996E-2</v>
          </cell>
          <cell r="DF33">
            <v>2.6578833333333329E-2</v>
          </cell>
          <cell r="DG33">
            <v>2.635733333333333E-2</v>
          </cell>
          <cell r="DH33">
            <v>2.4650083333333329E-2</v>
          </cell>
          <cell r="DI33">
            <v>2.1725750000000002E-2</v>
          </cell>
          <cell r="DJ33">
            <v>1.7768500000000003E-2</v>
          </cell>
          <cell r="DK33">
            <v>1.4444916666666667E-2</v>
          </cell>
          <cell r="DL33">
            <v>1.1449583333333332E-2</v>
          </cell>
          <cell r="DM33">
            <v>9.8430000000000011E-3</v>
          </cell>
          <cell r="DN33">
            <v>9.4266666666666683E-3</v>
          </cell>
          <cell r="DO33">
            <v>8.720916666666665E-3</v>
          </cell>
          <cell r="DP33">
            <v>1.0583249999999999E-2</v>
          </cell>
          <cell r="DQ33">
            <v>1.2446499999999997E-2</v>
          </cell>
          <cell r="DR33">
            <v>1.3478916666666667E-2</v>
          </cell>
          <cell r="DS33">
            <v>1.5768500000000001E-2</v>
          </cell>
          <cell r="DT33">
            <v>1.7502500000000001E-2</v>
          </cell>
          <cell r="DU33">
            <v>2.1873333333333331E-2</v>
          </cell>
          <cell r="DV33">
            <v>2.7469999999999998E-2</v>
          </cell>
          <cell r="DW33">
            <v>3.2375833333333333E-2</v>
          </cell>
          <cell r="DX33">
            <v>3.5592499999999999E-2</v>
          </cell>
          <cell r="DY33">
            <v>3.6296666666666672E-2</v>
          </cell>
          <cell r="DZ33">
            <v>3.7977500000000004E-2</v>
          </cell>
          <cell r="EA33">
            <v>3.9602499999999999E-2</v>
          </cell>
          <cell r="EB33">
            <v>4.0778333333333333E-2</v>
          </cell>
          <cell r="EC33">
            <v>4.2590833333333328E-2</v>
          </cell>
          <cell r="ED33">
            <v>4.2169999999999999E-2</v>
          </cell>
          <cell r="EE33">
            <v>4.2112500000000004E-2</v>
          </cell>
          <cell r="EF33">
            <v>4.2945833333333343E-2</v>
          </cell>
          <cell r="EG33">
            <v>4.2449166666666677E-2</v>
          </cell>
          <cell r="EH33">
            <v>4.3104166666666666E-2</v>
          </cell>
          <cell r="EI33">
            <v>4.3397499999999999E-2</v>
          </cell>
          <cell r="EJ33">
            <v>4.3795000000000001E-2</v>
          </cell>
          <cell r="EK33">
            <v>4.4139999999999999E-2</v>
          </cell>
          <cell r="EL33">
            <v>4.4259999999999994E-2</v>
          </cell>
          <cell r="EM33">
            <v>4.3249999999999997E-2</v>
          </cell>
          <cell r="EN33">
            <v>4.3499999999999997E-2</v>
          </cell>
          <cell r="EO33">
            <v>4.3749999999999997E-2</v>
          </cell>
          <cell r="EP33">
            <v>4.3999999999999997E-2</v>
          </cell>
          <cell r="EQ33">
            <v>4.4374999999999998E-2</v>
          </cell>
          <cell r="ER33">
            <v>4.4624999999999998E-2</v>
          </cell>
          <cell r="ES33">
            <v>4.4874999999999998E-2</v>
          </cell>
          <cell r="ET33">
            <v>4.4999999999999998E-2</v>
          </cell>
          <cell r="EU33">
            <v>4.4999999999999998E-2</v>
          </cell>
          <cell r="EV33">
            <v>4.4999999999999998E-2</v>
          </cell>
          <cell r="EW33">
            <v>4.4999999999999998E-2</v>
          </cell>
          <cell r="EX33">
            <v>4.4999999999999998E-2</v>
          </cell>
          <cell r="EY33">
            <v>4.4999999999999998E-2</v>
          </cell>
          <cell r="EZ33">
            <v>4.4999999999999998E-2</v>
          </cell>
          <cell r="FA33">
            <v>4.4999999999999998E-2</v>
          </cell>
          <cell r="FB33">
            <v>4.4999999999999998E-2</v>
          </cell>
          <cell r="FC33">
            <v>4.4999999999999998E-2</v>
          </cell>
          <cell r="FD33">
            <v>4.4999999999999998E-2</v>
          </cell>
          <cell r="FE33">
            <v>4.4999999999999998E-2</v>
          </cell>
          <cell r="FF33">
            <v>4.4999999999999998E-2</v>
          </cell>
          <cell r="FG33">
            <v>4.4999999999999998E-2</v>
          </cell>
          <cell r="FH33">
            <v>4.4999999999999998E-2</v>
          </cell>
          <cell r="FI33">
            <v>4.4999999999999998E-2</v>
          </cell>
          <cell r="FJ33">
            <v>4.4999999999999998E-2</v>
          </cell>
          <cell r="FK33">
            <v>4.4999999999999998E-2</v>
          </cell>
          <cell r="FL33">
            <v>4.4999999999999998E-2</v>
          </cell>
          <cell r="FM33">
            <v>4.4999999999999998E-2</v>
          </cell>
          <cell r="FN33">
            <v>4.4999999999999998E-2</v>
          </cell>
          <cell r="FO33">
            <v>4.4999999999999998E-2</v>
          </cell>
          <cell r="FP33">
            <v>4.4999999999999998E-2</v>
          </cell>
          <cell r="FQ33">
            <v>4.4999999999999998E-2</v>
          </cell>
          <cell r="FR33">
            <v>4.4999999999999998E-2</v>
          </cell>
          <cell r="FS33">
            <v>4.4999999999999998E-2</v>
          </cell>
          <cell r="FT33">
            <v>4.4999999999999998E-2</v>
          </cell>
          <cell r="FU33">
            <v>4.4999999999999998E-2</v>
          </cell>
        </row>
        <row r="34">
          <cell r="A34" t="str">
            <v>us_govt10y_avg_12m</v>
          </cell>
          <cell r="B34" t="str">
            <v>US 10 yr bond</v>
          </cell>
          <cell r="D34">
            <v>7.607499999999999E-2</v>
          </cell>
          <cell r="E34">
            <v>7.4181666666666646E-2</v>
          </cell>
          <cell r="F34">
            <v>7.1063333333333312E-2</v>
          </cell>
          <cell r="G34">
            <v>7.0135000000000003E-2</v>
          </cell>
          <cell r="H34">
            <v>6.7070000000000005E-2</v>
          </cell>
          <cell r="I34">
            <v>6.3667500000000002E-2</v>
          </cell>
          <cell r="J34">
            <v>6.1129166666666658E-2</v>
          </cell>
          <cell r="K34">
            <v>5.8295833333333345E-2</v>
          </cell>
          <cell r="L34">
            <v>5.8405833333333323E-2</v>
          </cell>
          <cell r="M34">
            <v>6.138416666666667E-2</v>
          </cell>
          <cell r="N34">
            <v>6.5776666666666678E-2</v>
          </cell>
          <cell r="O34">
            <v>7.1206666666666682E-2</v>
          </cell>
          <cell r="P34">
            <v>7.408333333333332E-2</v>
          </cell>
          <cell r="Q34">
            <v>7.2440833333333329E-2</v>
          </cell>
          <cell r="R34">
            <v>6.99375E-2</v>
          </cell>
          <cell r="S34">
            <v>6.4771666666666686E-2</v>
          </cell>
          <cell r="T34">
            <v>6.1468333333333333E-2</v>
          </cell>
          <cell r="U34">
            <v>6.2045000000000003E-2</v>
          </cell>
          <cell r="V34">
            <v>6.3336666666666652E-2</v>
          </cell>
          <cell r="W34">
            <v>6.4555833333333326E-2</v>
          </cell>
          <cell r="X34">
            <v>6.6173333333333334E-2</v>
          </cell>
          <cell r="Y34">
            <v>6.5879166666666669E-2</v>
          </cell>
          <cell r="Z34">
            <v>6.4216666666666672E-2</v>
          </cell>
          <cell r="AA34">
            <v>6.3064999999999982E-2</v>
          </cell>
          <cell r="AB34">
            <v>6.0414166666666665E-2</v>
          </cell>
          <cell r="AC34">
            <v>5.7734999999999995E-2</v>
          </cell>
          <cell r="AD34">
            <v>5.4735833333333331E-2</v>
          </cell>
          <cell r="AE34">
            <v>5.1804999999999997E-2</v>
          </cell>
          <cell r="AF34">
            <v>5.0475833333333317E-2</v>
          </cell>
          <cell r="AG34">
            <v>5.0534999999999997E-2</v>
          </cell>
          <cell r="AH34">
            <v>5.2941666666666672E-2</v>
          </cell>
          <cell r="AI34">
            <v>5.689583333333334E-2</v>
          </cell>
          <cell r="AJ34">
            <v>6.014499999999999E-2</v>
          </cell>
          <cell r="AK34">
            <v>6.1623333333333336E-2</v>
          </cell>
          <cell r="AL34">
            <v>6.1470000000000011E-2</v>
          </cell>
          <cell r="AM34">
            <v>5.9528333333333343E-2</v>
          </cell>
          <cell r="AN34">
            <v>5.6085000000000003E-2</v>
          </cell>
          <cell r="AO34">
            <v>5.4093333333333327E-2</v>
          </cell>
          <cell r="AP34">
            <v>5.1505000000000002E-2</v>
          </cell>
          <cell r="AQ34">
            <v>4.9570833333333335E-2</v>
          </cell>
          <cell r="AR34">
            <v>4.9869999999999991E-2</v>
          </cell>
          <cell r="AS34">
            <v>4.889333333333333E-2</v>
          </cell>
          <cell r="AT34">
            <v>4.7E-2</v>
          </cell>
          <cell r="AU34">
            <v>4.5265000000000007E-2</v>
          </cell>
          <cell r="AV34">
            <v>4.2068166666666663E-2</v>
          </cell>
          <cell r="AW34">
            <v>3.8561999999999992E-2</v>
          </cell>
          <cell r="AX34">
            <v>3.9097666666666663E-2</v>
          </cell>
          <cell r="AY34">
            <v>3.9898250000000003E-2</v>
          </cell>
          <cell r="AZ34">
            <v>4.0303749999999999E-2</v>
          </cell>
          <cell r="BA34">
            <v>4.2820916666666674E-2</v>
          </cell>
          <cell r="BB34">
            <v>4.2744999999999998E-2</v>
          </cell>
          <cell r="BC34">
            <v>4.2509416666666675E-2</v>
          </cell>
          <cell r="BD34">
            <v>4.3382833333333343E-2</v>
          </cell>
          <cell r="BE34">
            <v>4.2003499999999999E-2</v>
          </cell>
          <cell r="BF34">
            <v>4.1917083333333334E-2</v>
          </cell>
          <cell r="BG34">
            <v>4.2622083333333324E-2</v>
          </cell>
          <cell r="BH34">
            <v>4.3391666666666662E-2</v>
          </cell>
          <cell r="BI34">
            <v>4.6082083333333336E-2</v>
          </cell>
          <cell r="BJ34">
            <v>4.7517249999999997E-2</v>
          </cell>
          <cell r="BK34">
            <v>4.7784166666666669E-2</v>
          </cell>
          <cell r="BL34">
            <v>4.7874166666666662E-2</v>
          </cell>
          <cell r="BM34">
            <v>4.7222708333333335E-2</v>
          </cell>
          <cell r="BN34">
            <v>4.6818041666666671E-2</v>
          </cell>
          <cell r="BO34">
            <v>4.5721333333333343E-2</v>
          </cell>
          <cell r="BP34">
            <v>4.2803041666666666E-2</v>
          </cell>
          <cell r="BQ34">
            <v>4.048279166666667E-2</v>
          </cell>
          <cell r="BR34">
            <v>3.8598541666666673E-2</v>
          </cell>
          <cell r="BS34">
            <v>3.580279166666666E-2</v>
          </cell>
          <cell r="BT34">
            <v>3.4143208333333334E-2</v>
          </cell>
          <cell r="BU34">
            <v>3.2774875000000002E-2</v>
          </cell>
          <cell r="BV34">
            <v>3.1605333333333333E-2</v>
          </cell>
          <cell r="BW34">
            <v>3.2706958333333327E-2</v>
          </cell>
          <cell r="BX34">
            <v>3.4795416666666662E-2</v>
          </cell>
          <cell r="BY34">
            <v>3.4606374999999995E-2</v>
          </cell>
          <cell r="BZ34">
            <v>3.2687749999999995E-2</v>
          </cell>
          <cell r="CA34">
            <v>3.1253916666666673E-2</v>
          </cell>
          <cell r="CB34">
            <v>3.0614333333333334E-2</v>
          </cell>
          <cell r="CC34">
            <v>3.0299916666666663E-2</v>
          </cell>
          <cell r="CD34">
            <v>2.9515083333333331E-2</v>
          </cell>
          <cell r="CE34">
            <v>2.7338666666666671E-2</v>
          </cell>
          <cell r="CF34">
            <v>2.3769375000000002E-2</v>
          </cell>
          <cell r="CG34">
            <v>2.0114833333333332E-2</v>
          </cell>
          <cell r="CH34">
            <v>1.8208291666666664E-2</v>
          </cell>
          <cell r="CI34">
            <v>1.7371541666666667E-2</v>
          </cell>
          <cell r="CJ34">
            <v>1.7153249999999998E-2</v>
          </cell>
          <cell r="CK34">
            <v>1.812570833333333E-2</v>
          </cell>
          <cell r="CL34">
            <v>2.0897791666666669E-2</v>
          </cell>
          <cell r="CM34">
            <v>2.3619083333333336E-2</v>
          </cell>
          <cell r="CN34">
            <v>2.5557833333333332E-2</v>
          </cell>
          <cell r="CO34">
            <v>2.6688833333333335E-2</v>
          </cell>
          <cell r="CP34">
            <v>2.6195125000000003E-2</v>
          </cell>
          <cell r="CQ34">
            <v>2.4805374999999998E-2</v>
          </cell>
          <cell r="CR34">
            <v>2.272895833333333E-2</v>
          </cell>
          <cell r="CS34">
            <v>2.1773833333333333E-2</v>
          </cell>
          <cell r="CT34">
            <v>2.0979375000000001E-2</v>
          </cell>
          <cell r="CU34">
            <v>2.0932875000000004E-2</v>
          </cell>
          <cell r="CV34">
            <v>2.0824375000000003E-2</v>
          </cell>
          <cell r="CW34">
            <v>1.9697333333333338E-2</v>
          </cell>
          <cell r="CX34">
            <v>1.8187458333333337E-2</v>
          </cell>
          <cell r="CY34">
            <v>1.8219708333333334E-2</v>
          </cell>
          <cell r="CZ34">
            <v>1.9747749999999998E-2</v>
          </cell>
          <cell r="DA34">
            <v>2.1111541666666667E-2</v>
          </cell>
          <cell r="DB34">
            <v>2.2879791666666666E-2</v>
          </cell>
          <cell r="DC34">
            <v>2.3329083333333327E-2</v>
          </cell>
          <cell r="DD34">
            <v>2.4202666666666671E-2</v>
          </cell>
          <cell r="DE34">
            <v>2.5776875000000001E-2</v>
          </cell>
          <cell r="DF34">
            <v>2.755316666666667E-2</v>
          </cell>
          <cell r="DG34">
            <v>2.890204166666667E-2</v>
          </cell>
          <cell r="DH34">
            <v>2.8435333333333333E-2</v>
          </cell>
          <cell r="DI34">
            <v>2.6733833333333335E-2</v>
          </cell>
          <cell r="DJ34">
            <v>2.3654833333333333E-2</v>
          </cell>
          <cell r="DK34">
            <v>2.0798000000000001E-2</v>
          </cell>
          <cell r="DL34">
            <v>1.7101416666666668E-2</v>
          </cell>
          <cell r="DM34">
            <v>1.3192500000000001E-2</v>
          </cell>
          <cell r="DN34">
            <v>1.0474124999999999E-2</v>
          </cell>
          <cell r="DO34">
            <v>8.1843750000000007E-3</v>
          </cell>
          <cell r="DP34">
            <v>8.9563749999999991E-3</v>
          </cell>
          <cell r="DQ34">
            <v>1.1229208333333334E-2</v>
          </cell>
          <cell r="DR34">
            <v>1.3002375E-2</v>
          </cell>
          <cell r="DS34">
            <v>1.4623833333333334E-2</v>
          </cell>
          <cell r="DT34">
            <v>1.610075E-2</v>
          </cell>
          <cell r="DU34">
            <v>1.9488583333333337E-2</v>
          </cell>
          <cell r="DV34">
            <v>2.4060000000000002E-2</v>
          </cell>
          <cell r="DW34">
            <v>2.9911500000000008E-2</v>
          </cell>
          <cell r="DX34">
            <v>3.4109666666666663E-2</v>
          </cell>
          <cell r="DY34">
            <v>3.5991583333333334E-2</v>
          </cell>
          <cell r="DZ34">
            <v>3.8568416666666674E-2</v>
          </cell>
          <cell r="EA34">
            <v>3.9677666666666667E-2</v>
          </cell>
          <cell r="EB34">
            <v>4.087441666666667E-2</v>
          </cell>
          <cell r="EC34">
            <v>4.2963416666666671E-2</v>
          </cell>
          <cell r="ED34">
            <v>4.2255666666666664E-2</v>
          </cell>
          <cell r="EE34">
            <v>4.2319500000000003E-2</v>
          </cell>
          <cell r="EF34">
            <v>4.2731083333333329E-2</v>
          </cell>
          <cell r="EG34">
            <v>4.2188416666666673E-2</v>
          </cell>
          <cell r="EH34">
            <v>4.2970416666666671E-2</v>
          </cell>
          <cell r="EI34">
            <v>4.232466666666667E-2</v>
          </cell>
          <cell r="EJ34">
            <v>4.2261750000000001E-2</v>
          </cell>
          <cell r="EK34">
            <v>4.2629500000000001E-2</v>
          </cell>
          <cell r="EL34">
            <v>4.342E-2</v>
          </cell>
          <cell r="EM34">
            <v>4.4249999999999998E-2</v>
          </cell>
          <cell r="EN34">
            <v>4.4499999999999998E-2</v>
          </cell>
          <cell r="EO34">
            <v>4.4749999999999998E-2</v>
          </cell>
          <cell r="EP34">
            <v>4.4999999999999998E-2</v>
          </cell>
          <cell r="EQ34">
            <v>4.5249999999999999E-2</v>
          </cell>
          <cell r="ER34">
            <v>4.5499999999999999E-2</v>
          </cell>
          <cell r="ES34">
            <v>4.5749999999999999E-2</v>
          </cell>
          <cell r="ET34">
            <v>4.5874999999999999E-2</v>
          </cell>
          <cell r="EU34">
            <v>4.5999999999999999E-2</v>
          </cell>
          <cell r="EV34">
            <v>4.5999999999999999E-2</v>
          </cell>
          <cell r="EW34">
            <v>4.5999999999999999E-2</v>
          </cell>
          <cell r="EX34">
            <v>4.5999999999999999E-2</v>
          </cell>
          <cell r="EY34">
            <v>4.5999999999999999E-2</v>
          </cell>
          <cell r="EZ34">
            <v>4.5999999999999999E-2</v>
          </cell>
          <cell r="FA34">
            <v>4.5999999999999999E-2</v>
          </cell>
          <cell r="FB34">
            <v>4.5999999999999999E-2</v>
          </cell>
          <cell r="FC34">
            <v>4.5999999999999999E-2</v>
          </cell>
          <cell r="FD34">
            <v>4.5999999999999999E-2</v>
          </cell>
          <cell r="FE34">
            <v>4.5999999999999999E-2</v>
          </cell>
          <cell r="FF34">
            <v>4.5999999999999999E-2</v>
          </cell>
          <cell r="FG34">
            <v>4.5999999999999999E-2</v>
          </cell>
          <cell r="FH34">
            <v>4.5999999999999999E-2</v>
          </cell>
          <cell r="FI34">
            <v>4.5999999999999999E-2</v>
          </cell>
          <cell r="FJ34">
            <v>4.5999999999999999E-2</v>
          </cell>
          <cell r="FK34">
            <v>4.5999999999999999E-2</v>
          </cell>
          <cell r="FL34">
            <v>4.5999999999999999E-2</v>
          </cell>
          <cell r="FM34">
            <v>4.5999999999999999E-2</v>
          </cell>
          <cell r="FN34">
            <v>4.5999999999999999E-2</v>
          </cell>
          <cell r="FO34">
            <v>4.5999999999999999E-2</v>
          </cell>
          <cell r="FP34">
            <v>4.5999999999999999E-2</v>
          </cell>
          <cell r="FQ34">
            <v>4.5999999999999999E-2</v>
          </cell>
          <cell r="FR34">
            <v>4.5999999999999999E-2</v>
          </cell>
          <cell r="FS34">
            <v>4.5999999999999999E-2</v>
          </cell>
          <cell r="FT34">
            <v>4.5999999999999999E-2</v>
          </cell>
          <cell r="FU34">
            <v>4.5999999999999999E-2</v>
          </cell>
        </row>
        <row r="35"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  <cell r="CE35"/>
          <cell r="CF35"/>
          <cell r="CG35"/>
          <cell r="CH35"/>
          <cell r="CI35"/>
          <cell r="CJ35"/>
          <cell r="CK35"/>
          <cell r="CL35"/>
          <cell r="CM35"/>
          <cell r="CN35"/>
          <cell r="CO35"/>
          <cell r="CP35"/>
          <cell r="CQ35"/>
          <cell r="CR35"/>
          <cell r="CS35"/>
          <cell r="CT35"/>
          <cell r="CU35"/>
          <cell r="CV35"/>
          <cell r="CW35"/>
          <cell r="CX35"/>
          <cell r="CY35"/>
          <cell r="CZ35"/>
          <cell r="DA35"/>
          <cell r="DB35"/>
          <cell r="DC35"/>
          <cell r="DD35"/>
          <cell r="DE35"/>
          <cell r="DF35"/>
          <cell r="DG35"/>
          <cell r="DH35"/>
          <cell r="DI35"/>
          <cell r="DJ35"/>
          <cell r="DK35"/>
          <cell r="DL35"/>
          <cell r="DM35"/>
          <cell r="DN35"/>
          <cell r="DO35"/>
          <cell r="DP35"/>
          <cell r="DQ35"/>
          <cell r="DR35"/>
          <cell r="DS35"/>
          <cell r="DT35"/>
          <cell r="DU35"/>
          <cell r="DV35"/>
          <cell r="DW35"/>
          <cell r="DX35"/>
          <cell r="DY35"/>
          <cell r="DZ35"/>
          <cell r="EA35"/>
          <cell r="EB35"/>
          <cell r="EC35"/>
          <cell r="ED35"/>
          <cell r="EE35"/>
          <cell r="EG35"/>
          <cell r="EH35"/>
        </row>
        <row r="36">
          <cell r="B36" t="str">
            <v>Period end exchange rates</v>
          </cell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  <cell r="CE36"/>
          <cell r="CF36"/>
          <cell r="CG36"/>
          <cell r="CH36"/>
          <cell r="CI36"/>
          <cell r="CJ36"/>
          <cell r="CK36"/>
          <cell r="CL36"/>
          <cell r="CM36"/>
          <cell r="CN36"/>
          <cell r="CO36"/>
          <cell r="CP36"/>
          <cell r="CQ36"/>
          <cell r="CR36"/>
          <cell r="CS36"/>
          <cell r="CT36"/>
          <cell r="CU36"/>
          <cell r="CV36"/>
          <cell r="CW36"/>
          <cell r="CX36"/>
          <cell r="CY36"/>
          <cell r="CZ36"/>
          <cell r="DA36"/>
          <cell r="DB36"/>
          <cell r="DC36"/>
          <cell r="DD36"/>
          <cell r="DE36"/>
          <cell r="DF36"/>
          <cell r="DG36"/>
          <cell r="DH36"/>
          <cell r="DI36"/>
          <cell r="DJ36"/>
          <cell r="DK36"/>
          <cell r="DL36"/>
          <cell r="DM36"/>
          <cell r="DN36"/>
          <cell r="DO36"/>
          <cell r="DP36"/>
          <cell r="DQ36"/>
          <cell r="DR36"/>
          <cell r="DS36"/>
          <cell r="DT36"/>
          <cell r="DU36"/>
          <cell r="DV36"/>
          <cell r="DW36"/>
          <cell r="DX36"/>
          <cell r="DY36"/>
          <cell r="DZ36"/>
          <cell r="EA36"/>
          <cell r="EB36"/>
          <cell r="EC36"/>
          <cell r="ED36"/>
          <cell r="EE36"/>
          <cell r="EF36"/>
          <cell r="EG36"/>
          <cell r="EH36"/>
          <cell r="EI36"/>
          <cell r="EJ36"/>
          <cell r="EK36"/>
          <cell r="EL36"/>
          <cell r="EM36"/>
          <cell r="EN36"/>
          <cell r="EO36"/>
          <cell r="EP36"/>
          <cell r="EQ36"/>
          <cell r="ER36"/>
          <cell r="ES36"/>
          <cell r="ET36"/>
          <cell r="EU36"/>
          <cell r="EV36"/>
          <cell r="EW36"/>
          <cell r="EX36"/>
          <cell r="EY36"/>
          <cell r="EZ36"/>
          <cell r="FA36"/>
          <cell r="FB36"/>
          <cell r="FC36"/>
          <cell r="FD36"/>
          <cell r="FE36"/>
          <cell r="FF36"/>
          <cell r="FG36"/>
          <cell r="FH36"/>
          <cell r="FI36"/>
          <cell r="FJ36"/>
          <cell r="FK36"/>
          <cell r="FL36"/>
          <cell r="FM36"/>
          <cell r="FN36"/>
          <cell r="FO36"/>
          <cell r="FP36"/>
          <cell r="FQ36"/>
          <cell r="FR36"/>
          <cell r="FS36"/>
          <cell r="FT36"/>
          <cell r="FU36"/>
        </row>
        <row r="37">
          <cell r="A37" t="str">
            <v>peaudgbp</v>
          </cell>
          <cell r="B37" t="str">
            <v>AUD/GBP</v>
          </cell>
          <cell r="D37">
            <v>0.44290000000000002</v>
          </cell>
          <cell r="E37">
            <v>0.39250000000000002</v>
          </cell>
          <cell r="F37">
            <v>0.39929999999999999</v>
          </cell>
          <cell r="G37">
            <v>0.45579999999999998</v>
          </cell>
          <cell r="H37">
            <v>0.46539999999999998</v>
          </cell>
          <cell r="I37">
            <v>0.44679999999999997</v>
          </cell>
          <cell r="J37">
            <v>0.43169999999999997</v>
          </cell>
          <cell r="K37">
            <v>0.46</v>
          </cell>
          <cell r="L37">
            <v>0.47270000000000001</v>
          </cell>
          <cell r="M37">
            <v>0.47120000000000001</v>
          </cell>
          <cell r="N37">
            <v>0.46920000000000001</v>
          </cell>
          <cell r="O37">
            <v>0.4955</v>
          </cell>
          <cell r="P37">
            <v>0.45279999999999998</v>
          </cell>
          <cell r="Q37">
            <v>0.44469999999999998</v>
          </cell>
          <cell r="R37">
            <v>0.47710000000000002</v>
          </cell>
          <cell r="S37">
            <v>0.4793</v>
          </cell>
          <cell r="T37">
            <v>0.51190000000000002</v>
          </cell>
          <cell r="U37">
            <v>0.50729999999999997</v>
          </cell>
          <cell r="V37">
            <v>0.50539999999999996</v>
          </cell>
          <cell r="W37">
            <v>0.4632</v>
          </cell>
          <cell r="X37">
            <v>0.4793</v>
          </cell>
          <cell r="Y37">
            <v>0.45269999999999999</v>
          </cell>
          <cell r="Z37">
            <v>0.44840000000000002</v>
          </cell>
          <cell r="AA37">
            <v>0.39510000000000001</v>
          </cell>
          <cell r="AB37">
            <v>0.39560000000000001</v>
          </cell>
          <cell r="AC37">
            <v>0.37</v>
          </cell>
          <cell r="AD37">
            <v>0.34939999999999999</v>
          </cell>
          <cell r="AE37">
            <v>0.36830000000000002</v>
          </cell>
          <cell r="AF37">
            <v>0.39360000000000001</v>
          </cell>
          <cell r="AG37">
            <v>0.42259999999999998</v>
          </cell>
          <cell r="AH37">
            <v>0.39600000000000002</v>
          </cell>
          <cell r="AI37">
            <v>0.40670000000000001</v>
          </cell>
          <cell r="AJ37">
            <v>0.38100000000000001</v>
          </cell>
          <cell r="AK37">
            <v>0.39340000000000003</v>
          </cell>
          <cell r="AL37">
            <v>0.3679</v>
          </cell>
          <cell r="AM37">
            <v>0.37419999999999998</v>
          </cell>
          <cell r="AN37">
            <v>0.34320000000000001</v>
          </cell>
          <cell r="AO37">
            <v>0.36120000000000002</v>
          </cell>
          <cell r="AP37">
            <v>0.33360000000000001</v>
          </cell>
          <cell r="AQ37">
            <v>0.34970000000000001</v>
          </cell>
          <cell r="AR37">
            <v>0.374</v>
          </cell>
          <cell r="AS37">
            <v>0.36749999999999999</v>
          </cell>
          <cell r="AT37">
            <v>0.3458</v>
          </cell>
          <cell r="AU37">
            <v>0.34860000000000002</v>
          </cell>
          <cell r="AV37">
            <v>0.3821</v>
          </cell>
          <cell r="AW37">
            <v>0.40689999999999998</v>
          </cell>
          <cell r="AX37">
            <v>0.40949999999999998</v>
          </cell>
          <cell r="AY37">
            <v>0.42149999999999999</v>
          </cell>
          <cell r="AZ37">
            <v>0.4153</v>
          </cell>
          <cell r="BA37">
            <v>0.38390000000000002</v>
          </cell>
          <cell r="BB37">
            <v>0.40189999999999998</v>
          </cell>
          <cell r="BC37">
            <v>0.40720767956457504</v>
          </cell>
          <cell r="BD37">
            <v>0.40895617792675232</v>
          </cell>
          <cell r="BE37">
            <v>0.42536908457987377</v>
          </cell>
          <cell r="BF37">
            <v>0.43181633496417127</v>
          </cell>
          <cell r="BG37">
            <v>0.42630000000000001</v>
          </cell>
          <cell r="BH37">
            <v>0.4123</v>
          </cell>
          <cell r="BI37">
            <v>0.4022</v>
          </cell>
          <cell r="BJ37">
            <v>0.39840000000000003</v>
          </cell>
          <cell r="BK37">
            <v>0.40230000000000005</v>
          </cell>
          <cell r="BL37">
            <v>0.41100000000000003</v>
          </cell>
          <cell r="BM37">
            <v>0.42285000000000006</v>
          </cell>
          <cell r="BN37">
            <v>0.43380000000000002</v>
          </cell>
          <cell r="BO37">
            <v>0.44090000000000001</v>
          </cell>
          <cell r="BP37">
            <v>0.46030000000000004</v>
          </cell>
          <cell r="BQ37">
            <v>0.48110000000000003</v>
          </cell>
          <cell r="BR37">
            <v>0.44480000000000003</v>
          </cell>
          <cell r="BS37">
            <v>0.48000000000000004</v>
          </cell>
          <cell r="BT37">
            <v>0.4829</v>
          </cell>
          <cell r="BU37">
            <v>0.4899</v>
          </cell>
          <cell r="BV37">
            <v>0.55230000000000001</v>
          </cell>
          <cell r="BW37">
            <v>0.5555000000000001</v>
          </cell>
          <cell r="BX37">
            <v>0.60430000000000006</v>
          </cell>
          <cell r="BY37">
            <v>0.5625</v>
          </cell>
          <cell r="BZ37">
            <v>0.61529999999999996</v>
          </cell>
          <cell r="CA37">
            <v>0.65539999999999998</v>
          </cell>
          <cell r="CB37">
            <v>0.64420000000000011</v>
          </cell>
          <cell r="CC37">
            <v>0.66769999999999996</v>
          </cell>
          <cell r="CD37">
            <v>0.62000000000000011</v>
          </cell>
          <cell r="CE37">
            <v>0.65769999999999995</v>
          </cell>
          <cell r="CF37">
            <v>0.64695000000000014</v>
          </cell>
          <cell r="CG37">
            <v>0.65254999999999996</v>
          </cell>
          <cell r="CH37">
            <v>0.64250000000000007</v>
          </cell>
          <cell r="CI37">
            <v>0.63965000000000005</v>
          </cell>
          <cell r="CJ37">
            <v>0.68535000000000013</v>
          </cell>
          <cell r="CK37">
            <v>0.6008</v>
          </cell>
          <cell r="CL37">
            <v>0.57620000000000005</v>
          </cell>
          <cell r="CM37">
            <v>0.53849999999999998</v>
          </cell>
          <cell r="CN37">
            <v>0.55610000000000004</v>
          </cell>
          <cell r="CO37">
            <v>0.5514</v>
          </cell>
          <cell r="CP37">
            <v>0.53964999999999996</v>
          </cell>
          <cell r="CQ37">
            <v>0.52445000000000008</v>
          </cell>
          <cell r="CR37">
            <v>0.51324999999999998</v>
          </cell>
          <cell r="CS37">
            <v>0.49070000000000003</v>
          </cell>
          <cell r="CT37">
            <v>0.46399999999999997</v>
          </cell>
          <cell r="CU37">
            <v>0.49470000000000003</v>
          </cell>
          <cell r="CV37">
            <v>0.53310000000000002</v>
          </cell>
          <cell r="CW37">
            <v>0.55984999999999996</v>
          </cell>
          <cell r="CX37">
            <v>0.59014999999999995</v>
          </cell>
          <cell r="CY37">
            <v>0.58390000000000009</v>
          </cell>
          <cell r="CZ37">
            <v>0.60759999999999992</v>
          </cell>
          <cell r="DA37">
            <v>0.59</v>
          </cell>
          <cell r="DB37">
            <v>0.58485000000000009</v>
          </cell>
          <cell r="DC37">
            <v>0.57755000000000001</v>
          </cell>
          <cell r="DD37">
            <v>0.54744999999999999</v>
          </cell>
          <cell r="DE37">
            <v>0.56089999999999995</v>
          </cell>
          <cell r="DF37">
            <v>0.55400000000000005</v>
          </cell>
          <cell r="DG37">
            <v>0.55309999999999993</v>
          </cell>
          <cell r="DH37">
            <v>0.54459999999999997</v>
          </cell>
          <cell r="DI37">
            <v>0.55320000000000003</v>
          </cell>
          <cell r="DJ37">
            <v>0.54895000000000005</v>
          </cell>
          <cell r="DK37">
            <v>0.52905000000000002</v>
          </cell>
          <cell r="DL37">
            <v>0.49456</v>
          </cell>
          <cell r="DM37">
            <v>0.55671000000000004</v>
          </cell>
          <cell r="DN37">
            <v>0.55445999999999995</v>
          </cell>
          <cell r="DO37">
            <v>0.56304500000000002</v>
          </cell>
          <cell r="DP37">
            <v>0.55100000000000005</v>
          </cell>
          <cell r="DQ37">
            <v>0.54215000000000002</v>
          </cell>
          <cell r="DR37">
            <v>0.53649999999999998</v>
          </cell>
          <cell r="DS37">
            <v>0.53720000000000001</v>
          </cell>
          <cell r="DT37">
            <v>0.56950000000000001</v>
          </cell>
          <cell r="DU37">
            <v>0.56679999999999997</v>
          </cell>
          <cell r="DV37">
            <v>0.57299999999999995</v>
          </cell>
          <cell r="DW37">
            <v>0.56340000000000001</v>
          </cell>
          <cell r="DX37">
            <v>0.54200000000000004</v>
          </cell>
          <cell r="DY37">
            <v>0.52480000000000004</v>
          </cell>
          <cell r="DZ37">
            <v>0.52731499999999998</v>
          </cell>
          <cell r="EA37">
            <v>0.53495000000000004</v>
          </cell>
          <cell r="EB37">
            <v>0.51600000000000001</v>
          </cell>
          <cell r="EC37">
            <v>0.52739999999999998</v>
          </cell>
          <cell r="ED37">
            <v>0.51688535224444543</v>
          </cell>
          <cell r="EE37">
            <v>0.49451459683461196</v>
          </cell>
          <cell r="EF37">
            <v>0.48359173251574089</v>
          </cell>
          <cell r="EG37">
            <v>0.47917734832838982</v>
          </cell>
          <cell r="EH37">
            <v>0.49187544729923488</v>
          </cell>
          <cell r="EI37">
            <v>0.49527998177369664</v>
          </cell>
          <cell r="EJ37">
            <v>0.47535211267605654</v>
          </cell>
          <cell r="EK37">
            <v>0.47222222222222227</v>
          </cell>
          <cell r="EL37">
            <v>0.47499999999999992</v>
          </cell>
          <cell r="EM37">
            <v>0.4779411764705882</v>
          </cell>
          <cell r="EN37">
            <v>0.48523985239852396</v>
          </cell>
          <cell r="EO37">
            <v>0.49259259259259253</v>
          </cell>
          <cell r="EP37">
            <v>0.49999999999999983</v>
          </cell>
          <cell r="EQ37">
            <v>0.5074626865671642</v>
          </cell>
          <cell r="ER37">
            <v>0.51401869158878488</v>
          </cell>
          <cell r="ES37">
            <v>0.52059925093632919</v>
          </cell>
          <cell r="ET37">
            <v>0.52720450281425824</v>
          </cell>
          <cell r="EU37">
            <v>0.53383458646616533</v>
          </cell>
          <cell r="EV37">
            <v>0.54614220877458386</v>
          </cell>
          <cell r="EW37">
            <v>0.55859969558599676</v>
          </cell>
          <cell r="EX37">
            <v>0.57120980091883578</v>
          </cell>
          <cell r="EY37">
            <v>0.58397534668721063</v>
          </cell>
          <cell r="EZ37">
            <v>0.59689922480620106</v>
          </cell>
          <cell r="FA37">
            <v>0.60998439937597437</v>
          </cell>
          <cell r="FB37">
            <v>0.62323390894819397</v>
          </cell>
          <cell r="FC37">
            <v>0.6366508688783562</v>
          </cell>
          <cell r="FD37">
            <v>0.6366508688783562</v>
          </cell>
          <cell r="FE37">
            <v>0.6366508688783562</v>
          </cell>
          <cell r="FF37">
            <v>0.6366508688783562</v>
          </cell>
          <cell r="FG37">
            <v>0.6366508688783562</v>
          </cell>
          <cell r="FH37">
            <v>0.6366508688783562</v>
          </cell>
          <cell r="FI37">
            <v>0.6366508688783562</v>
          </cell>
          <cell r="FJ37">
            <v>0.6366508688783562</v>
          </cell>
          <cell r="FK37">
            <v>0.6366508688783562</v>
          </cell>
          <cell r="FL37">
            <v>0.6366508688783562</v>
          </cell>
          <cell r="FM37">
            <v>0.6366508688783562</v>
          </cell>
          <cell r="FN37">
            <v>0.6366508688783562</v>
          </cell>
          <cell r="FO37">
            <v>0.6366508688783562</v>
          </cell>
          <cell r="FP37">
            <v>0.6366508688783562</v>
          </cell>
          <cell r="FQ37">
            <v>0.6366508688783562</v>
          </cell>
          <cell r="FR37">
            <v>0.6366508688783562</v>
          </cell>
          <cell r="FS37">
            <v>0.6366508688783562</v>
          </cell>
          <cell r="FT37">
            <v>0.6366508688783562</v>
          </cell>
          <cell r="FU37">
            <v>0.6366508688783562</v>
          </cell>
        </row>
        <row r="38">
          <cell r="A38" t="str">
            <v>peaudusd</v>
          </cell>
          <cell r="B38" t="str">
            <v>AUD/USD</v>
          </cell>
          <cell r="D38">
            <v>0.76929999999999998</v>
          </cell>
          <cell r="E38">
            <v>0.74780000000000002</v>
          </cell>
          <cell r="F38">
            <v>0.71319999999999995</v>
          </cell>
          <cell r="G38">
            <v>0.6885</v>
          </cell>
          <cell r="H38">
            <v>0.70479999999999998</v>
          </cell>
          <cell r="I38">
            <v>0.66649999999999998</v>
          </cell>
          <cell r="J38">
            <v>0.64610000000000001</v>
          </cell>
          <cell r="K38">
            <v>0.67930000000000001</v>
          </cell>
          <cell r="L38">
            <v>0.70169999999999999</v>
          </cell>
          <cell r="M38">
            <v>0.72770000000000001</v>
          </cell>
          <cell r="N38">
            <v>0.73950000000000005</v>
          </cell>
          <cell r="O38">
            <v>0.77639999999999998</v>
          </cell>
          <cell r="P38">
            <v>0.73450000000000004</v>
          </cell>
          <cell r="Q38">
            <v>0.70909999999999995</v>
          </cell>
          <cell r="R38">
            <v>0.75539999999999996</v>
          </cell>
          <cell r="S38">
            <v>0.74370000000000003</v>
          </cell>
          <cell r="T38">
            <v>0.78149999999999997</v>
          </cell>
          <cell r="U38">
            <v>0.7873</v>
          </cell>
          <cell r="V38">
            <v>0.79139999999999999</v>
          </cell>
          <cell r="W38">
            <v>0.79430000000000001</v>
          </cell>
          <cell r="X38">
            <v>0.78559999999999997</v>
          </cell>
          <cell r="Y38">
            <v>0.74550000000000005</v>
          </cell>
          <cell r="Z38">
            <v>0.72570000000000001</v>
          </cell>
          <cell r="AA38">
            <v>0.65029999999999999</v>
          </cell>
          <cell r="AB38">
            <v>0.66220000000000001</v>
          </cell>
          <cell r="AC38">
            <v>0.62</v>
          </cell>
          <cell r="AD38">
            <v>0.59360000000000002</v>
          </cell>
          <cell r="AE38">
            <v>0.61260000000000003</v>
          </cell>
          <cell r="AF38">
            <v>0.63439999999999996</v>
          </cell>
          <cell r="AG38">
            <v>0.66669999999999996</v>
          </cell>
          <cell r="AH38">
            <v>0.65249999999999997</v>
          </cell>
          <cell r="AI38">
            <v>0.65710000000000002</v>
          </cell>
          <cell r="AJ38">
            <v>0.60770000000000002</v>
          </cell>
          <cell r="AK38">
            <v>0.59670000000000001</v>
          </cell>
          <cell r="AL38">
            <v>0.54279999999999995</v>
          </cell>
          <cell r="AM38">
            <v>0.55879999999999996</v>
          </cell>
          <cell r="AN38">
            <v>0.48570000000000002</v>
          </cell>
          <cell r="AO38">
            <v>0.51139999999999997</v>
          </cell>
          <cell r="AP38">
            <v>0.49180000000000001</v>
          </cell>
          <cell r="AQ38">
            <v>0.50880000000000003</v>
          </cell>
          <cell r="AR38">
            <v>0.5333</v>
          </cell>
          <cell r="AS38">
            <v>0.56359999999999999</v>
          </cell>
          <cell r="AT38">
            <v>0.54279999999999995</v>
          </cell>
          <cell r="AU38">
            <v>0.56169999999999998</v>
          </cell>
          <cell r="AV38">
            <v>0.60470000000000002</v>
          </cell>
          <cell r="AW38">
            <v>0.67359999999999998</v>
          </cell>
          <cell r="AX38">
            <v>0.68100000000000005</v>
          </cell>
          <cell r="AY38">
            <v>0.75280000000000002</v>
          </cell>
          <cell r="AZ38">
            <v>0.76680000000000004</v>
          </cell>
          <cell r="BA38">
            <v>0.69889999999999997</v>
          </cell>
          <cell r="BB38">
            <v>0.72789999999999999</v>
          </cell>
          <cell r="BC38">
            <v>0.78095000000000003</v>
          </cell>
          <cell r="BD38">
            <v>0.77300000000000002</v>
          </cell>
          <cell r="BE38">
            <v>0.76215000000000011</v>
          </cell>
          <cell r="BF38">
            <v>0.76235000000000008</v>
          </cell>
          <cell r="BG38">
            <v>0.73440000000000005</v>
          </cell>
          <cell r="BH38">
            <v>0.71625000000000005</v>
          </cell>
          <cell r="BI38">
            <v>0.74345000000000006</v>
          </cell>
          <cell r="BJ38">
            <v>0.74595000000000011</v>
          </cell>
          <cell r="BK38">
            <v>0.78910000000000002</v>
          </cell>
          <cell r="BL38">
            <v>0.80889999999999995</v>
          </cell>
          <cell r="BM38">
            <v>0.84940000000000004</v>
          </cell>
          <cell r="BN38">
            <v>0.88780000000000003</v>
          </cell>
          <cell r="BO38">
            <v>0.87519999999999998</v>
          </cell>
          <cell r="BP38">
            <v>0.91335000000000011</v>
          </cell>
          <cell r="BQ38">
            <v>0.95860000000000012</v>
          </cell>
          <cell r="BR38">
            <v>0.79220000000000002</v>
          </cell>
          <cell r="BS38">
            <v>0.70265</v>
          </cell>
          <cell r="BT38">
            <v>0.69140000000000001</v>
          </cell>
          <cell r="BU38">
            <v>0.80659999999999998</v>
          </cell>
          <cell r="BV38">
            <v>0.88260000000000005</v>
          </cell>
          <cell r="BW38">
            <v>0.8972500000000001</v>
          </cell>
          <cell r="BX38">
            <v>0.91749999999999998</v>
          </cell>
          <cell r="BY38">
            <v>0.8407</v>
          </cell>
          <cell r="BZ38">
            <v>0.96720000000000006</v>
          </cell>
          <cell r="CA38">
            <v>1.0231000000000001</v>
          </cell>
          <cell r="CB38">
            <v>1.0327</v>
          </cell>
          <cell r="CC38">
            <v>1.07185</v>
          </cell>
          <cell r="CD38">
            <v>0.96635000000000004</v>
          </cell>
          <cell r="CE38">
            <v>1.0216000000000001</v>
          </cell>
          <cell r="CF38">
            <v>1.03552</v>
          </cell>
          <cell r="CG38">
            <v>1.0244</v>
          </cell>
          <cell r="CH38">
            <v>1.0382</v>
          </cell>
          <cell r="CI38">
            <v>1.0393950000000001</v>
          </cell>
          <cell r="CJ38">
            <v>1.0416500000000002</v>
          </cell>
          <cell r="CK38">
            <v>0.91368000000000005</v>
          </cell>
          <cell r="CL38">
            <v>0.93254999999999999</v>
          </cell>
          <cell r="CM38">
            <v>0.89200500000000016</v>
          </cell>
          <cell r="CN38">
            <v>0.92656500000000008</v>
          </cell>
          <cell r="CO38">
            <v>0.94323500000000005</v>
          </cell>
          <cell r="CP38">
            <v>0.87499500000000008</v>
          </cell>
          <cell r="CQ38">
            <v>0.81657500000000005</v>
          </cell>
          <cell r="CR38">
            <v>0.76062000000000007</v>
          </cell>
          <cell r="CS38">
            <v>0.77070499999999997</v>
          </cell>
          <cell r="CT38">
            <v>0.70178499999999999</v>
          </cell>
          <cell r="CU38">
            <v>0.72909000000000002</v>
          </cell>
          <cell r="CV38">
            <v>0.76578499999999994</v>
          </cell>
          <cell r="CW38">
            <v>0.74522500000000003</v>
          </cell>
          <cell r="CX38">
            <v>0.76595499999999994</v>
          </cell>
          <cell r="CY38">
            <v>0.720275</v>
          </cell>
          <cell r="CZ38">
            <v>0.76302000000000003</v>
          </cell>
          <cell r="DA38">
            <v>0.76865000000000006</v>
          </cell>
          <cell r="DB38">
            <v>0.78353499999999998</v>
          </cell>
          <cell r="DC38">
            <v>0.78042</v>
          </cell>
          <cell r="DD38">
            <v>0.768015</v>
          </cell>
          <cell r="DE38">
            <v>0.74069000000000007</v>
          </cell>
          <cell r="DF38">
            <v>0.7218</v>
          </cell>
          <cell r="DG38">
            <v>0.70534999999999992</v>
          </cell>
          <cell r="DH38">
            <v>0.70962999999999998</v>
          </cell>
          <cell r="DI38">
            <v>0.70218999999999998</v>
          </cell>
          <cell r="DJ38">
            <v>0.67495499999999997</v>
          </cell>
          <cell r="DK38">
            <v>0.70155999999999996</v>
          </cell>
          <cell r="DL38">
            <v>0.61394499999999996</v>
          </cell>
          <cell r="DM38">
            <v>0.69040000000000001</v>
          </cell>
          <cell r="DN38">
            <v>0.71655500000000005</v>
          </cell>
          <cell r="DO38">
            <v>0.76947500000000002</v>
          </cell>
          <cell r="DP38">
            <v>0.75973500000000005</v>
          </cell>
          <cell r="DQ38">
            <v>0.74981500000000001</v>
          </cell>
          <cell r="DR38">
            <v>0.72255999999999998</v>
          </cell>
          <cell r="DS38">
            <v>0.72650000000000003</v>
          </cell>
          <cell r="DT38">
            <v>0.74817</v>
          </cell>
          <cell r="DU38">
            <v>0.69035000000000002</v>
          </cell>
          <cell r="DV38">
            <v>0.64005500000000004</v>
          </cell>
          <cell r="DW38">
            <v>0.68155500000000002</v>
          </cell>
          <cell r="DX38">
            <v>0.66854999999999998</v>
          </cell>
          <cell r="DY38">
            <v>0.66629000000000005</v>
          </cell>
          <cell r="DZ38">
            <v>0.64303500000000002</v>
          </cell>
          <cell r="EA38">
            <v>0.68108000000000002</v>
          </cell>
          <cell r="EB38">
            <v>0.65139999999999998</v>
          </cell>
          <cell r="EC38">
            <v>0.66700000000000004</v>
          </cell>
          <cell r="ED38">
            <v>0.69131000000000009</v>
          </cell>
          <cell r="EE38">
            <v>0.61888500000000002</v>
          </cell>
          <cell r="EF38">
            <v>0.62470000000000003</v>
          </cell>
          <cell r="EG38">
            <v>0.6580649999999999</v>
          </cell>
          <cell r="EH38">
            <v>0.6613150000000001</v>
          </cell>
          <cell r="EI38">
            <v>0.66734500000000008</v>
          </cell>
          <cell r="EJ38">
            <v>0.67500000000000016</v>
          </cell>
          <cell r="EK38">
            <v>0.68</v>
          </cell>
          <cell r="EL38">
            <v>0.66500000000000004</v>
          </cell>
          <cell r="EM38">
            <v>0.65</v>
          </cell>
          <cell r="EN38">
            <v>0.65749999999999997</v>
          </cell>
          <cell r="EO38">
            <v>0.66499999999999981</v>
          </cell>
          <cell r="EP38">
            <v>0.67249999999999965</v>
          </cell>
          <cell r="EQ38">
            <v>0.68</v>
          </cell>
          <cell r="ER38">
            <v>0.68749999999999989</v>
          </cell>
          <cell r="ES38">
            <v>0.69499999999999973</v>
          </cell>
          <cell r="ET38">
            <v>0.70249999999999957</v>
          </cell>
          <cell r="EU38">
            <v>0.71</v>
          </cell>
          <cell r="EV38">
            <v>0.72199999999999998</v>
          </cell>
          <cell r="EW38">
            <v>0.73399999999999999</v>
          </cell>
          <cell r="EX38">
            <v>0.746</v>
          </cell>
          <cell r="EY38">
            <v>0.75800000000000001</v>
          </cell>
          <cell r="EZ38">
            <v>0.77</v>
          </cell>
          <cell r="FA38">
            <v>0.78200000000000003</v>
          </cell>
          <cell r="FB38">
            <v>0.79400000000000004</v>
          </cell>
          <cell r="FC38">
            <v>0.80600000000000005</v>
          </cell>
          <cell r="FD38">
            <v>0.80600000000000005</v>
          </cell>
          <cell r="FE38">
            <v>0.80600000000000005</v>
          </cell>
          <cell r="FF38">
            <v>0.80600000000000005</v>
          </cell>
          <cell r="FG38">
            <v>0.80600000000000005</v>
          </cell>
          <cell r="FH38">
            <v>0.80600000000000005</v>
          </cell>
          <cell r="FI38">
            <v>0.80600000000000005</v>
          </cell>
          <cell r="FJ38">
            <v>0.80600000000000005</v>
          </cell>
          <cell r="FK38">
            <v>0.80600000000000005</v>
          </cell>
          <cell r="FL38">
            <v>0.80600000000000005</v>
          </cell>
          <cell r="FM38">
            <v>0.80600000000000005</v>
          </cell>
          <cell r="FN38">
            <v>0.80600000000000005</v>
          </cell>
          <cell r="FO38">
            <v>0.80600000000000005</v>
          </cell>
          <cell r="FP38">
            <v>0.80600000000000005</v>
          </cell>
          <cell r="FQ38">
            <v>0.80600000000000005</v>
          </cell>
          <cell r="FR38">
            <v>0.80600000000000005</v>
          </cell>
          <cell r="FS38">
            <v>0.80600000000000005</v>
          </cell>
          <cell r="FT38">
            <v>0.80600000000000005</v>
          </cell>
          <cell r="FU38">
            <v>0.80600000000000005</v>
          </cell>
        </row>
        <row r="39">
          <cell r="A39" t="str">
            <v>peaudnzd</v>
          </cell>
          <cell r="B39" t="str">
            <v>AUD/NZD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>
            <v>1.2287999999999999</v>
          </cell>
          <cell r="O39">
            <v>1.2081999999999999</v>
          </cell>
          <cell r="P39">
            <v>1.1214999999999999</v>
          </cell>
          <cell r="Q39">
            <v>1.0593999999999999</v>
          </cell>
          <cell r="R39">
            <v>1.1480999999999999</v>
          </cell>
          <cell r="S39">
            <v>1.1378999999999999</v>
          </cell>
          <cell r="T39">
            <v>1.147</v>
          </cell>
          <cell r="U39">
            <v>1.149</v>
          </cell>
          <cell r="V39">
            <v>1.1309</v>
          </cell>
          <cell r="W39">
            <v>1.1236999999999999</v>
          </cell>
          <cell r="X39">
            <v>1.1304000000000001</v>
          </cell>
          <cell r="Y39">
            <v>1.1087</v>
          </cell>
          <cell r="Z39">
            <v>1.1307</v>
          </cell>
          <cell r="AA39">
            <v>1.1160000000000001</v>
          </cell>
          <cell r="AB39">
            <v>1.1992</v>
          </cell>
          <cell r="AC39">
            <v>1.2</v>
          </cell>
          <cell r="AD39">
            <v>1.1858</v>
          </cell>
          <cell r="AE39">
            <v>1.1584000000000001</v>
          </cell>
          <cell r="AF39">
            <v>1.1852</v>
          </cell>
          <cell r="AG39">
            <v>1.2486999999999999</v>
          </cell>
          <cell r="AH39">
            <v>1.2593000000000001</v>
          </cell>
          <cell r="AI39">
            <v>1.2574000000000001</v>
          </cell>
          <cell r="AJ39">
            <v>1.2242</v>
          </cell>
          <cell r="AK39">
            <v>1.2715000000000001</v>
          </cell>
          <cell r="AL39">
            <v>1.3319000000000001</v>
          </cell>
          <cell r="AM39">
            <v>1.2605999999999999</v>
          </cell>
          <cell r="AN39">
            <v>1.2042999999999999</v>
          </cell>
          <cell r="AO39">
            <v>1.2589999999999999</v>
          </cell>
          <cell r="AP39">
            <v>1.2101999999999999</v>
          </cell>
          <cell r="AQ39">
            <v>1.2213000000000001</v>
          </cell>
          <cell r="AR39">
            <v>1.2103999999999999</v>
          </cell>
          <cell r="AS39">
            <v>1.1569</v>
          </cell>
          <cell r="AT39">
            <v>1.1569</v>
          </cell>
          <cell r="AU39">
            <v>1.0717000000000001</v>
          </cell>
          <cell r="AV39">
            <v>1.0896999999999999</v>
          </cell>
          <cell r="AW39">
            <v>1.1473</v>
          </cell>
          <cell r="AX39">
            <v>1.1429</v>
          </cell>
          <cell r="AY39">
            <v>1.1444000000000001</v>
          </cell>
          <cell r="AZ39">
            <v>1.1469</v>
          </cell>
          <cell r="BA39">
            <v>1.0985</v>
          </cell>
          <cell r="BB39">
            <v>1.0740000000000001</v>
          </cell>
          <cell r="BC39">
            <v>1.0876074450760309</v>
          </cell>
          <cell r="BD39">
            <v>1.0860132008395653</v>
          </cell>
          <cell r="BE39">
            <v>1.093674281730447</v>
          </cell>
          <cell r="BF39">
            <v>1.101686434698377</v>
          </cell>
          <cell r="BG39">
            <v>1.0750500000000001</v>
          </cell>
          <cell r="BH39">
            <v>1.1625000000000001</v>
          </cell>
          <cell r="BI39">
            <v>1.2204999999999999</v>
          </cell>
          <cell r="BJ39">
            <v>1.14195</v>
          </cell>
          <cell r="BK39">
            <v>1.11975</v>
          </cell>
          <cell r="BL39">
            <v>1.1316999999999999</v>
          </cell>
          <cell r="BM39">
            <v>1.0992000000000002</v>
          </cell>
          <cell r="BN39">
            <v>1.1714500000000001</v>
          </cell>
          <cell r="BO39">
            <v>1.1425000000000001</v>
          </cell>
          <cell r="BP39">
            <v>1.1613500000000001</v>
          </cell>
          <cell r="BQ39">
            <v>1.2578499999999999</v>
          </cell>
          <cell r="BR39">
            <v>1.1830500000000002</v>
          </cell>
          <cell r="BS39">
            <v>1.2135</v>
          </cell>
          <cell r="BT39">
            <v>1.2361</v>
          </cell>
          <cell r="BU39">
            <v>1.24875</v>
          </cell>
          <cell r="BV39">
            <v>1.2210000000000001</v>
          </cell>
          <cell r="BW39">
            <v>1.2419500000000001</v>
          </cell>
          <cell r="BX39">
            <v>1.29095</v>
          </cell>
          <cell r="BY39">
            <v>1.2273499999999999</v>
          </cell>
          <cell r="BZ39">
            <v>1.3169</v>
          </cell>
          <cell r="CA39">
            <v>1.3116500000000002</v>
          </cell>
          <cell r="CB39">
            <v>1.3553500000000001</v>
          </cell>
          <cell r="CC39">
            <v>1.2928999999999999</v>
          </cell>
          <cell r="CD39">
            <v>1.26875</v>
          </cell>
          <cell r="CE39">
            <v>1.3138000000000001</v>
          </cell>
          <cell r="CF39">
            <v>1.2652650000000001</v>
          </cell>
          <cell r="CG39">
            <v>1.2788000000000002</v>
          </cell>
          <cell r="CH39">
            <v>1.251255</v>
          </cell>
          <cell r="CI39">
            <v>1.2544650000000002</v>
          </cell>
          <cell r="CJ39">
            <v>1.2447050000000002</v>
          </cell>
          <cell r="CK39">
            <v>1.180525</v>
          </cell>
          <cell r="CL39">
            <v>1.1225800000000001</v>
          </cell>
          <cell r="CM39">
            <v>1.0842450000000001</v>
          </cell>
          <cell r="CN39">
            <v>1.0681500000000002</v>
          </cell>
          <cell r="CO39">
            <v>1.0769850000000001</v>
          </cell>
          <cell r="CP39">
            <v>1.1203449999999999</v>
          </cell>
          <cell r="CQ39">
            <v>1.0474600000000001</v>
          </cell>
          <cell r="CR39">
            <v>1.01752</v>
          </cell>
          <cell r="CS39">
            <v>1.1388799999999999</v>
          </cell>
          <cell r="CT39">
            <v>1.0964800000000001</v>
          </cell>
          <cell r="CU39">
            <v>1.0676600000000001</v>
          </cell>
          <cell r="CV39">
            <v>1.1082999999999998</v>
          </cell>
          <cell r="CW39">
            <v>1.0442749999999998</v>
          </cell>
          <cell r="CX39">
            <v>1.0513699999999999</v>
          </cell>
          <cell r="CY39">
            <v>1.039955</v>
          </cell>
          <cell r="CZ39">
            <v>1.0889</v>
          </cell>
          <cell r="DA39">
            <v>1.048395</v>
          </cell>
          <cell r="DB39">
            <v>1.0868</v>
          </cell>
          <cell r="DC39">
            <v>1.1006749999999998</v>
          </cell>
          <cell r="DD39">
            <v>1.0607899999999999</v>
          </cell>
          <cell r="DE39">
            <v>1.0929150000000001</v>
          </cell>
          <cell r="DF39">
            <v>1.0909249999999999</v>
          </cell>
          <cell r="DG39">
            <v>1.050125</v>
          </cell>
          <cell r="DH39">
            <v>1.0423849999999999</v>
          </cell>
          <cell r="DI39">
            <v>1.0453600000000001</v>
          </cell>
          <cell r="DJ39">
            <v>1.0775299999999999</v>
          </cell>
          <cell r="DK39">
            <v>1.0426950000000001</v>
          </cell>
          <cell r="DL39">
            <v>1.0289950000000001</v>
          </cell>
          <cell r="DM39">
            <v>1.0695299999999999</v>
          </cell>
          <cell r="DN39">
            <v>1.0822799999999999</v>
          </cell>
          <cell r="DO39">
            <v>1.07067</v>
          </cell>
          <cell r="DP39">
            <v>1.08761</v>
          </cell>
          <cell r="DQ39">
            <v>1.0743149999999999</v>
          </cell>
          <cell r="DR39">
            <v>1.04783</v>
          </cell>
          <cell r="DS39">
            <v>1.0624</v>
          </cell>
          <cell r="DT39">
            <v>1.076495</v>
          </cell>
          <cell r="DU39">
            <v>1.10666</v>
          </cell>
          <cell r="DV39">
            <v>1.1437850000000001</v>
          </cell>
          <cell r="DW39">
            <v>1.0745499999999999</v>
          </cell>
          <cell r="DX39">
            <v>1.0678650000000001</v>
          </cell>
          <cell r="DY39">
            <v>1.0892550000000001</v>
          </cell>
          <cell r="DZ39">
            <v>1.07311</v>
          </cell>
          <cell r="EA39">
            <v>1.077985</v>
          </cell>
          <cell r="EB39">
            <v>1.0948199999999999</v>
          </cell>
          <cell r="EC39">
            <v>1.0949</v>
          </cell>
          <cell r="ED39">
            <v>1.088935</v>
          </cell>
          <cell r="EE39">
            <v>1.1061000000000001</v>
          </cell>
          <cell r="EF39">
            <v>1.1002000000000001</v>
          </cell>
          <cell r="EG39">
            <v>1.0792999999999999</v>
          </cell>
          <cell r="EH39">
            <v>1.1414</v>
          </cell>
          <cell r="EI39">
            <v>1.1594</v>
          </cell>
          <cell r="EJ39">
            <v>1.08</v>
          </cell>
          <cell r="EK39">
            <v>1.0793650793650795</v>
          </cell>
          <cell r="EL39">
            <v>1.0991735537190082</v>
          </cell>
          <cell r="EM39">
            <v>1.1206896551724139</v>
          </cell>
          <cell r="EN39">
            <v>1.1239316239316237</v>
          </cell>
          <cell r="EO39">
            <v>1.1271186440677958</v>
          </cell>
          <cell r="EP39">
            <v>1.130252100840335</v>
          </cell>
          <cell r="EQ39">
            <v>1.1333333333333335</v>
          </cell>
          <cell r="ER39">
            <v>1.1410788381742736</v>
          </cell>
          <cell r="ES39">
            <v>1.1487603305785117</v>
          </cell>
          <cell r="ET39">
            <v>1.1563786008230443</v>
          </cell>
          <cell r="EU39">
            <v>1.1639344262295082</v>
          </cell>
          <cell r="EV39">
            <v>1.1701782820097246</v>
          </cell>
          <cell r="EW39">
            <v>1.1762820512820518</v>
          </cell>
          <cell r="EX39">
            <v>1.1822503961965141</v>
          </cell>
          <cell r="EY39">
            <v>1.1880877742946716</v>
          </cell>
          <cell r="EZ39">
            <v>1.1937984496124041</v>
          </cell>
          <cell r="FA39">
            <v>1.199386503067486</v>
          </cell>
          <cell r="FB39">
            <v>1.2048558421851303</v>
          </cell>
          <cell r="FC39">
            <v>1.2102102102102119</v>
          </cell>
          <cell r="FD39">
            <v>1.2102102102102119</v>
          </cell>
          <cell r="FE39">
            <v>1.2102102102102119</v>
          </cell>
          <cell r="FF39">
            <v>1.2102102102102119</v>
          </cell>
          <cell r="FG39">
            <v>1.2102102102102119</v>
          </cell>
          <cell r="FH39">
            <v>1.2102102102102119</v>
          </cell>
          <cell r="FI39">
            <v>1.2102102102102119</v>
          </cell>
          <cell r="FJ39">
            <v>1.2102102102102119</v>
          </cell>
          <cell r="FK39">
            <v>1.2102102102102119</v>
          </cell>
          <cell r="FL39">
            <v>1.2102102102102119</v>
          </cell>
          <cell r="FM39">
            <v>1.2102102102102119</v>
          </cell>
          <cell r="FN39">
            <v>1.2102102102102119</v>
          </cell>
          <cell r="FO39">
            <v>1.2102102102102119</v>
          </cell>
          <cell r="FP39">
            <v>1.2102102102102119</v>
          </cell>
          <cell r="FQ39">
            <v>1.2102102102102119</v>
          </cell>
          <cell r="FR39">
            <v>1.2102102102102119</v>
          </cell>
          <cell r="FS39">
            <v>1.2102102102102119</v>
          </cell>
          <cell r="FT39">
            <v>1.2102102102102119</v>
          </cell>
          <cell r="FU39">
            <v>1.2102102102102119</v>
          </cell>
        </row>
        <row r="40">
          <cell r="A40" t="str">
            <v>peaudeur</v>
          </cell>
          <cell r="B40" t="str">
            <v>AUD/EUR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>
            <v>0.62370000000000003</v>
          </cell>
          <cell r="X40">
            <v>0.67220000000000002</v>
          </cell>
          <cell r="Y40">
            <v>0.66979999999999995</v>
          </cell>
          <cell r="Z40">
            <v>0.64980000000000004</v>
          </cell>
          <cell r="AA40">
            <v>0.59640000000000004</v>
          </cell>
          <cell r="AB40">
            <v>0.62419999999999998</v>
          </cell>
          <cell r="AC40">
            <v>0.57199999999999995</v>
          </cell>
          <cell r="AD40">
            <v>0.5071</v>
          </cell>
          <cell r="AE40">
            <v>0.51849999999999996</v>
          </cell>
          <cell r="AF40">
            <v>0.58850000000000002</v>
          </cell>
          <cell r="AG40">
            <v>0.64419999999999999</v>
          </cell>
          <cell r="AH40">
            <v>0.61060000000000003</v>
          </cell>
          <cell r="AI40">
            <v>0.6502</v>
          </cell>
          <cell r="AJ40">
            <v>0.63600000000000001</v>
          </cell>
          <cell r="AK40">
            <v>0.62580000000000002</v>
          </cell>
          <cell r="AL40">
            <v>0.61439999999999995</v>
          </cell>
          <cell r="AM40">
            <v>0.59309999999999996</v>
          </cell>
          <cell r="AN40">
            <v>0.55330000000000001</v>
          </cell>
          <cell r="AO40">
            <v>0.60189999999999999</v>
          </cell>
          <cell r="AP40">
            <v>0.53990000000000005</v>
          </cell>
          <cell r="AQ40">
            <v>0.5716</v>
          </cell>
          <cell r="AR40">
            <v>0.61180000000000001</v>
          </cell>
          <cell r="AS40">
            <v>0.56830000000000003</v>
          </cell>
          <cell r="AT40">
            <v>0.54959999999999998</v>
          </cell>
          <cell r="AU40">
            <v>0.5353</v>
          </cell>
          <cell r="AV40">
            <v>0.55359999999999998</v>
          </cell>
          <cell r="AW40">
            <v>0.5857</v>
          </cell>
          <cell r="AX40">
            <v>0.58450000000000002</v>
          </cell>
          <cell r="AY40">
            <v>0.59740000000000004</v>
          </cell>
          <cell r="AZ40">
            <v>0.62250000000000005</v>
          </cell>
          <cell r="BA40">
            <v>0.57289999999999996</v>
          </cell>
          <cell r="BB40">
            <v>0.58540000000000003</v>
          </cell>
          <cell r="BC40">
            <v>0.5765849955333322</v>
          </cell>
          <cell r="BD40">
            <v>0.59633855806730685</v>
          </cell>
          <cell r="BE40">
            <v>0.62964368411584326</v>
          </cell>
          <cell r="BF40">
            <v>0.63371368617271795</v>
          </cell>
          <cell r="BG40">
            <v>0.61990000000000012</v>
          </cell>
          <cell r="BH40">
            <v>0.59129999999999994</v>
          </cell>
          <cell r="BI40">
            <v>0.58119999999999994</v>
          </cell>
          <cell r="BJ40">
            <v>0.58860000000000001</v>
          </cell>
          <cell r="BK40">
            <v>0.59719999999999995</v>
          </cell>
          <cell r="BL40">
            <v>0.60549999999999993</v>
          </cell>
          <cell r="BM40">
            <v>0.62729999999999997</v>
          </cell>
          <cell r="BN40">
            <v>0.62230000000000008</v>
          </cell>
          <cell r="BO40">
            <v>0.60000000000000009</v>
          </cell>
          <cell r="BP40">
            <v>0.57905000000000006</v>
          </cell>
          <cell r="BQ40">
            <v>0.60860000000000003</v>
          </cell>
          <cell r="BR40">
            <v>0.5616000000000001</v>
          </cell>
          <cell r="BS40">
            <v>0.50279999999999991</v>
          </cell>
          <cell r="BT40">
            <v>0.52200000000000002</v>
          </cell>
          <cell r="BU40">
            <v>0.57450000000000001</v>
          </cell>
          <cell r="BV40">
            <v>0.6028</v>
          </cell>
          <cell r="BW40">
            <v>0.62620000000000009</v>
          </cell>
          <cell r="BX40">
            <v>0.67910000000000004</v>
          </cell>
          <cell r="BY40">
            <v>0.68720000000000003</v>
          </cell>
          <cell r="BZ40">
            <v>0.70940000000000003</v>
          </cell>
          <cell r="CA40">
            <v>0.76439999999999997</v>
          </cell>
          <cell r="CB40">
            <v>0.72940000000000005</v>
          </cell>
          <cell r="CC40">
            <v>0.73930000000000007</v>
          </cell>
          <cell r="CD40">
            <v>0.72160000000000002</v>
          </cell>
          <cell r="CE40">
            <v>0.78930000000000011</v>
          </cell>
          <cell r="CF40">
            <v>0.77625000000000011</v>
          </cell>
          <cell r="CG40">
            <v>0.80980000000000008</v>
          </cell>
          <cell r="CH40">
            <v>0.80754999999999999</v>
          </cell>
          <cell r="CI40">
            <v>0.78775000000000006</v>
          </cell>
          <cell r="CJ40">
            <v>0.81269999999999998</v>
          </cell>
          <cell r="CK40">
            <v>0.70220000000000005</v>
          </cell>
          <cell r="CL40">
            <v>0.68955000000000011</v>
          </cell>
          <cell r="CM40">
            <v>0.64880000000000004</v>
          </cell>
          <cell r="CN40">
            <v>0.67280000000000006</v>
          </cell>
          <cell r="CO40">
            <v>0.68890000000000007</v>
          </cell>
          <cell r="CP40">
            <v>0.69270000000000009</v>
          </cell>
          <cell r="CQ40">
            <v>0.67510000000000003</v>
          </cell>
          <cell r="CR40">
            <v>0.70840000000000003</v>
          </cell>
          <cell r="CS40">
            <v>0.69209999999999994</v>
          </cell>
          <cell r="CT40">
            <v>0.62790000000000001</v>
          </cell>
          <cell r="CU40">
            <v>0.67149999999999999</v>
          </cell>
          <cell r="CV40">
            <v>0.67300000000000004</v>
          </cell>
          <cell r="CW40">
            <v>0.67125000000000001</v>
          </cell>
          <cell r="CX40">
            <v>0.68140000000000001</v>
          </cell>
          <cell r="CY40">
            <v>0.68470000000000009</v>
          </cell>
          <cell r="CZ40">
            <v>0.71575</v>
          </cell>
          <cell r="DA40">
            <v>0.67320000000000002</v>
          </cell>
          <cell r="DB40">
            <v>0.6633</v>
          </cell>
          <cell r="DC40">
            <v>0.6500999999999999</v>
          </cell>
          <cell r="DD40">
            <v>0.62314999999999998</v>
          </cell>
          <cell r="DE40">
            <v>0.63385000000000002</v>
          </cell>
          <cell r="DF40">
            <v>0.62204999999999999</v>
          </cell>
          <cell r="DG40">
            <v>0.61509999999999998</v>
          </cell>
          <cell r="DH40">
            <v>0.63270000000000004</v>
          </cell>
          <cell r="DI40">
            <v>0.61765000000000003</v>
          </cell>
          <cell r="DJ40">
            <v>0.61924999999999997</v>
          </cell>
          <cell r="DK40">
            <v>0.62575000000000003</v>
          </cell>
          <cell r="DL40">
            <v>0.55639499999999997</v>
          </cell>
          <cell r="DM40">
            <v>0.61461999999999994</v>
          </cell>
          <cell r="DN40">
            <v>0.61126000000000003</v>
          </cell>
          <cell r="DO40">
            <v>0.62980000000000003</v>
          </cell>
          <cell r="DP40">
            <v>0.64749999999999996</v>
          </cell>
          <cell r="DQ40">
            <v>0.63229999999999997</v>
          </cell>
          <cell r="DR40">
            <v>0.62439999999999996</v>
          </cell>
          <cell r="DS40">
            <v>0.63934000000000002</v>
          </cell>
          <cell r="DT40">
            <v>0.67630000000000001</v>
          </cell>
          <cell r="DU40">
            <v>0.65869999999999995</v>
          </cell>
          <cell r="DV40">
            <v>0.65288999999999997</v>
          </cell>
          <cell r="DW40">
            <v>0.63680000000000003</v>
          </cell>
          <cell r="DX40">
            <v>0.61660000000000004</v>
          </cell>
          <cell r="DY40">
            <v>0.61070000000000002</v>
          </cell>
          <cell r="DZ40">
            <v>0.60853000000000002</v>
          </cell>
          <cell r="EA40">
            <v>0.61714000000000002</v>
          </cell>
          <cell r="EB40">
            <v>0.60350000000000004</v>
          </cell>
          <cell r="EC40">
            <v>0.62260000000000004</v>
          </cell>
          <cell r="ED40">
            <v>0.62090000000000001</v>
          </cell>
          <cell r="EE40">
            <v>0.59771255405562906</v>
          </cell>
          <cell r="EF40">
            <v>0.57760565129369223</v>
          </cell>
          <cell r="EG40">
            <v>0.55828183183434665</v>
          </cell>
          <cell r="EH40">
            <v>0.56361843032267156</v>
          </cell>
          <cell r="EI40">
            <v>0.5681576069201596</v>
          </cell>
          <cell r="EJ40">
            <v>0.55102040816326547</v>
          </cell>
          <cell r="EK40">
            <v>0.54400000000000004</v>
          </cell>
          <cell r="EL40">
            <v>0.53200000000000003</v>
          </cell>
          <cell r="EM40">
            <v>0.52</v>
          </cell>
          <cell r="EN40">
            <v>0.52600000000000002</v>
          </cell>
          <cell r="EO40">
            <v>0.53199999999999981</v>
          </cell>
          <cell r="EP40">
            <v>0.5379999999999997</v>
          </cell>
          <cell r="EQ40">
            <v>0.54400000000000004</v>
          </cell>
          <cell r="ER40">
            <v>0.54999999999999993</v>
          </cell>
          <cell r="ES40">
            <v>0.55599999999999983</v>
          </cell>
          <cell r="ET40">
            <v>0.56199999999999961</v>
          </cell>
          <cell r="EU40">
            <v>0.56799999999999995</v>
          </cell>
          <cell r="EV40">
            <v>0.5799196787148595</v>
          </cell>
          <cell r="EW40">
            <v>0.59193548387096784</v>
          </cell>
          <cell r="EX40">
            <v>0.60404858299595154</v>
          </cell>
          <cell r="EY40">
            <v>0.6162601626016263</v>
          </cell>
          <cell r="EZ40">
            <v>0.62857142857142889</v>
          </cell>
          <cell r="FA40">
            <v>0.64098360655737741</v>
          </cell>
          <cell r="FB40">
            <v>0.65349794238683179</v>
          </cell>
          <cell r="FC40">
            <v>0.66611570247933938</v>
          </cell>
          <cell r="FD40">
            <v>0.66611570247933938</v>
          </cell>
          <cell r="FE40">
            <v>0.66611570247933938</v>
          </cell>
          <cell r="FF40">
            <v>0.66611570247933938</v>
          </cell>
          <cell r="FG40">
            <v>0.66611570247933938</v>
          </cell>
          <cell r="FH40">
            <v>0.66611570247933938</v>
          </cell>
          <cell r="FI40">
            <v>0.66611570247933938</v>
          </cell>
          <cell r="FJ40">
            <v>0.66611570247933938</v>
          </cell>
          <cell r="FK40">
            <v>0.66611570247933938</v>
          </cell>
          <cell r="FL40">
            <v>0.66611570247933938</v>
          </cell>
          <cell r="FM40">
            <v>0.66611570247933938</v>
          </cell>
          <cell r="FN40">
            <v>0.66611570247933938</v>
          </cell>
          <cell r="FO40">
            <v>0.66611570247933938</v>
          </cell>
          <cell r="FP40">
            <v>0.66611570247933938</v>
          </cell>
          <cell r="FQ40">
            <v>0.66611570247933938</v>
          </cell>
          <cell r="FR40">
            <v>0.66611570247933938</v>
          </cell>
          <cell r="FS40">
            <v>0.66611570247933938</v>
          </cell>
          <cell r="FT40">
            <v>0.66611570247933938</v>
          </cell>
          <cell r="FU40">
            <v>0.66611570247933938</v>
          </cell>
        </row>
        <row r="41">
          <cell r="A41" t="str">
            <v>peaudkrw</v>
          </cell>
          <cell r="B41" t="str">
            <v>AUD/KRW</v>
          </cell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>
            <v>696.60175000000004</v>
          </cell>
          <cell r="BI41">
            <v>706.84545000000003</v>
          </cell>
          <cell r="BJ41">
            <v>706.46199999999999</v>
          </cell>
          <cell r="BK41">
            <v>733.07389999999998</v>
          </cell>
          <cell r="BL41">
            <v>761.09401000000003</v>
          </cell>
          <cell r="BM41">
            <v>784.71819000000005</v>
          </cell>
          <cell r="BN41">
            <v>812.51455999999996</v>
          </cell>
          <cell r="BO41">
            <v>819.27472</v>
          </cell>
          <cell r="BP41">
            <v>904.21</v>
          </cell>
          <cell r="BQ41">
            <v>1003.07</v>
          </cell>
          <cell r="BR41">
            <v>955.27</v>
          </cell>
          <cell r="BS41">
            <v>885.36</v>
          </cell>
          <cell r="BT41">
            <v>950.01</v>
          </cell>
          <cell r="BU41">
            <v>1027.8900000000001</v>
          </cell>
          <cell r="BV41">
            <v>1037.67</v>
          </cell>
          <cell r="BW41">
            <v>1045.32</v>
          </cell>
          <cell r="BX41">
            <v>1040.1200000000001</v>
          </cell>
          <cell r="BY41">
            <v>1029.1100000000001</v>
          </cell>
          <cell r="BZ41">
            <v>1102.75</v>
          </cell>
          <cell r="CA41">
            <v>1146.1200000000001</v>
          </cell>
          <cell r="CB41">
            <v>1133.04</v>
          </cell>
          <cell r="CC41">
            <v>1143.6500000000001</v>
          </cell>
          <cell r="CD41">
            <v>1141.42</v>
          </cell>
          <cell r="CE41">
            <v>1183.76</v>
          </cell>
          <cell r="CF41">
            <v>1173.05</v>
          </cell>
          <cell r="CG41">
            <v>1173.9100000000001</v>
          </cell>
          <cell r="CH41">
            <v>1153.6600000000001</v>
          </cell>
          <cell r="CI41">
            <v>1105.79</v>
          </cell>
          <cell r="CJ41">
            <v>1156.9000000000001</v>
          </cell>
          <cell r="CK41">
            <v>1043.6100000000001</v>
          </cell>
          <cell r="CL41">
            <v>1004.02</v>
          </cell>
          <cell r="CM41">
            <v>942.69</v>
          </cell>
          <cell r="CN41">
            <v>985.55000000000007</v>
          </cell>
          <cell r="CO41">
            <v>954.55000000000007</v>
          </cell>
          <cell r="CP41">
            <v>926.44</v>
          </cell>
          <cell r="CQ41">
            <v>891.9</v>
          </cell>
          <cell r="CR41">
            <v>843.49</v>
          </cell>
          <cell r="CS41">
            <v>861.86</v>
          </cell>
          <cell r="CT41">
            <v>831.52</v>
          </cell>
          <cell r="CU41">
            <v>857.49</v>
          </cell>
          <cell r="CV41">
            <v>873.15</v>
          </cell>
          <cell r="CW41">
            <v>858.69</v>
          </cell>
          <cell r="CX41">
            <v>841.48</v>
          </cell>
          <cell r="CY41">
            <v>869.26</v>
          </cell>
          <cell r="CZ41">
            <v>852.16</v>
          </cell>
          <cell r="DA41">
            <v>879.84</v>
          </cell>
          <cell r="DB41">
            <v>896.7</v>
          </cell>
          <cell r="DC41">
            <v>832.08</v>
          </cell>
          <cell r="DD41">
            <v>814.21</v>
          </cell>
          <cell r="DE41">
            <v>824.89</v>
          </cell>
          <cell r="DF41">
            <v>800.6</v>
          </cell>
          <cell r="DG41">
            <v>784.77</v>
          </cell>
          <cell r="DH41">
            <v>806.59</v>
          </cell>
          <cell r="DI41">
            <v>812</v>
          </cell>
          <cell r="DJ41">
            <v>808.71</v>
          </cell>
          <cell r="DK41">
            <v>809.77</v>
          </cell>
          <cell r="DL41">
            <v>748.19</v>
          </cell>
          <cell r="DM41">
            <v>828.69</v>
          </cell>
          <cell r="DN41">
            <v>834.76</v>
          </cell>
          <cell r="DO41">
            <v>834.74</v>
          </cell>
          <cell r="DP41">
            <v>856.69309999999996</v>
          </cell>
          <cell r="DQ41">
            <v>847.84400000000005</v>
          </cell>
          <cell r="DR41">
            <v>856.58069999999998</v>
          </cell>
          <cell r="DS41">
            <v>864.17809999999997</v>
          </cell>
          <cell r="DT41">
            <v>909.10929999999996</v>
          </cell>
          <cell r="DU41">
            <v>889.3605</v>
          </cell>
          <cell r="DV41">
            <v>922.4556</v>
          </cell>
          <cell r="DW41">
            <v>858.94330000000002</v>
          </cell>
          <cell r="DX41">
            <v>873.38610000000006</v>
          </cell>
          <cell r="DY41">
            <v>877.01859999999999</v>
          </cell>
          <cell r="DZ41">
            <v>869.74429999999995</v>
          </cell>
          <cell r="EA41">
            <v>881.66840000000002</v>
          </cell>
          <cell r="EB41">
            <v>876.94410000000005</v>
          </cell>
          <cell r="EC41">
            <v>921.27700000000004</v>
          </cell>
          <cell r="ED41">
            <v>911.86300000000006</v>
          </cell>
          <cell r="EE41">
            <v>914.59400000000005</v>
          </cell>
          <cell r="EF41">
            <v>920.21</v>
          </cell>
          <cell r="EG41">
            <v>890.14599999999996</v>
          </cell>
          <cell r="EH41">
            <v>928.70299999999997</v>
          </cell>
          <cell r="EI41">
            <v>962.04600000000005</v>
          </cell>
          <cell r="EJ41">
            <v>894.37500000000023</v>
          </cell>
          <cell r="EK41">
            <v>890.80000000000007</v>
          </cell>
          <cell r="EL41">
            <v>864.50000000000023</v>
          </cell>
          <cell r="EM41">
            <v>838.5</v>
          </cell>
          <cell r="EN41">
            <v>844.88749999999982</v>
          </cell>
          <cell r="EO41">
            <v>851.19999999999948</v>
          </cell>
          <cell r="EP41">
            <v>857.43749999999909</v>
          </cell>
          <cell r="EQ41">
            <v>863.6</v>
          </cell>
          <cell r="ER41">
            <v>869.68749999999966</v>
          </cell>
          <cell r="ES41">
            <v>875.69999999999936</v>
          </cell>
          <cell r="ET41">
            <v>881.63749999999902</v>
          </cell>
          <cell r="EU41">
            <v>887.5</v>
          </cell>
          <cell r="EV41">
            <v>897.51820000000009</v>
          </cell>
          <cell r="EW41">
            <v>907.37080000000014</v>
          </cell>
          <cell r="EX41">
            <v>917.05780000000027</v>
          </cell>
          <cell r="EY41">
            <v>926.57920000000047</v>
          </cell>
          <cell r="EZ41">
            <v>935.93500000000051</v>
          </cell>
          <cell r="FA41">
            <v>945.12520000000063</v>
          </cell>
          <cell r="FB41">
            <v>954.14980000000082</v>
          </cell>
          <cell r="FC41">
            <v>963.00880000000097</v>
          </cell>
          <cell r="FD41">
            <v>963.00880000000097</v>
          </cell>
          <cell r="FE41">
            <v>963.00880000000097</v>
          </cell>
          <cell r="FF41">
            <v>963.00880000000097</v>
          </cell>
          <cell r="FG41">
            <v>963.00880000000097</v>
          </cell>
          <cell r="FH41">
            <v>963.00880000000097</v>
          </cell>
          <cell r="FI41">
            <v>963.00880000000097</v>
          </cell>
          <cell r="FJ41">
            <v>963.00880000000097</v>
          </cell>
          <cell r="FK41">
            <v>963.00880000000097</v>
          </cell>
          <cell r="FL41">
            <v>963.00880000000097</v>
          </cell>
          <cell r="FM41">
            <v>963.00880000000097</v>
          </cell>
          <cell r="FN41">
            <v>963.00880000000097</v>
          </cell>
          <cell r="FO41">
            <v>963.00880000000097</v>
          </cell>
          <cell r="FP41">
            <v>963.00880000000097</v>
          </cell>
          <cell r="FQ41">
            <v>963.00880000000097</v>
          </cell>
          <cell r="FR41">
            <v>963.00880000000097</v>
          </cell>
          <cell r="FS41">
            <v>963.00880000000097</v>
          </cell>
          <cell r="FT41">
            <v>963.00880000000097</v>
          </cell>
          <cell r="FU41">
            <v>963.00880000000097</v>
          </cell>
        </row>
        <row r="42"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  <cell r="CE42"/>
          <cell r="CF42"/>
          <cell r="CG42"/>
          <cell r="CH42"/>
          <cell r="CI42"/>
          <cell r="CJ42"/>
          <cell r="CK42"/>
          <cell r="CL42"/>
          <cell r="CM42"/>
          <cell r="CN42"/>
          <cell r="CO42"/>
          <cell r="CP42"/>
          <cell r="CQ42"/>
          <cell r="CR42"/>
          <cell r="CS42"/>
          <cell r="CT42"/>
          <cell r="CU42"/>
          <cell r="CV42"/>
          <cell r="CW42"/>
          <cell r="CX42"/>
          <cell r="CY42"/>
          <cell r="CZ42"/>
          <cell r="DA42"/>
          <cell r="DB42"/>
          <cell r="DC42"/>
          <cell r="DD42"/>
          <cell r="DE42"/>
          <cell r="DF42"/>
          <cell r="DG42"/>
          <cell r="DH42"/>
          <cell r="DI42"/>
          <cell r="DJ42"/>
          <cell r="DK42"/>
          <cell r="DL42"/>
          <cell r="DM42"/>
          <cell r="DN42"/>
          <cell r="DO42"/>
          <cell r="DP42"/>
          <cell r="DQ42"/>
          <cell r="DR42"/>
          <cell r="DS42"/>
          <cell r="DT42"/>
          <cell r="DU42"/>
          <cell r="DV42"/>
          <cell r="DW42"/>
          <cell r="DX42"/>
          <cell r="DY42"/>
          <cell r="DZ42"/>
          <cell r="EA42"/>
          <cell r="EB42"/>
          <cell r="EC42"/>
          <cell r="ED42"/>
          <cell r="EE42"/>
          <cell r="EG42"/>
          <cell r="EH42"/>
        </row>
        <row r="43">
          <cell r="B43" t="str">
            <v>Average exchange rates (6mo)</v>
          </cell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  <cell r="CE43"/>
          <cell r="CF43"/>
          <cell r="CG43"/>
          <cell r="CH43"/>
          <cell r="CI43"/>
          <cell r="CJ43"/>
          <cell r="CK43"/>
          <cell r="CL43"/>
          <cell r="CM43"/>
          <cell r="CN43"/>
          <cell r="CO43"/>
          <cell r="CP43"/>
          <cell r="CQ43"/>
          <cell r="CR43"/>
          <cell r="CS43"/>
          <cell r="CT43"/>
          <cell r="CU43"/>
          <cell r="CV43"/>
          <cell r="CW43"/>
          <cell r="CX43"/>
          <cell r="CY43"/>
          <cell r="CZ43"/>
          <cell r="DA43"/>
          <cell r="DB43"/>
          <cell r="DC43"/>
          <cell r="DD43"/>
          <cell r="DE43"/>
          <cell r="DF43"/>
          <cell r="DG43"/>
          <cell r="DH43"/>
          <cell r="DI43"/>
          <cell r="DJ43"/>
          <cell r="DK43"/>
          <cell r="DL43"/>
          <cell r="DM43"/>
          <cell r="DN43"/>
          <cell r="DO43"/>
          <cell r="DP43"/>
          <cell r="DQ43"/>
          <cell r="DR43"/>
          <cell r="DS43"/>
          <cell r="DT43"/>
          <cell r="DU43"/>
          <cell r="DV43"/>
          <cell r="DW43"/>
          <cell r="DX43"/>
          <cell r="DY43"/>
          <cell r="DZ43"/>
          <cell r="EA43"/>
          <cell r="EB43"/>
          <cell r="EC43"/>
          <cell r="ED43"/>
          <cell r="EE43"/>
          <cell r="EF43"/>
          <cell r="EG43"/>
          <cell r="EH43"/>
          <cell r="EI43"/>
          <cell r="EJ43"/>
          <cell r="EK43"/>
          <cell r="EL43"/>
          <cell r="EM43"/>
          <cell r="EN43"/>
          <cell r="EO43"/>
          <cell r="EP43"/>
          <cell r="EQ43"/>
          <cell r="ER43"/>
          <cell r="ES43"/>
          <cell r="ET43"/>
          <cell r="EU43"/>
          <cell r="EV43"/>
          <cell r="EW43"/>
          <cell r="EX43"/>
          <cell r="EY43"/>
          <cell r="EZ43"/>
          <cell r="FA43"/>
          <cell r="FB43"/>
          <cell r="FC43"/>
          <cell r="FD43"/>
          <cell r="FE43"/>
          <cell r="FF43"/>
          <cell r="FG43"/>
          <cell r="FH43"/>
          <cell r="FI43"/>
          <cell r="FJ43"/>
          <cell r="FK43"/>
          <cell r="FL43"/>
          <cell r="FM43"/>
          <cell r="FN43"/>
          <cell r="FO43"/>
          <cell r="FP43"/>
          <cell r="FQ43"/>
          <cell r="FR43"/>
          <cell r="FS43"/>
          <cell r="FT43"/>
          <cell r="FU43"/>
        </row>
        <row r="44">
          <cell r="A44" t="str">
            <v>avaudgbp6m</v>
          </cell>
          <cell r="B44" t="str">
            <v>AUD/GBP</v>
          </cell>
          <cell r="D44">
            <v>0.43013333333333331</v>
          </cell>
          <cell r="E44">
            <v>0.42045000000000005</v>
          </cell>
          <cell r="F44">
            <v>0.39601666666666668</v>
          </cell>
          <cell r="G44">
            <v>0.41606666666666658</v>
          </cell>
          <cell r="H44">
            <v>0.46021666666666666</v>
          </cell>
          <cell r="I44">
            <v>0.45633333333333331</v>
          </cell>
          <cell r="J44">
            <v>0.44600000000000001</v>
          </cell>
          <cell r="K44">
            <v>0.45011666666666666</v>
          </cell>
          <cell r="L44">
            <v>0.46278333333333332</v>
          </cell>
          <cell r="M44">
            <v>0.47554999999999997</v>
          </cell>
          <cell r="N44">
            <v>0.47700000000000004</v>
          </cell>
          <cell r="O44">
            <v>0.47875000000000001</v>
          </cell>
          <cell r="P44">
            <v>0.47310000000000002</v>
          </cell>
          <cell r="Q44">
            <v>0.45770000000000005</v>
          </cell>
          <cell r="R44">
            <v>0.4620333333333333</v>
          </cell>
          <cell r="S44">
            <v>0.47816666666666663</v>
          </cell>
          <cell r="T44">
            <v>0.49140000000000006</v>
          </cell>
          <cell r="U44">
            <v>0.50803333333333334</v>
          </cell>
          <cell r="V44">
            <v>0.50881666666666658</v>
          </cell>
          <cell r="W44">
            <v>0.49053333333333327</v>
          </cell>
          <cell r="X44">
            <v>0.47793333333333332</v>
          </cell>
          <cell r="Y44">
            <v>0.47160000000000002</v>
          </cell>
          <cell r="Z44">
            <v>0.45855000000000001</v>
          </cell>
          <cell r="AA44">
            <v>0.42860000000000004</v>
          </cell>
          <cell r="AB44">
            <v>0.40736666666666665</v>
          </cell>
          <cell r="AC44">
            <v>0.39460000000000001</v>
          </cell>
          <cell r="AD44">
            <v>0.36625000000000002</v>
          </cell>
          <cell r="AE44">
            <v>0.36309999999999998</v>
          </cell>
          <cell r="AF44">
            <v>0.38068333333333343</v>
          </cell>
          <cell r="AG44">
            <v>0.40028333333333332</v>
          </cell>
          <cell r="AH44">
            <v>0.40589999999999998</v>
          </cell>
          <cell r="AI44">
            <v>0.39813333333333328</v>
          </cell>
          <cell r="AJ44">
            <v>0.39306666666666668</v>
          </cell>
          <cell r="AK44">
            <v>0.38626666666666676</v>
          </cell>
          <cell r="AL44">
            <v>0.38423333333333337</v>
          </cell>
          <cell r="AM44">
            <v>0.3762166666666667</v>
          </cell>
          <cell r="AN44">
            <v>0.36446666666666666</v>
          </cell>
          <cell r="AO44">
            <v>0.35986666666666672</v>
          </cell>
          <cell r="AP44">
            <v>0.3553</v>
          </cell>
          <cell r="AQ44">
            <v>0.35293333333333338</v>
          </cell>
          <cell r="AR44">
            <v>0.36024999999999996</v>
          </cell>
          <cell r="AS44">
            <v>0.37103333333333333</v>
          </cell>
          <cell r="AT44">
            <v>0.36246666666666666</v>
          </cell>
          <cell r="AU44">
            <v>0.35183333333333328</v>
          </cell>
          <cell r="AV44">
            <v>0.3646833333333333</v>
          </cell>
          <cell r="AW44">
            <v>0.3873166666666667</v>
          </cell>
          <cell r="AX44">
            <v>0.40351666666666669</v>
          </cell>
          <cell r="AY44">
            <v>0.41371666666666668</v>
          </cell>
          <cell r="AZ44">
            <v>0.41794999999999999</v>
          </cell>
          <cell r="BA44">
            <v>0.40460000000000002</v>
          </cell>
          <cell r="BB44">
            <v>0.39306666666666668</v>
          </cell>
          <cell r="BC44">
            <v>0.39970127992742915</v>
          </cell>
          <cell r="BD44">
            <v>0.40873496357119143</v>
          </cell>
          <cell r="BE44">
            <v>0.41397928541599532</v>
          </cell>
          <cell r="BF44">
            <v>0.42197566743199477</v>
          </cell>
          <cell r="BG44">
            <v>0.42607173232642831</v>
          </cell>
          <cell r="BH44">
            <v>0.42287500000000006</v>
          </cell>
          <cell r="BI44">
            <v>0.41375000000000006</v>
          </cell>
          <cell r="BJ44">
            <v>0.40504999999999997</v>
          </cell>
          <cell r="BK44">
            <v>0.40313333333333329</v>
          </cell>
          <cell r="BL44">
            <v>0.40276666666666672</v>
          </cell>
          <cell r="BM44">
            <v>0.41059166666666669</v>
          </cell>
          <cell r="BN44">
            <v>0.41915000000000008</v>
          </cell>
          <cell r="BO44">
            <v>0.42968333333333336</v>
          </cell>
          <cell r="BP44">
            <v>0.44974166666666671</v>
          </cell>
          <cell r="BQ44">
            <v>0.46956666666666674</v>
          </cell>
          <cell r="BR44">
            <v>0.47146666666666665</v>
          </cell>
          <cell r="BS44">
            <v>0.45171666666666671</v>
          </cell>
          <cell r="BT44">
            <v>0.44776666666666665</v>
          </cell>
          <cell r="BU44">
            <v>0.47376666666666667</v>
          </cell>
          <cell r="BV44">
            <v>0.50773333333333337</v>
          </cell>
          <cell r="BW44">
            <v>0.53836666666666666</v>
          </cell>
          <cell r="BX44">
            <v>0.56736666666666669</v>
          </cell>
          <cell r="BY44">
            <v>0.58238333333333336</v>
          </cell>
          <cell r="BZ44">
            <v>0.58693333333333342</v>
          </cell>
          <cell r="CA44">
            <v>0.60946666666666671</v>
          </cell>
          <cell r="CB44">
            <v>0.62970000000000004</v>
          </cell>
          <cell r="CC44">
            <v>0.64436666666666664</v>
          </cell>
          <cell r="CD44">
            <v>0.65368333333333339</v>
          </cell>
          <cell r="CE44">
            <v>0.65274166666666666</v>
          </cell>
          <cell r="CF44">
            <v>0.66037500000000005</v>
          </cell>
          <cell r="CG44">
            <v>0.65360833333333324</v>
          </cell>
          <cell r="CH44">
            <v>0.64831666666666665</v>
          </cell>
          <cell r="CI44">
            <v>0.64960000000000007</v>
          </cell>
          <cell r="CJ44">
            <v>0.65846666666666676</v>
          </cell>
          <cell r="CK44">
            <v>0.65252500000000013</v>
          </cell>
          <cell r="CL44">
            <v>0.60670000000000002</v>
          </cell>
          <cell r="CM44">
            <v>0.57101666666666662</v>
          </cell>
          <cell r="CN44">
            <v>0.5512083333333333</v>
          </cell>
          <cell r="CO44">
            <v>0.54669166666666669</v>
          </cell>
          <cell r="CP44">
            <v>0.55169999999999997</v>
          </cell>
          <cell r="CQ44">
            <v>0.54515000000000002</v>
          </cell>
          <cell r="CR44">
            <v>0.52556666666666674</v>
          </cell>
          <cell r="CS44">
            <v>0.50682499999999997</v>
          </cell>
          <cell r="CT44">
            <v>0.48345833333333332</v>
          </cell>
          <cell r="CU44">
            <v>0.47205000000000003</v>
          </cell>
          <cell r="CV44">
            <v>0.49680000000000007</v>
          </cell>
          <cell r="CW44">
            <v>0.52059166666666667</v>
          </cell>
          <cell r="CX44">
            <v>0.55289166666666667</v>
          </cell>
          <cell r="CY44">
            <v>0.58884166666666671</v>
          </cell>
          <cell r="CZ44">
            <v>0.60416666666666663</v>
          </cell>
          <cell r="DA44">
            <v>0.59565833333333329</v>
          </cell>
          <cell r="DB44">
            <v>0.59161666666666657</v>
          </cell>
          <cell r="DC44">
            <v>0.58635000000000004</v>
          </cell>
          <cell r="DD44">
            <v>0.56539166666666663</v>
          </cell>
          <cell r="DE44">
            <v>0.55941666666666656</v>
          </cell>
          <cell r="DF44">
            <v>0.55873333333333319</v>
          </cell>
          <cell r="DG44">
            <v>0.55929166666666663</v>
          </cell>
          <cell r="DH44">
            <v>0.55251666666666666</v>
          </cell>
          <cell r="DI44">
            <v>0.54626666666666668</v>
          </cell>
          <cell r="DJ44">
            <v>0.55148333333333333</v>
          </cell>
          <cell r="DK44">
            <v>0.54169999999999996</v>
          </cell>
          <cell r="DL44">
            <v>0.51550499999999999</v>
          </cell>
          <cell r="DM44">
            <v>0.52044000000000012</v>
          </cell>
          <cell r="DN44">
            <v>0.54434833333333332</v>
          </cell>
          <cell r="DO44">
            <v>0.55150333333333323</v>
          </cell>
          <cell r="DP44">
            <v>0.55310666666666675</v>
          </cell>
          <cell r="DQ44">
            <v>0.55104750000000002</v>
          </cell>
          <cell r="DR44">
            <v>0.54023083333333333</v>
          </cell>
          <cell r="DS44">
            <v>0.53651666666666664</v>
          </cell>
          <cell r="DT44">
            <v>0.54311516000000004</v>
          </cell>
          <cell r="DU44">
            <v>0.55569513166666662</v>
          </cell>
          <cell r="DV44">
            <v>0.57232997166666666</v>
          </cell>
          <cell r="DW44">
            <v>0.57008647999999995</v>
          </cell>
          <cell r="DX44">
            <v>0.55977064666666676</v>
          </cell>
          <cell r="DY44">
            <v>0.54135583333333337</v>
          </cell>
          <cell r="DZ44">
            <v>0.52269397833333331</v>
          </cell>
          <cell r="EA44">
            <v>0.52366564500000001</v>
          </cell>
          <cell r="EB44">
            <v>0.5213241666666667</v>
          </cell>
          <cell r="EC44">
            <v>0.51933930389027638</v>
          </cell>
          <cell r="ED44">
            <v>0.51813936259768389</v>
          </cell>
          <cell r="EE44">
            <v>0.50953183593891371</v>
          </cell>
          <cell r="EF44">
            <v>0.49908289931746297</v>
          </cell>
          <cell r="EG44">
            <v>0.48596063161291175</v>
          </cell>
          <cell r="EH44">
            <v>0.48330326825596615</v>
          </cell>
          <cell r="EI44">
            <v>0.4917379223579606</v>
          </cell>
          <cell r="EJ44">
            <v>0.48531604722487659</v>
          </cell>
          <cell r="EK44">
            <v>0.4737871674491394</v>
          </cell>
          <cell r="EL44">
            <v>0.47361111111111109</v>
          </cell>
          <cell r="EM44">
            <v>0.47647058823529409</v>
          </cell>
          <cell r="EN44">
            <v>0.48159051443455608</v>
          </cell>
          <cell r="EO44">
            <v>0.48891622249555822</v>
          </cell>
          <cell r="EP44">
            <v>0.49629629629629618</v>
          </cell>
          <cell r="EQ44">
            <v>0.50373134328358204</v>
          </cell>
          <cell r="ER44">
            <v>0.51074068907797454</v>
          </cell>
          <cell r="ES44">
            <v>0.51730897126255704</v>
          </cell>
          <cell r="ET44">
            <v>0.52390187687529366</v>
          </cell>
          <cell r="EU44">
            <v>0.53051954464021178</v>
          </cell>
          <cell r="EV44">
            <v>0.53998839762037454</v>
          </cell>
          <cell r="EW44">
            <v>0.55237095218029031</v>
          </cell>
          <cell r="EX44">
            <v>0.56490474825241632</v>
          </cell>
          <cell r="EY44">
            <v>0.5775925738030232</v>
          </cell>
          <cell r="EZ44">
            <v>0.59043728574670584</v>
          </cell>
          <cell r="FA44">
            <v>0.60344181209108771</v>
          </cell>
          <cell r="FB44">
            <v>0.61660915416208417</v>
          </cell>
          <cell r="FC44">
            <v>0.62994238891327514</v>
          </cell>
          <cell r="FD44">
            <v>0.6366508688783562</v>
          </cell>
          <cell r="FE44">
            <v>0.6366508688783562</v>
          </cell>
          <cell r="FF44">
            <v>0.6366508688783562</v>
          </cell>
          <cell r="FG44">
            <v>0.6366508688783562</v>
          </cell>
          <cell r="FH44">
            <v>0.6366508688783562</v>
          </cell>
          <cell r="FI44">
            <v>0.6366508688783562</v>
          </cell>
          <cell r="FJ44">
            <v>0.6366508688783562</v>
          </cell>
          <cell r="FK44">
            <v>0.6366508688783562</v>
          </cell>
          <cell r="FL44">
            <v>0.6366508688783562</v>
          </cell>
          <cell r="FM44">
            <v>0.6366508688783562</v>
          </cell>
          <cell r="FN44">
            <v>0.6366508688783562</v>
          </cell>
          <cell r="FO44">
            <v>0.6366508688783562</v>
          </cell>
          <cell r="FP44">
            <v>0.6366508688783562</v>
          </cell>
          <cell r="FQ44">
            <v>0.6366508688783562</v>
          </cell>
          <cell r="FR44">
            <v>0.6366508688783562</v>
          </cell>
          <cell r="FS44">
            <v>0.6366508688783562</v>
          </cell>
          <cell r="FT44">
            <v>0.6366508688783562</v>
          </cell>
          <cell r="FU44">
            <v>0.6366508688783562</v>
          </cell>
        </row>
        <row r="45">
          <cell r="A45" t="str">
            <v>avaudusd6m</v>
          </cell>
          <cell r="B45" t="str">
            <v>AUD/USD</v>
          </cell>
          <cell r="D45">
            <v>0.76591666666666669</v>
          </cell>
          <cell r="E45">
            <v>0.75543333333333329</v>
          </cell>
          <cell r="F45">
            <v>0.73860000000000003</v>
          </cell>
          <cell r="G45">
            <v>0.70606666666666662</v>
          </cell>
          <cell r="H45">
            <v>0.69081666666666663</v>
          </cell>
          <cell r="I45">
            <v>0.68800000000000006</v>
          </cell>
          <cell r="J45">
            <v>0.67613333333333336</v>
          </cell>
          <cell r="K45">
            <v>0.66883333333333328</v>
          </cell>
          <cell r="L45">
            <v>0.68813333333333337</v>
          </cell>
          <cell r="M45">
            <v>0.71724999999999994</v>
          </cell>
          <cell r="N45">
            <v>0.73353333333333337</v>
          </cell>
          <cell r="O45">
            <v>0.75159999999999993</v>
          </cell>
          <cell r="P45">
            <v>0.75296666666666656</v>
          </cell>
          <cell r="Q45">
            <v>0.73076666666666679</v>
          </cell>
          <cell r="R45">
            <v>0.73326666666666673</v>
          </cell>
          <cell r="S45">
            <v>0.74860000000000004</v>
          </cell>
          <cell r="T45">
            <v>0.75626666666666675</v>
          </cell>
          <cell r="U45">
            <v>0.77726666666666666</v>
          </cell>
          <cell r="V45">
            <v>0.78780000000000017</v>
          </cell>
          <cell r="W45">
            <v>0.79259999999999986</v>
          </cell>
          <cell r="X45">
            <v>0.78793333333333326</v>
          </cell>
          <cell r="Y45">
            <v>0.7687666666666666</v>
          </cell>
          <cell r="Z45">
            <v>0.74843333333333339</v>
          </cell>
          <cell r="AA45">
            <v>0.70613333333333328</v>
          </cell>
          <cell r="AB45">
            <v>0.67661666666666676</v>
          </cell>
          <cell r="AC45">
            <v>0.65331666666666666</v>
          </cell>
          <cell r="AD45">
            <v>0.61011666666666664</v>
          </cell>
          <cell r="AE45">
            <v>0.60543333333333327</v>
          </cell>
          <cell r="AF45">
            <v>0.62458333333333327</v>
          </cell>
          <cell r="AG45">
            <v>0.64336666666666675</v>
          </cell>
          <cell r="AH45">
            <v>0.6534833333333333</v>
          </cell>
          <cell r="AI45">
            <v>0.64583333333333337</v>
          </cell>
          <cell r="AJ45">
            <v>0.63206666666666667</v>
          </cell>
          <cell r="AK45">
            <v>0.60246666666666682</v>
          </cell>
          <cell r="AL45">
            <v>0.5755499999999999</v>
          </cell>
          <cell r="AM45">
            <v>0.55108333333333326</v>
          </cell>
          <cell r="AN45">
            <v>0.5282</v>
          </cell>
          <cell r="AO45">
            <v>0.51556666666666673</v>
          </cell>
          <cell r="AP45">
            <v>0.51034999999999997</v>
          </cell>
          <cell r="AQ45">
            <v>0.51078333333333326</v>
          </cell>
          <cell r="AR45">
            <v>0.51544999999999996</v>
          </cell>
          <cell r="AS45">
            <v>0.53808333333333336</v>
          </cell>
          <cell r="AT45">
            <v>0.55108333333333326</v>
          </cell>
          <cell r="AU45">
            <v>0.55226666666666668</v>
          </cell>
          <cell r="AV45">
            <v>0.57945000000000002</v>
          </cell>
          <cell r="AW45">
            <v>0.62565000000000004</v>
          </cell>
          <cell r="AX45">
            <v>0.65515000000000001</v>
          </cell>
          <cell r="AY45">
            <v>0.69371666666666665</v>
          </cell>
          <cell r="AZ45">
            <v>0.74820000000000009</v>
          </cell>
          <cell r="BA45">
            <v>0.73981666666666668</v>
          </cell>
          <cell r="BB45">
            <v>0.71161666666666668</v>
          </cell>
          <cell r="BC45">
            <v>0.73957499999999998</v>
          </cell>
          <cell r="BD45">
            <v>0.77383333333333326</v>
          </cell>
          <cell r="BE45">
            <v>0.77331666666666665</v>
          </cell>
          <cell r="BF45">
            <v>0.76233333333333331</v>
          </cell>
          <cell r="BG45">
            <v>0.74909999999999999</v>
          </cell>
          <cell r="BH45">
            <v>0.73948333333333327</v>
          </cell>
          <cell r="BI45">
            <v>0.74530833333333335</v>
          </cell>
          <cell r="BJ45">
            <v>0.75514999999999999</v>
          </cell>
          <cell r="BK45">
            <v>0.77126666666666666</v>
          </cell>
          <cell r="BL45">
            <v>0.78757500000000003</v>
          </cell>
          <cell r="BM45">
            <v>0.81351666666666678</v>
          </cell>
          <cell r="BN45">
            <v>0.84425000000000017</v>
          </cell>
          <cell r="BO45">
            <v>0.87514999999999998</v>
          </cell>
          <cell r="BP45">
            <v>0.90540833333333337</v>
          </cell>
          <cell r="BQ45">
            <v>0.93301666666666672</v>
          </cell>
          <cell r="BR45">
            <v>0.90845000000000009</v>
          </cell>
          <cell r="BS45">
            <v>0.7695249999999999</v>
          </cell>
          <cell r="BT45">
            <v>0.66523333333333323</v>
          </cell>
          <cell r="BU45">
            <v>0.71681666666666677</v>
          </cell>
          <cell r="BV45">
            <v>0.81616666666666671</v>
          </cell>
          <cell r="BW45">
            <v>0.87919999999999998</v>
          </cell>
          <cell r="BX45">
            <v>0.90160833333333346</v>
          </cell>
          <cell r="BY45">
            <v>0.88474166666666665</v>
          </cell>
          <cell r="BZ45">
            <v>0.89578333333333326</v>
          </cell>
          <cell r="CA45">
            <v>0.95485000000000009</v>
          </cell>
          <cell r="CB45">
            <v>1.0023416666666667</v>
          </cell>
          <cell r="CC45">
            <v>1.0473833333333333</v>
          </cell>
          <cell r="CD45">
            <v>1.0621333333333334</v>
          </cell>
          <cell r="CE45">
            <v>1.0400666666666669</v>
          </cell>
          <cell r="CF45">
            <v>1.0457675000000002</v>
          </cell>
          <cell r="CG45">
            <v>1.03528</v>
          </cell>
          <cell r="CH45">
            <v>1.02691</v>
          </cell>
          <cell r="CI45">
            <v>1.0400941666666668</v>
          </cell>
          <cell r="CJ45">
            <v>1.0375666666666667</v>
          </cell>
          <cell r="CK45">
            <v>1.0023833333333334</v>
          </cell>
          <cell r="CL45">
            <v>0.93839750000000011</v>
          </cell>
          <cell r="CM45">
            <v>0.91166666666666674</v>
          </cell>
          <cell r="CN45">
            <v>0.90715749999999995</v>
          </cell>
          <cell r="CO45">
            <v>0.91630500000000004</v>
          </cell>
          <cell r="CP45">
            <v>0.92359333333333338</v>
          </cell>
          <cell r="CQ45">
            <v>0.88087416666666674</v>
          </cell>
          <cell r="CR45">
            <v>0.81090916666666679</v>
          </cell>
          <cell r="CS45">
            <v>0.77406499999999989</v>
          </cell>
          <cell r="CT45">
            <v>0.74485000000000001</v>
          </cell>
          <cell r="CU45">
            <v>0.71812416666666667</v>
          </cell>
          <cell r="CV45">
            <v>0.72562250000000006</v>
          </cell>
          <cell r="CW45">
            <v>0.73626000000000003</v>
          </cell>
          <cell r="CX45">
            <v>0.75117749999999994</v>
          </cell>
          <cell r="CY45">
            <v>0.74953416666666672</v>
          </cell>
          <cell r="CZ45">
            <v>0.75116583333333331</v>
          </cell>
          <cell r="DA45">
            <v>0.75802000000000003</v>
          </cell>
          <cell r="DB45">
            <v>0.7731608333333333</v>
          </cell>
          <cell r="DC45">
            <v>0.78017499999999995</v>
          </cell>
          <cell r="DD45">
            <v>0.77541249999999995</v>
          </cell>
          <cell r="DE45">
            <v>0.76671333333333347</v>
          </cell>
          <cell r="DF45">
            <v>0.73905916666666671</v>
          </cell>
          <cell r="DG45">
            <v>0.72130833333333344</v>
          </cell>
          <cell r="DH45">
            <v>0.71508833333333321</v>
          </cell>
          <cell r="DI45">
            <v>0.70790083333333331</v>
          </cell>
          <cell r="DJ45">
            <v>0.68903999999999987</v>
          </cell>
          <cell r="DK45">
            <v>0.6834391666666666</v>
          </cell>
          <cell r="DL45">
            <v>0.66678333333333339</v>
          </cell>
          <cell r="DM45">
            <v>0.65699666666666656</v>
          </cell>
          <cell r="DN45">
            <v>0.69616416666666669</v>
          </cell>
          <cell r="DO45">
            <v>0.72918833333333344</v>
          </cell>
          <cell r="DP45">
            <v>0.75027750000000015</v>
          </cell>
          <cell r="DQ45">
            <v>0.76499833333333334</v>
          </cell>
          <cell r="DR45">
            <v>0.74726083333333326</v>
          </cell>
          <cell r="DS45">
            <v>0.72988416666666656</v>
          </cell>
          <cell r="DT45">
            <v>0.72863749999999994</v>
          </cell>
          <cell r="DU45">
            <v>0.71583833333333347</v>
          </cell>
          <cell r="DV45">
            <v>0.68958916666666659</v>
          </cell>
          <cell r="DW45">
            <v>0.67064666666666672</v>
          </cell>
          <cell r="DX45">
            <v>0.67451166666666662</v>
          </cell>
          <cell r="DY45">
            <v>0.6707791666666667</v>
          </cell>
          <cell r="DZ45">
            <v>0.65682916666666669</v>
          </cell>
          <cell r="EA45">
            <v>0.65627000000000002</v>
          </cell>
          <cell r="EB45">
            <v>0.65541250000000006</v>
          </cell>
          <cell r="EC45">
            <v>0.65625999999999995</v>
          </cell>
          <cell r="ED45">
            <v>0.6669075000000001</v>
          </cell>
          <cell r="EE45">
            <v>0.65835750000000004</v>
          </cell>
          <cell r="EF45">
            <v>0.63169416666666667</v>
          </cell>
          <cell r="EG45">
            <v>0.63387583333333331</v>
          </cell>
          <cell r="EH45">
            <v>0.64980000000000004</v>
          </cell>
          <cell r="EI45">
            <v>0.65565833333333334</v>
          </cell>
          <cell r="EJ45">
            <v>0.67117250000000017</v>
          </cell>
          <cell r="EK45">
            <v>0.6775000000000001</v>
          </cell>
          <cell r="EL45">
            <v>0.6725000000000001</v>
          </cell>
          <cell r="EM45">
            <v>0.65749999999999997</v>
          </cell>
          <cell r="EN45">
            <v>0.65375000000000005</v>
          </cell>
          <cell r="EO45">
            <v>0.66124999999999989</v>
          </cell>
          <cell r="EP45">
            <v>0.66874999999999973</v>
          </cell>
          <cell r="EQ45">
            <v>0.6762499999999998</v>
          </cell>
          <cell r="ER45">
            <v>0.68374999999999997</v>
          </cell>
          <cell r="ES45">
            <v>0.69124999999999981</v>
          </cell>
          <cell r="ET45">
            <v>0.69874999999999965</v>
          </cell>
          <cell r="EU45">
            <v>0.70624999999999982</v>
          </cell>
          <cell r="EV45">
            <v>0.71599999999999997</v>
          </cell>
          <cell r="EW45">
            <v>0.72799999999999998</v>
          </cell>
          <cell r="EX45">
            <v>0.74</v>
          </cell>
          <cell r="EY45">
            <v>0.752</v>
          </cell>
          <cell r="EZ45">
            <v>0.76400000000000001</v>
          </cell>
          <cell r="FA45">
            <v>0.77600000000000002</v>
          </cell>
          <cell r="FB45">
            <v>0.78800000000000003</v>
          </cell>
          <cell r="FC45">
            <v>0.8</v>
          </cell>
          <cell r="FD45">
            <v>0.80600000000000005</v>
          </cell>
          <cell r="FE45">
            <v>0.80600000000000005</v>
          </cell>
          <cell r="FF45">
            <v>0.80600000000000005</v>
          </cell>
          <cell r="FG45">
            <v>0.80600000000000005</v>
          </cell>
          <cell r="FH45">
            <v>0.80600000000000005</v>
          </cell>
          <cell r="FI45">
            <v>0.80600000000000005</v>
          </cell>
          <cell r="FJ45">
            <v>0.80600000000000005</v>
          </cell>
          <cell r="FK45">
            <v>0.80600000000000005</v>
          </cell>
          <cell r="FL45">
            <v>0.80600000000000005</v>
          </cell>
          <cell r="FM45">
            <v>0.80600000000000005</v>
          </cell>
          <cell r="FN45">
            <v>0.80600000000000005</v>
          </cell>
          <cell r="FO45">
            <v>0.80600000000000005</v>
          </cell>
          <cell r="FP45">
            <v>0.80600000000000005</v>
          </cell>
          <cell r="FQ45">
            <v>0.80600000000000005</v>
          </cell>
          <cell r="FR45">
            <v>0.80600000000000005</v>
          </cell>
          <cell r="FS45">
            <v>0.80600000000000005</v>
          </cell>
          <cell r="FT45">
            <v>0.80600000000000005</v>
          </cell>
          <cell r="FU45">
            <v>0.80600000000000005</v>
          </cell>
        </row>
        <row r="46">
          <cell r="A46" t="str">
            <v>avaudnzd6m</v>
          </cell>
          <cell r="B46" t="str">
            <v>AUD/NZD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>
            <v>1.1849333333333334</v>
          </cell>
          <cell r="Q46">
            <v>1.1157833333333336</v>
          </cell>
          <cell r="R46">
            <v>1.1028499999999999</v>
          </cell>
          <cell r="S46">
            <v>1.13815</v>
          </cell>
          <cell r="T46">
            <v>1.1371166666666668</v>
          </cell>
          <cell r="U46">
            <v>1.1435333333333333</v>
          </cell>
          <cell r="V46">
            <v>1.1451666666666667</v>
          </cell>
          <cell r="W46">
            <v>1.1316666666666666</v>
          </cell>
          <cell r="X46">
            <v>1.1243166666666669</v>
          </cell>
          <cell r="Y46">
            <v>1.1157000000000001</v>
          </cell>
          <cell r="Z46">
            <v>1.1264333333333334</v>
          </cell>
          <cell r="AA46">
            <v>1.1279166666666667</v>
          </cell>
          <cell r="AB46">
            <v>1.1461333333333334</v>
          </cell>
          <cell r="AC46">
            <v>1.17815</v>
          </cell>
          <cell r="AD46">
            <v>1.1772</v>
          </cell>
          <cell r="AE46">
            <v>1.1761166666666665</v>
          </cell>
          <cell r="AF46">
            <v>1.1777333333333333</v>
          </cell>
          <cell r="AG46">
            <v>1.1969333333333332</v>
          </cell>
          <cell r="AH46">
            <v>1.22875</v>
          </cell>
          <cell r="AI46">
            <v>1.2477333333333334</v>
          </cell>
          <cell r="AJ46">
            <v>1.2559166666666668</v>
          </cell>
          <cell r="AK46">
            <v>1.2498166666666668</v>
          </cell>
          <cell r="AL46">
            <v>1.2809000000000001</v>
          </cell>
          <cell r="AM46">
            <v>1.3032333333333335</v>
          </cell>
          <cell r="AN46">
            <v>1.2541166666666668</v>
          </cell>
          <cell r="AO46">
            <v>1.2332666666666665</v>
          </cell>
          <cell r="AP46">
            <v>1.2305166666666665</v>
          </cell>
          <cell r="AQ46">
            <v>1.2242500000000001</v>
          </cell>
          <cell r="AR46">
            <v>1.2256500000000001</v>
          </cell>
          <cell r="AS46">
            <v>1.1996</v>
          </cell>
          <cell r="AT46">
            <v>1.1734833333333334</v>
          </cell>
          <cell r="AU46">
            <v>1.1396666666666668</v>
          </cell>
          <cell r="AV46">
            <v>1.0986999999999998</v>
          </cell>
          <cell r="AW46">
            <v>1.1085</v>
          </cell>
          <cell r="AX46">
            <v>1.1290833333333332</v>
          </cell>
          <cell r="AY46">
            <v>1.1349500000000001</v>
          </cell>
          <cell r="AZ46">
            <v>1.1394500000000001</v>
          </cell>
          <cell r="BA46">
            <v>1.1313333333333333</v>
          </cell>
          <cell r="BB46">
            <v>1.1056833333333334</v>
          </cell>
          <cell r="BC46">
            <v>1.0858679075126718</v>
          </cell>
          <cell r="BD46">
            <v>1.0885739975741309</v>
          </cell>
          <cell r="BE46">
            <v>1.0837552996882867</v>
          </cell>
          <cell r="BF46">
            <v>1.0887787561161619</v>
          </cell>
          <cell r="BG46">
            <v>1.0816128798226676</v>
          </cell>
          <cell r="BH46">
            <v>1.0961833333333333</v>
          </cell>
          <cell r="BI46">
            <v>1.1634833333333334</v>
          </cell>
          <cell r="BJ46">
            <v>1.1898666666666669</v>
          </cell>
          <cell r="BK46">
            <v>1.1617249999999999</v>
          </cell>
          <cell r="BL46">
            <v>1.134225</v>
          </cell>
          <cell r="BM46">
            <v>1.1204166666666666</v>
          </cell>
          <cell r="BN46">
            <v>1.1332250000000001</v>
          </cell>
          <cell r="BO46">
            <v>1.1603083333333333</v>
          </cell>
          <cell r="BP46">
            <v>1.1615416666666665</v>
          </cell>
          <cell r="BQ46">
            <v>1.1912750000000001</v>
          </cell>
          <cell r="BR46">
            <v>1.2291833333333333</v>
          </cell>
          <cell r="BS46">
            <v>1.2067083333333335</v>
          </cell>
          <cell r="BT46">
            <v>1.2189250000000003</v>
          </cell>
          <cell r="BU46">
            <v>1.2582250000000001</v>
          </cell>
          <cell r="BV46">
            <v>1.2502166666666668</v>
          </cell>
          <cell r="BW46">
            <v>1.2484083333333336</v>
          </cell>
          <cell r="BX46">
            <v>1.2681166666666668</v>
          </cell>
          <cell r="BY46">
            <v>1.2627916666666668</v>
          </cell>
          <cell r="BZ46">
            <v>1.26345</v>
          </cell>
          <cell r="CA46">
            <v>1.2873166666666669</v>
          </cell>
          <cell r="CB46">
            <v>1.3143833333333335</v>
          </cell>
          <cell r="CC46">
            <v>1.3237916666666667</v>
          </cell>
          <cell r="CD46">
            <v>1.2859916666666666</v>
          </cell>
          <cell r="CE46">
            <v>1.2849750000000002</v>
          </cell>
          <cell r="CF46">
            <v>1.2957366666666668</v>
          </cell>
          <cell r="CG46">
            <v>1.2805058333333335</v>
          </cell>
          <cell r="CH46">
            <v>1.2799858333333336</v>
          </cell>
          <cell r="CI46">
            <v>1.2704325000000001</v>
          </cell>
          <cell r="CJ46">
            <v>1.2522433333333334</v>
          </cell>
          <cell r="CK46">
            <v>1.2203066666666669</v>
          </cell>
          <cell r="CL46">
            <v>1.1660441666666668</v>
          </cell>
          <cell r="CM46">
            <v>1.1243716666666668</v>
          </cell>
          <cell r="CN46">
            <v>1.0934133333333336</v>
          </cell>
          <cell r="CO46">
            <v>1.0775591666666668</v>
          </cell>
          <cell r="CP46">
            <v>1.0969308333333334</v>
          </cell>
          <cell r="CQ46">
            <v>1.0987066666666669</v>
          </cell>
          <cell r="CR46">
            <v>1.0636366666666668</v>
          </cell>
          <cell r="CS46">
            <v>1.0621050000000001</v>
          </cell>
          <cell r="CT46">
            <v>1.0964725</v>
          </cell>
          <cell r="CU46">
            <v>1.0909158333333335</v>
          </cell>
          <cell r="CV46">
            <v>1.0839325</v>
          </cell>
          <cell r="CW46">
            <v>1.0812633333333332</v>
          </cell>
          <cell r="CX46">
            <v>1.0575216666666665</v>
          </cell>
          <cell r="CY46">
            <v>1.0480633333333333</v>
          </cell>
          <cell r="CZ46">
            <v>1.0562933333333333</v>
          </cell>
          <cell r="DA46">
            <v>1.0632491666666666</v>
          </cell>
          <cell r="DB46">
            <v>1.0745333333333333</v>
          </cell>
          <cell r="DC46">
            <v>1.0974933333333332</v>
          </cell>
          <cell r="DD46">
            <v>1.0929333333333333</v>
          </cell>
          <cell r="DE46">
            <v>1.0793308333333334</v>
          </cell>
          <cell r="DF46">
            <v>1.0852108333333332</v>
          </cell>
          <cell r="DG46">
            <v>1.0774999999999999</v>
          </cell>
          <cell r="DH46">
            <v>1.0556358333333333</v>
          </cell>
          <cell r="DI46">
            <v>1.049625833333333</v>
          </cell>
          <cell r="DJ46">
            <v>1.0584658333333332</v>
          </cell>
          <cell r="DK46">
            <v>1.0599866666666666</v>
          </cell>
          <cell r="DL46">
            <v>1.0460108333333336</v>
          </cell>
          <cell r="DM46">
            <v>1.0519516666666668</v>
          </cell>
          <cell r="DN46">
            <v>1.0769741666666666</v>
          </cell>
          <cell r="DO46">
            <v>1.0725783333333334</v>
          </cell>
          <cell r="DP46">
            <v>1.0657683333333332</v>
          </cell>
          <cell r="DQ46">
            <v>1.0715524999999999</v>
          </cell>
          <cell r="DR46">
            <v>1.0591124999999999</v>
          </cell>
          <cell r="DS46">
            <v>1.0492458333333332</v>
          </cell>
          <cell r="DT46">
            <v>1.0634899999999998</v>
          </cell>
          <cell r="DU46">
            <v>1.0878975000000002</v>
          </cell>
          <cell r="DV46">
            <v>1.1149333333333333</v>
          </cell>
          <cell r="DW46">
            <v>1.1070683333333333</v>
          </cell>
          <cell r="DX46">
            <v>1.0844141666666667</v>
          </cell>
          <cell r="DY46">
            <v>1.0809275000000003</v>
          </cell>
          <cell r="DZ46">
            <v>1.0794616666666668</v>
          </cell>
          <cell r="EA46">
            <v>1.0800666666666665</v>
          </cell>
          <cell r="EB46">
            <v>1.0790216666666668</v>
          </cell>
          <cell r="EC46">
            <v>1.085572145290689</v>
          </cell>
          <cell r="ED46">
            <v>1.091355478624022</v>
          </cell>
          <cell r="EE46">
            <v>1.0966149999999999</v>
          </cell>
          <cell r="EF46">
            <v>1.1034091666666668</v>
          </cell>
          <cell r="EG46">
            <v>1.0913666666666666</v>
          </cell>
          <cell r="EH46">
            <v>1.0963766666666666</v>
          </cell>
          <cell r="EI46">
            <v>1.1311266666666666</v>
          </cell>
          <cell r="EJ46">
            <v>1.1196999999999999</v>
          </cell>
          <cell r="EK46">
            <v>1.0796825396825398</v>
          </cell>
          <cell r="EL46">
            <v>1.089269316542044</v>
          </cell>
          <cell r="EM46">
            <v>1.109931604445711</v>
          </cell>
          <cell r="EN46">
            <v>1.1223106395520188</v>
          </cell>
          <cell r="EO46">
            <v>1.1255251339997097</v>
          </cell>
          <cell r="EP46">
            <v>1.1286853724540653</v>
          </cell>
          <cell r="EQ46">
            <v>1.1317927170868343</v>
          </cell>
          <cell r="ER46">
            <v>1.1372060857538036</v>
          </cell>
          <cell r="ES46">
            <v>1.1449195843763926</v>
          </cell>
          <cell r="ET46">
            <v>1.1525694657007781</v>
          </cell>
          <cell r="EU46">
            <v>1.1601565135262764</v>
          </cell>
          <cell r="EV46">
            <v>1.1670563541196164</v>
          </cell>
          <cell r="EW46">
            <v>1.1732301666458882</v>
          </cell>
          <cell r="EX46">
            <v>1.1792662237392828</v>
          </cell>
          <cell r="EY46">
            <v>1.1851690852455929</v>
          </cell>
          <cell r="EZ46">
            <v>1.1909431119535379</v>
          </cell>
          <cell r="FA46">
            <v>1.1965924763399451</v>
          </cell>
          <cell r="FB46">
            <v>1.2021211726263081</v>
          </cell>
          <cell r="FC46">
            <v>1.2075330261976711</v>
          </cell>
          <cell r="FD46">
            <v>1.2102102102102119</v>
          </cell>
          <cell r="FE46">
            <v>1.2102102102102119</v>
          </cell>
          <cell r="FF46">
            <v>1.2102102102102119</v>
          </cell>
          <cell r="FG46">
            <v>1.2102102102102119</v>
          </cell>
          <cell r="FH46">
            <v>1.2102102102102119</v>
          </cell>
          <cell r="FI46">
            <v>1.2102102102102119</v>
          </cell>
          <cell r="FJ46">
            <v>1.2102102102102119</v>
          </cell>
          <cell r="FK46">
            <v>1.2102102102102119</v>
          </cell>
          <cell r="FL46">
            <v>1.2102102102102119</v>
          </cell>
          <cell r="FM46">
            <v>1.2102102102102119</v>
          </cell>
          <cell r="FN46">
            <v>1.2102102102102119</v>
          </cell>
          <cell r="FO46">
            <v>1.2102102102102119</v>
          </cell>
          <cell r="FP46">
            <v>1.2102102102102119</v>
          </cell>
          <cell r="FQ46">
            <v>1.2102102102102119</v>
          </cell>
          <cell r="FR46">
            <v>1.2102102102102119</v>
          </cell>
          <cell r="FS46">
            <v>1.2102102102102119</v>
          </cell>
          <cell r="FT46">
            <v>1.2102102102102119</v>
          </cell>
          <cell r="FU46">
            <v>1.2102102102102119</v>
          </cell>
        </row>
        <row r="47">
          <cell r="A47" t="str">
            <v>avaudeur6m</v>
          </cell>
          <cell r="B47" t="str">
            <v>AUD/EUR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>
            <v>0.66721666666666657</v>
          </cell>
          <cell r="Z47">
            <v>0.67401666666666671</v>
          </cell>
          <cell r="AA47">
            <v>0.64116666666666666</v>
          </cell>
          <cell r="AB47">
            <v>0.61976666666666669</v>
          </cell>
          <cell r="AC47">
            <v>0.60470000000000002</v>
          </cell>
          <cell r="AD47">
            <v>0.54988333333333339</v>
          </cell>
          <cell r="AE47">
            <v>0.5269166666666667</v>
          </cell>
          <cell r="AF47">
            <v>0.55000000000000016</v>
          </cell>
          <cell r="AG47">
            <v>0.59931666666666661</v>
          </cell>
          <cell r="AH47">
            <v>0.61950000000000005</v>
          </cell>
          <cell r="AI47">
            <v>0.61855000000000004</v>
          </cell>
          <cell r="AJ47">
            <v>0.63641666666666674</v>
          </cell>
          <cell r="AK47">
            <v>0.63498333333333334</v>
          </cell>
          <cell r="AL47">
            <v>0.62798333333333334</v>
          </cell>
          <cell r="AM47">
            <v>0.61683333333333323</v>
          </cell>
          <cell r="AN47">
            <v>0.58700000000000008</v>
          </cell>
          <cell r="AO47">
            <v>0.58169999999999999</v>
          </cell>
          <cell r="AP47">
            <v>0.58021666666666671</v>
          </cell>
          <cell r="AQ47">
            <v>0.56915000000000004</v>
          </cell>
          <cell r="AR47">
            <v>0.58535000000000004</v>
          </cell>
          <cell r="AS47">
            <v>0.59561666666666657</v>
          </cell>
          <cell r="AT47">
            <v>0.57331666666666659</v>
          </cell>
          <cell r="AU47">
            <v>0.55398333333333327</v>
          </cell>
          <cell r="AV47">
            <v>0.5533499999999999</v>
          </cell>
          <cell r="AW47">
            <v>0.56046666666666667</v>
          </cell>
          <cell r="AX47">
            <v>0.57533333333333336</v>
          </cell>
          <cell r="AY47">
            <v>0.59378333333333333</v>
          </cell>
          <cell r="AZ47">
            <v>0.61093333333333333</v>
          </cell>
          <cell r="BA47">
            <v>0.60263333333333335</v>
          </cell>
          <cell r="BB47">
            <v>0.58500000000000008</v>
          </cell>
          <cell r="BC47">
            <v>0.58201416592222199</v>
          </cell>
          <cell r="BD47">
            <v>0.58894770046276346</v>
          </cell>
          <cell r="BE47">
            <v>0.60682627655617816</v>
          </cell>
          <cell r="BF47">
            <v>0.62012625002605015</v>
          </cell>
          <cell r="BG47">
            <v>0.62319184134374694</v>
          </cell>
          <cell r="BH47">
            <v>0.61787499999999995</v>
          </cell>
          <cell r="BI47">
            <v>0.60124999999999995</v>
          </cell>
          <cell r="BJ47">
            <v>0.59242499999999987</v>
          </cell>
          <cell r="BK47">
            <v>0.59734166666666666</v>
          </cell>
          <cell r="BL47">
            <v>0.59936666666666671</v>
          </cell>
          <cell r="BM47">
            <v>0.60796666666666666</v>
          </cell>
          <cell r="BN47">
            <v>0.61603333333333332</v>
          </cell>
          <cell r="BO47">
            <v>0.6156166666666667</v>
          </cell>
          <cell r="BP47">
            <v>0.60719166666666669</v>
          </cell>
          <cell r="BQ47">
            <v>0.60369166666666674</v>
          </cell>
          <cell r="BR47">
            <v>0.5961833333333334</v>
          </cell>
          <cell r="BS47">
            <v>0.54858333333333331</v>
          </cell>
          <cell r="BT47">
            <v>0.51068333333333327</v>
          </cell>
          <cell r="BU47">
            <v>0.53534999999999999</v>
          </cell>
          <cell r="BV47">
            <v>0.5779333333333333</v>
          </cell>
          <cell r="BW47">
            <v>0.60424999999999995</v>
          </cell>
          <cell r="BX47">
            <v>0.63693333333333335</v>
          </cell>
          <cell r="BY47">
            <v>0.67391666666666661</v>
          </cell>
          <cell r="BZ47">
            <v>0.6958000000000002</v>
          </cell>
          <cell r="CA47">
            <v>0.71899999999999997</v>
          </cell>
          <cell r="CB47">
            <v>0.73403333333333343</v>
          </cell>
          <cell r="CC47">
            <v>0.73611666666666675</v>
          </cell>
          <cell r="CD47">
            <v>0.74203333333333343</v>
          </cell>
          <cell r="CE47">
            <v>0.75752499999999989</v>
          </cell>
          <cell r="CF47">
            <v>0.78455833333333347</v>
          </cell>
          <cell r="CG47">
            <v>0.79631666666666678</v>
          </cell>
          <cell r="CH47">
            <v>0.81110833333333332</v>
          </cell>
          <cell r="CI47">
            <v>0.81224166666666664</v>
          </cell>
          <cell r="CJ47">
            <v>0.7923583333333335</v>
          </cell>
          <cell r="CK47">
            <v>0.76488333333333347</v>
          </cell>
          <cell r="CL47">
            <v>0.71085833333333337</v>
          </cell>
          <cell r="CM47">
            <v>0.67557499999999993</v>
          </cell>
          <cell r="CN47">
            <v>0.66390000000000005</v>
          </cell>
          <cell r="CO47">
            <v>0.66830833333333339</v>
          </cell>
          <cell r="CP47">
            <v>0.68989166666666668</v>
          </cell>
          <cell r="CQ47">
            <v>0.69309999999999994</v>
          </cell>
          <cell r="CR47">
            <v>0.69254166666666661</v>
          </cell>
          <cell r="CS47">
            <v>0.69777500000000003</v>
          </cell>
          <cell r="CT47">
            <v>0.66984999999999995</v>
          </cell>
          <cell r="CU47">
            <v>0.65520833333333328</v>
          </cell>
          <cell r="CV47">
            <v>0.66465000000000007</v>
          </cell>
          <cell r="CW47">
            <v>0.66154999999999997</v>
          </cell>
          <cell r="CX47">
            <v>0.67013333333333325</v>
          </cell>
          <cell r="CY47">
            <v>0.68501666666666672</v>
          </cell>
          <cell r="CZ47">
            <v>0.7028916666666668</v>
          </cell>
          <cell r="DA47">
            <v>0.69393333333333329</v>
          </cell>
          <cell r="DB47">
            <v>0.67124166666666663</v>
          </cell>
          <cell r="DC47">
            <v>0.65820000000000001</v>
          </cell>
          <cell r="DD47">
            <v>0.64193333333333324</v>
          </cell>
          <cell r="DE47">
            <v>0.63550833333333323</v>
          </cell>
          <cell r="DF47">
            <v>0.63022499999999992</v>
          </cell>
          <cell r="DG47">
            <v>0.62721666666666664</v>
          </cell>
          <cell r="DH47">
            <v>0.62974999999999992</v>
          </cell>
          <cell r="DI47">
            <v>0.62656666666666672</v>
          </cell>
          <cell r="DJ47">
            <v>0.61958333333333337</v>
          </cell>
          <cell r="DK47">
            <v>0.61799999999999999</v>
          </cell>
          <cell r="DL47">
            <v>0.60111166666666671</v>
          </cell>
          <cell r="DM47">
            <v>0.59311916666666675</v>
          </cell>
          <cell r="DN47">
            <v>0.60758166666666669</v>
          </cell>
          <cell r="DO47">
            <v>0.61414500000000005</v>
          </cell>
          <cell r="DP47">
            <v>0.62740407999999992</v>
          </cell>
          <cell r="DQ47">
            <v>0.63697491333333334</v>
          </cell>
          <cell r="DR47">
            <v>0.62820833333333337</v>
          </cell>
          <cell r="DS47">
            <v>0.63016831000000006</v>
          </cell>
          <cell r="DT47">
            <v>0.6452016433333333</v>
          </cell>
          <cell r="DU47">
            <v>0.65831500000000009</v>
          </cell>
          <cell r="DV47">
            <v>0.66909666666666656</v>
          </cell>
          <cell r="DW47">
            <v>0.65897166666666662</v>
          </cell>
          <cell r="DX47">
            <v>0.63972333333333331</v>
          </cell>
          <cell r="DY47">
            <v>0.6202333333333333</v>
          </cell>
          <cell r="DZ47">
            <v>0.60609416666666671</v>
          </cell>
          <cell r="EA47">
            <v>0.60669735666666658</v>
          </cell>
          <cell r="EB47">
            <v>0.60580985666666665</v>
          </cell>
          <cell r="EC47">
            <v>0.60912758377300014</v>
          </cell>
          <cell r="ED47">
            <v>0.61338758377300007</v>
          </cell>
          <cell r="EE47">
            <v>0.60936404125994015</v>
          </cell>
          <cell r="EF47">
            <v>0.59908164980888889</v>
          </cell>
          <cell r="EG47">
            <v>0.57760712023099603</v>
          </cell>
          <cell r="EH47">
            <v>0.56260719728353303</v>
          </cell>
          <cell r="EI47">
            <v>0.56436062008817889</v>
          </cell>
          <cell r="EJ47">
            <v>0.55958900754171248</v>
          </cell>
          <cell r="EK47">
            <v>0.54751020408163276</v>
          </cell>
          <cell r="EL47">
            <v>0.53800000000000003</v>
          </cell>
          <cell r="EM47">
            <v>0.52600000000000002</v>
          </cell>
          <cell r="EN47">
            <v>0.52300000000000002</v>
          </cell>
          <cell r="EO47">
            <v>0.52899999999999991</v>
          </cell>
          <cell r="EP47">
            <v>0.5349999999999997</v>
          </cell>
          <cell r="EQ47">
            <v>0.54099999999999993</v>
          </cell>
          <cell r="ER47">
            <v>0.54699999999999993</v>
          </cell>
          <cell r="ES47">
            <v>0.55299999999999994</v>
          </cell>
          <cell r="ET47">
            <v>0.55899999999999972</v>
          </cell>
          <cell r="EU47">
            <v>0.56499999999999972</v>
          </cell>
          <cell r="EV47">
            <v>0.57395983935742967</v>
          </cell>
          <cell r="EW47">
            <v>0.58592758129291367</v>
          </cell>
          <cell r="EX47">
            <v>0.59799203343345964</v>
          </cell>
          <cell r="EY47">
            <v>0.61015437279878892</v>
          </cell>
          <cell r="EZ47">
            <v>0.6224157955865276</v>
          </cell>
          <cell r="FA47">
            <v>0.63477751756440315</v>
          </cell>
          <cell r="FB47">
            <v>0.6472407744721046</v>
          </cell>
          <cell r="FC47">
            <v>0.65980682243308553</v>
          </cell>
          <cell r="FD47">
            <v>0.66611570247933938</v>
          </cell>
          <cell r="FE47">
            <v>0.66611570247933938</v>
          </cell>
          <cell r="FF47">
            <v>0.66611570247933938</v>
          </cell>
          <cell r="FG47">
            <v>0.66611570247933938</v>
          </cell>
          <cell r="FH47">
            <v>0.66611570247933938</v>
          </cell>
          <cell r="FI47">
            <v>0.66611570247933938</v>
          </cell>
          <cell r="FJ47">
            <v>0.66611570247933938</v>
          </cell>
          <cell r="FK47">
            <v>0.66611570247933938</v>
          </cell>
          <cell r="FL47">
            <v>0.66611570247933938</v>
          </cell>
          <cell r="FM47">
            <v>0.66611570247933938</v>
          </cell>
          <cell r="FN47">
            <v>0.66611570247933938</v>
          </cell>
          <cell r="FO47">
            <v>0.66611570247933938</v>
          </cell>
          <cell r="FP47">
            <v>0.66611570247933938</v>
          </cell>
          <cell r="FQ47">
            <v>0.66611570247933938</v>
          </cell>
          <cell r="FR47">
            <v>0.66611570247933938</v>
          </cell>
          <cell r="FS47">
            <v>0.66611570247933938</v>
          </cell>
          <cell r="FT47">
            <v>0.66611570247933938</v>
          </cell>
          <cell r="FU47">
            <v>0.66611570247933938</v>
          </cell>
        </row>
        <row r="48">
          <cell r="A48" t="str">
            <v>avaudkrw6m</v>
          </cell>
          <cell r="B48" t="str">
            <v>AUD/KRW</v>
          </cell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>
            <v>714.40261250000003</v>
          </cell>
          <cell r="BJ48">
            <v>718.58150833333332</v>
          </cell>
          <cell r="BK48">
            <v>728.41542833333335</v>
          </cell>
          <cell r="BL48">
            <v>738.6734183333333</v>
          </cell>
          <cell r="BM48">
            <v>760.32897416666674</v>
          </cell>
          <cell r="BN48">
            <v>781.79451833333326</v>
          </cell>
          <cell r="BO48">
            <v>806.50066666666669</v>
          </cell>
          <cell r="BP48">
            <v>849.72891416666664</v>
          </cell>
          <cell r="BQ48">
            <v>926.05636500000003</v>
          </cell>
          <cell r="BR48">
            <v>962.67499999999984</v>
          </cell>
          <cell r="BS48">
            <v>923.68999999999994</v>
          </cell>
          <cell r="BT48">
            <v>917.59000000000015</v>
          </cell>
          <cell r="BU48">
            <v>961.8033333333334</v>
          </cell>
          <cell r="BV48">
            <v>1012.2866666666667</v>
          </cell>
          <cell r="BW48">
            <v>1047.5783333333334</v>
          </cell>
          <cell r="BX48">
            <v>1047.07</v>
          </cell>
          <cell r="BY48">
            <v>1029.5150000000001</v>
          </cell>
          <cell r="BZ48">
            <v>1052.105</v>
          </cell>
          <cell r="CA48">
            <v>1100.2366666666667</v>
          </cell>
          <cell r="CB48">
            <v>1125.9549999999999</v>
          </cell>
          <cell r="CC48">
            <v>1143.9483333333335</v>
          </cell>
          <cell r="CD48">
            <v>1151.2416666666668</v>
          </cell>
          <cell r="CE48">
            <v>1158.2366666666667</v>
          </cell>
          <cell r="CF48">
            <v>1180.0116666666668</v>
          </cell>
          <cell r="CG48">
            <v>1179.2683333333332</v>
          </cell>
          <cell r="CH48">
            <v>1169.6233333333332</v>
          </cell>
          <cell r="CI48">
            <v>1146.4983333333334</v>
          </cell>
          <cell r="CJ48">
            <v>1128.2766666666666</v>
          </cell>
          <cell r="CK48">
            <v>1112.32</v>
          </cell>
          <cell r="CL48">
            <v>1044.8916666666667</v>
          </cell>
          <cell r="CM48">
            <v>984.78666666666652</v>
          </cell>
          <cell r="CN48">
            <v>965.66666666666686</v>
          </cell>
          <cell r="CO48">
            <v>958.15833333333342</v>
          </cell>
          <cell r="CP48">
            <v>948.98833333333334</v>
          </cell>
          <cell r="CQ48">
            <v>934.77166666666653</v>
          </cell>
          <cell r="CR48">
            <v>890.12166666666656</v>
          </cell>
          <cell r="CS48">
            <v>854.06833333333327</v>
          </cell>
          <cell r="CT48">
            <v>847.26499999999999</v>
          </cell>
          <cell r="CU48">
            <v>838.50833333333321</v>
          </cell>
          <cell r="CV48">
            <v>854.04</v>
          </cell>
          <cell r="CW48">
            <v>867.40333333333331</v>
          </cell>
          <cell r="CX48">
            <v>852.7883333333333</v>
          </cell>
          <cell r="CY48">
            <v>856.02166666666665</v>
          </cell>
          <cell r="CZ48">
            <v>867.56666666666661</v>
          </cell>
          <cell r="DA48">
            <v>859.73500000000001</v>
          </cell>
          <cell r="DB48">
            <v>874.58333333333337</v>
          </cell>
          <cell r="DC48">
            <v>865.78666666666675</v>
          </cell>
          <cell r="DD48">
            <v>837.85</v>
          </cell>
          <cell r="DE48">
            <v>827.3516666666668</v>
          </cell>
          <cell r="DF48">
            <v>812.68166666666673</v>
          </cell>
          <cell r="DG48">
            <v>806.57999999999993</v>
          </cell>
          <cell r="DH48">
            <v>803.95833333333337</v>
          </cell>
          <cell r="DI48">
            <v>811.51833333333343</v>
          </cell>
          <cell r="DJ48">
            <v>815.37833333333344</v>
          </cell>
          <cell r="DK48">
            <v>808.36666666666679</v>
          </cell>
          <cell r="DL48">
            <v>790.31499999999994</v>
          </cell>
          <cell r="DM48">
            <v>794.64333333333343</v>
          </cell>
          <cell r="DN48">
            <v>833.96833333333336</v>
          </cell>
          <cell r="DO48">
            <v>835.51333333333332</v>
          </cell>
          <cell r="DP48">
            <v>837.93086666666659</v>
          </cell>
          <cell r="DQ48">
            <v>857.56773333333331</v>
          </cell>
          <cell r="DR48">
            <v>852.8529666666667</v>
          </cell>
          <cell r="DS48">
            <v>856.76523333333341</v>
          </cell>
          <cell r="DT48">
            <v>870.52895000000001</v>
          </cell>
          <cell r="DU48">
            <v>884.37440000000004</v>
          </cell>
          <cell r="DV48">
            <v>904.20989999999995</v>
          </cell>
          <cell r="DW48">
            <v>901.64645000000007</v>
          </cell>
          <cell r="DX48">
            <v>882.03249999999991</v>
          </cell>
          <cell r="DY48">
            <v>875.90038333333348</v>
          </cell>
          <cell r="DZ48">
            <v>868.18615</v>
          </cell>
          <cell r="EA48">
            <v>864.41311666666661</v>
          </cell>
          <cell r="EB48">
            <v>870.00238333333311</v>
          </cell>
          <cell r="EC48">
            <v>893.34000908206451</v>
          </cell>
          <cell r="ED48">
            <v>908.49844241539779</v>
          </cell>
          <cell r="EE48">
            <v>906.67599999999993</v>
          </cell>
          <cell r="EF48">
            <v>908.92283333333341</v>
          </cell>
          <cell r="EG48">
            <v>902.94166666666661</v>
          </cell>
          <cell r="EH48">
            <v>903.89867366666658</v>
          </cell>
          <cell r="EI48">
            <v>931.72550700000011</v>
          </cell>
          <cell r="EJ48">
            <v>928.21050000000014</v>
          </cell>
          <cell r="EK48">
            <v>892.58750000000009</v>
          </cell>
          <cell r="EL48">
            <v>877.65000000000009</v>
          </cell>
          <cell r="EM48">
            <v>851.50000000000011</v>
          </cell>
          <cell r="EN48">
            <v>841.69374999999991</v>
          </cell>
          <cell r="EO48">
            <v>848.04374999999959</v>
          </cell>
          <cell r="EP48">
            <v>854.31874999999923</v>
          </cell>
          <cell r="EQ48">
            <v>860.5187499999995</v>
          </cell>
          <cell r="ER48">
            <v>866.64374999999984</v>
          </cell>
          <cell r="ES48">
            <v>872.69374999999945</v>
          </cell>
          <cell r="ET48">
            <v>878.66874999999914</v>
          </cell>
          <cell r="EU48">
            <v>884.56874999999945</v>
          </cell>
          <cell r="EV48">
            <v>892.50909999999999</v>
          </cell>
          <cell r="EW48">
            <v>902.44450000000006</v>
          </cell>
          <cell r="EX48">
            <v>912.21430000000021</v>
          </cell>
          <cell r="EY48">
            <v>921.81850000000031</v>
          </cell>
          <cell r="EZ48">
            <v>931.25710000000049</v>
          </cell>
          <cell r="FA48">
            <v>940.53010000000063</v>
          </cell>
          <cell r="FB48">
            <v>949.63750000000073</v>
          </cell>
          <cell r="FC48">
            <v>958.5793000000009</v>
          </cell>
          <cell r="FD48">
            <v>963.00880000000097</v>
          </cell>
          <cell r="FE48">
            <v>963.00880000000097</v>
          </cell>
          <cell r="FF48">
            <v>963.00880000000097</v>
          </cell>
          <cell r="FG48">
            <v>963.00880000000097</v>
          </cell>
          <cell r="FH48">
            <v>963.00880000000097</v>
          </cell>
          <cell r="FI48">
            <v>963.00880000000097</v>
          </cell>
          <cell r="FJ48">
            <v>963.00880000000097</v>
          </cell>
          <cell r="FK48">
            <v>963.00880000000097</v>
          </cell>
          <cell r="FL48">
            <v>963.00880000000097</v>
          </cell>
          <cell r="FM48">
            <v>963.00880000000097</v>
          </cell>
          <cell r="FN48">
            <v>963.00880000000097</v>
          </cell>
          <cell r="FO48">
            <v>963.00880000000097</v>
          </cell>
          <cell r="FP48">
            <v>963.00880000000097</v>
          </cell>
          <cell r="FQ48">
            <v>963.00880000000097</v>
          </cell>
          <cell r="FR48">
            <v>963.00880000000097</v>
          </cell>
          <cell r="FS48">
            <v>963.00880000000097</v>
          </cell>
          <cell r="FT48">
            <v>963.00880000000097</v>
          </cell>
          <cell r="FU48">
            <v>963.00880000000097</v>
          </cell>
        </row>
        <row r="49"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  <cell r="CE49"/>
          <cell r="CF49"/>
          <cell r="CG49"/>
          <cell r="CH49"/>
          <cell r="CI49"/>
          <cell r="CJ49"/>
          <cell r="CK49"/>
          <cell r="CL49"/>
          <cell r="CM49"/>
          <cell r="CN49"/>
          <cell r="CO49"/>
          <cell r="CP49"/>
          <cell r="CQ49"/>
          <cell r="CR49"/>
          <cell r="CS49"/>
          <cell r="CT49"/>
          <cell r="CU49"/>
          <cell r="CV49"/>
          <cell r="CW49"/>
          <cell r="CX49"/>
          <cell r="CY49"/>
          <cell r="CZ49"/>
          <cell r="DA49"/>
          <cell r="DB49"/>
          <cell r="DC49"/>
          <cell r="DD49"/>
          <cell r="DE49"/>
          <cell r="DF49"/>
          <cell r="DG49"/>
          <cell r="DH49"/>
          <cell r="DI49"/>
          <cell r="DJ49"/>
          <cell r="DK49"/>
          <cell r="DL49"/>
          <cell r="DM49"/>
          <cell r="DN49"/>
          <cell r="DO49"/>
          <cell r="DP49"/>
          <cell r="DQ49"/>
          <cell r="DR49"/>
          <cell r="DS49"/>
          <cell r="DT49"/>
          <cell r="DU49"/>
          <cell r="DV49"/>
          <cell r="DW49"/>
          <cell r="DX49"/>
          <cell r="DY49"/>
          <cell r="DZ49"/>
          <cell r="EA49"/>
          <cell r="EB49"/>
          <cell r="EC49"/>
          <cell r="ED49"/>
          <cell r="EE49"/>
          <cell r="EG49"/>
          <cell r="EH49"/>
        </row>
        <row r="50">
          <cell r="B50" t="str">
            <v>Average exchange rates (12mo)</v>
          </cell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  <cell r="CE50"/>
          <cell r="CF50"/>
          <cell r="CG50"/>
          <cell r="CH50"/>
          <cell r="CI50"/>
          <cell r="CJ50"/>
          <cell r="CK50"/>
          <cell r="CL50"/>
          <cell r="CM50"/>
          <cell r="CN50"/>
          <cell r="CO50"/>
          <cell r="CP50"/>
          <cell r="CQ50"/>
          <cell r="CR50"/>
          <cell r="CS50"/>
          <cell r="CT50"/>
          <cell r="CU50"/>
          <cell r="CV50"/>
          <cell r="CW50"/>
          <cell r="CX50"/>
          <cell r="CY50"/>
          <cell r="CZ50"/>
          <cell r="DA50"/>
          <cell r="DB50"/>
          <cell r="DC50"/>
          <cell r="DD50"/>
          <cell r="DE50"/>
          <cell r="DF50"/>
          <cell r="DG50"/>
          <cell r="DH50"/>
          <cell r="DI50"/>
          <cell r="DJ50"/>
          <cell r="DK50"/>
          <cell r="DL50"/>
          <cell r="DM50"/>
          <cell r="DN50"/>
          <cell r="DO50"/>
          <cell r="DP50"/>
          <cell r="DQ50"/>
          <cell r="DR50"/>
          <cell r="DS50"/>
          <cell r="DT50"/>
          <cell r="DU50"/>
          <cell r="DV50"/>
          <cell r="DW50"/>
          <cell r="DX50"/>
          <cell r="DY50"/>
          <cell r="DZ50"/>
          <cell r="EA50"/>
          <cell r="EB50"/>
          <cell r="EC50"/>
          <cell r="ED50"/>
          <cell r="EE50"/>
          <cell r="EF50"/>
          <cell r="EG50"/>
          <cell r="EH50"/>
          <cell r="EI50"/>
          <cell r="EJ50"/>
          <cell r="EK50"/>
          <cell r="EL50"/>
          <cell r="EM50"/>
          <cell r="EN50"/>
          <cell r="EO50"/>
          <cell r="EP50"/>
          <cell r="EQ50"/>
          <cell r="ER50"/>
          <cell r="ES50"/>
          <cell r="ET50"/>
          <cell r="EU50"/>
          <cell r="EV50"/>
          <cell r="EW50"/>
          <cell r="EX50"/>
          <cell r="EY50"/>
          <cell r="EZ50"/>
          <cell r="FA50"/>
          <cell r="FB50"/>
          <cell r="FC50"/>
          <cell r="FD50"/>
          <cell r="FE50"/>
          <cell r="FF50"/>
          <cell r="FG50"/>
          <cell r="FH50"/>
          <cell r="FI50"/>
          <cell r="FJ50"/>
          <cell r="FK50"/>
          <cell r="FL50"/>
          <cell r="FM50"/>
          <cell r="FN50"/>
          <cell r="FO50"/>
          <cell r="FP50"/>
          <cell r="FQ50"/>
          <cell r="FR50"/>
          <cell r="FS50"/>
          <cell r="FT50"/>
          <cell r="FU50"/>
        </row>
        <row r="51">
          <cell r="A51" t="str">
            <v>avaudgbp12m</v>
          </cell>
          <cell r="B51" t="str">
            <v>AUD/GBP</v>
          </cell>
          <cell r="D51">
            <v>0.4449999999999999</v>
          </cell>
          <cell r="E51">
            <v>0.43307500000000004</v>
          </cell>
          <cell r="F51">
            <v>0.41307500000000003</v>
          </cell>
          <cell r="G51">
            <v>0.4182583333333334</v>
          </cell>
          <cell r="H51">
            <v>0.4281166666666667</v>
          </cell>
          <cell r="I51">
            <v>0.43619999999999992</v>
          </cell>
          <cell r="J51">
            <v>0.45310833333333328</v>
          </cell>
          <cell r="K51">
            <v>0.45322499999999999</v>
          </cell>
          <cell r="L51">
            <v>0.45439166666666669</v>
          </cell>
          <cell r="M51">
            <v>0.46283333333333326</v>
          </cell>
          <cell r="N51">
            <v>0.4698916666666666</v>
          </cell>
          <cell r="O51">
            <v>0.47715000000000002</v>
          </cell>
          <cell r="P51">
            <v>0.47505000000000003</v>
          </cell>
          <cell r="Q51">
            <v>0.46822500000000006</v>
          </cell>
          <cell r="R51">
            <v>0.46756666666666669</v>
          </cell>
          <cell r="S51">
            <v>0.46793333333333337</v>
          </cell>
          <cell r="T51">
            <v>0.47671666666666668</v>
          </cell>
          <cell r="U51">
            <v>0.49309999999999993</v>
          </cell>
          <cell r="V51">
            <v>0.50010833333333338</v>
          </cell>
          <cell r="W51">
            <v>0.49928333333333325</v>
          </cell>
          <cell r="X51">
            <v>0.49337499999999995</v>
          </cell>
          <cell r="Y51">
            <v>0.4810666666666667</v>
          </cell>
          <cell r="Z51">
            <v>0.46824166666666667</v>
          </cell>
          <cell r="AA51">
            <v>0.4501</v>
          </cell>
          <cell r="AB51">
            <v>0.43295833333333333</v>
          </cell>
          <cell r="AC51">
            <v>0.41159999999999997</v>
          </cell>
          <cell r="AD51">
            <v>0.38680833333333337</v>
          </cell>
          <cell r="AE51">
            <v>0.37884999999999996</v>
          </cell>
          <cell r="AF51">
            <v>0.37346666666666667</v>
          </cell>
          <cell r="AG51">
            <v>0.38169166666666671</v>
          </cell>
          <cell r="AH51">
            <v>0.39329166666666676</v>
          </cell>
          <cell r="AI51">
            <v>0.39920833333333322</v>
          </cell>
          <cell r="AJ51">
            <v>0.39948333333333336</v>
          </cell>
          <cell r="AK51">
            <v>0.39219999999999994</v>
          </cell>
          <cell r="AL51">
            <v>0.38865</v>
          </cell>
          <cell r="AM51">
            <v>0.38124166666666676</v>
          </cell>
          <cell r="AN51">
            <v>0.37435000000000002</v>
          </cell>
          <cell r="AO51">
            <v>0.36804166666666666</v>
          </cell>
          <cell r="AP51">
            <v>0.35988333333333333</v>
          </cell>
          <cell r="AQ51">
            <v>0.35640000000000005</v>
          </cell>
          <cell r="AR51">
            <v>0.35777499999999995</v>
          </cell>
          <cell r="AS51">
            <v>0.36198333333333332</v>
          </cell>
          <cell r="AT51">
            <v>0.36135833333333328</v>
          </cell>
          <cell r="AU51">
            <v>0.36143333333333333</v>
          </cell>
          <cell r="AV51">
            <v>0.36357499999999998</v>
          </cell>
          <cell r="AW51">
            <v>0.36957499999999999</v>
          </cell>
          <cell r="AX51">
            <v>0.38409999999999994</v>
          </cell>
          <cell r="AY51">
            <v>0.40051666666666669</v>
          </cell>
          <cell r="AZ51">
            <v>0.41073333333333339</v>
          </cell>
          <cell r="BA51">
            <v>0.40915833333333329</v>
          </cell>
          <cell r="BB51">
            <v>0.40550833333333336</v>
          </cell>
          <cell r="BC51">
            <v>0.40215063996371464</v>
          </cell>
          <cell r="BD51">
            <v>0.400900815118929</v>
          </cell>
          <cell r="BE51">
            <v>0.40684028267171218</v>
          </cell>
          <cell r="BF51">
            <v>0.41535531550159305</v>
          </cell>
          <cell r="BG51">
            <v>0.42002550887121187</v>
          </cell>
          <cell r="BH51">
            <v>0.42242533371599739</v>
          </cell>
          <cell r="BI51">
            <v>0.4199108661632141</v>
          </cell>
          <cell r="BJ51">
            <v>0.41396250000000001</v>
          </cell>
          <cell r="BK51">
            <v>0.40844166666666676</v>
          </cell>
          <cell r="BL51">
            <v>0.40390833333333331</v>
          </cell>
          <cell r="BM51">
            <v>0.40686249999999996</v>
          </cell>
          <cell r="BN51">
            <v>0.41095833333333331</v>
          </cell>
          <cell r="BO51">
            <v>0.42013750000000005</v>
          </cell>
          <cell r="BP51">
            <v>0.43444583333333336</v>
          </cell>
          <cell r="BQ51">
            <v>0.449625</v>
          </cell>
          <cell r="BR51">
            <v>0.4606041666666667</v>
          </cell>
          <cell r="BS51">
            <v>0.46064166666666667</v>
          </cell>
          <cell r="BT51">
            <v>0.45961666666666673</v>
          </cell>
          <cell r="BU51">
            <v>0.46274166666666677</v>
          </cell>
          <cell r="BV51">
            <v>0.47774999999999995</v>
          </cell>
          <cell r="BW51">
            <v>0.50606666666666678</v>
          </cell>
          <cell r="BX51">
            <v>0.53755000000000008</v>
          </cell>
          <cell r="BY51">
            <v>0.56037499999999996</v>
          </cell>
          <cell r="BZ51">
            <v>0.57715000000000005</v>
          </cell>
          <cell r="CA51">
            <v>0.59592499999999993</v>
          </cell>
          <cell r="CB51">
            <v>0.60831666666666662</v>
          </cell>
          <cell r="CC51">
            <v>0.62691666666666668</v>
          </cell>
          <cell r="CD51">
            <v>0.64169166666666666</v>
          </cell>
          <cell r="CE51">
            <v>0.64855416666666665</v>
          </cell>
          <cell r="CF51">
            <v>0.65702916666666666</v>
          </cell>
          <cell r="CG51">
            <v>0.65317499999999995</v>
          </cell>
          <cell r="CH51">
            <v>0.65434583333333329</v>
          </cell>
          <cell r="CI51">
            <v>0.65160416666666654</v>
          </cell>
          <cell r="CJ51">
            <v>0.6533916666666667</v>
          </cell>
          <cell r="CK51">
            <v>0.65106249999999999</v>
          </cell>
          <cell r="CL51">
            <v>0.63258333333333339</v>
          </cell>
          <cell r="CM51">
            <v>0.61177083333333337</v>
          </cell>
          <cell r="CN51">
            <v>0.57895416666666666</v>
          </cell>
          <cell r="CO51">
            <v>0.55885416666666665</v>
          </cell>
          <cell r="CP51">
            <v>0.55145416666666669</v>
          </cell>
          <cell r="CQ51">
            <v>0.5459208333333333</v>
          </cell>
          <cell r="CR51">
            <v>0.53863333333333341</v>
          </cell>
          <cell r="CS51">
            <v>0.52598750000000016</v>
          </cell>
          <cell r="CT51">
            <v>0.50451250000000003</v>
          </cell>
          <cell r="CU51">
            <v>0.48943750000000003</v>
          </cell>
          <cell r="CV51">
            <v>0.49012916666666667</v>
          </cell>
          <cell r="CW51">
            <v>0.49632083333333332</v>
          </cell>
          <cell r="CX51">
            <v>0.52484583333333334</v>
          </cell>
          <cell r="CY51">
            <v>0.55471666666666664</v>
          </cell>
          <cell r="CZ51">
            <v>0.57852916666666665</v>
          </cell>
          <cell r="DA51">
            <v>0.59224999999999994</v>
          </cell>
          <cell r="DB51">
            <v>0.59789166666666671</v>
          </cell>
          <cell r="DC51">
            <v>0.59100416666666666</v>
          </cell>
          <cell r="DD51">
            <v>0.57850416666666649</v>
          </cell>
          <cell r="DE51">
            <v>0.5728833333333333</v>
          </cell>
          <cell r="DF51">
            <v>0.56206250000000002</v>
          </cell>
          <cell r="DG51">
            <v>0.5593541666666666</v>
          </cell>
          <cell r="DH51">
            <v>0.55562499999999992</v>
          </cell>
          <cell r="DI51">
            <v>0.55277916666666671</v>
          </cell>
          <cell r="DJ51">
            <v>0.55200000000000005</v>
          </cell>
          <cell r="DK51">
            <v>0.54398333333333337</v>
          </cell>
          <cell r="DL51">
            <v>0.5334941666666666</v>
          </cell>
          <cell r="DM51">
            <v>0.53106999999999993</v>
          </cell>
          <cell r="DN51">
            <v>0.52992666666666655</v>
          </cell>
          <cell r="DO51">
            <v>0.53597166666666662</v>
          </cell>
          <cell r="DP51">
            <v>0.54872750000000003</v>
          </cell>
          <cell r="DQ51">
            <v>0.55127541666666657</v>
          </cell>
          <cell r="DR51">
            <v>0.54666875000000015</v>
          </cell>
          <cell r="DS51">
            <v>0.54378208333333344</v>
          </cell>
          <cell r="DT51">
            <v>0.54167299666666657</v>
          </cell>
          <cell r="DU51">
            <v>0.54610589916666652</v>
          </cell>
          <cell r="DV51">
            <v>0.55772256583333346</v>
          </cell>
          <cell r="DW51">
            <v>0.56289080583333329</v>
          </cell>
          <cell r="DX51">
            <v>0.56605030916666654</v>
          </cell>
          <cell r="DY51">
            <v>0.55572115666666666</v>
          </cell>
          <cell r="DZ51">
            <v>0.54123231250000003</v>
          </cell>
          <cell r="EA51">
            <v>0.53251073916666669</v>
          </cell>
          <cell r="EB51">
            <v>0.52200907250000006</v>
          </cell>
          <cell r="EC51">
            <v>0.5215024744451382</v>
          </cell>
          <cell r="ED51">
            <v>0.5197317646321753</v>
          </cell>
          <cell r="EE51">
            <v>0.51443556991459494</v>
          </cell>
          <cell r="EF51">
            <v>0.50861113095757338</v>
          </cell>
          <cell r="EG51">
            <v>0.49774623377591282</v>
          </cell>
          <cell r="EH51">
            <v>0.49119308378671461</v>
          </cell>
          <cell r="EI51">
            <v>0.48884927698543623</v>
          </cell>
          <cell r="EJ51">
            <v>0.48542122251934444</v>
          </cell>
          <cell r="EK51">
            <v>0.48368244099280261</v>
          </cell>
          <cell r="EL51">
            <v>0.47946357916799381</v>
          </cell>
          <cell r="EM51">
            <v>0.47512887784221669</v>
          </cell>
          <cell r="EN51">
            <v>0.47760081277283356</v>
          </cell>
          <cell r="EO51">
            <v>0.48269340536542615</v>
          </cell>
          <cell r="EP51">
            <v>0.48894340536542613</v>
          </cell>
          <cell r="EQ51">
            <v>0.49632378288957013</v>
          </cell>
          <cell r="ER51">
            <v>0.50351849268713533</v>
          </cell>
          <cell r="ES51">
            <v>0.51052015727306954</v>
          </cell>
          <cell r="ET51">
            <v>0.51732128297663404</v>
          </cell>
          <cell r="EU51">
            <v>0.52391425795138447</v>
          </cell>
          <cell r="EV51">
            <v>0.5319451372478341</v>
          </cell>
          <cell r="EW51">
            <v>0.5414452484102511</v>
          </cell>
          <cell r="EX51">
            <v>0.55244657293639543</v>
          </cell>
          <cell r="EY51">
            <v>0.5649817629916567</v>
          </cell>
          <cell r="EZ51">
            <v>0.57767101699956114</v>
          </cell>
          <cell r="FA51">
            <v>0.5905171929470554</v>
          </cell>
          <cell r="FB51">
            <v>0.60352321995439495</v>
          </cell>
          <cell r="FC51">
            <v>0.61669210050218137</v>
          </cell>
          <cell r="FD51">
            <v>0.62663001152022024</v>
          </cell>
          <cell r="FE51">
            <v>0.63329662889581573</v>
          </cell>
          <cell r="FF51">
            <v>0.6366508688783562</v>
          </cell>
          <cell r="FG51">
            <v>0.6366508688783562</v>
          </cell>
          <cell r="FH51">
            <v>0.6366508688783562</v>
          </cell>
          <cell r="FI51">
            <v>0.6366508688783562</v>
          </cell>
          <cell r="FJ51">
            <v>0.6366508688783562</v>
          </cell>
          <cell r="FK51">
            <v>0.6366508688783562</v>
          </cell>
          <cell r="FL51">
            <v>0.6366508688783562</v>
          </cell>
          <cell r="FM51">
            <v>0.6366508688783562</v>
          </cell>
          <cell r="FN51">
            <v>0.6366508688783562</v>
          </cell>
          <cell r="FO51">
            <v>0.6366508688783562</v>
          </cell>
          <cell r="FP51">
            <v>0.6366508688783562</v>
          </cell>
          <cell r="FQ51">
            <v>0.6366508688783562</v>
          </cell>
          <cell r="FR51">
            <v>0.6366508688783562</v>
          </cell>
          <cell r="FS51">
            <v>0.6366508688783562</v>
          </cell>
          <cell r="FT51">
            <v>0.6366508688783562</v>
          </cell>
          <cell r="FU51">
            <v>0.6366508688783562</v>
          </cell>
        </row>
        <row r="52">
          <cell r="A52" t="str">
            <v>avaudusd12m</v>
          </cell>
          <cell r="B52" t="str">
            <v>AUD/USD</v>
          </cell>
          <cell r="D52">
            <v>0.77221666666666666</v>
          </cell>
          <cell r="E52">
            <v>0.7680583333333334</v>
          </cell>
          <cell r="F52">
            <v>0.75225833333333336</v>
          </cell>
          <cell r="G52">
            <v>0.7307499999999999</v>
          </cell>
          <cell r="H52">
            <v>0.71470833333333339</v>
          </cell>
          <cell r="I52">
            <v>0.69703333333333328</v>
          </cell>
          <cell r="J52">
            <v>0.68347499999999994</v>
          </cell>
          <cell r="K52">
            <v>0.67841666666666667</v>
          </cell>
          <cell r="L52">
            <v>0.68213333333333326</v>
          </cell>
          <cell r="M52">
            <v>0.69304166666666667</v>
          </cell>
          <cell r="N52">
            <v>0.71083333333333332</v>
          </cell>
          <cell r="O52">
            <v>0.73442499999999999</v>
          </cell>
          <cell r="P52">
            <v>0.74325000000000008</v>
          </cell>
          <cell r="Q52">
            <v>0.74118333333333331</v>
          </cell>
          <cell r="R52">
            <v>0.74311666666666654</v>
          </cell>
          <cell r="S52">
            <v>0.73968333333333336</v>
          </cell>
          <cell r="T52">
            <v>0.74476666666666669</v>
          </cell>
          <cell r="U52">
            <v>0.76293333333333335</v>
          </cell>
          <cell r="V52">
            <v>0.77203333333333335</v>
          </cell>
          <cell r="W52">
            <v>0.78493333333333337</v>
          </cell>
          <cell r="X52">
            <v>0.78786666666666683</v>
          </cell>
          <cell r="Y52">
            <v>0.78068333333333317</v>
          </cell>
          <cell r="Z52">
            <v>0.76818333333333333</v>
          </cell>
          <cell r="AA52">
            <v>0.73744999999999994</v>
          </cell>
          <cell r="AB52">
            <v>0.71252499999999996</v>
          </cell>
          <cell r="AC52">
            <v>0.67972499999999991</v>
          </cell>
          <cell r="AD52">
            <v>0.64336666666666675</v>
          </cell>
          <cell r="AE52">
            <v>0.62937500000000002</v>
          </cell>
          <cell r="AF52">
            <v>0.61734999999999995</v>
          </cell>
          <cell r="AG52">
            <v>0.62439999999999996</v>
          </cell>
          <cell r="AH52">
            <v>0.63903333333333323</v>
          </cell>
          <cell r="AI52">
            <v>0.64459999999999995</v>
          </cell>
          <cell r="AJ52">
            <v>0.64277499999999999</v>
          </cell>
          <cell r="AK52">
            <v>0.62414999999999998</v>
          </cell>
          <cell r="AL52">
            <v>0.60380833333333328</v>
          </cell>
          <cell r="AM52">
            <v>0.57677499999999993</v>
          </cell>
          <cell r="AN52">
            <v>0.55187499999999989</v>
          </cell>
          <cell r="AO52">
            <v>0.53332499999999994</v>
          </cell>
          <cell r="AP52">
            <v>0.51927499999999993</v>
          </cell>
          <cell r="AQ52">
            <v>0.51317500000000005</v>
          </cell>
          <cell r="AR52">
            <v>0.51289999999999991</v>
          </cell>
          <cell r="AS52">
            <v>0.52443333333333342</v>
          </cell>
          <cell r="AT52">
            <v>0.53326666666666667</v>
          </cell>
          <cell r="AU52">
            <v>0.54517500000000008</v>
          </cell>
          <cell r="AV52">
            <v>0.5652666666666667</v>
          </cell>
          <cell r="AW52">
            <v>0.58895833333333336</v>
          </cell>
          <cell r="AX52">
            <v>0.61730000000000007</v>
          </cell>
          <cell r="AY52">
            <v>0.65968333333333329</v>
          </cell>
          <cell r="AZ52">
            <v>0.70167499999999994</v>
          </cell>
          <cell r="BA52">
            <v>0.71676666666666655</v>
          </cell>
          <cell r="BB52">
            <v>0.72990833333333327</v>
          </cell>
          <cell r="BC52">
            <v>0.73969583333333355</v>
          </cell>
          <cell r="BD52">
            <v>0.74272500000000008</v>
          </cell>
          <cell r="BE52">
            <v>0.75644583333333337</v>
          </cell>
          <cell r="BF52">
            <v>0.76808333333333323</v>
          </cell>
          <cell r="BG52">
            <v>0.76120833333333338</v>
          </cell>
          <cell r="BH52">
            <v>0.7509083333333334</v>
          </cell>
          <cell r="BI52">
            <v>0.74720416666666667</v>
          </cell>
          <cell r="BJ52">
            <v>0.74731666666666674</v>
          </cell>
          <cell r="BK52">
            <v>0.75828749999999989</v>
          </cell>
          <cell r="BL52">
            <v>0.77136249999999995</v>
          </cell>
          <cell r="BM52">
            <v>0.79239166666666661</v>
          </cell>
          <cell r="BN52">
            <v>0.81591250000000004</v>
          </cell>
          <cell r="BO52">
            <v>0.84433333333333349</v>
          </cell>
          <cell r="BP52">
            <v>0.87482916666666666</v>
          </cell>
          <cell r="BQ52">
            <v>0.90408333333333335</v>
          </cell>
          <cell r="BR52">
            <v>0.90692916666666668</v>
          </cell>
          <cell r="BS52">
            <v>0.85127083333333331</v>
          </cell>
          <cell r="BT52">
            <v>0.78684166666666666</v>
          </cell>
          <cell r="BU52">
            <v>0.74317083333333323</v>
          </cell>
          <cell r="BV52">
            <v>0.74069999999999991</v>
          </cell>
          <cell r="BW52">
            <v>0.79800833333333332</v>
          </cell>
          <cell r="BX52">
            <v>0.85888750000000014</v>
          </cell>
          <cell r="BY52">
            <v>0.88197083333333337</v>
          </cell>
          <cell r="BZ52">
            <v>0.89869583333333347</v>
          </cell>
          <cell r="CA52">
            <v>0.91979583333333315</v>
          </cell>
          <cell r="CB52">
            <v>0.94906250000000003</v>
          </cell>
          <cell r="CC52">
            <v>1.0011166666666667</v>
          </cell>
          <cell r="CD52">
            <v>1.0322375000000001</v>
          </cell>
          <cell r="CE52">
            <v>1.043725</v>
          </cell>
          <cell r="CF52">
            <v>1.0539504166666667</v>
          </cell>
          <cell r="CG52">
            <v>1.0376733333333334</v>
          </cell>
          <cell r="CH52">
            <v>1.0363387500000001</v>
          </cell>
          <cell r="CI52">
            <v>1.0376870833333334</v>
          </cell>
          <cell r="CJ52">
            <v>1.0322383333333336</v>
          </cell>
          <cell r="CK52">
            <v>1.02123875</v>
          </cell>
          <cell r="CL52">
            <v>0.98798208333333337</v>
          </cell>
          <cell r="CM52">
            <v>0.95702500000000013</v>
          </cell>
          <cell r="CN52">
            <v>0.92277750000000003</v>
          </cell>
          <cell r="CO52">
            <v>0.91398583333333361</v>
          </cell>
          <cell r="CP52">
            <v>0.91537541666666666</v>
          </cell>
          <cell r="CQ52">
            <v>0.89858958333333339</v>
          </cell>
          <cell r="CR52">
            <v>0.86725125000000014</v>
          </cell>
          <cell r="CS52">
            <v>0.82746958333333342</v>
          </cell>
          <cell r="CT52">
            <v>0.77787958333333329</v>
          </cell>
          <cell r="CU52">
            <v>0.74609458333333334</v>
          </cell>
          <cell r="CV52">
            <v>0.73523624999999992</v>
          </cell>
          <cell r="CW52">
            <v>0.72719208333333329</v>
          </cell>
          <cell r="CX52">
            <v>0.73839999999999995</v>
          </cell>
          <cell r="CY52">
            <v>0.74289708333333326</v>
          </cell>
          <cell r="CZ52">
            <v>0.75117166666666668</v>
          </cell>
          <cell r="DA52">
            <v>0.75377708333333349</v>
          </cell>
          <cell r="DB52">
            <v>0.76216333333333341</v>
          </cell>
          <cell r="DC52">
            <v>0.76909749999999999</v>
          </cell>
          <cell r="DD52">
            <v>0.77428666666666668</v>
          </cell>
          <cell r="DE52">
            <v>0.77344416666666671</v>
          </cell>
          <cell r="DF52">
            <v>0.75723583333333322</v>
          </cell>
          <cell r="DG52">
            <v>0.74401083333333329</v>
          </cell>
          <cell r="DH52">
            <v>0.72707375000000007</v>
          </cell>
          <cell r="DI52">
            <v>0.71460458333333332</v>
          </cell>
          <cell r="DJ52">
            <v>0.7020641666666666</v>
          </cell>
          <cell r="DK52">
            <v>0.6956699999999999</v>
          </cell>
          <cell r="DL52">
            <v>0.67791166666666658</v>
          </cell>
          <cell r="DM52">
            <v>0.67021791666666664</v>
          </cell>
          <cell r="DN52">
            <v>0.68147374999999999</v>
          </cell>
          <cell r="DO52">
            <v>0.69309249999999978</v>
          </cell>
          <cell r="DP52">
            <v>0.72322083333333342</v>
          </cell>
          <cell r="DQ52">
            <v>0.74709333333333339</v>
          </cell>
          <cell r="DR52">
            <v>0.7487691666666666</v>
          </cell>
          <cell r="DS52">
            <v>0.74744124999999995</v>
          </cell>
          <cell r="DT52">
            <v>0.73794916666666666</v>
          </cell>
          <cell r="DU52">
            <v>0.7228612499999999</v>
          </cell>
          <cell r="DV52">
            <v>0.70911333333333326</v>
          </cell>
          <cell r="DW52">
            <v>0.69324250000000009</v>
          </cell>
          <cell r="DX52">
            <v>0.68205041666666677</v>
          </cell>
          <cell r="DY52">
            <v>0.67071291666666666</v>
          </cell>
          <cell r="DZ52">
            <v>0.6656704166666666</v>
          </cell>
          <cell r="EA52">
            <v>0.66352458333333331</v>
          </cell>
          <cell r="EB52">
            <v>0.65612083333333326</v>
          </cell>
          <cell r="EC52">
            <v>0.65626499999999999</v>
          </cell>
          <cell r="ED52">
            <v>0.66116000000000008</v>
          </cell>
          <cell r="EE52">
            <v>0.65730874999999989</v>
          </cell>
          <cell r="EF52">
            <v>0.64930083333333333</v>
          </cell>
          <cell r="EG52">
            <v>0.64611666666666667</v>
          </cell>
          <cell r="EH52">
            <v>0.64074708333333341</v>
          </cell>
          <cell r="EI52">
            <v>0.64476708333333332</v>
          </cell>
          <cell r="EJ52">
            <v>0.66543125000000003</v>
          </cell>
          <cell r="EK52">
            <v>0.67091500000000015</v>
          </cell>
          <cell r="EL52">
            <v>0.67183625000000013</v>
          </cell>
          <cell r="EM52">
            <v>0.66750000000000009</v>
          </cell>
          <cell r="EN52">
            <v>0.66312499999999996</v>
          </cell>
          <cell r="EO52">
            <v>0.65937499999999993</v>
          </cell>
          <cell r="EP52">
            <v>0.66124999999999989</v>
          </cell>
          <cell r="EQ52">
            <v>0.66874999999999984</v>
          </cell>
          <cell r="ER52">
            <v>0.67624999999999991</v>
          </cell>
          <cell r="ES52">
            <v>0.68374999999999986</v>
          </cell>
          <cell r="ET52">
            <v>0.69124999999999981</v>
          </cell>
          <cell r="EU52">
            <v>0.69874999999999976</v>
          </cell>
          <cell r="EV52">
            <v>0.70737499999999975</v>
          </cell>
          <cell r="EW52">
            <v>0.7171249999999999</v>
          </cell>
          <cell r="EX52">
            <v>0.72799999999999998</v>
          </cell>
          <cell r="EY52">
            <v>0.74</v>
          </cell>
          <cell r="EZ52">
            <v>0.752</v>
          </cell>
          <cell r="FA52">
            <v>0.76400000000000001</v>
          </cell>
          <cell r="FB52">
            <v>0.77600000000000002</v>
          </cell>
          <cell r="FC52">
            <v>0.78800000000000003</v>
          </cell>
          <cell r="FD52">
            <v>0.79700000000000004</v>
          </cell>
          <cell r="FE52">
            <v>0.80300000000000005</v>
          </cell>
          <cell r="FF52">
            <v>0.80600000000000005</v>
          </cell>
          <cell r="FG52">
            <v>0.80600000000000005</v>
          </cell>
          <cell r="FH52">
            <v>0.80600000000000005</v>
          </cell>
          <cell r="FI52">
            <v>0.80600000000000005</v>
          </cell>
          <cell r="FJ52">
            <v>0.80600000000000005</v>
          </cell>
          <cell r="FK52">
            <v>0.80600000000000005</v>
          </cell>
          <cell r="FL52">
            <v>0.80600000000000005</v>
          </cell>
          <cell r="FM52">
            <v>0.80600000000000005</v>
          </cell>
          <cell r="FN52">
            <v>0.80600000000000005</v>
          </cell>
          <cell r="FO52">
            <v>0.80600000000000005</v>
          </cell>
          <cell r="FP52">
            <v>0.80600000000000005</v>
          </cell>
          <cell r="FQ52">
            <v>0.80600000000000005</v>
          </cell>
          <cell r="FR52">
            <v>0.80600000000000005</v>
          </cell>
          <cell r="FS52">
            <v>0.80600000000000005</v>
          </cell>
          <cell r="FT52">
            <v>0.80600000000000005</v>
          </cell>
          <cell r="FU52">
            <v>0.80600000000000005</v>
          </cell>
        </row>
        <row r="53">
          <cell r="A53" t="str">
            <v>avaudnzd12m</v>
          </cell>
          <cell r="B53" t="str">
            <v>AUD/NZD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>
            <v>1.1438916666666665</v>
          </cell>
          <cell r="S53">
            <v>1.1269666666666669</v>
          </cell>
          <cell r="T53">
            <v>1.1199833333333331</v>
          </cell>
          <cell r="U53">
            <v>1.1408416666666668</v>
          </cell>
          <cell r="V53">
            <v>1.1411416666666667</v>
          </cell>
          <cell r="W53">
            <v>1.1376000000000002</v>
          </cell>
          <cell r="X53">
            <v>1.1347416666666665</v>
          </cell>
          <cell r="Y53">
            <v>1.1236833333333334</v>
          </cell>
          <cell r="Z53">
            <v>1.125375</v>
          </cell>
          <cell r="AA53">
            <v>1.1218083333333333</v>
          </cell>
          <cell r="AB53">
            <v>1.1362833333333333</v>
          </cell>
          <cell r="AC53">
            <v>1.1530333333333331</v>
          </cell>
          <cell r="AD53">
            <v>1.1616666666666666</v>
          </cell>
          <cell r="AE53">
            <v>1.1771333333333334</v>
          </cell>
          <cell r="AF53">
            <v>1.1774666666666669</v>
          </cell>
          <cell r="AG53">
            <v>1.1865250000000001</v>
          </cell>
          <cell r="AH53">
            <v>1.2032416666666665</v>
          </cell>
          <cell r="AI53">
            <v>1.2223333333333333</v>
          </cell>
          <cell r="AJ53">
            <v>1.2423333333333335</v>
          </cell>
          <cell r="AK53">
            <v>1.248775</v>
          </cell>
          <cell r="AL53">
            <v>1.2684083333333334</v>
          </cell>
          <cell r="AM53">
            <v>1.2765250000000001</v>
          </cell>
          <cell r="AN53">
            <v>1.2675083333333332</v>
          </cell>
          <cell r="AO53">
            <v>1.2682499999999999</v>
          </cell>
          <cell r="AP53">
            <v>1.2423166666666667</v>
          </cell>
          <cell r="AQ53">
            <v>1.2287583333333332</v>
          </cell>
          <cell r="AR53">
            <v>1.2280833333333332</v>
          </cell>
          <cell r="AS53">
            <v>1.2119250000000001</v>
          </cell>
          <cell r="AT53">
            <v>1.1995666666666669</v>
          </cell>
          <cell r="AU53">
            <v>1.1696333333333333</v>
          </cell>
          <cell r="AV53">
            <v>1.1360916666666665</v>
          </cell>
          <cell r="AW53">
            <v>1.1240833333333335</v>
          </cell>
          <cell r="AX53">
            <v>1.1138916666666665</v>
          </cell>
          <cell r="AY53">
            <v>1.1217249999999999</v>
          </cell>
          <cell r="AZ53">
            <v>1.1342666666666668</v>
          </cell>
          <cell r="BA53">
            <v>1.1331416666666667</v>
          </cell>
          <cell r="BB53">
            <v>1.1225666666666665</v>
          </cell>
          <cell r="BC53">
            <v>1.1086006204230026</v>
          </cell>
          <cell r="BD53">
            <v>1.097128665453732</v>
          </cell>
          <cell r="BE53">
            <v>1.0848116036004793</v>
          </cell>
          <cell r="BF53">
            <v>1.0886763768451464</v>
          </cell>
          <cell r="BG53">
            <v>1.0826840897554773</v>
          </cell>
          <cell r="BH53">
            <v>1.0924810447247475</v>
          </cell>
          <cell r="BI53">
            <v>1.1225481065780005</v>
          </cell>
          <cell r="BJ53">
            <v>1.143025</v>
          </cell>
          <cell r="BK53">
            <v>1.1626041666666667</v>
          </cell>
          <cell r="BL53">
            <v>1.1620458333333332</v>
          </cell>
          <cell r="BM53">
            <v>1.1410708333333333</v>
          </cell>
          <cell r="BN53">
            <v>1.1337249999999999</v>
          </cell>
          <cell r="BO53">
            <v>1.1403624999999999</v>
          </cell>
          <cell r="BP53">
            <v>1.1473833333333336</v>
          </cell>
          <cell r="BQ53">
            <v>1.1757916666666668</v>
          </cell>
          <cell r="BR53">
            <v>1.1953625000000001</v>
          </cell>
          <cell r="BS53">
            <v>1.1989916666666669</v>
          </cell>
          <cell r="BT53">
            <v>1.2240541666666667</v>
          </cell>
          <cell r="BU53">
            <v>1.2324666666666668</v>
          </cell>
          <cell r="BV53">
            <v>1.2345708333333334</v>
          </cell>
          <cell r="BW53">
            <v>1.2533166666666669</v>
          </cell>
          <cell r="BX53">
            <v>1.259166666666667</v>
          </cell>
          <cell r="BY53">
            <v>1.2556</v>
          </cell>
          <cell r="BZ53">
            <v>1.2657833333333335</v>
          </cell>
          <cell r="CA53">
            <v>1.2750541666666668</v>
          </cell>
          <cell r="CB53">
            <v>1.2889166666666667</v>
          </cell>
          <cell r="CC53">
            <v>1.3055541666666668</v>
          </cell>
          <cell r="CD53">
            <v>1.3001875000000001</v>
          </cell>
          <cell r="CE53">
            <v>1.3043833333333335</v>
          </cell>
          <cell r="CF53">
            <v>1.2908641666666665</v>
          </cell>
          <cell r="CG53">
            <v>1.2827404166666667</v>
          </cell>
          <cell r="CH53">
            <v>1.28786125</v>
          </cell>
          <cell r="CI53">
            <v>1.2754691666666669</v>
          </cell>
          <cell r="CJ53">
            <v>1.2661145833333334</v>
          </cell>
          <cell r="CK53">
            <v>1.2453695833333334</v>
          </cell>
          <cell r="CL53">
            <v>1.20914375</v>
          </cell>
          <cell r="CM53">
            <v>1.1723391666666669</v>
          </cell>
          <cell r="CN53">
            <v>1.1297287500000002</v>
          </cell>
          <cell r="CO53">
            <v>1.1009654166666667</v>
          </cell>
          <cell r="CP53">
            <v>1.0951720833333336</v>
          </cell>
          <cell r="CQ53">
            <v>1.0881329166666667</v>
          </cell>
          <cell r="CR53">
            <v>1.0802837499999998</v>
          </cell>
          <cell r="CS53">
            <v>1.0804058333333335</v>
          </cell>
          <cell r="CT53">
            <v>1.0800545833333335</v>
          </cell>
          <cell r="CU53">
            <v>1.0765104166666668</v>
          </cell>
          <cell r="CV53">
            <v>1.0902025000000002</v>
          </cell>
          <cell r="CW53">
            <v>1.0860895833333333</v>
          </cell>
          <cell r="CX53">
            <v>1.0707270833333336</v>
          </cell>
          <cell r="CY53">
            <v>1.0646633333333335</v>
          </cell>
          <cell r="CZ53">
            <v>1.0569075000000001</v>
          </cell>
          <cell r="DA53">
            <v>1.05565625</v>
          </cell>
          <cell r="DB53">
            <v>1.0654133333333333</v>
          </cell>
          <cell r="DC53">
            <v>1.0803712499999998</v>
          </cell>
          <cell r="DD53">
            <v>1.0837333333333332</v>
          </cell>
          <cell r="DE53">
            <v>1.0884120833333333</v>
          </cell>
          <cell r="DF53">
            <v>1.0890720833333334</v>
          </cell>
          <cell r="DG53">
            <v>1.0784154166666666</v>
          </cell>
          <cell r="DH53">
            <v>1.0704233333333333</v>
          </cell>
          <cell r="DI53">
            <v>1.0635629166666667</v>
          </cell>
          <cell r="DJ53">
            <v>1.0570508333333335</v>
          </cell>
          <cell r="DK53">
            <v>1.0548062499999999</v>
          </cell>
          <cell r="DL53">
            <v>1.0522383333333332</v>
          </cell>
          <cell r="DM53">
            <v>1.0559691666666666</v>
          </cell>
          <cell r="DN53">
            <v>1.0614925000000002</v>
          </cell>
          <cell r="DO53">
            <v>1.062265</v>
          </cell>
          <cell r="DP53">
            <v>1.0713712499999999</v>
          </cell>
          <cell r="DQ53">
            <v>1.0720654166666668</v>
          </cell>
          <cell r="DR53">
            <v>1.0624404166666666</v>
          </cell>
          <cell r="DS53">
            <v>1.0603991666666666</v>
          </cell>
          <cell r="DT53">
            <v>1.0613012499999999</v>
          </cell>
          <cell r="DU53">
            <v>1.0685716666666665</v>
          </cell>
          <cell r="DV53">
            <v>1.0892116666666665</v>
          </cell>
          <cell r="DW53">
            <v>1.0974829166666666</v>
          </cell>
          <cell r="DX53">
            <v>1.09967375</v>
          </cell>
          <cell r="DY53">
            <v>1.0939979166666665</v>
          </cell>
          <cell r="DZ53">
            <v>1.0819379166666667</v>
          </cell>
          <cell r="EA53">
            <v>1.0804970833333336</v>
          </cell>
          <cell r="EB53">
            <v>1.0792416666666667</v>
          </cell>
          <cell r="EC53">
            <v>1.082819405978678</v>
          </cell>
          <cell r="ED53">
            <v>1.0851885726453443</v>
          </cell>
          <cell r="EE53">
            <v>1.0910935726453443</v>
          </cell>
          <cell r="EF53">
            <v>1.0973823226453445</v>
          </cell>
          <cell r="EG53">
            <v>1.0939908333333332</v>
          </cell>
          <cell r="EH53">
            <v>1.0998929166666667</v>
          </cell>
          <cell r="EI53">
            <v>1.1112466666666665</v>
          </cell>
          <cell r="EJ53">
            <v>1.1150249999999999</v>
          </cell>
          <cell r="EK53">
            <v>1.1150412698412699</v>
          </cell>
          <cell r="EL53">
            <v>1.1044846582710219</v>
          </cell>
          <cell r="EM53">
            <v>1.0948070720641254</v>
          </cell>
          <cell r="EN53">
            <v>1.1057899780470313</v>
          </cell>
          <cell r="EO53">
            <v>1.1177283692227105</v>
          </cell>
          <cell r="EP53">
            <v>1.1254980060030422</v>
          </cell>
          <cell r="EQ53">
            <v>1.128658925543272</v>
          </cell>
          <cell r="ER53">
            <v>1.1329457291039344</v>
          </cell>
          <cell r="ES53">
            <v>1.1383561507316133</v>
          </cell>
          <cell r="ET53">
            <v>1.1448877757272906</v>
          </cell>
          <cell r="EU53">
            <v>1.1525380489513344</v>
          </cell>
          <cell r="EV53">
            <v>1.1598129099101973</v>
          </cell>
          <cell r="EW53">
            <v>1.1666933400860824</v>
          </cell>
          <cell r="EX53">
            <v>1.1731612889294496</v>
          </cell>
          <cell r="EY53">
            <v>1.1791996259457405</v>
          </cell>
          <cell r="EZ53">
            <v>1.1851046678464103</v>
          </cell>
          <cell r="FA53">
            <v>1.190880780792769</v>
          </cell>
          <cell r="FB53">
            <v>1.1965321422899229</v>
          </cell>
          <cell r="FC53">
            <v>1.2020627512688082</v>
          </cell>
          <cell r="FD53">
            <v>1.2061656914182599</v>
          </cell>
          <cell r="FE53">
            <v>1.2088716182039416</v>
          </cell>
          <cell r="FF53">
            <v>1.2102102102102119</v>
          </cell>
          <cell r="FG53">
            <v>1.2102102102102119</v>
          </cell>
          <cell r="FH53">
            <v>1.2102102102102119</v>
          </cell>
          <cell r="FI53">
            <v>1.2102102102102119</v>
          </cell>
          <cell r="FJ53">
            <v>1.2102102102102119</v>
          </cell>
          <cell r="FK53">
            <v>1.2102102102102119</v>
          </cell>
          <cell r="FL53">
            <v>1.2102102102102119</v>
          </cell>
          <cell r="FM53">
            <v>1.2102102102102119</v>
          </cell>
          <cell r="FN53">
            <v>1.2102102102102119</v>
          </cell>
          <cell r="FO53">
            <v>1.2102102102102119</v>
          </cell>
          <cell r="FP53">
            <v>1.2102102102102119</v>
          </cell>
          <cell r="FQ53">
            <v>1.2102102102102119</v>
          </cell>
          <cell r="FR53">
            <v>1.2102102102102119</v>
          </cell>
          <cell r="FS53">
            <v>1.2102102102102119</v>
          </cell>
          <cell r="FT53">
            <v>1.2102102102102119</v>
          </cell>
          <cell r="FU53">
            <v>1.2102102102102119</v>
          </cell>
        </row>
        <row r="54">
          <cell r="A54" t="str">
            <v>avaudeur12m</v>
          </cell>
          <cell r="B54" t="str">
            <v>AUD/EUR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>
            <v>0.65419166666666662</v>
          </cell>
          <cell r="AB54">
            <v>0.64689166666666675</v>
          </cell>
          <cell r="AC54">
            <v>0.62293333333333345</v>
          </cell>
          <cell r="AD54">
            <v>0.58482500000000004</v>
          </cell>
          <cell r="AE54">
            <v>0.56580833333333336</v>
          </cell>
          <cell r="AF54">
            <v>0.54994166666666666</v>
          </cell>
          <cell r="AG54">
            <v>0.5631166666666666</v>
          </cell>
          <cell r="AH54">
            <v>0.58474999999999999</v>
          </cell>
          <cell r="AI54">
            <v>0.60893333333333344</v>
          </cell>
          <cell r="AJ54">
            <v>0.6279583333333334</v>
          </cell>
          <cell r="AK54">
            <v>0.62676666666666681</v>
          </cell>
          <cell r="AL54">
            <v>0.63219999999999998</v>
          </cell>
          <cell r="AM54">
            <v>0.62590833333333329</v>
          </cell>
          <cell r="AN54">
            <v>0.60749166666666665</v>
          </cell>
          <cell r="AO54">
            <v>0.59926666666666661</v>
          </cell>
          <cell r="AP54">
            <v>0.5836083333333334</v>
          </cell>
          <cell r="AQ54">
            <v>0.57542499999999996</v>
          </cell>
          <cell r="AR54">
            <v>0.58278333333333332</v>
          </cell>
          <cell r="AS54">
            <v>0.58238333333333336</v>
          </cell>
          <cell r="AT54">
            <v>0.57933333333333337</v>
          </cell>
          <cell r="AU54">
            <v>0.57479999999999998</v>
          </cell>
          <cell r="AV54">
            <v>0.56333333333333335</v>
          </cell>
          <cell r="AW54">
            <v>0.55722499999999997</v>
          </cell>
          <cell r="AX54">
            <v>0.56434166666666663</v>
          </cell>
          <cell r="AY54">
            <v>0.577125</v>
          </cell>
          <cell r="AZ54">
            <v>0.59313333333333329</v>
          </cell>
          <cell r="BA54">
            <v>0.59820833333333334</v>
          </cell>
          <cell r="BB54">
            <v>0.59796666666666665</v>
          </cell>
          <cell r="BC54">
            <v>0.59232374962777767</v>
          </cell>
          <cell r="BD54">
            <v>0.58697385023138182</v>
          </cell>
          <cell r="BE54">
            <v>0.59442022123920013</v>
          </cell>
          <cell r="BF54">
            <v>0.60453697524440686</v>
          </cell>
          <cell r="BG54">
            <v>0.61500905894996249</v>
          </cell>
          <cell r="BH54">
            <v>0.61900062501302511</v>
          </cell>
          <cell r="BI54">
            <v>0.6122209206718735</v>
          </cell>
          <cell r="BJ54">
            <v>0.60514999999999997</v>
          </cell>
          <cell r="BK54">
            <v>0.59929583333333336</v>
          </cell>
          <cell r="BL54">
            <v>0.59589583333333318</v>
          </cell>
          <cell r="BM54">
            <v>0.6026541666666666</v>
          </cell>
          <cell r="BN54">
            <v>0.60770000000000002</v>
          </cell>
          <cell r="BO54">
            <v>0.61179166666666662</v>
          </cell>
          <cell r="BP54">
            <v>0.61161250000000011</v>
          </cell>
          <cell r="BQ54">
            <v>0.60965416666666672</v>
          </cell>
          <cell r="BR54">
            <v>0.60168750000000004</v>
          </cell>
          <cell r="BS54">
            <v>0.57613750000000008</v>
          </cell>
          <cell r="BT54">
            <v>0.55343333333333344</v>
          </cell>
          <cell r="BU54">
            <v>0.54196666666666671</v>
          </cell>
          <cell r="BV54">
            <v>0.54430833333333328</v>
          </cell>
          <cell r="BW54">
            <v>0.56979999999999997</v>
          </cell>
          <cell r="BX54">
            <v>0.60743333333333338</v>
          </cell>
          <cell r="BY54">
            <v>0.63908333333333334</v>
          </cell>
          <cell r="BZ54">
            <v>0.66636666666666666</v>
          </cell>
          <cell r="CA54">
            <v>0.69645833333333329</v>
          </cell>
          <cell r="CB54">
            <v>0.71491666666666676</v>
          </cell>
          <cell r="CC54">
            <v>0.72755833333333342</v>
          </cell>
          <cell r="CD54">
            <v>0.73803333333333343</v>
          </cell>
          <cell r="CE54">
            <v>0.74682083333333349</v>
          </cell>
          <cell r="CF54">
            <v>0.76329583333333328</v>
          </cell>
          <cell r="CG54">
            <v>0.77692083333333317</v>
          </cell>
          <cell r="CH54">
            <v>0.79783333333333351</v>
          </cell>
          <cell r="CI54">
            <v>0.80427916666666677</v>
          </cell>
          <cell r="CJ54">
            <v>0.8017333333333333</v>
          </cell>
          <cell r="CK54">
            <v>0.78856250000000017</v>
          </cell>
          <cell r="CL54">
            <v>0.75160833333333354</v>
          </cell>
          <cell r="CM54">
            <v>0.72022916666666681</v>
          </cell>
          <cell r="CN54">
            <v>0.68737916666666676</v>
          </cell>
          <cell r="CO54">
            <v>0.67194166666666666</v>
          </cell>
          <cell r="CP54">
            <v>0.67689583333333347</v>
          </cell>
          <cell r="CQ54">
            <v>0.68070416666666678</v>
          </cell>
          <cell r="CR54">
            <v>0.6912166666666667</v>
          </cell>
          <cell r="CS54">
            <v>0.69543750000000004</v>
          </cell>
          <cell r="CT54">
            <v>0.68119583333333322</v>
          </cell>
          <cell r="CU54">
            <v>0.67649166666666671</v>
          </cell>
          <cell r="CV54">
            <v>0.66725000000000001</v>
          </cell>
          <cell r="CW54">
            <v>0.65837916666666663</v>
          </cell>
          <cell r="CX54">
            <v>0.66739166666666661</v>
          </cell>
          <cell r="CY54">
            <v>0.67328333333333334</v>
          </cell>
          <cell r="CZ54">
            <v>0.68651250000000008</v>
          </cell>
          <cell r="DA54">
            <v>0.68947499999999995</v>
          </cell>
          <cell r="DB54">
            <v>0.6870666666666666</v>
          </cell>
          <cell r="DC54">
            <v>0.6760666666666667</v>
          </cell>
          <cell r="DD54">
            <v>0.65658749999999999</v>
          </cell>
          <cell r="DE54">
            <v>0.64685416666666662</v>
          </cell>
          <cell r="DF54">
            <v>0.63607916666666664</v>
          </cell>
          <cell r="DG54">
            <v>0.63136249999999994</v>
          </cell>
          <cell r="DH54">
            <v>0.62998750000000003</v>
          </cell>
          <cell r="DI54">
            <v>0.62689166666666651</v>
          </cell>
          <cell r="DJ54">
            <v>0.62466666666666659</v>
          </cell>
          <cell r="DK54">
            <v>0.6222833333333333</v>
          </cell>
          <cell r="DL54">
            <v>0.61034750000000004</v>
          </cell>
          <cell r="DM54">
            <v>0.60555958333333326</v>
          </cell>
          <cell r="DN54">
            <v>0.6043466666666667</v>
          </cell>
          <cell r="DO54">
            <v>0.6036320833333334</v>
          </cell>
          <cell r="DP54">
            <v>0.61749287333333336</v>
          </cell>
          <cell r="DQ54">
            <v>0.62555995666666664</v>
          </cell>
          <cell r="DR54">
            <v>0.62780620666666653</v>
          </cell>
          <cell r="DS54">
            <v>0.63357161166666665</v>
          </cell>
          <cell r="DT54">
            <v>0.63670498833333333</v>
          </cell>
          <cell r="DU54">
            <v>0.64424165499999997</v>
          </cell>
          <cell r="DV54">
            <v>0.65714915500000004</v>
          </cell>
          <cell r="DW54">
            <v>0.65864333333333336</v>
          </cell>
          <cell r="DX54">
            <v>0.65440999999999994</v>
          </cell>
          <cell r="DY54">
            <v>0.63960249999999996</v>
          </cell>
          <cell r="DZ54">
            <v>0.6229087499999999</v>
          </cell>
          <cell r="EA54">
            <v>0.61346534500000005</v>
          </cell>
          <cell r="EB54">
            <v>0.60595201166666668</v>
          </cell>
          <cell r="EC54">
            <v>0.60791247021983341</v>
          </cell>
          <cell r="ED54">
            <v>0.6095987202198333</v>
          </cell>
          <cell r="EE54">
            <v>0.60924581251647014</v>
          </cell>
          <cell r="EF54">
            <v>0.60623461679094448</v>
          </cell>
          <cell r="EG54">
            <v>0.59348558074546809</v>
          </cell>
          <cell r="EH54">
            <v>0.58084442354621091</v>
          </cell>
          <cell r="EI54">
            <v>0.5709838701595874</v>
          </cell>
          <cell r="EJ54">
            <v>0.56026956931011074</v>
          </cell>
          <cell r="EK54">
            <v>0.55669911135152417</v>
          </cell>
          <cell r="EL54">
            <v>0.54879450377085626</v>
          </cell>
          <cell r="EM54">
            <v>0.53675510204081633</v>
          </cell>
          <cell r="EN54">
            <v>0.53049999999999997</v>
          </cell>
          <cell r="EO54">
            <v>0.52749999999999997</v>
          </cell>
          <cell r="EP54">
            <v>0.52899999999999991</v>
          </cell>
          <cell r="EQ54">
            <v>0.53499999999999992</v>
          </cell>
          <cell r="ER54">
            <v>0.54099999999999981</v>
          </cell>
          <cell r="ES54">
            <v>0.54699999999999993</v>
          </cell>
          <cell r="ET54">
            <v>0.55299999999999983</v>
          </cell>
          <cell r="EU54">
            <v>0.55899999999999983</v>
          </cell>
          <cell r="EV54">
            <v>0.56647991967871469</v>
          </cell>
          <cell r="EW54">
            <v>0.5754637906464567</v>
          </cell>
          <cell r="EX54">
            <v>0.58597593639544465</v>
          </cell>
          <cell r="EY54">
            <v>0.59804097704585135</v>
          </cell>
          <cell r="EZ54">
            <v>0.61020391450999367</v>
          </cell>
          <cell r="FA54">
            <v>0.62246594518159604</v>
          </cell>
          <cell r="FB54">
            <v>0.6348282850293161</v>
          </cell>
          <cell r="FC54">
            <v>0.64729216999874439</v>
          </cell>
          <cell r="FD54">
            <v>0.65667823847572193</v>
          </cell>
          <cell r="FE54">
            <v>0.66296126245621245</v>
          </cell>
          <cell r="FF54">
            <v>0.66611570247933938</v>
          </cell>
          <cell r="FG54">
            <v>0.66611570247933938</v>
          </cell>
          <cell r="FH54">
            <v>0.66611570247933938</v>
          </cell>
          <cell r="FI54">
            <v>0.66611570247933938</v>
          </cell>
          <cell r="FJ54">
            <v>0.66611570247933938</v>
          </cell>
          <cell r="FK54">
            <v>0.66611570247933938</v>
          </cell>
          <cell r="FL54">
            <v>0.66611570247933938</v>
          </cell>
          <cell r="FM54">
            <v>0.66611570247933938</v>
          </cell>
          <cell r="FN54">
            <v>0.66611570247933938</v>
          </cell>
          <cell r="FO54">
            <v>0.66611570247933938</v>
          </cell>
          <cell r="FP54">
            <v>0.66611570247933938</v>
          </cell>
          <cell r="FQ54">
            <v>0.66611570247933938</v>
          </cell>
          <cell r="FR54">
            <v>0.66611570247933938</v>
          </cell>
          <cell r="FS54">
            <v>0.66611570247933938</v>
          </cell>
          <cell r="FT54">
            <v>0.66611570247933938</v>
          </cell>
          <cell r="FU54">
            <v>0.66611570247933938</v>
          </cell>
        </row>
        <row r="55">
          <cell r="A55" t="str">
            <v>avaudkrw12m</v>
          </cell>
          <cell r="B55" t="str">
            <v>AUD/KRW</v>
          </cell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>
            <v>721.40902041666675</v>
          </cell>
          <cell r="BL55">
            <v>728.62746333333337</v>
          </cell>
          <cell r="BM55">
            <v>744.3722012500001</v>
          </cell>
          <cell r="BN55">
            <v>760.23396833333334</v>
          </cell>
          <cell r="BO55">
            <v>783.41482041666666</v>
          </cell>
          <cell r="BP55">
            <v>815.76171625000006</v>
          </cell>
          <cell r="BQ55">
            <v>866.27851583333324</v>
          </cell>
          <cell r="BR55">
            <v>906.20195708333347</v>
          </cell>
          <cell r="BS55">
            <v>924.8731825000001</v>
          </cell>
          <cell r="BT55">
            <v>940.13250000000005</v>
          </cell>
          <cell r="BU55">
            <v>942.74666666666656</v>
          </cell>
          <cell r="BV55">
            <v>964.93833333333339</v>
          </cell>
          <cell r="BW55">
            <v>1004.6908333333334</v>
          </cell>
          <cell r="BX55">
            <v>1029.6783333333335</v>
          </cell>
          <cell r="BY55">
            <v>1038.5466666666669</v>
          </cell>
          <cell r="BZ55">
            <v>1049.5875000000003</v>
          </cell>
          <cell r="CA55">
            <v>1064.8758333333333</v>
          </cell>
          <cell r="CB55">
            <v>1089.03</v>
          </cell>
          <cell r="CC55">
            <v>1122.0925</v>
          </cell>
          <cell r="CD55">
            <v>1138.5983333333331</v>
          </cell>
          <cell r="CE55">
            <v>1151.0925</v>
          </cell>
          <cell r="CF55">
            <v>1165.6266666666668</v>
          </cell>
          <cell r="CG55">
            <v>1168.7524999999998</v>
          </cell>
          <cell r="CH55">
            <v>1174.8174999999999</v>
          </cell>
          <cell r="CI55">
            <v>1162.8833333333332</v>
          </cell>
          <cell r="CJ55">
            <v>1148.95</v>
          </cell>
          <cell r="CK55">
            <v>1129.4091666666666</v>
          </cell>
          <cell r="CL55">
            <v>1086.5841666666668</v>
          </cell>
          <cell r="CM55">
            <v>1048.5533333333335</v>
          </cell>
          <cell r="CN55">
            <v>1005.2791666666667</v>
          </cell>
          <cell r="CO55">
            <v>971.47249999999985</v>
          </cell>
          <cell r="CP55">
            <v>957.32750000000021</v>
          </cell>
          <cell r="CQ55">
            <v>946.46500000000003</v>
          </cell>
          <cell r="CR55">
            <v>919.55499999999995</v>
          </cell>
          <cell r="CS55">
            <v>894.42</v>
          </cell>
          <cell r="CT55">
            <v>868.69333333333327</v>
          </cell>
          <cell r="CU55">
            <v>846.28833333333341</v>
          </cell>
          <cell r="CV55">
            <v>850.65250000000003</v>
          </cell>
          <cell r="CW55">
            <v>852.95583333333343</v>
          </cell>
          <cell r="CX55">
            <v>853.41416666666657</v>
          </cell>
          <cell r="CY55">
            <v>861.71249999999998</v>
          </cell>
          <cell r="CZ55">
            <v>860.17750000000012</v>
          </cell>
          <cell r="DA55">
            <v>857.87833333333344</v>
          </cell>
          <cell r="DB55">
            <v>871.07499999999993</v>
          </cell>
          <cell r="DC55">
            <v>862.76083333333338</v>
          </cell>
          <cell r="DD55">
            <v>856.21666666666658</v>
          </cell>
          <cell r="DE55">
            <v>846.56916666666666</v>
          </cell>
          <cell r="DF55">
            <v>825.26583333333349</v>
          </cell>
          <cell r="DG55">
            <v>816.96583333333331</v>
          </cell>
          <cell r="DH55">
            <v>808.32000000000016</v>
          </cell>
          <cell r="DI55">
            <v>809.04916666666668</v>
          </cell>
          <cell r="DJ55">
            <v>809.66833333333341</v>
          </cell>
          <cell r="DK55">
            <v>809.94250000000011</v>
          </cell>
          <cell r="DL55">
            <v>802.84666666666669</v>
          </cell>
          <cell r="DM55">
            <v>801.50500000000011</v>
          </cell>
          <cell r="DN55">
            <v>812.14166666666677</v>
          </cell>
          <cell r="DO55">
            <v>815.07833333333338</v>
          </cell>
          <cell r="DP55">
            <v>835.94960000000003</v>
          </cell>
          <cell r="DQ55">
            <v>846.54053333333343</v>
          </cell>
          <cell r="DR55">
            <v>845.39191666666659</v>
          </cell>
          <cell r="DS55">
            <v>857.1664833333333</v>
          </cell>
          <cell r="DT55">
            <v>861.69095833333324</v>
          </cell>
          <cell r="DU55">
            <v>870.56981666666661</v>
          </cell>
          <cell r="DV55">
            <v>887.36942499999986</v>
          </cell>
          <cell r="DW55">
            <v>893.01042500000005</v>
          </cell>
          <cell r="DX55">
            <v>893.12119999999993</v>
          </cell>
          <cell r="DY55">
            <v>888.77341666666678</v>
          </cell>
          <cell r="DZ55">
            <v>875.10932500000001</v>
          </cell>
          <cell r="EA55">
            <v>870.1567500000001</v>
          </cell>
          <cell r="EB55">
            <v>869.09426666666661</v>
          </cell>
          <cell r="EC55">
            <v>878.87656287436539</v>
          </cell>
          <cell r="ED55">
            <v>889.25041287436545</v>
          </cell>
          <cell r="EE55">
            <v>900.00800454103228</v>
          </cell>
          <cell r="EF55">
            <v>908.7106378743656</v>
          </cell>
          <cell r="EG55">
            <v>904.80883333333338</v>
          </cell>
          <cell r="EH55">
            <v>906.41075349999994</v>
          </cell>
          <cell r="EI55">
            <v>917.33358683333336</v>
          </cell>
          <cell r="EJ55">
            <v>918.81750000000011</v>
          </cell>
          <cell r="EK55">
            <v>918.98100000000011</v>
          </cell>
          <cell r="EL55">
            <v>902.93025000000011</v>
          </cell>
          <cell r="EM55">
            <v>872.04375000000005</v>
          </cell>
          <cell r="EN55">
            <v>859.671875</v>
          </cell>
          <cell r="EO55">
            <v>849.7718749999998</v>
          </cell>
          <cell r="EP55">
            <v>848.00624999999957</v>
          </cell>
          <cell r="EQ55">
            <v>854.28124999999955</v>
          </cell>
          <cell r="ER55">
            <v>860.48124999999948</v>
          </cell>
          <cell r="ES55">
            <v>866.60624999999948</v>
          </cell>
          <cell r="ET55">
            <v>872.65624999999955</v>
          </cell>
          <cell r="EU55">
            <v>878.63124999999945</v>
          </cell>
          <cell r="EV55">
            <v>885.58892499999956</v>
          </cell>
          <cell r="EW55">
            <v>893.50662499999976</v>
          </cell>
          <cell r="EX55">
            <v>902.36170000000016</v>
          </cell>
          <cell r="EY55">
            <v>912.1315000000003</v>
          </cell>
          <cell r="EZ55">
            <v>921.73570000000029</v>
          </cell>
          <cell r="FA55">
            <v>931.17430000000036</v>
          </cell>
          <cell r="FB55">
            <v>940.44730000000072</v>
          </cell>
          <cell r="FC55">
            <v>949.55470000000071</v>
          </cell>
          <cell r="FD55">
            <v>956.32315000000085</v>
          </cell>
          <cell r="FE55">
            <v>960.79405000000099</v>
          </cell>
          <cell r="FF55">
            <v>963.00880000000097</v>
          </cell>
          <cell r="FG55">
            <v>963.00880000000097</v>
          </cell>
          <cell r="FH55">
            <v>963.00880000000097</v>
          </cell>
          <cell r="FI55">
            <v>963.00880000000097</v>
          </cell>
          <cell r="FJ55">
            <v>963.00880000000097</v>
          </cell>
          <cell r="FK55">
            <v>963.00880000000097</v>
          </cell>
          <cell r="FL55">
            <v>963.00880000000097</v>
          </cell>
          <cell r="FM55">
            <v>963.00880000000097</v>
          </cell>
          <cell r="FN55">
            <v>963.00880000000097</v>
          </cell>
          <cell r="FO55">
            <v>963.00880000000097</v>
          </cell>
          <cell r="FP55">
            <v>963.00880000000097</v>
          </cell>
          <cell r="FQ55">
            <v>963.00880000000097</v>
          </cell>
          <cell r="FR55">
            <v>963.00880000000097</v>
          </cell>
          <cell r="FS55">
            <v>963.00880000000097</v>
          </cell>
          <cell r="FT55">
            <v>963.00880000000097</v>
          </cell>
          <cell r="FU55">
            <v>963.00880000000097</v>
          </cell>
        </row>
        <row r="56"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  <cell r="CE56"/>
          <cell r="CF56"/>
          <cell r="CG56"/>
          <cell r="CH56"/>
          <cell r="CI56"/>
          <cell r="CJ56"/>
          <cell r="CK56"/>
          <cell r="CL56"/>
          <cell r="CM56"/>
          <cell r="CN56"/>
          <cell r="CO56"/>
          <cell r="CP56"/>
          <cell r="CQ56"/>
          <cell r="CR56"/>
          <cell r="CS56"/>
          <cell r="CT56"/>
          <cell r="CU56"/>
          <cell r="CV56"/>
          <cell r="CW56"/>
          <cell r="CX56"/>
          <cell r="CY56"/>
          <cell r="CZ56"/>
          <cell r="DA56"/>
          <cell r="DB56"/>
          <cell r="DC56"/>
          <cell r="DD56"/>
          <cell r="DE56"/>
          <cell r="DF56"/>
          <cell r="DG56"/>
          <cell r="DH56"/>
          <cell r="DI56"/>
          <cell r="DJ56"/>
          <cell r="DK56"/>
          <cell r="DL56"/>
          <cell r="DM56"/>
          <cell r="DN56"/>
          <cell r="DO56"/>
          <cell r="DP56"/>
          <cell r="DQ56"/>
          <cell r="DR56"/>
          <cell r="DS56"/>
          <cell r="DT56"/>
          <cell r="DU56"/>
          <cell r="DV56"/>
          <cell r="DW56"/>
          <cell r="DX56"/>
          <cell r="DY56"/>
          <cell r="DZ56"/>
          <cell r="EA56"/>
          <cell r="EB56"/>
          <cell r="EC56"/>
          <cell r="ED56"/>
          <cell r="EE56"/>
          <cell r="EG56"/>
          <cell r="EH56"/>
        </row>
        <row r="57">
          <cell r="B57" t="str">
            <v>Market performance (3mo)</v>
          </cell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  <cell r="CE57"/>
          <cell r="CF57"/>
          <cell r="CG57"/>
          <cell r="CH57"/>
          <cell r="CI57"/>
          <cell r="CJ57"/>
          <cell r="CK57"/>
          <cell r="CL57"/>
          <cell r="CM57"/>
          <cell r="CN57"/>
          <cell r="CO57"/>
          <cell r="CP57"/>
          <cell r="CQ57"/>
          <cell r="CR57"/>
          <cell r="CS57"/>
          <cell r="CT57"/>
          <cell r="CU57"/>
          <cell r="CV57"/>
          <cell r="CW57"/>
          <cell r="CX57"/>
          <cell r="CY57"/>
          <cell r="CZ57"/>
          <cell r="DA57"/>
          <cell r="DB57"/>
          <cell r="DC57"/>
          <cell r="DD57"/>
          <cell r="DE57"/>
          <cell r="DF57"/>
          <cell r="DG57"/>
          <cell r="DH57"/>
          <cell r="DI57"/>
          <cell r="DJ57"/>
          <cell r="DK57"/>
          <cell r="DL57"/>
          <cell r="DM57"/>
          <cell r="DN57"/>
          <cell r="DO57"/>
          <cell r="DP57"/>
          <cell r="DQ57"/>
          <cell r="DR57"/>
          <cell r="DS57"/>
          <cell r="DT57"/>
          <cell r="DU57"/>
          <cell r="DV57"/>
          <cell r="DW57"/>
          <cell r="DX57"/>
          <cell r="DY57"/>
          <cell r="DZ57"/>
          <cell r="EA57"/>
          <cell r="EB57"/>
          <cell r="EC57"/>
          <cell r="ED57"/>
          <cell r="EE57"/>
          <cell r="EF57"/>
          <cell r="EG57"/>
          <cell r="EH57"/>
          <cell r="EI57"/>
          <cell r="EJ57"/>
          <cell r="EK57"/>
          <cell r="EL57"/>
          <cell r="EM57"/>
          <cell r="EN57"/>
          <cell r="EO57"/>
          <cell r="EP57"/>
          <cell r="EQ57"/>
          <cell r="ER57"/>
          <cell r="ES57"/>
          <cell r="ET57"/>
          <cell r="EU57"/>
          <cell r="EV57"/>
          <cell r="EW57"/>
          <cell r="EX57"/>
          <cell r="EY57"/>
          <cell r="EZ57"/>
          <cell r="FA57"/>
          <cell r="FB57"/>
          <cell r="FC57"/>
          <cell r="FD57"/>
          <cell r="FE57"/>
          <cell r="FF57"/>
          <cell r="FG57"/>
          <cell r="FH57"/>
          <cell r="FI57"/>
          <cell r="FJ57"/>
          <cell r="FK57"/>
          <cell r="FL57"/>
          <cell r="FM57"/>
          <cell r="FN57"/>
          <cell r="FO57"/>
          <cell r="FP57"/>
          <cell r="FQ57"/>
          <cell r="FR57"/>
          <cell r="FS57"/>
          <cell r="FT57"/>
          <cell r="FU57"/>
        </row>
        <row r="58">
          <cell r="A58" t="str">
            <v>3MoASX200AIg</v>
          </cell>
          <cell r="B58" t="str">
            <v>ASX-200 Accumulation Index return</v>
          </cell>
          <cell r="D58"/>
          <cell r="E58"/>
          <cell r="F58">
            <v>-0.10137305841186262</v>
          </cell>
          <cell r="G58">
            <v>6.7358662198597319E-2</v>
          </cell>
          <cell r="H58">
            <v>7.8164379138083939E-2</v>
          </cell>
          <cell r="I58">
            <v>4.7472266912245153E-2</v>
          </cell>
          <cell r="J58">
            <v>0.11349478544594561</v>
          </cell>
          <cell r="K58">
            <v>0.11369381742804328</v>
          </cell>
          <cell r="L58">
            <v>-5.6472592884779245E-2</v>
          </cell>
          <cell r="M58">
            <v>-1.4877994991172816E-2</v>
          </cell>
          <cell r="N58">
            <v>2.6236357426732582E-2</v>
          </cell>
          <cell r="O58">
            <v>-4.3453302632797557E-2</v>
          </cell>
          <cell r="P58">
            <v>1.4561625313571414E-2</v>
          </cell>
          <cell r="Q58">
            <v>7.387623764562723E-2</v>
          </cell>
          <cell r="R58">
            <v>6.3882412022607582E-2</v>
          </cell>
          <cell r="S58">
            <v>4.4805634518949367E-2</v>
          </cell>
          <cell r="T58">
            <v>1.3026839583972771E-2</v>
          </cell>
          <cell r="U58">
            <v>1.519670334829093E-2</v>
          </cell>
          <cell r="V58">
            <v>3.0130536363572435E-2</v>
          </cell>
          <cell r="W58">
            <v>7.9411805924158418E-2</v>
          </cell>
          <cell r="X58">
            <v>5.8948979533048895E-3</v>
          </cell>
          <cell r="Y58">
            <v>0.14079514002176219</v>
          </cell>
          <cell r="Z58">
            <v>2.2776827508393049E-2</v>
          </cell>
          <cell r="AA58">
            <v>-3.9990661452154463E-2</v>
          </cell>
          <cell r="AB58">
            <v>5.5343417613101353E-2</v>
          </cell>
          <cell r="AC58">
            <v>-1.5424489002431985E-2</v>
          </cell>
          <cell r="AD58">
            <v>-3.2283001104202236E-2</v>
          </cell>
          <cell r="AE58">
            <v>9.1977945243786774E-2</v>
          </cell>
          <cell r="AF58">
            <v>6.4120490448528855E-2</v>
          </cell>
          <cell r="AG58">
            <v>2.1001635312234868E-2</v>
          </cell>
          <cell r="AH58">
            <v>-2.1254773198823962E-2</v>
          </cell>
          <cell r="AI58">
            <v>0.11666426186975443</v>
          </cell>
          <cell r="AJ58">
            <v>1.4293053710177972E-2</v>
          </cell>
          <cell r="AK58">
            <v>6.3849919557752211E-2</v>
          </cell>
          <cell r="AL58">
            <v>5.5221269516252391E-3</v>
          </cell>
          <cell r="AM58">
            <v>-1.9739995033059121E-2</v>
          </cell>
          <cell r="AN58">
            <v>-9.1598732586745113E-3</v>
          </cell>
          <cell r="AO58">
            <v>0.11673982834305185</v>
          </cell>
          <cell r="AP58">
            <v>-0.11835865483901242</v>
          </cell>
          <cell r="AQ58">
            <v>0.13124021104807992</v>
          </cell>
          <cell r="AR58">
            <v>6.9354809980346488E-3</v>
          </cell>
          <cell r="AS58">
            <v>-5.0953714035343885E-2</v>
          </cell>
          <cell r="AT58">
            <v>-6.5680536101894504E-2</v>
          </cell>
          <cell r="AU58">
            <v>2.1715251664748303E-2</v>
          </cell>
          <cell r="AV58">
            <v>-2.7889513657180953E-2</v>
          </cell>
          <cell r="AW58">
            <v>5.9123793565416083E-2</v>
          </cell>
          <cell r="AX58">
            <v>5.93968436948209E-2</v>
          </cell>
          <cell r="AY58">
            <v>5.0777061106247023E-2</v>
          </cell>
          <cell r="AZ58">
            <v>4.6709636228290385E-2</v>
          </cell>
          <cell r="BA58">
            <v>4.3675476813211045E-2</v>
          </cell>
          <cell r="BB58">
            <v>5.1558191539877285E-2</v>
          </cell>
          <cell r="BC58">
            <v>0.11419978379683027</v>
          </cell>
          <cell r="BD58">
            <v>2.7387801707146275E-2</v>
          </cell>
          <cell r="BE58">
            <v>4.9686590334564462E-2</v>
          </cell>
          <cell r="BF58">
            <v>9.979742730765008E-2</v>
          </cell>
          <cell r="BG58">
            <v>3.5607377124214024E-2</v>
          </cell>
          <cell r="BH58">
            <v>9.0307696712247587E-2</v>
          </cell>
          <cell r="BI58">
            <v>-2.0183757433597238E-3</v>
          </cell>
          <cell r="BJ58">
            <v>2.9045734588334149E-2</v>
          </cell>
          <cell r="BK58">
            <v>0.10940691995857099</v>
          </cell>
          <cell r="BL58">
            <v>6.8915920057318392E-2</v>
          </cell>
          <cell r="BM58">
            <v>5.4322477512655398E-2</v>
          </cell>
          <cell r="BN58">
            <v>5.8922942280971169E-2</v>
          </cell>
          <cell r="BO58">
            <v>-2.734866637067157E-2</v>
          </cell>
          <cell r="BP58">
            <v>-0.1439344710670144</v>
          </cell>
          <cell r="BQ58">
            <v>-1.7876275704718725E-2</v>
          </cell>
          <cell r="BR58">
            <v>-0.10439957645872611</v>
          </cell>
          <cell r="BS58">
            <v>-0.18252180321548406</v>
          </cell>
          <cell r="BT58">
            <v>-1.9806603483353391E-2</v>
          </cell>
          <cell r="BU58">
            <v>0.11285713374862126</v>
          </cell>
          <cell r="BV58">
            <v>0.21500966580907299</v>
          </cell>
          <cell r="BW58">
            <v>3.3935187999267757E-2</v>
          </cell>
          <cell r="BX58">
            <v>1.3614285091707812E-2</v>
          </cell>
          <cell r="BY58">
            <v>-0.11142929562643988</v>
          </cell>
          <cell r="BZ58">
            <v>8.0365919208558415E-2</v>
          </cell>
          <cell r="CA58">
            <v>4.3802974683393892E-2</v>
          </cell>
          <cell r="CB58">
            <v>3.2258360904893202E-2</v>
          </cell>
          <cell r="CC58">
            <v>-4.0170773863490217E-2</v>
          </cell>
          <cell r="CD58">
            <v>-0.11582426962763082</v>
          </cell>
          <cell r="CE58">
            <v>2.1154746061187391E-2</v>
          </cell>
          <cell r="CF58">
            <v>8.3979409168563071E-2</v>
          </cell>
          <cell r="CG58">
            <v>-4.6838848940895739E-2</v>
          </cell>
          <cell r="CH58">
            <v>8.8361734001106029E-2</v>
          </cell>
          <cell r="CI58">
            <v>6.9430165067436933E-2</v>
          </cell>
          <cell r="CJ58">
            <v>8.1498090896543682E-2</v>
          </cell>
          <cell r="CK58">
            <v>-2.4841468188896876E-2</v>
          </cell>
          <cell r="CL58">
            <v>0.10199866616133857</v>
          </cell>
          <cell r="CM58">
            <v>3.4228776855606657E-2</v>
          </cell>
          <cell r="CN58">
            <v>2.0896893734981603E-2</v>
          </cell>
          <cell r="CO58">
            <v>9.2913475980813676E-3</v>
          </cell>
          <cell r="CP58">
            <v>-5.9702885351921031E-3</v>
          </cell>
          <cell r="CQ58">
            <v>3.1117543426175009E-2</v>
          </cell>
          <cell r="CR58">
            <v>0.10325723358210759</v>
          </cell>
          <cell r="CS58">
            <v>-6.5461636442562976E-2</v>
          </cell>
          <cell r="CT58">
            <v>-6.5786536505705762E-2</v>
          </cell>
          <cell r="CU58">
            <v>6.4783875477170572E-2</v>
          </cell>
          <cell r="CV58">
            <v>-2.7465038179009249E-2</v>
          </cell>
          <cell r="CW58">
            <v>3.9427310175444097E-2</v>
          </cell>
          <cell r="CX58">
            <v>5.143262813171412E-2</v>
          </cell>
          <cell r="CY58">
            <v>5.1841399692300394E-2</v>
          </cell>
          <cell r="CZ58">
            <v>4.8158027452311014E-2</v>
          </cell>
          <cell r="DA58">
            <v>-1.5785679216924309E-2</v>
          </cell>
          <cell r="DB58">
            <v>6.8047844094052401E-3</v>
          </cell>
          <cell r="DC58">
            <v>7.6378102518869229E-2</v>
          </cell>
          <cell r="DD58">
            <v>-3.8612761843862531E-2</v>
          </cell>
          <cell r="DE58">
            <v>8.474258789032918E-2</v>
          </cell>
          <cell r="DF58">
            <v>1.5291930507370433E-2</v>
          </cell>
          <cell r="DG58">
            <v>-8.2358862854275627E-2</v>
          </cell>
          <cell r="DH58">
            <v>0.10886554016882609</v>
          </cell>
          <cell r="DI58">
            <v>7.9729968953993424E-2</v>
          </cell>
          <cell r="DJ58">
            <v>2.3654995358830533E-2</v>
          </cell>
          <cell r="DK58">
            <v>6.8166705670353878E-3</v>
          </cell>
          <cell r="DL58">
            <v>-0.2309836854284365</v>
          </cell>
          <cell r="DM58">
            <v>0.16480373951138105</v>
          </cell>
          <cell r="DN58">
            <v>-4.3886372269199558E-3</v>
          </cell>
          <cell r="DO58">
            <v>0.1370032915705679</v>
          </cell>
          <cell r="DP58">
            <v>4.2555441694224205E-2</v>
          </cell>
          <cell r="DQ58">
            <v>8.2869187804724978E-2</v>
          </cell>
          <cell r="DR58">
            <v>1.7113530549660805E-2</v>
          </cell>
          <cell r="DS58">
            <v>2.0938152974717683E-2</v>
          </cell>
          <cell r="DT58">
            <v>2.2426415464591454E-2</v>
          </cell>
          <cell r="DU58">
            <v>-0.11902911045192098</v>
          </cell>
          <cell r="DV58">
            <v>3.8649494454481292E-3</v>
          </cell>
          <cell r="DW58">
            <v>9.3999652919359189E-2</v>
          </cell>
          <cell r="DX58">
            <v>3.4627665716804756E-2</v>
          </cell>
          <cell r="DY58">
            <v>1.0141160481879075E-2</v>
          </cell>
          <cell r="DZ58">
            <v>-7.6606645989021338E-3</v>
          </cell>
          <cell r="EA58">
            <v>8.3957812482639227E-2</v>
          </cell>
          <cell r="EB58">
            <v>5.3278087768471538E-2</v>
          </cell>
          <cell r="EC58">
            <v>-1.0527194940382012E-2</v>
          </cell>
          <cell r="ED58">
            <v>7.7862652772300089E-2</v>
          </cell>
          <cell r="EE58">
            <v>-7.9546413602259447E-3</v>
          </cell>
          <cell r="EF58">
            <v>-2.8014442821112984E-2</v>
          </cell>
          <cell r="EG58">
            <v>9.5044100066280959E-2</v>
          </cell>
          <cell r="EH58">
            <v>4.7106268391733819E-2</v>
          </cell>
          <cell r="EI58">
            <v>-1.01434949200222E-2</v>
          </cell>
          <cell r="EJ58">
            <v>2.5000000000000001E-2</v>
          </cell>
          <cell r="EK58">
            <v>2.5000000000000001E-2</v>
          </cell>
          <cell r="EL58">
            <v>2.5000000000000001E-2</v>
          </cell>
          <cell r="EM58">
            <v>2.5000000000000001E-2</v>
          </cell>
          <cell r="EN58">
            <v>2.5000000000000001E-2</v>
          </cell>
          <cell r="EO58">
            <v>2.5000000000000001E-2</v>
          </cell>
          <cell r="EP58">
            <v>2.5000000000000001E-2</v>
          </cell>
          <cell r="EQ58">
            <v>2.5000000000000001E-2</v>
          </cell>
          <cell r="ER58">
            <v>2.5000000000000001E-2</v>
          </cell>
          <cell r="ES58">
            <v>2.5000000000000001E-2</v>
          </cell>
          <cell r="ET58">
            <v>2.5000000000000001E-2</v>
          </cell>
          <cell r="EU58">
            <v>2.5000000000000001E-2</v>
          </cell>
          <cell r="EV58">
            <v>2.5000000000000001E-2</v>
          </cell>
          <cell r="EW58">
            <v>2.5000000000000001E-2</v>
          </cell>
          <cell r="EX58">
            <v>2.5000000000000001E-2</v>
          </cell>
          <cell r="EY58">
            <v>2.5000000000000001E-2</v>
          </cell>
          <cell r="EZ58">
            <v>2.5000000000000001E-2</v>
          </cell>
          <cell r="FA58">
            <v>2.5000000000000001E-2</v>
          </cell>
          <cell r="FB58">
            <v>2.5000000000000001E-2</v>
          </cell>
          <cell r="FC58">
            <v>2.5000000000000001E-2</v>
          </cell>
          <cell r="FD58">
            <v>2.5000000000000001E-2</v>
          </cell>
          <cell r="FE58">
            <v>2.5000000000000001E-2</v>
          </cell>
          <cell r="FF58">
            <v>2.5000000000000001E-2</v>
          </cell>
          <cell r="FG58">
            <v>2.5000000000000001E-2</v>
          </cell>
          <cell r="FH58">
            <v>2.5000000000000001E-2</v>
          </cell>
          <cell r="FI58">
            <v>2.5000000000000001E-2</v>
          </cell>
          <cell r="FJ58">
            <v>2.5000000000000001E-2</v>
          </cell>
          <cell r="FK58">
            <v>2.5000000000000001E-2</v>
          </cell>
          <cell r="FL58">
            <v>2.5000000000000001E-2</v>
          </cell>
          <cell r="FM58">
            <v>2.5000000000000001E-2</v>
          </cell>
          <cell r="FN58">
            <v>2.5000000000000001E-2</v>
          </cell>
          <cell r="FO58">
            <v>2.5000000000000001E-2</v>
          </cell>
          <cell r="FP58">
            <v>2.5000000000000001E-2</v>
          </cell>
          <cell r="FQ58">
            <v>2.5000000000000001E-2</v>
          </cell>
          <cell r="FR58">
            <v>2.5000000000000001E-2</v>
          </cell>
          <cell r="FS58">
            <v>2.5000000000000001E-2</v>
          </cell>
          <cell r="FT58">
            <v>2.5000000000000001E-2</v>
          </cell>
          <cell r="FU58">
            <v>2.5000000000000001E-2</v>
          </cell>
        </row>
        <row r="59">
          <cell r="A59" t="str">
            <v>3MoFIg</v>
          </cell>
          <cell r="B59" t="str">
            <v>Fixed income return</v>
          </cell>
          <cell r="C59"/>
          <cell r="D59">
            <v>-4.7406211978894275E-3</v>
          </cell>
          <cell r="E59">
            <v>7.2024424076971405E-2</v>
          </cell>
          <cell r="F59">
            <v>1.0150784647381395E-2</v>
          </cell>
          <cell r="G59">
            <v>2.4461003942304327E-2</v>
          </cell>
          <cell r="H59">
            <v>6.4225683422020285E-2</v>
          </cell>
          <cell r="I59">
            <v>3.4517776573657288E-2</v>
          </cell>
          <cell r="J59">
            <v>3.311702822072049E-2</v>
          </cell>
          <cell r="K59">
            <v>2.2678787452877991E-2</v>
          </cell>
          <cell r="L59">
            <v>-3.0240263086853014E-2</v>
          </cell>
          <cell r="M59">
            <v>-3.5055219816372607E-2</v>
          </cell>
          <cell r="N59">
            <v>6.6614913348161942E-4</v>
          </cell>
          <cell r="O59">
            <v>1.7879701218713073E-2</v>
          </cell>
          <cell r="P59">
            <v>4.1547794382705172E-2</v>
          </cell>
          <cell r="Q59">
            <v>5.4594717533398729E-2</v>
          </cell>
          <cell r="R59">
            <v>4.2077676093316363E-2</v>
          </cell>
          <cell r="S59">
            <v>3.6235046407313565E-2</v>
          </cell>
          <cell r="T59">
            <v>-9.9164658634537384E-3</v>
          </cell>
          <cell r="U59">
            <v>2.3280946114117462E-2</v>
          </cell>
          <cell r="V59">
            <v>6.886218127276611E-2</v>
          </cell>
          <cell r="W59">
            <v>3.3521946344181819E-2</v>
          </cell>
          <cell r="X59">
            <v>-3.8133291954380866E-3</v>
          </cell>
          <cell r="Y59">
            <v>6.1464931443903303E-2</v>
          </cell>
          <cell r="Z59">
            <v>4.8594691170892546E-2</v>
          </cell>
          <cell r="AA59">
            <v>1.2154205166062138E-2</v>
          </cell>
          <cell r="AB59">
            <v>2.6830152678352093E-2</v>
          </cell>
          <cell r="AC59">
            <v>1.7444145431916525E-2</v>
          </cell>
          <cell r="AD59">
            <v>3.3770616552796673E-2</v>
          </cell>
          <cell r="AE59">
            <v>1.4232586125228819E-2</v>
          </cell>
          <cell r="AF59">
            <v>-2.556334983701003E-4</v>
          </cell>
          <cell r="AG59">
            <v>-1.4677196834687267E-2</v>
          </cell>
          <cell r="AH59">
            <v>1.4543515496255655E-2</v>
          </cell>
          <cell r="AI59">
            <v>-1.1594275749451488E-2</v>
          </cell>
          <cell r="AJ59">
            <v>3.0191702226207262E-2</v>
          </cell>
          <cell r="AK59">
            <v>2.7728861092428225E-2</v>
          </cell>
          <cell r="AL59">
            <v>1.1828163653605728E-2</v>
          </cell>
          <cell r="AM59">
            <v>4.5895998055759835E-2</v>
          </cell>
          <cell r="AN59">
            <v>2.8017849083382673E-2</v>
          </cell>
          <cell r="AO59">
            <v>-1.2742405933753975E-2</v>
          </cell>
          <cell r="AP59">
            <v>4.2552079763308104E-2</v>
          </cell>
          <cell r="AQ59">
            <v>-3.1059984274653951E-3</v>
          </cell>
          <cell r="AR59">
            <v>-2.7334803911367445E-3</v>
          </cell>
          <cell r="AS59">
            <v>2.4546247444821478E-2</v>
          </cell>
          <cell r="AT59">
            <v>3.8406870026462148E-2</v>
          </cell>
          <cell r="AU59">
            <v>2.5571457468116066E-2</v>
          </cell>
          <cell r="AV59">
            <v>9.3005174268261381E-3</v>
          </cell>
          <cell r="AW59">
            <v>2.1700752449281158E-2</v>
          </cell>
          <cell r="AX59">
            <v>-2.3346880883693411E-3</v>
          </cell>
          <cell r="AY59">
            <v>1.6370437404564786E-3</v>
          </cell>
          <cell r="AZ59">
            <v>2.0264478381021078E-2</v>
          </cell>
          <cell r="BA59">
            <v>3.6548510711391646E-3</v>
          </cell>
          <cell r="BB59">
            <v>2.5998098836938155E-2</v>
          </cell>
          <cell r="BC59">
            <v>1.8063429305124723E-2</v>
          </cell>
          <cell r="BD59">
            <v>-3.3242500548225085E-4</v>
          </cell>
          <cell r="BE59">
            <v>3.2280522028958369E-2</v>
          </cell>
          <cell r="BF59">
            <v>6.5659124661481272E-3</v>
          </cell>
          <cell r="BG59">
            <v>1.8440118866601463E-2</v>
          </cell>
          <cell r="BH59">
            <v>8.6715558990781982E-3</v>
          </cell>
          <cell r="BI59">
            <v>1.1173172557921163E-4</v>
          </cell>
          <cell r="BJ59">
            <v>1.9883716952011854E-2</v>
          </cell>
          <cell r="BK59">
            <v>2.6479638730860788E-3</v>
          </cell>
          <cell r="BL59">
            <v>1.4002805038475286E-2</v>
          </cell>
          <cell r="BM59">
            <v>2.8703489675163674E-3</v>
          </cell>
          <cell r="BN59">
            <v>1.483594713016223E-2</v>
          </cell>
          <cell r="BO59">
            <v>2.5466440302757132E-3</v>
          </cell>
          <cell r="BP59">
            <v>2.2112927456247711E-2</v>
          </cell>
          <cell r="BQ59">
            <v>4.1224707170608443E-3</v>
          </cell>
          <cell r="BR59">
            <v>5.3249175059349341E-2</v>
          </cell>
          <cell r="BS59">
            <v>6.338388515496729E-2</v>
          </cell>
          <cell r="BT59">
            <v>2.7682008205447417E-3</v>
          </cell>
          <cell r="BU59">
            <v>-1.3258164481938506E-2</v>
          </cell>
          <cell r="BV59">
            <v>1.7633571107029677E-2</v>
          </cell>
          <cell r="BW59">
            <v>1.0349797386242088E-2</v>
          </cell>
          <cell r="BX59">
            <v>1.2553588948949868E-2</v>
          </cell>
          <cell r="BY59">
            <v>3.600521845055038E-2</v>
          </cell>
          <cell r="BZ59">
            <v>1.2763088075998352E-2</v>
          </cell>
          <cell r="CA59">
            <v>-1.9281657441698741E-3</v>
          </cell>
          <cell r="CB59">
            <v>2.0402768877064714E-2</v>
          </cell>
          <cell r="CC59">
            <v>2.3301758442302534E-2</v>
          </cell>
          <cell r="CD59">
            <v>4.631714159429956E-2</v>
          </cell>
          <cell r="CE59">
            <v>1.9400605545980776E-2</v>
          </cell>
          <cell r="CF59">
            <v>7.843133247519507E-3</v>
          </cell>
          <cell r="CG59">
            <v>4.5691438486235025E-2</v>
          </cell>
          <cell r="CH59">
            <v>1.9842057938989965E-2</v>
          </cell>
          <cell r="CI59">
            <v>2.0788741485022744E-3</v>
          </cell>
          <cell r="CJ59">
            <v>1.6346802648128378E-3</v>
          </cell>
          <cell r="CK59">
            <v>4.0473004032770543E-3</v>
          </cell>
          <cell r="CL59">
            <v>1.03549373798002E-2</v>
          </cell>
          <cell r="CM59">
            <v>3.6949952275564524E-3</v>
          </cell>
          <cell r="CN59">
            <v>1.4517531912989767E-2</v>
          </cell>
          <cell r="CO59">
            <v>3.1149573074711556E-2</v>
          </cell>
          <cell r="CP59">
            <v>9.7097417037388389E-3</v>
          </cell>
          <cell r="CQ59">
            <v>3.959256283285062E-2</v>
          </cell>
          <cell r="CR59">
            <v>2.6687782848157093E-2</v>
          </cell>
          <cell r="CS59">
            <v>-1.9879524695589845E-2</v>
          </cell>
          <cell r="CT59">
            <v>2.2002474251316295E-2</v>
          </cell>
          <cell r="CU59">
            <v>-2.4844800598924355E-3</v>
          </cell>
          <cell r="CV59">
            <v>2.0511563348071471E-2</v>
          </cell>
          <cell r="CW59">
            <v>2.8650137591583524E-2</v>
          </cell>
          <cell r="CX59">
            <v>9.3288954729460194E-3</v>
          </cell>
          <cell r="CY59">
            <v>-2.8648837633279745E-2</v>
          </cell>
          <cell r="CZ59">
            <v>1.2295351537542576E-2</v>
          </cell>
          <cell r="DA59">
            <v>1.0104783569503839E-2</v>
          </cell>
          <cell r="DB59">
            <v>-7.0145061874471448E-4</v>
          </cell>
          <cell r="DC59">
            <v>1.4432538184959709E-2</v>
          </cell>
          <cell r="DD59">
            <v>8.672572096035891E-3</v>
          </cell>
          <cell r="DE59">
            <v>8.1571468651848722E-3</v>
          </cell>
          <cell r="DF59">
            <v>5.4290269217991405E-3</v>
          </cell>
          <cell r="DG59">
            <v>2.2427095924253626E-2</v>
          </cell>
          <cell r="DH59">
            <v>3.4338874563020871E-2</v>
          </cell>
          <cell r="DI59">
            <v>3.0513227269436172E-2</v>
          </cell>
          <cell r="DJ59">
            <v>1.9758496779586965E-2</v>
          </cell>
          <cell r="DK59">
            <v>-1.3205720786201081E-2</v>
          </cell>
          <cell r="DL59">
            <v>2.9869809259696511E-2</v>
          </cell>
          <cell r="DM59">
            <v>5.2598695685854846E-3</v>
          </cell>
          <cell r="DN59">
            <v>1.0233975220604652E-2</v>
          </cell>
          <cell r="DO59">
            <v>-1.0303410461541818E-3</v>
          </cell>
          <cell r="DP59">
            <v>-3.2166898417059331E-2</v>
          </cell>
          <cell r="DQ59">
            <v>1.5224932608919772E-2</v>
          </cell>
          <cell r="DR59">
            <v>3.105062740017539E-3</v>
          </cell>
          <cell r="DS59">
            <v>-1.4575419545912682E-2</v>
          </cell>
          <cell r="DT59">
            <v>-5.8819408377136062E-2</v>
          </cell>
          <cell r="DU59">
            <v>-3.805093785096314E-2</v>
          </cell>
          <cell r="DV59">
            <v>-6.44987795071994E-3</v>
          </cell>
          <cell r="DW59">
            <v>3.7890734154637506E-3</v>
          </cell>
          <cell r="DX59">
            <v>4.5976040044242605E-2</v>
          </cell>
          <cell r="DY59">
            <v>-2.9489086586415025E-2</v>
          </cell>
          <cell r="DZ59">
            <v>-2.8224229497852971E-3</v>
          </cell>
          <cell r="EA59">
            <v>3.7856109848143582E-2</v>
          </cell>
          <cell r="EB59">
            <v>1.0259837568803221E-2</v>
          </cell>
          <cell r="EC59">
            <v>-8.3854139366149605E-3</v>
          </cell>
          <cell r="ED59">
            <v>3.0205582832367739E-2</v>
          </cell>
          <cell r="EE59">
            <v>-2.6442544452786043E-3</v>
          </cell>
          <cell r="EF59">
            <v>1.293069505799882E-2</v>
          </cell>
          <cell r="EG59">
            <v>2.6274125342319543E-2</v>
          </cell>
          <cell r="EH59">
            <v>3.9874039069125455E-3</v>
          </cell>
          <cell r="EI59">
            <v>-1.1453031146182235E-2</v>
          </cell>
          <cell r="EJ59">
            <v>1.4312500000000002E-2</v>
          </cell>
          <cell r="EK59">
            <v>1.4468750000000002E-2</v>
          </cell>
          <cell r="EL59">
            <v>1.4781249999999999E-2</v>
          </cell>
          <cell r="EM59">
            <v>1.509375E-2</v>
          </cell>
          <cell r="EN59">
            <v>1.509375E-2</v>
          </cell>
          <cell r="EO59">
            <v>1.4781249999999999E-2</v>
          </cell>
          <cell r="EP59">
            <v>1.4468749999999999E-2</v>
          </cell>
          <cell r="EQ59">
            <v>1.4156250000000002E-2</v>
          </cell>
          <cell r="ER59">
            <v>1.4000000000000002E-2</v>
          </cell>
          <cell r="ES59">
            <v>1.4000000000000002E-2</v>
          </cell>
          <cell r="ET59">
            <v>1.4000000000000002E-2</v>
          </cell>
          <cell r="EU59">
            <v>1.4000000000000002E-2</v>
          </cell>
          <cell r="EV59">
            <v>1.4000000000000002E-2</v>
          </cell>
          <cell r="EW59">
            <v>1.4000000000000002E-2</v>
          </cell>
          <cell r="EX59">
            <v>1.4000000000000002E-2</v>
          </cell>
          <cell r="EY59">
            <v>1.4000000000000002E-2</v>
          </cell>
          <cell r="EZ59">
            <v>1.4000000000000002E-2</v>
          </cell>
          <cell r="FA59">
            <v>1.4000000000000002E-2</v>
          </cell>
          <cell r="FB59">
            <v>1.4000000000000002E-2</v>
          </cell>
          <cell r="FC59">
            <v>1.4000000000000002E-2</v>
          </cell>
          <cell r="FD59">
            <v>1.4000000000000002E-2</v>
          </cell>
          <cell r="FE59">
            <v>1.4000000000000002E-2</v>
          </cell>
          <cell r="FF59">
            <v>1.4000000000000002E-2</v>
          </cell>
          <cell r="FG59">
            <v>1.4000000000000002E-2</v>
          </cell>
          <cell r="FH59">
            <v>1.4000000000000002E-2</v>
          </cell>
          <cell r="FI59">
            <v>1.4000000000000002E-2</v>
          </cell>
          <cell r="FJ59">
            <v>1.4000000000000002E-2</v>
          </cell>
          <cell r="FK59">
            <v>1.4000000000000002E-2</v>
          </cell>
          <cell r="FL59">
            <v>1.4000000000000002E-2</v>
          </cell>
          <cell r="FM59">
            <v>1.4000000000000002E-2</v>
          </cell>
          <cell r="FN59">
            <v>1.4000000000000002E-2</v>
          </cell>
          <cell r="FO59">
            <v>1.4000000000000002E-2</v>
          </cell>
          <cell r="FP59">
            <v>1.4000000000000002E-2</v>
          </cell>
          <cell r="FQ59">
            <v>1.4000000000000002E-2</v>
          </cell>
          <cell r="FR59">
            <v>1.4000000000000002E-2</v>
          </cell>
          <cell r="FS59">
            <v>1.4000000000000002E-2</v>
          </cell>
          <cell r="FT59">
            <v>1.4000000000000002E-2</v>
          </cell>
          <cell r="FU59">
            <v>1.4000000000000002E-2</v>
          </cell>
        </row>
        <row r="60">
          <cell r="A60" t="str">
            <v>3MoCashg</v>
          </cell>
          <cell r="B60" t="str">
            <v>Cash return</v>
          </cell>
          <cell r="D60">
            <v>1.8749999999999999E-2</v>
          </cell>
          <cell r="E60">
            <v>1.7041666666666667E-2</v>
          </cell>
          <cell r="F60">
            <v>1.3708333333333333E-2</v>
          </cell>
          <cell r="G60">
            <v>1.4291666666666664E-2</v>
          </cell>
          <cell r="H60">
            <v>1.3833333333333335E-2</v>
          </cell>
          <cell r="I60">
            <v>1.2958333333333334E-2</v>
          </cell>
          <cell r="J60">
            <v>1.1791666666666666E-2</v>
          </cell>
          <cell r="K60">
            <v>1.1916666666666666E-2</v>
          </cell>
          <cell r="L60">
            <v>1.1833333333333333E-2</v>
          </cell>
          <cell r="M60">
            <v>1.1541666666666667E-2</v>
          </cell>
          <cell r="N60">
            <v>1.2958333333333334E-2</v>
          </cell>
          <cell r="O60">
            <v>1.6916666666666667E-2</v>
          </cell>
          <cell r="P60">
            <v>1.8624999999999999E-2</v>
          </cell>
          <cell r="Q60">
            <v>1.8558333333333333E-2</v>
          </cell>
          <cell r="R60">
            <v>1.8500000000000003E-2</v>
          </cell>
          <cell r="S60">
            <v>1.8583333333333334E-2</v>
          </cell>
          <cell r="T60">
            <v>1.8499999999999999E-2</v>
          </cell>
          <cell r="U60">
            <v>1.8083333333333333E-2</v>
          </cell>
          <cell r="V60">
            <v>1.7500000000000002E-2</v>
          </cell>
          <cell r="W60">
            <v>1.6308333333333334E-2</v>
          </cell>
          <cell r="X60">
            <v>1.5075E-2</v>
          </cell>
          <cell r="Y60">
            <v>1.4241666666666666E-2</v>
          </cell>
          <cell r="Z60">
            <v>1.2458333333333333E-2</v>
          </cell>
          <cell r="AA60">
            <v>1.2450000000000001E-2</v>
          </cell>
          <cell r="AB60">
            <v>1.2450000000000001E-2</v>
          </cell>
          <cell r="AC60">
            <v>1.2433333333333334E-2</v>
          </cell>
          <cell r="AD60">
            <v>1.2458333333333333E-2</v>
          </cell>
          <cell r="AE60">
            <v>1.2233333333333334E-2</v>
          </cell>
          <cell r="AF60">
            <v>1.1816666666666666E-2</v>
          </cell>
          <cell r="AG60">
            <v>1.1883333333333334E-2</v>
          </cell>
          <cell r="AH60">
            <v>1.1899999999999999E-2</v>
          </cell>
          <cell r="AI60">
            <v>1.2266666666666665E-2</v>
          </cell>
          <cell r="AJ60">
            <v>1.3333333333333332E-2</v>
          </cell>
          <cell r="AK60">
            <v>1.4791666666666668E-2</v>
          </cell>
          <cell r="AL60">
            <v>1.5416666666666667E-2</v>
          </cell>
          <cell r="AM60">
            <v>1.5625E-2</v>
          </cell>
          <cell r="AN60">
            <v>1.4583333333333332E-2</v>
          </cell>
          <cell r="AO60">
            <v>1.2500000000000001E-2</v>
          </cell>
          <cell r="AP60">
            <v>1.2291666666666668E-2</v>
          </cell>
          <cell r="AQ60">
            <v>1.1041666666666667E-2</v>
          </cell>
          <cell r="AR60">
            <v>1.0625000000000001E-2</v>
          </cell>
          <cell r="AS60">
            <v>1.125E-2</v>
          </cell>
          <cell r="AT60">
            <v>1.1875E-2</v>
          </cell>
          <cell r="AU60">
            <v>1.1875E-2</v>
          </cell>
          <cell r="AV60">
            <v>1.1875E-2</v>
          </cell>
          <cell r="AW60">
            <v>1.1875E-2</v>
          </cell>
          <cell r="AX60">
            <v>1.1875E-2</v>
          </cell>
          <cell r="AY60">
            <v>1.2500000000000001E-2</v>
          </cell>
          <cell r="AZ60">
            <v>1.3125E-2</v>
          </cell>
          <cell r="BA60">
            <v>1.3125E-2</v>
          </cell>
          <cell r="BB60">
            <v>1.3125E-2</v>
          </cell>
          <cell r="BC60">
            <v>1.3125E-2</v>
          </cell>
          <cell r="BD60">
            <v>1.3333333333333332E-2</v>
          </cell>
          <cell r="BE60">
            <v>1.375E-2</v>
          </cell>
          <cell r="BF60">
            <v>1.375E-2</v>
          </cell>
          <cell r="BG60">
            <v>1.375E-2</v>
          </cell>
          <cell r="BH60">
            <v>1.375E-2</v>
          </cell>
          <cell r="BI60">
            <v>1.4166666666666668E-2</v>
          </cell>
          <cell r="BJ60">
            <v>1.4791666666666668E-2</v>
          </cell>
          <cell r="BK60">
            <v>1.5416666666666667E-2</v>
          </cell>
          <cell r="BL60">
            <v>1.5625E-2</v>
          </cell>
          <cell r="BM60">
            <v>1.5625E-2</v>
          </cell>
          <cell r="BN60">
            <v>1.6041666666666666E-2</v>
          </cell>
          <cell r="BO60">
            <v>1.6666666666666666E-2</v>
          </cell>
          <cell r="BP60">
            <v>1.7500000000000002E-2</v>
          </cell>
          <cell r="BQ60">
            <v>1.8124999999999999E-2</v>
          </cell>
          <cell r="BR60">
            <v>1.7916666666666668E-2</v>
          </cell>
          <cell r="BS60">
            <v>1.2916666666666667E-2</v>
          </cell>
          <cell r="BT60">
            <v>8.9583333333333338E-3</v>
          </cell>
          <cell r="BU60">
            <v>7.4999999999999997E-3</v>
          </cell>
          <cell r="BV60">
            <v>7.4999999999999997E-3</v>
          </cell>
          <cell r="BW60">
            <v>8.7500000000000008E-3</v>
          </cell>
          <cell r="BX60">
            <v>9.5833333333333343E-3</v>
          </cell>
          <cell r="BY60">
            <v>1.1041666666666667E-2</v>
          </cell>
          <cell r="BZ60">
            <v>1.125E-2</v>
          </cell>
          <cell r="CA60">
            <v>1.1666666666666667E-2</v>
          </cell>
          <cell r="CB60">
            <v>1.1875E-2</v>
          </cell>
          <cell r="CC60">
            <v>1.1875E-2</v>
          </cell>
          <cell r="CD60">
            <v>1.1875E-2</v>
          </cell>
          <cell r="CE60">
            <v>1.125E-2</v>
          </cell>
          <cell r="CF60">
            <v>1.0625000000000001E-2</v>
          </cell>
          <cell r="CG60">
            <v>9.5833333333333343E-3</v>
          </cell>
          <cell r="CH60">
            <v>8.7500000000000008E-3</v>
          </cell>
          <cell r="CI60">
            <v>7.9166666666666656E-3</v>
          </cell>
          <cell r="CJ60">
            <v>7.4999999999999997E-3</v>
          </cell>
          <cell r="CK60">
            <v>7.0833333333333338E-3</v>
          </cell>
          <cell r="CL60">
            <v>6.4583333333333333E-3</v>
          </cell>
          <cell r="CM60">
            <v>6.2500000000000003E-3</v>
          </cell>
          <cell r="CN60">
            <v>6.2500000000000003E-3</v>
          </cell>
          <cell r="CO60">
            <v>6.2500000000000003E-3</v>
          </cell>
          <cell r="CP60">
            <v>6.2500000000000003E-3</v>
          </cell>
          <cell r="CQ60">
            <v>6.2500000000000003E-3</v>
          </cell>
          <cell r="CR60">
            <v>5.8333333333333336E-3</v>
          </cell>
          <cell r="CS60">
            <v>5.2083333333333339E-3</v>
          </cell>
          <cell r="CT60">
            <v>5.0000000000000001E-3</v>
          </cell>
          <cell r="CU60">
            <v>5.0000000000000001E-3</v>
          </cell>
          <cell r="CV60">
            <v>5.0000000000000001E-3</v>
          </cell>
          <cell r="CW60">
            <v>4.5833333333333334E-3</v>
          </cell>
          <cell r="CX60">
            <v>3.9583333333333328E-3</v>
          </cell>
          <cell r="CY60">
            <v>3.7499999999999999E-3</v>
          </cell>
          <cell r="CZ60">
            <v>3.7499999999999999E-3</v>
          </cell>
          <cell r="DA60">
            <v>3.7499999999999999E-3</v>
          </cell>
          <cell r="DB60">
            <v>3.7499999999999999E-3</v>
          </cell>
          <cell r="DC60">
            <v>3.7499999999999999E-3</v>
          </cell>
          <cell r="DD60">
            <v>3.7499999999999999E-3</v>
          </cell>
          <cell r="DE60">
            <v>3.7499999999999999E-3</v>
          </cell>
          <cell r="DF60">
            <v>3.7499999999999999E-3</v>
          </cell>
          <cell r="DG60">
            <v>3.7499999999999999E-3</v>
          </cell>
          <cell r="DH60">
            <v>3.7499999999999999E-3</v>
          </cell>
          <cell r="DI60">
            <v>3.5416666666666669E-3</v>
          </cell>
          <cell r="DJ60">
            <v>2.5000000000000001E-3</v>
          </cell>
          <cell r="DK60">
            <v>1.8749999999999999E-3</v>
          </cell>
          <cell r="DL60">
            <v>1.4583333333333334E-3</v>
          </cell>
          <cell r="DM60">
            <v>6.2500000000000001E-4</v>
          </cell>
          <cell r="DN60">
            <v>6.2500000000000001E-4</v>
          </cell>
          <cell r="DO60">
            <v>3.7500000000000001E-4</v>
          </cell>
          <cell r="DP60">
            <v>2.5000000000000006E-4</v>
          </cell>
          <cell r="DQ60">
            <v>2.5000000000000006E-4</v>
          </cell>
          <cell r="DR60">
            <v>2.5000000000000006E-4</v>
          </cell>
          <cell r="DS60">
            <v>2.5000000000000006E-4</v>
          </cell>
          <cell r="DT60">
            <v>2.5000000000000006E-4</v>
          </cell>
          <cell r="DU60">
            <v>1.0833333333333333E-3</v>
          </cell>
          <cell r="DV60">
            <v>4.6250000000000006E-3</v>
          </cell>
          <cell r="DW60">
            <v>7.1250000000000003E-3</v>
          </cell>
          <cell r="DX60">
            <v>8.3750000000000005E-3</v>
          </cell>
          <cell r="DY60">
            <v>9.6249999999999999E-3</v>
          </cell>
          <cell r="DZ60">
            <v>1.0249999999999999E-2</v>
          </cell>
          <cell r="EA60">
            <v>1.0666666666666666E-2</v>
          </cell>
          <cell r="EB60">
            <v>1.0874999999999999E-2</v>
          </cell>
          <cell r="EC60">
            <v>1.0874999999999999E-2</v>
          </cell>
          <cell r="ED60">
            <v>1.0874999999999999E-2</v>
          </cell>
          <cell r="EE60">
            <v>1.0874999999999999E-2</v>
          </cell>
          <cell r="EF60">
            <v>1.0458333333333332E-2</v>
          </cell>
          <cell r="EG60">
            <v>9.8333333333333328E-3</v>
          </cell>
          <cell r="EH60">
            <v>9.208333333333334E-3</v>
          </cell>
          <cell r="EI60">
            <v>9.0000000000000011E-3</v>
          </cell>
          <cell r="EJ60">
            <v>9.3125000000000013E-3</v>
          </cell>
          <cell r="EK60">
            <v>9.4687500000000015E-3</v>
          </cell>
          <cell r="EL60">
            <v>9.78125E-3</v>
          </cell>
          <cell r="EM60">
            <v>1.0093749999999999E-2</v>
          </cell>
          <cell r="EN60">
            <v>1.0093749999999999E-2</v>
          </cell>
          <cell r="EO60">
            <v>9.78125E-3</v>
          </cell>
          <cell r="EP60">
            <v>9.4687499999999997E-3</v>
          </cell>
          <cell r="EQ60">
            <v>9.1562500000000012E-3</v>
          </cell>
          <cell r="ER60">
            <v>9.0000000000000011E-3</v>
          </cell>
          <cell r="ES60">
            <v>9.0000000000000011E-3</v>
          </cell>
          <cell r="ET60">
            <v>9.0000000000000011E-3</v>
          </cell>
          <cell r="EU60">
            <v>9.0000000000000011E-3</v>
          </cell>
          <cell r="EV60">
            <v>9.0000000000000011E-3</v>
          </cell>
          <cell r="EW60">
            <v>9.0000000000000011E-3</v>
          </cell>
          <cell r="EX60">
            <v>9.0000000000000011E-3</v>
          </cell>
          <cell r="EY60">
            <v>9.0000000000000011E-3</v>
          </cell>
          <cell r="EZ60">
            <v>9.0000000000000011E-3</v>
          </cell>
          <cell r="FA60">
            <v>9.0000000000000011E-3</v>
          </cell>
          <cell r="FB60">
            <v>9.0000000000000011E-3</v>
          </cell>
          <cell r="FC60">
            <v>9.0000000000000011E-3</v>
          </cell>
          <cell r="FD60">
            <v>9.0000000000000011E-3</v>
          </cell>
          <cell r="FE60">
            <v>9.0000000000000011E-3</v>
          </cell>
          <cell r="FF60">
            <v>9.0000000000000011E-3</v>
          </cell>
          <cell r="FG60">
            <v>9.0000000000000011E-3</v>
          </cell>
          <cell r="FH60">
            <v>9.0000000000000011E-3</v>
          </cell>
          <cell r="FI60">
            <v>9.0000000000000011E-3</v>
          </cell>
          <cell r="FJ60">
            <v>9.0000000000000011E-3</v>
          </cell>
          <cell r="FK60">
            <v>9.0000000000000011E-3</v>
          </cell>
          <cell r="FL60">
            <v>9.0000000000000011E-3</v>
          </cell>
          <cell r="FM60">
            <v>9.0000000000000011E-3</v>
          </cell>
          <cell r="FN60">
            <v>9.0000000000000011E-3</v>
          </cell>
          <cell r="FO60">
            <v>9.0000000000000011E-3</v>
          </cell>
          <cell r="FP60">
            <v>9.0000000000000011E-3</v>
          </cell>
          <cell r="FQ60">
            <v>9.0000000000000011E-3</v>
          </cell>
          <cell r="FR60">
            <v>9.0000000000000011E-3</v>
          </cell>
          <cell r="FS60">
            <v>9.0000000000000011E-3</v>
          </cell>
          <cell r="FT60">
            <v>9.0000000000000011E-3</v>
          </cell>
          <cell r="FU60">
            <v>9.0000000000000011E-3</v>
          </cell>
        </row>
        <row r="61"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  <cell r="CE61"/>
          <cell r="CF61"/>
          <cell r="CG61"/>
          <cell r="CH61"/>
          <cell r="CI61"/>
          <cell r="CJ61"/>
          <cell r="CK61"/>
          <cell r="CL61"/>
          <cell r="CM61"/>
          <cell r="CN61"/>
          <cell r="CO61"/>
          <cell r="CP61"/>
          <cell r="CQ61"/>
          <cell r="CR61"/>
          <cell r="CS61"/>
          <cell r="CT61"/>
          <cell r="CU61"/>
          <cell r="CV61"/>
          <cell r="CW61"/>
          <cell r="CX61"/>
          <cell r="CY61"/>
          <cell r="CZ61"/>
          <cell r="DA61"/>
          <cell r="DB61"/>
          <cell r="DC61"/>
          <cell r="DD61"/>
          <cell r="DE61"/>
          <cell r="DF61"/>
          <cell r="DG61"/>
          <cell r="DH61"/>
          <cell r="DI61"/>
          <cell r="DJ61"/>
          <cell r="DK61"/>
          <cell r="DL61"/>
          <cell r="DM61"/>
          <cell r="DN61"/>
          <cell r="DO61"/>
          <cell r="DP61"/>
          <cell r="DQ61"/>
          <cell r="DR61"/>
          <cell r="DS61"/>
          <cell r="DT61"/>
          <cell r="DU61"/>
          <cell r="DV61"/>
          <cell r="DW61"/>
          <cell r="DX61"/>
          <cell r="DY61"/>
          <cell r="DZ61"/>
          <cell r="EA61"/>
          <cell r="EB61"/>
          <cell r="EC61"/>
          <cell r="ED61"/>
          <cell r="EE61"/>
          <cell r="EG61"/>
          <cell r="EH61"/>
        </row>
        <row r="62">
          <cell r="B62" t="str">
            <v>Market performance (6mo)</v>
          </cell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  <cell r="CE62"/>
          <cell r="CF62"/>
          <cell r="CG62"/>
          <cell r="CH62"/>
          <cell r="CI62"/>
          <cell r="CJ62"/>
          <cell r="CK62"/>
          <cell r="CL62"/>
          <cell r="CM62"/>
          <cell r="CN62"/>
          <cell r="CO62"/>
          <cell r="CP62"/>
          <cell r="CQ62"/>
          <cell r="CR62"/>
          <cell r="CS62"/>
          <cell r="CT62"/>
          <cell r="CU62"/>
          <cell r="CV62"/>
          <cell r="CW62"/>
          <cell r="CX62"/>
          <cell r="CY62"/>
          <cell r="CZ62"/>
          <cell r="DA62"/>
          <cell r="DB62"/>
          <cell r="DC62"/>
          <cell r="DD62"/>
          <cell r="DE62"/>
          <cell r="DF62"/>
          <cell r="DG62"/>
          <cell r="DH62"/>
          <cell r="DI62"/>
          <cell r="DJ62"/>
          <cell r="DK62"/>
          <cell r="DL62"/>
          <cell r="DM62"/>
          <cell r="DN62"/>
          <cell r="DO62"/>
          <cell r="DP62"/>
          <cell r="DQ62"/>
          <cell r="DR62"/>
          <cell r="DS62"/>
          <cell r="DT62"/>
          <cell r="DU62"/>
          <cell r="DV62"/>
          <cell r="DW62"/>
          <cell r="DX62"/>
          <cell r="DY62"/>
          <cell r="DZ62"/>
          <cell r="EA62"/>
          <cell r="EB62"/>
          <cell r="EC62"/>
          <cell r="ED62"/>
          <cell r="EE62"/>
          <cell r="EF62"/>
          <cell r="EG62"/>
          <cell r="EH62"/>
          <cell r="EI62"/>
          <cell r="EJ62"/>
          <cell r="EK62"/>
          <cell r="EL62"/>
          <cell r="EM62"/>
          <cell r="EN62"/>
          <cell r="EO62"/>
          <cell r="EP62"/>
          <cell r="EQ62"/>
          <cell r="ER62"/>
          <cell r="ES62"/>
          <cell r="ET62"/>
          <cell r="EU62"/>
          <cell r="EV62"/>
          <cell r="EW62"/>
          <cell r="EX62"/>
          <cell r="EY62"/>
          <cell r="EZ62"/>
          <cell r="FA62"/>
          <cell r="FB62"/>
          <cell r="FC62"/>
          <cell r="FD62"/>
          <cell r="FE62"/>
          <cell r="FF62"/>
          <cell r="FG62"/>
          <cell r="FH62"/>
          <cell r="FI62"/>
          <cell r="FJ62"/>
          <cell r="FK62"/>
          <cell r="FL62"/>
          <cell r="FM62"/>
          <cell r="FN62"/>
          <cell r="FO62"/>
          <cell r="FP62"/>
          <cell r="FQ62"/>
          <cell r="FR62"/>
          <cell r="FS62"/>
          <cell r="FT62"/>
          <cell r="FU62"/>
        </row>
        <row r="63">
          <cell r="A63" t="str">
            <v>6MoASX200AIg</v>
          </cell>
          <cell r="B63" t="str">
            <v>ASX-200 Accumulation Index return</v>
          </cell>
          <cell r="D63"/>
          <cell r="E63"/>
          <cell r="F63"/>
          <cell r="G63">
            <v>-4.0842749810868655E-2</v>
          </cell>
          <cell r="H63">
            <v>0.15078808934700638</v>
          </cell>
          <cell r="I63">
            <v>0.12934728631980197</v>
          </cell>
          <cell r="J63">
            <v>0.16635490710602863</v>
          </cell>
          <cell r="K63">
            <v>0.24009225828951508</v>
          </cell>
          <cell r="L63">
            <v>5.0800639878133769E-2</v>
          </cell>
          <cell r="M63">
            <v>-7.051038892187389E-2</v>
          </cell>
          <cell r="N63">
            <v>1.0968018041177974E-2</v>
          </cell>
          <cell r="O63">
            <v>-1.8357001585311061E-2</v>
          </cell>
          <cell r="P63">
            <v>-2.952442803080213E-2</v>
          </cell>
          <cell r="Q63">
            <v>8.9513621051370507E-2</v>
          </cell>
          <cell r="R63">
            <v>0.14247804192019276</v>
          </cell>
          <cell r="S63">
            <v>0.11155033854683083</v>
          </cell>
          <cell r="T63">
            <v>5.8416149916258764E-2</v>
          </cell>
          <cell r="U63">
            <v>2.8421507948987124E-2</v>
          </cell>
          <cell r="V63">
            <v>4.5785124534705401E-2</v>
          </cell>
          <cell r="W63">
            <v>0.11193506259382581</v>
          </cell>
          <cell r="X63">
            <v>8.5774828369673983E-2</v>
          </cell>
          <cell r="Y63">
            <v>0.14752001095781653</v>
          </cell>
          <cell r="Z63">
            <v>0.16677883414845085</v>
          </cell>
          <cell r="AA63">
            <v>-1.8124694341603798E-2</v>
          </cell>
          <cell r="AB63">
            <v>1.3139536283576225E-2</v>
          </cell>
          <cell r="AC63">
            <v>3.9065284674339118E-2</v>
          </cell>
          <cell r="AD63">
            <v>-4.7209541311136964E-2</v>
          </cell>
          <cell r="AE63">
            <v>5.6725620031717217E-2</v>
          </cell>
          <cell r="AF63">
            <v>0.1619961066517952</v>
          </cell>
          <cell r="AG63">
            <v>8.646876091720547E-2</v>
          </cell>
          <cell r="AH63">
            <v>-6.9952288195496148E-4</v>
          </cell>
          <cell r="AI63">
            <v>9.2929816244480712E-2</v>
          </cell>
          <cell r="AJ63">
            <v>0.13262480414089528</v>
          </cell>
          <cell r="AK63">
            <v>7.9055583597559709E-2</v>
          </cell>
          <cell r="AL63">
            <v>6.9724633871026453E-2</v>
          </cell>
          <cell r="AM63">
            <v>-1.4326874840030701E-2</v>
          </cell>
          <cell r="AN63">
            <v>-2.8719052439103998E-2</v>
          </cell>
          <cell r="AO63">
            <v>0.1065106330525154</v>
          </cell>
          <cell r="AP63">
            <v>-1.5435995544781478E-2</v>
          </cell>
          <cell r="AQ63">
            <v>-2.6518586313712955E-3</v>
          </cell>
          <cell r="AR63">
            <v>0.13908590603601678</v>
          </cell>
          <cell r="AS63">
            <v>-4.4371621552780634E-2</v>
          </cell>
          <cell r="AT63">
            <v>-0.11328758288301444</v>
          </cell>
          <cell r="AU63">
            <v>-4.5391553808074366E-2</v>
          </cell>
          <cell r="AV63">
            <v>-6.7798898003056385E-3</v>
          </cell>
          <cell r="AW63">
            <v>2.9585346060128082E-2</v>
          </cell>
          <cell r="AX63">
            <v>0.12203240398528671</v>
          </cell>
          <cell r="AY63">
            <v>0.11318990196287813</v>
          </cell>
          <cell r="AZ63">
            <v>9.9858475387551979E-2</v>
          </cell>
          <cell r="BA63">
            <v>9.2425178675543673E-2</v>
          </cell>
          <cell r="BB63">
            <v>9.7485496952219197E-2</v>
          </cell>
          <cell r="BC63">
            <v>0.17164590966351725</v>
          </cell>
          <cell r="BD63">
            <v>0.14471526653760303</v>
          </cell>
          <cell r="BE63">
            <v>7.8435198525297789E-2</v>
          </cell>
          <cell r="BF63">
            <v>0.15444261152929317</v>
          </cell>
          <cell r="BG63">
            <v>0.13895832906203398</v>
          </cell>
          <cell r="BH63">
            <v>0.12913069405051369</v>
          </cell>
          <cell r="BI63">
            <v>8.8107046104405118E-2</v>
          </cell>
          <cell r="BJ63">
            <v>2.696873363883312E-2</v>
          </cell>
          <cell r="BK63">
            <v>0.14163045890614878</v>
          </cell>
          <cell r="BL63">
            <v>0.18586271856547154</v>
          </cell>
          <cell r="BM63">
            <v>0.12698208108755127</v>
          </cell>
          <cell r="BN63">
            <v>0.11644626000066417</v>
          </cell>
          <cell r="BO63">
            <v>2.9962812020279062E-2</v>
          </cell>
          <cell r="BP63">
            <v>-0.16734672160923514</v>
          </cell>
          <cell r="BQ63">
            <v>-0.15923773448352629</v>
          </cell>
          <cell r="BR63">
            <v>-0.12040957655121275</v>
          </cell>
          <cell r="BS63">
            <v>-0.26786618072403068</v>
          </cell>
          <cell r="BT63">
            <v>-0.19871326971548176</v>
          </cell>
          <cell r="BU63">
            <v>9.0815213766841207E-2</v>
          </cell>
          <cell r="BV63">
            <v>0.35213217416915521</v>
          </cell>
          <cell r="BW63">
            <v>0.25624124723923147</v>
          </cell>
          <cell r="BX63">
            <v>4.8011476415038334E-2</v>
          </cell>
          <cell r="BY63">
            <v>-9.9332040732958551E-2</v>
          </cell>
          <cell r="BZ63">
            <v>-4.0018494187662575E-2</v>
          </cell>
          <cell r="CA63">
            <v>0.12768916021645249</v>
          </cell>
          <cell r="CB63">
            <v>7.747434775433204E-2</v>
          </cell>
          <cell r="CC63">
            <v>-9.208256279714222E-3</v>
          </cell>
          <cell r="CD63">
            <v>-0.1513422929480055</v>
          </cell>
          <cell r="CE63">
            <v>-9.7119756578138428E-2</v>
          </cell>
          <cell r="CF63">
            <v>0.10691071830508016</v>
          </cell>
          <cell r="CG63">
            <v>3.320706136747531E-2</v>
          </cell>
          <cell r="CH63">
            <v>3.7384123149176718E-2</v>
          </cell>
          <cell r="CI63">
            <v>0.16392686884588456</v>
          </cell>
          <cell r="CJ63">
            <v>0.15658668186760871</v>
          </cell>
          <cell r="CK63">
            <v>5.4632090475184469E-2</v>
          </cell>
          <cell r="CL63">
            <v>7.4623401351684882E-2</v>
          </cell>
          <cell r="CM63">
            <v>0.13971873260055134</v>
          </cell>
          <cell r="CN63">
            <v>5.5840945703218292E-2</v>
          </cell>
          <cell r="CO63">
            <v>3.0382401636474876E-2</v>
          </cell>
          <cell r="CP63">
            <v>3.2655870368478723E-3</v>
          </cell>
          <cell r="CQ63">
            <v>2.4961474178222254E-2</v>
          </cell>
          <cell r="CR63">
            <v>0.13758788845834058</v>
          </cell>
          <cell r="CS63">
            <v>3.1036209654727864E-2</v>
          </cell>
          <cell r="CT63">
            <v>-0.12694167861271677</v>
          </cell>
          <cell r="CU63">
            <v>-5.2645678175951005E-3</v>
          </cell>
          <cell r="CV63">
            <v>3.553954568479667E-2</v>
          </cell>
          <cell r="CW63">
            <v>1.0879399417170754E-2</v>
          </cell>
          <cell r="CX63">
            <v>9.288778848964574E-2</v>
          </cell>
          <cell r="CY63">
            <v>0.10594036725621603</v>
          </cell>
          <cell r="CZ63">
            <v>0.10249600669415937</v>
          </cell>
          <cell r="DA63">
            <v>3.1612141062304699E-2</v>
          </cell>
          <cell r="DB63">
            <v>-9.0883129513462668E-3</v>
          </cell>
          <cell r="DC63">
            <v>8.3702623449514846E-2</v>
          </cell>
          <cell r="DD63">
            <v>3.481617119235958E-2</v>
          </cell>
          <cell r="DE63">
            <v>4.285768068222473E-2</v>
          </cell>
          <cell r="DF63">
            <v>0.10133039616273321</v>
          </cell>
          <cell r="DG63">
            <v>-6.8326358354338756E-2</v>
          </cell>
          <cell r="DH63">
            <v>1.7540635222229595E-2</v>
          </cell>
          <cell r="DI63">
            <v>0.19727535526063966</v>
          </cell>
          <cell r="DJ63">
            <v>0.10527097635839035</v>
          </cell>
          <cell r="DK63">
            <v>3.0632914236491837E-2</v>
          </cell>
          <cell r="DL63">
            <v>-0.2257415545513265</v>
          </cell>
          <cell r="DM63">
            <v>-0.10424692104178235</v>
          </cell>
          <cell r="DN63">
            <v>0.15969183845810586</v>
          </cell>
          <cell r="DO63">
            <v>0.13201339659805078</v>
          </cell>
          <cell r="DP63">
            <v>0.18538896885114009</v>
          </cell>
          <cell r="DQ63">
            <v>0.12895116438882104</v>
          </cell>
          <cell r="DR63">
            <v>0.10140090273150747</v>
          </cell>
          <cell r="DS63">
            <v>3.8410009244964849E-2</v>
          </cell>
          <cell r="DT63">
            <v>4.3834136156981396E-2</v>
          </cell>
          <cell r="DU63">
            <v>-9.9272091270705007E-2</v>
          </cell>
          <cell r="DV63">
            <v>-0.11562420250090621</v>
          </cell>
          <cell r="DW63">
            <v>9.8227906271230334E-2</v>
          </cell>
          <cell r="DX63">
            <v>0.13188230719495131</v>
          </cell>
          <cell r="DY63">
            <v>4.5119990913830899E-2</v>
          </cell>
          <cell r="DZ63">
            <v>2.4028078538818054E-3</v>
          </cell>
          <cell r="EA63">
            <v>7.5653975241849913E-2</v>
          </cell>
          <cell r="EB63">
            <v>0.14170901195340968</v>
          </cell>
          <cell r="EC63">
            <v>4.2190024012100258E-2</v>
          </cell>
          <cell r="ED63">
            <v>6.6515782507608812E-2</v>
          </cell>
          <cell r="EE63">
            <v>6.9288641933914707E-2</v>
          </cell>
          <cell r="EF63">
            <v>-3.5746239335790464E-2</v>
          </cell>
          <cell r="EG63">
            <v>6.4367049738376814E-2</v>
          </cell>
          <cell r="EH63">
            <v>0.14662754134478773</v>
          </cell>
          <cell r="EI63">
            <v>3.6484951277578892E-2</v>
          </cell>
          <cell r="EJ63">
            <v>1.4602917706977081E-2</v>
          </cell>
          <cell r="EK63">
            <v>5.062499999999992E-2</v>
          </cell>
          <cell r="EL63">
            <v>5.062499999999992E-2</v>
          </cell>
          <cell r="EM63">
            <v>5.062499999999992E-2</v>
          </cell>
          <cell r="EN63">
            <v>5.062499999999992E-2</v>
          </cell>
          <cell r="EO63">
            <v>5.062499999999992E-2</v>
          </cell>
          <cell r="EP63">
            <v>5.062499999999992E-2</v>
          </cell>
          <cell r="EQ63">
            <v>5.062499999999992E-2</v>
          </cell>
          <cell r="ER63">
            <v>5.062499999999992E-2</v>
          </cell>
          <cell r="ES63">
            <v>5.062499999999992E-2</v>
          </cell>
          <cell r="ET63">
            <v>5.062499999999992E-2</v>
          </cell>
          <cell r="EU63">
            <v>5.062499999999992E-2</v>
          </cell>
          <cell r="EV63">
            <v>5.062499999999992E-2</v>
          </cell>
          <cell r="EW63">
            <v>5.062499999999992E-2</v>
          </cell>
          <cell r="EX63">
            <v>5.062499999999992E-2</v>
          </cell>
          <cell r="EY63">
            <v>5.062499999999992E-2</v>
          </cell>
          <cell r="EZ63">
            <v>5.062499999999992E-2</v>
          </cell>
          <cell r="FA63">
            <v>5.062499999999992E-2</v>
          </cell>
          <cell r="FB63">
            <v>5.062499999999992E-2</v>
          </cell>
          <cell r="FC63">
            <v>5.062499999999992E-2</v>
          </cell>
          <cell r="FD63">
            <v>5.062499999999992E-2</v>
          </cell>
          <cell r="FE63">
            <v>5.062499999999992E-2</v>
          </cell>
          <cell r="FF63">
            <v>5.062499999999992E-2</v>
          </cell>
          <cell r="FG63">
            <v>5.062499999999992E-2</v>
          </cell>
          <cell r="FH63">
            <v>5.062499999999992E-2</v>
          </cell>
          <cell r="FI63">
            <v>5.062499999999992E-2</v>
          </cell>
          <cell r="FJ63">
            <v>5.062499999999992E-2</v>
          </cell>
          <cell r="FK63">
            <v>5.062499999999992E-2</v>
          </cell>
          <cell r="FL63">
            <v>5.062499999999992E-2</v>
          </cell>
          <cell r="FM63">
            <v>5.062499999999992E-2</v>
          </cell>
          <cell r="FN63">
            <v>5.062499999999992E-2</v>
          </cell>
          <cell r="FO63">
            <v>5.062499999999992E-2</v>
          </cell>
          <cell r="FP63">
            <v>5.062499999999992E-2</v>
          </cell>
          <cell r="FQ63">
            <v>5.062499999999992E-2</v>
          </cell>
          <cell r="FR63">
            <v>5.062499999999992E-2</v>
          </cell>
          <cell r="FS63">
            <v>5.062499999999992E-2</v>
          </cell>
          <cell r="FT63">
            <v>5.062499999999992E-2</v>
          </cell>
          <cell r="FU63">
            <v>5.062499999999992E-2</v>
          </cell>
        </row>
        <row r="64">
          <cell r="A64" t="str">
            <v>6MoFIg</v>
          </cell>
          <cell r="B64" t="str">
            <v>Fixed income return</v>
          </cell>
          <cell r="D64">
            <v>7.0084114493313532E-2</v>
          </cell>
          <cell r="E64">
            <v>6.6942362367536923E-2</v>
          </cell>
          <cell r="F64">
            <v>8.2906313142509833E-2</v>
          </cell>
          <cell r="G64">
            <v>3.4860086972962723E-2</v>
          </cell>
          <cell r="H64">
            <v>9.0257712059707659E-2</v>
          </cell>
          <cell r="I64">
            <v>0.10096038778632919</v>
          </cell>
          <cell r="J64">
            <v>6.8777930975284063E-2</v>
          </cell>
          <cell r="K64">
            <v>5.6546869717686965E-2</v>
          </cell>
          <cell r="L64">
            <v>-8.2472881330408754E-3</v>
          </cell>
          <cell r="M64">
            <v>-6.4235403833410976E-2</v>
          </cell>
          <cell r="N64">
            <v>-3.4412422687195687E-2</v>
          </cell>
          <cell r="O64">
            <v>1.8557760899668541E-2</v>
          </cell>
          <cell r="P64">
            <v>6.017035775127777E-2</v>
          </cell>
          <cell r="Q64">
            <v>9.8410802014563536E-2</v>
          </cell>
          <cell r="R64">
            <v>9.8969612467491461E-2</v>
          </cell>
          <cell r="S64">
            <v>7.9837409046583208E-2</v>
          </cell>
          <cell r="T64">
            <v>2.5959256943101083E-2</v>
          </cell>
          <cell r="U64">
            <v>1.3133615543254207E-2</v>
          </cell>
          <cell r="V64">
            <v>9.3746304118395477E-2</v>
          </cell>
          <cell r="W64">
            <v>0.10469252196271706</v>
          </cell>
          <cell r="X64">
            <v>2.9580786932061676E-2</v>
          </cell>
          <cell r="Y64">
            <v>5.7417216230894574E-2</v>
          </cell>
          <cell r="Z64">
            <v>0.11304649197615246</v>
          </cell>
          <cell r="AA64">
            <v>6.1339526183427084E-2</v>
          </cell>
          <cell r="AB64">
            <v>3.9310457024703815E-2</v>
          </cell>
          <cell r="AC64">
            <v>4.4742327195550491E-2</v>
          </cell>
          <cell r="AD64">
            <v>5.1803861531185769E-2</v>
          </cell>
          <cell r="AE64">
            <v>4.8483845886615251E-2</v>
          </cell>
          <cell r="AF64">
            <v>1.3973314301076734E-2</v>
          </cell>
          <cell r="AG64">
            <v>-1.4929078349884217E-2</v>
          </cell>
          <cell r="AH64">
            <v>-3.471393780384302E-4</v>
          </cell>
          <cell r="AI64">
            <v>2.7806182177743111E-3</v>
          </cell>
          <cell r="AJ64">
            <v>1.8247375555799694E-2</v>
          </cell>
          <cell r="AK64">
            <v>5.8757744835809866E-2</v>
          </cell>
          <cell r="AL64">
            <v>3.9885006252963207E-2</v>
          </cell>
          <cell r="AM64">
            <v>5.8267027085414647E-2</v>
          </cell>
          <cell r="AN64">
            <v>7.519975428619996E-2</v>
          </cell>
          <cell r="AO64">
            <v>1.4918428343217549E-2</v>
          </cell>
          <cell r="AP64">
            <v>2.9267457955884479E-2</v>
          </cell>
          <cell r="AQ64">
            <v>3.9313914643012593E-2</v>
          </cell>
          <cell r="AR64">
            <v>-5.8309886328057337E-3</v>
          </cell>
          <cell r="AS64">
            <v>2.1745670367618208E-2</v>
          </cell>
          <cell r="AT64">
            <v>6.3895862006534188E-2</v>
          </cell>
          <cell r="AU64">
            <v>6.4960447137943245E-2</v>
          </cell>
          <cell r="AV64">
            <v>3.5109802680753699E-2</v>
          </cell>
          <cell r="AW64">
            <v>3.1203098102437155E-2</v>
          </cell>
          <cell r="AX64">
            <v>1.9315399872659844E-2</v>
          </cell>
          <cell r="AY64">
            <v>-7.0146633443379791E-4</v>
          </cell>
          <cell r="AZ64">
            <v>2.1934695958964801E-2</v>
          </cell>
          <cell r="BA64">
            <v>2.3993393102677008E-2</v>
          </cell>
          <cell r="BB64">
            <v>2.9747969087458914E-2</v>
          </cell>
          <cell r="BC64">
            <v>4.4531142962471515E-2</v>
          </cell>
          <cell r="BD64">
            <v>1.7724999564056709E-2</v>
          </cell>
          <cell r="BE64">
            <v>3.1937366170763593E-2</v>
          </cell>
          <cell r="BF64">
            <v>3.9058385577110277E-2</v>
          </cell>
          <cell r="BG64">
            <v>2.5127107539093085E-2</v>
          </cell>
          <cell r="BH64">
            <v>2.7271579287217129E-2</v>
          </cell>
          <cell r="BI64">
            <v>8.7842565125615391E-3</v>
          </cell>
          <cell r="BJ64">
            <v>1.9997670319596983E-2</v>
          </cell>
          <cell r="BK64">
            <v>2.2584332189249601E-2</v>
          </cell>
          <cell r="BL64">
            <v>1.668784783342514E-2</v>
          </cell>
          <cell r="BM64">
            <v>1.6913346942976082E-2</v>
          </cell>
          <cell r="BN64">
            <v>1.7748880443205994E-2</v>
          </cell>
          <cell r="BO64">
            <v>1.7420373036630465E-2</v>
          </cell>
          <cell r="BP64">
            <v>2.4715885241221702E-2</v>
          </cell>
          <cell r="BQ64">
            <v>2.6326558069215356E-2</v>
          </cell>
          <cell r="BR64">
            <v>5.7591163941300039E-2</v>
          </cell>
          <cell r="BS64">
            <v>0.12000819981087506</v>
          </cell>
          <cell r="BT64">
            <v>6.6327545298407342E-2</v>
          </cell>
          <cell r="BU64">
            <v>-1.0526664923191542E-2</v>
          </cell>
          <cell r="BV64">
            <v>4.1416178389501734E-3</v>
          </cell>
          <cell r="BW64">
            <v>2.8165872381425539E-2</v>
          </cell>
          <cell r="BX64">
            <v>2.3033313437283987E-2</v>
          </cell>
          <cell r="BY64">
            <v>4.901080211194575E-2</v>
          </cell>
          <cell r="BZ64">
            <v>4.9227844300828494E-2</v>
          </cell>
          <cell r="CA64">
            <v>1.0810312982610482E-2</v>
          </cell>
          <cell r="CB64">
            <v>1.8435263212859931E-2</v>
          </cell>
          <cell r="CC64">
            <v>4.4179947711294743E-2</v>
          </cell>
          <cell r="CD64">
            <v>7.0698170881770439E-2</v>
          </cell>
          <cell r="CE64">
            <v>6.6616327734368763E-2</v>
          </cell>
          <cell r="CF64">
            <v>2.7395900327880085E-2</v>
          </cell>
          <cell r="CG64">
            <v>5.3892935774072948E-2</v>
          </cell>
          <cell r="CH64">
            <v>6.6440108594984615E-2</v>
          </cell>
          <cell r="CI64">
            <v>2.1962181228794675E-2</v>
          </cell>
          <cell r="CJ64">
            <v>3.7169527078586562E-3</v>
          </cell>
          <cell r="CK64">
            <v>5.6885967101847346E-3</v>
          </cell>
          <cell r="CL64">
            <v>1.4444147325310297E-2</v>
          </cell>
          <cell r="CM64">
            <v>1.4088194051556702E-2</v>
          </cell>
          <cell r="CN64">
            <v>1.8266169351680794E-2</v>
          </cell>
          <cell r="CO64">
            <v>4.6119319908889622E-2</v>
          </cell>
          <cell r="CP64">
            <v>4.1161769087187494E-2</v>
          </cell>
          <cell r="CQ64">
            <v>4.9686738095085392E-2</v>
          </cell>
          <cell r="CR64">
            <v>6.7336983400292816E-2</v>
          </cell>
          <cell r="CS64">
            <v>6.2777177143666929E-3</v>
          </cell>
          <cell r="CT64">
            <v>1.6855508254831619E-3</v>
          </cell>
          <cell r="CU64">
            <v>1.94633294828781E-2</v>
          </cell>
          <cell r="CV64">
            <v>1.7976122718043497E-2</v>
          </cell>
          <cell r="CW64">
            <v>4.9749360051795755E-2</v>
          </cell>
          <cell r="CX64">
            <v>3.8246307203407159E-2</v>
          </cell>
          <cell r="CY64">
            <v>-1.9587204172035855E-2</v>
          </cell>
          <cell r="CZ64">
            <v>-1.6705733625580366E-2</v>
          </cell>
          <cell r="DA64">
            <v>2.2524376973244165E-2</v>
          </cell>
          <cell r="DB64">
            <v>9.3962449440720963E-3</v>
          </cell>
          <cell r="DC64">
            <v>1.3720963853375068E-2</v>
          </cell>
          <cell r="DD64">
            <v>2.3230277508933472E-2</v>
          </cell>
          <cell r="DE64">
            <v>1.6900462405507133E-2</v>
          </cell>
          <cell r="DF64">
            <v>1.3630459156920294E-2</v>
          </cell>
          <cell r="DG64">
            <v>2.7977880153603252E-2</v>
          </cell>
          <cell r="DH64">
            <v>5.7536091721030358E-2</v>
          </cell>
          <cell r="DI64">
            <v>6.5899891716175274E-2</v>
          </cell>
          <cell r="DJ64">
            <v>5.0874619551761091E-2</v>
          </cell>
          <cell r="DK64">
            <v>6.2918508017597574E-3</v>
          </cell>
          <cell r="DL64">
            <v>1.6269636112474783E-2</v>
          </cell>
          <cell r="DM64">
            <v>3.528679012902658E-2</v>
          </cell>
          <cell r="DN64">
            <v>1.554767416401881E-2</v>
          </cell>
          <cell r="DO64">
            <v>9.193089689715217E-3</v>
          </cell>
          <cell r="DP64">
            <v>-3.3164096587447012E-2</v>
          </cell>
          <cell r="DQ64">
            <v>-1.7431704668777415E-2</v>
          </cell>
          <cell r="DR64">
            <v>1.8377269719900502E-2</v>
          </cell>
          <cell r="DS64">
            <v>-1.1515614398047158E-2</v>
          </cell>
          <cell r="DT64">
            <v>-7.2537510368509639E-2</v>
          </cell>
          <cell r="DU64">
            <v>-9.4632212575510355E-2</v>
          </cell>
          <cell r="DV64">
            <v>-4.4255391896633862E-2</v>
          </cell>
          <cell r="DW64">
            <v>-2.6852435963321541E-3</v>
          </cell>
          <cell r="DX64">
            <v>4.9939320050786273E-2</v>
          </cell>
          <cell r="DY64">
            <v>1.513116203206244E-2</v>
          </cell>
          <cell r="DZ64">
            <v>-3.2228278861450521E-2</v>
          </cell>
          <cell r="EA64">
            <v>3.4926840945133319E-2</v>
          </cell>
          <cell r="EB64">
            <v>4.8504344954975354E-2</v>
          </cell>
          <cell r="EC64">
            <v>1.7883906472513367E-3</v>
          </cell>
          <cell r="ED64">
            <v>2.1566882580506874E-2</v>
          </cell>
          <cell r="EE64">
            <v>2.7481457140412502E-2</v>
          </cell>
          <cell r="EF64">
            <v>1.0252248564832644E-2</v>
          </cell>
          <cell r="EG64">
            <v>3.9544563103035557E-2</v>
          </cell>
          <cell r="EH64">
            <v>3.0366294799272664E-2</v>
          </cell>
          <cell r="EI64">
            <v>-7.5112951004080442E-3</v>
          </cell>
          <cell r="EJ64">
            <v>2.6955473455378964E-3</v>
          </cell>
          <cell r="EK64">
            <v>2.8988333984375059E-2</v>
          </cell>
          <cell r="EL64">
            <v>2.9463866210937439E-2</v>
          </cell>
          <cell r="EM64">
            <v>3.0098104492187305E-2</v>
          </cell>
          <cell r="EN64">
            <v>3.0415321289062325E-2</v>
          </cell>
          <cell r="EO64">
            <v>3.0098104492187305E-2</v>
          </cell>
          <cell r="EP64">
            <v>2.9463866210937439E-2</v>
          </cell>
          <cell r="EQ64">
            <v>2.8829823242187524E-2</v>
          </cell>
          <cell r="ER64">
            <v>2.8354437499999996E-2</v>
          </cell>
          <cell r="ES64">
            <v>2.819600000000011E-2</v>
          </cell>
          <cell r="ET64">
            <v>2.819600000000011E-2</v>
          </cell>
          <cell r="EU64">
            <v>2.819600000000011E-2</v>
          </cell>
          <cell r="EV64">
            <v>2.819600000000011E-2</v>
          </cell>
          <cell r="EW64">
            <v>2.819600000000011E-2</v>
          </cell>
          <cell r="EX64">
            <v>2.819600000000011E-2</v>
          </cell>
          <cell r="EY64">
            <v>2.819600000000011E-2</v>
          </cell>
          <cell r="EZ64">
            <v>2.819600000000011E-2</v>
          </cell>
          <cell r="FA64">
            <v>2.819600000000011E-2</v>
          </cell>
          <cell r="FB64">
            <v>2.819600000000011E-2</v>
          </cell>
          <cell r="FC64">
            <v>2.819600000000011E-2</v>
          </cell>
          <cell r="FD64">
            <v>2.819600000000011E-2</v>
          </cell>
          <cell r="FE64">
            <v>2.819600000000011E-2</v>
          </cell>
          <cell r="FF64">
            <v>2.819600000000011E-2</v>
          </cell>
          <cell r="FG64">
            <v>2.819600000000011E-2</v>
          </cell>
          <cell r="FH64">
            <v>2.819600000000011E-2</v>
          </cell>
          <cell r="FI64">
            <v>2.819600000000011E-2</v>
          </cell>
          <cell r="FJ64">
            <v>2.819600000000011E-2</v>
          </cell>
          <cell r="FK64">
            <v>2.819600000000011E-2</v>
          </cell>
          <cell r="FL64">
            <v>2.819600000000011E-2</v>
          </cell>
          <cell r="FM64">
            <v>2.819600000000011E-2</v>
          </cell>
          <cell r="FN64">
            <v>2.819600000000011E-2</v>
          </cell>
          <cell r="FO64">
            <v>2.819600000000011E-2</v>
          </cell>
          <cell r="FP64">
            <v>2.819600000000011E-2</v>
          </cell>
          <cell r="FQ64">
            <v>2.819600000000011E-2</v>
          </cell>
          <cell r="FR64">
            <v>2.819600000000011E-2</v>
          </cell>
          <cell r="FS64">
            <v>2.819600000000011E-2</v>
          </cell>
          <cell r="FT64">
            <v>2.819600000000011E-2</v>
          </cell>
          <cell r="FU64">
            <v>2.819600000000011E-2</v>
          </cell>
        </row>
        <row r="65">
          <cell r="A65" t="str">
            <v>6MoCashg</v>
          </cell>
          <cell r="B65" t="str">
            <v>Cash return</v>
          </cell>
          <cell r="D65">
            <v>4.0791666666666664E-2</v>
          </cell>
          <cell r="E65">
            <v>3.5791666666666673E-2</v>
          </cell>
          <cell r="F65">
            <v>3.0749999999999996E-2</v>
          </cell>
          <cell r="G65">
            <v>2.8000000000000004E-2</v>
          </cell>
          <cell r="H65">
            <v>2.8125000000000001E-2</v>
          </cell>
          <cell r="I65">
            <v>2.6791666666666668E-2</v>
          </cell>
          <cell r="J65">
            <v>2.4750000000000001E-2</v>
          </cell>
          <cell r="K65">
            <v>2.3708333333333331E-2</v>
          </cell>
          <cell r="L65">
            <v>2.375E-2</v>
          </cell>
          <cell r="M65">
            <v>2.3375E-2</v>
          </cell>
          <cell r="N65">
            <v>2.4499999999999997E-2</v>
          </cell>
          <cell r="O65">
            <v>2.9875000000000002E-2</v>
          </cell>
          <cell r="P65">
            <v>3.5541666666666673E-2</v>
          </cell>
          <cell r="Q65">
            <v>3.7183333333333332E-2</v>
          </cell>
          <cell r="R65">
            <v>3.7058333333333332E-2</v>
          </cell>
          <cell r="S65">
            <v>3.7083333333333336E-2</v>
          </cell>
          <cell r="T65">
            <v>3.7083333333333336E-2</v>
          </cell>
          <cell r="U65">
            <v>3.6583333333333329E-2</v>
          </cell>
          <cell r="V65">
            <v>3.5583333333333328E-2</v>
          </cell>
          <cell r="W65">
            <v>3.3808333333333336E-2</v>
          </cell>
          <cell r="X65">
            <v>3.1383333333333339E-2</v>
          </cell>
          <cell r="Y65">
            <v>2.9316666666666668E-2</v>
          </cell>
          <cell r="Z65">
            <v>2.6699999999999998E-2</v>
          </cell>
          <cell r="AA65">
            <v>2.4908333333333331E-2</v>
          </cell>
          <cell r="AB65">
            <v>2.4900000000000002E-2</v>
          </cell>
          <cell r="AC65">
            <v>2.4883333333333337E-2</v>
          </cell>
          <cell r="AD65">
            <v>2.4891666666666673E-2</v>
          </cell>
          <cell r="AE65">
            <v>2.4691666666666667E-2</v>
          </cell>
          <cell r="AF65">
            <v>2.4049999999999998E-2</v>
          </cell>
          <cell r="AG65">
            <v>2.3699999999999995E-2</v>
          </cell>
          <cell r="AH65">
            <v>2.3783333333333333E-2</v>
          </cell>
          <cell r="AI65">
            <v>2.4166666666666666E-2</v>
          </cell>
          <cell r="AJ65">
            <v>2.5600000000000001E-2</v>
          </cell>
          <cell r="AK65">
            <v>2.8125000000000001E-2</v>
          </cell>
          <cell r="AL65">
            <v>3.0208333333333334E-2</v>
          </cell>
          <cell r="AM65">
            <v>3.1041666666666665E-2</v>
          </cell>
          <cell r="AN65">
            <v>3.0208333333333334E-2</v>
          </cell>
          <cell r="AO65">
            <v>2.7083333333333334E-2</v>
          </cell>
          <cell r="AP65">
            <v>2.4791666666666667E-2</v>
          </cell>
          <cell r="AQ65">
            <v>2.3333333333333334E-2</v>
          </cell>
          <cell r="AR65">
            <v>2.1666666666666664E-2</v>
          </cell>
          <cell r="AS65">
            <v>2.1874999999999999E-2</v>
          </cell>
          <cell r="AT65">
            <v>2.3125E-2</v>
          </cell>
          <cell r="AU65">
            <v>2.375E-2</v>
          </cell>
          <cell r="AV65">
            <v>2.375E-2</v>
          </cell>
          <cell r="AW65">
            <v>2.375E-2</v>
          </cell>
          <cell r="AX65">
            <v>2.375E-2</v>
          </cell>
          <cell r="AY65">
            <v>2.4375000000000001E-2</v>
          </cell>
          <cell r="AZ65">
            <v>2.5624999999999998E-2</v>
          </cell>
          <cell r="BA65">
            <v>2.6249999999999999E-2</v>
          </cell>
          <cell r="BB65">
            <v>2.6249999999999999E-2</v>
          </cell>
          <cell r="BC65">
            <v>2.6249999999999999E-2</v>
          </cell>
          <cell r="BD65">
            <v>2.6458333333333334E-2</v>
          </cell>
          <cell r="BE65">
            <v>2.7083333333333334E-2</v>
          </cell>
          <cell r="BF65">
            <v>2.75E-2</v>
          </cell>
          <cell r="BG65">
            <v>2.75E-2</v>
          </cell>
          <cell r="BH65">
            <v>2.75E-2</v>
          </cell>
          <cell r="BI65">
            <v>2.7916666666666666E-2</v>
          </cell>
          <cell r="BJ65">
            <v>2.8958333333333336E-2</v>
          </cell>
          <cell r="BK65">
            <v>3.0208333333333334E-2</v>
          </cell>
          <cell r="BL65">
            <v>3.1041666666666665E-2</v>
          </cell>
          <cell r="BM65">
            <v>3.125E-2</v>
          </cell>
          <cell r="BN65">
            <v>3.1666666666666662E-2</v>
          </cell>
          <cell r="BO65">
            <v>3.2708333333333332E-2</v>
          </cell>
          <cell r="BP65">
            <v>3.4166666666666665E-2</v>
          </cell>
          <cell r="BQ65">
            <v>3.5624999999999997E-2</v>
          </cell>
          <cell r="BR65">
            <v>3.6041666666666666E-2</v>
          </cell>
          <cell r="BS65">
            <v>3.0833333333333334E-2</v>
          </cell>
          <cell r="BT65">
            <v>2.1874999999999999E-2</v>
          </cell>
          <cell r="BU65">
            <v>1.6458333333333332E-2</v>
          </cell>
          <cell r="BV65">
            <v>1.4999999999999999E-2</v>
          </cell>
          <cell r="BW65">
            <v>1.6250000000000001E-2</v>
          </cell>
          <cell r="BX65">
            <v>1.8333333333333333E-2</v>
          </cell>
          <cell r="BY65">
            <v>2.0625000000000001E-2</v>
          </cell>
          <cell r="BZ65">
            <v>2.2291666666666664E-2</v>
          </cell>
          <cell r="CA65">
            <v>2.2916666666666665E-2</v>
          </cell>
          <cell r="CB65">
            <v>2.3541666666666666E-2</v>
          </cell>
          <cell r="CC65">
            <v>2.375E-2</v>
          </cell>
          <cell r="CD65">
            <v>2.375E-2</v>
          </cell>
          <cell r="CE65">
            <v>2.3125E-2</v>
          </cell>
          <cell r="CF65">
            <v>2.1874999999999999E-2</v>
          </cell>
          <cell r="CG65">
            <v>2.0208333333333335E-2</v>
          </cell>
          <cell r="CH65">
            <v>1.8333333333333333E-2</v>
          </cell>
          <cell r="CI65">
            <v>1.6666666666666666E-2</v>
          </cell>
          <cell r="CJ65">
            <v>1.5416666666666667E-2</v>
          </cell>
          <cell r="CK65">
            <v>1.4583333333333332E-2</v>
          </cell>
          <cell r="CL65">
            <v>1.3541666666666667E-2</v>
          </cell>
          <cell r="CM65">
            <v>1.2708333333333332E-2</v>
          </cell>
          <cell r="CN65">
            <v>1.2500000000000001E-2</v>
          </cell>
          <cell r="CO65">
            <v>1.2500000000000001E-2</v>
          </cell>
          <cell r="CP65">
            <v>1.2500000000000001E-2</v>
          </cell>
          <cell r="CQ65">
            <v>1.2500000000000001E-2</v>
          </cell>
          <cell r="CR65">
            <v>1.2083333333333333E-2</v>
          </cell>
          <cell r="CS65">
            <v>1.1041666666666667E-2</v>
          </cell>
          <cell r="CT65">
            <v>1.0208333333333333E-2</v>
          </cell>
          <cell r="CU65">
            <v>0.01</v>
          </cell>
          <cell r="CV65">
            <v>0.01</v>
          </cell>
          <cell r="CW65">
            <v>9.5833333333333343E-3</v>
          </cell>
          <cell r="CX65">
            <v>8.5416666666666662E-3</v>
          </cell>
          <cell r="CY65">
            <v>7.7083333333333335E-3</v>
          </cell>
          <cell r="CZ65">
            <v>7.4999999999999997E-3</v>
          </cell>
          <cell r="DA65">
            <v>7.4999999999999997E-3</v>
          </cell>
          <cell r="DB65">
            <v>7.4999999999999997E-3</v>
          </cell>
          <cell r="DC65">
            <v>7.4999999999999997E-3</v>
          </cell>
          <cell r="DD65">
            <v>7.4999999999999997E-3</v>
          </cell>
          <cell r="DE65">
            <v>7.4999999999999997E-3</v>
          </cell>
          <cell r="DF65">
            <v>7.4999999999999997E-3</v>
          </cell>
          <cell r="DG65">
            <v>7.4999999999999997E-3</v>
          </cell>
          <cell r="DH65">
            <v>7.4999999999999997E-3</v>
          </cell>
          <cell r="DI65">
            <v>7.2916666666666659E-3</v>
          </cell>
          <cell r="DJ65">
            <v>6.0416666666666665E-3</v>
          </cell>
          <cell r="DK65">
            <v>4.3750000000000004E-3</v>
          </cell>
          <cell r="DL65">
            <v>3.3333333333333331E-3</v>
          </cell>
          <cell r="DM65">
            <v>2.0833333333333333E-3</v>
          </cell>
          <cell r="DN65">
            <v>1.25E-3</v>
          </cell>
          <cell r="DO65">
            <v>1.0000000000000002E-3</v>
          </cell>
          <cell r="DP65">
            <v>6.249999999999999E-4</v>
          </cell>
          <cell r="DQ65">
            <v>5.0000000000000001E-4</v>
          </cell>
          <cell r="DR65">
            <v>5.0000000000000001E-4</v>
          </cell>
          <cell r="DS65">
            <v>5.0000000000000001E-4</v>
          </cell>
          <cell r="DT65">
            <v>5.0000000000000001E-4</v>
          </cell>
          <cell r="DU65">
            <v>1.3333333333333333E-3</v>
          </cell>
          <cell r="DV65">
            <v>5.7083333333333326E-3</v>
          </cell>
          <cell r="DW65">
            <v>1.175E-2</v>
          </cell>
          <cell r="DX65">
            <v>1.55E-2</v>
          </cell>
          <cell r="DY65">
            <v>1.8000000000000002E-2</v>
          </cell>
          <cell r="DZ65">
            <v>1.9875E-2</v>
          </cell>
          <cell r="EA65">
            <v>2.0916666666666667E-2</v>
          </cell>
          <cell r="EB65">
            <v>2.1541666666666667E-2</v>
          </cell>
          <cell r="EC65">
            <v>2.1750000000000002E-2</v>
          </cell>
          <cell r="ED65">
            <v>2.1750000000000002E-2</v>
          </cell>
          <cell r="EE65">
            <v>2.1750000000000002E-2</v>
          </cell>
          <cell r="EF65">
            <v>2.1333333333333333E-2</v>
          </cell>
          <cell r="EG65">
            <v>2.0291666666666666E-2</v>
          </cell>
          <cell r="EH65">
            <v>1.9041666666666669E-2</v>
          </cell>
          <cell r="EI65">
            <v>1.8208333333333337E-2</v>
          </cell>
          <cell r="EJ65">
            <v>1.8396312499999956E-2</v>
          </cell>
          <cell r="EK65">
            <v>1.8869427734375055E-2</v>
          </cell>
          <cell r="EL65">
            <v>1.934261621093758E-2</v>
          </cell>
          <cell r="EM65">
            <v>1.9973729492187564E-2</v>
          </cell>
          <cell r="EN65">
            <v>2.0289383789062532E-2</v>
          </cell>
          <cell r="EO65">
            <v>1.9973729492187564E-2</v>
          </cell>
          <cell r="EP65">
            <v>1.934261621093758E-2</v>
          </cell>
          <cell r="EQ65">
            <v>1.8711698242187325E-2</v>
          </cell>
          <cell r="ER65">
            <v>1.8238656249999874E-2</v>
          </cell>
          <cell r="ES65">
            <v>1.8080999999999792E-2</v>
          </cell>
          <cell r="ET65">
            <v>1.8080999999999792E-2</v>
          </cell>
          <cell r="EU65">
            <v>1.8080999999999792E-2</v>
          </cell>
          <cell r="EV65">
            <v>1.8080999999999792E-2</v>
          </cell>
          <cell r="EW65">
            <v>1.8080999999999792E-2</v>
          </cell>
          <cell r="EX65">
            <v>1.8080999999999792E-2</v>
          </cell>
          <cell r="EY65">
            <v>1.8080999999999792E-2</v>
          </cell>
          <cell r="EZ65">
            <v>1.8080999999999792E-2</v>
          </cell>
          <cell r="FA65">
            <v>1.8080999999999792E-2</v>
          </cell>
          <cell r="FB65">
            <v>1.8080999999999792E-2</v>
          </cell>
          <cell r="FC65">
            <v>1.8080999999999792E-2</v>
          </cell>
          <cell r="FD65">
            <v>1.8080999999999792E-2</v>
          </cell>
          <cell r="FE65">
            <v>1.8080999999999792E-2</v>
          </cell>
          <cell r="FF65">
            <v>1.8080999999999792E-2</v>
          </cell>
          <cell r="FG65">
            <v>1.8080999999999792E-2</v>
          </cell>
          <cell r="FH65">
            <v>1.8080999999999792E-2</v>
          </cell>
          <cell r="FI65">
            <v>1.8080999999999792E-2</v>
          </cell>
          <cell r="FJ65">
            <v>1.8080999999999792E-2</v>
          </cell>
          <cell r="FK65">
            <v>1.8080999999999792E-2</v>
          </cell>
          <cell r="FL65">
            <v>1.8080999999999792E-2</v>
          </cell>
          <cell r="FM65">
            <v>1.8080999999999792E-2</v>
          </cell>
          <cell r="FN65">
            <v>1.8080999999999792E-2</v>
          </cell>
          <cell r="FO65">
            <v>1.8080999999999792E-2</v>
          </cell>
          <cell r="FP65">
            <v>1.8080999999999792E-2</v>
          </cell>
          <cell r="FQ65">
            <v>1.8080999999999792E-2</v>
          </cell>
          <cell r="FR65">
            <v>1.8080999999999792E-2</v>
          </cell>
          <cell r="FS65">
            <v>1.8080999999999792E-2</v>
          </cell>
          <cell r="FT65">
            <v>1.8080999999999792E-2</v>
          </cell>
          <cell r="FU65">
            <v>1.8080999999999792E-2</v>
          </cell>
        </row>
        <row r="66"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  <cell r="CE66"/>
          <cell r="CF66"/>
          <cell r="CG66"/>
          <cell r="CH66"/>
          <cell r="CI66"/>
          <cell r="CJ66"/>
          <cell r="CK66"/>
          <cell r="CL66"/>
          <cell r="CM66"/>
          <cell r="CN66"/>
          <cell r="CO66"/>
          <cell r="CP66"/>
          <cell r="CQ66"/>
          <cell r="CR66"/>
          <cell r="CS66"/>
          <cell r="CT66"/>
          <cell r="CU66"/>
          <cell r="CV66"/>
          <cell r="CW66"/>
          <cell r="CX66"/>
          <cell r="CY66"/>
          <cell r="CZ66"/>
          <cell r="DA66"/>
          <cell r="DB66"/>
          <cell r="DC66"/>
          <cell r="DD66"/>
          <cell r="DE66"/>
          <cell r="DF66"/>
          <cell r="DG66"/>
          <cell r="DH66"/>
          <cell r="DI66"/>
          <cell r="DJ66"/>
          <cell r="DK66"/>
          <cell r="DL66"/>
          <cell r="DM66"/>
          <cell r="DN66"/>
          <cell r="DO66"/>
          <cell r="DP66"/>
          <cell r="DQ66"/>
          <cell r="DR66"/>
          <cell r="DS66"/>
          <cell r="DT66"/>
          <cell r="DU66"/>
          <cell r="DV66"/>
          <cell r="DW66"/>
          <cell r="DX66"/>
          <cell r="DY66"/>
          <cell r="DZ66"/>
          <cell r="EA66"/>
          <cell r="EB66"/>
          <cell r="EC66"/>
          <cell r="ED66"/>
          <cell r="EE66"/>
          <cell r="EG66"/>
          <cell r="EH66"/>
        </row>
        <row r="67">
          <cell r="B67" t="str">
            <v>Market performance (12mo)</v>
          </cell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  <cell r="CE67"/>
          <cell r="CF67"/>
          <cell r="CG67"/>
          <cell r="CH67"/>
          <cell r="CI67"/>
          <cell r="CJ67"/>
          <cell r="CK67"/>
          <cell r="CL67"/>
          <cell r="CM67"/>
          <cell r="CN67"/>
          <cell r="CO67"/>
          <cell r="CP67"/>
          <cell r="CQ67"/>
          <cell r="CR67"/>
          <cell r="CS67"/>
          <cell r="CT67"/>
          <cell r="CU67"/>
          <cell r="CV67"/>
          <cell r="CW67"/>
          <cell r="CX67"/>
          <cell r="CY67"/>
          <cell r="CZ67"/>
          <cell r="DA67"/>
          <cell r="DB67"/>
          <cell r="DC67"/>
          <cell r="DD67"/>
          <cell r="DE67"/>
          <cell r="DF67"/>
          <cell r="DG67"/>
          <cell r="DH67"/>
          <cell r="DI67"/>
          <cell r="DJ67"/>
          <cell r="DK67"/>
          <cell r="DL67"/>
          <cell r="DM67"/>
          <cell r="DN67"/>
          <cell r="DO67"/>
          <cell r="DP67"/>
          <cell r="DQ67"/>
          <cell r="DR67"/>
          <cell r="DS67"/>
          <cell r="DT67"/>
          <cell r="DU67"/>
          <cell r="DV67"/>
          <cell r="DW67"/>
          <cell r="DX67"/>
          <cell r="DY67"/>
          <cell r="DZ67"/>
          <cell r="EA67"/>
          <cell r="EB67"/>
          <cell r="EC67"/>
          <cell r="ED67"/>
          <cell r="EE67"/>
          <cell r="EF67"/>
          <cell r="EG67"/>
          <cell r="EH67"/>
          <cell r="EI67"/>
          <cell r="EJ67"/>
          <cell r="EK67"/>
          <cell r="EL67"/>
          <cell r="EM67"/>
          <cell r="EN67"/>
          <cell r="EO67"/>
          <cell r="EP67"/>
          <cell r="EQ67"/>
          <cell r="ER67"/>
          <cell r="ES67"/>
          <cell r="ET67"/>
          <cell r="EU67"/>
          <cell r="EV67"/>
          <cell r="EW67"/>
          <cell r="EX67"/>
          <cell r="EY67"/>
          <cell r="EZ67"/>
          <cell r="FA67"/>
          <cell r="FB67"/>
          <cell r="FC67"/>
          <cell r="FD67"/>
          <cell r="FE67"/>
          <cell r="FF67"/>
          <cell r="FG67"/>
          <cell r="FH67"/>
          <cell r="FI67"/>
          <cell r="FJ67"/>
          <cell r="FK67"/>
          <cell r="FL67"/>
          <cell r="FM67"/>
          <cell r="FN67"/>
          <cell r="FO67"/>
          <cell r="FP67"/>
          <cell r="FQ67"/>
          <cell r="FR67"/>
          <cell r="FS67"/>
          <cell r="FT67"/>
          <cell r="FU67"/>
        </row>
        <row r="68">
          <cell r="A68" t="str">
            <v>12MoASX200AIg</v>
          </cell>
          <cell r="B68" t="str">
            <v>ASX-200 Accumulation Index return</v>
          </cell>
          <cell r="D68"/>
          <cell r="E68"/>
          <cell r="F68"/>
          <cell r="G68"/>
          <cell r="H68"/>
          <cell r="I68">
            <v>8.3221637655058966E-2</v>
          </cell>
          <cell r="J68">
            <v>0.34222733504905195</v>
          </cell>
          <cell r="K68">
            <v>0.40049482668545894</v>
          </cell>
          <cell r="L68">
            <v>0.22560648271201611</v>
          </cell>
          <cell r="M68">
            <v>0.15265287085851664</v>
          </cell>
          <cell r="N68">
            <v>6.2325840253998566E-2</v>
          </cell>
          <cell r="O68">
            <v>-8.7573031185965267E-2</v>
          </cell>
          <cell r="P68">
            <v>-1.8880234448921396E-2</v>
          </cell>
          <cell r="Q68">
            <v>6.9513417782512521E-2</v>
          </cell>
          <cell r="R68">
            <v>0.10874703119474827</v>
          </cell>
          <cell r="S68">
            <v>0.21104923433103462</v>
          </cell>
          <cell r="T68">
            <v>0.20921721049303632</v>
          </cell>
          <cell r="U68">
            <v>0.14314227532953883</v>
          </cell>
          <cell r="V68">
            <v>0.10687586514971791</v>
          </cell>
          <cell r="W68">
            <v>0.14353793381409363</v>
          </cell>
          <cell r="X68">
            <v>0.13548716410322781</v>
          </cell>
          <cell r="Y68">
            <v>0.27596773521204732</v>
          </cell>
          <cell r="Z68">
            <v>0.26685908839290251</v>
          </cell>
          <cell r="AA68">
            <v>0.12672156150833236</v>
          </cell>
          <cell r="AB68">
            <v>0.18210976697465298</v>
          </cell>
          <cell r="AC68">
            <v>2.0232543988645268E-2</v>
          </cell>
          <cell r="AD68">
            <v>-3.4690316508549479E-2</v>
          </cell>
          <cell r="AE68">
            <v>9.8006907200923532E-2</v>
          </cell>
          <cell r="AF68">
            <v>0.10713880345143689</v>
          </cell>
          <cell r="AG68">
            <v>0.14809937502532544</v>
          </cell>
          <cell r="AH68">
            <v>0.16118326378644965</v>
          </cell>
          <cell r="AI68">
            <v>0.18743410322461007</v>
          </cell>
          <cell r="AJ68">
            <v>0.13183250717372896</v>
          </cell>
          <cell r="AK68">
            <v>0.17933202069886178</v>
          </cell>
          <cell r="AL68">
            <v>0.21159665392286223</v>
          </cell>
          <cell r="AM68">
            <v>6.3596089305921089E-2</v>
          </cell>
          <cell r="AN68">
            <v>3.9003156015483098E-2</v>
          </cell>
          <cell r="AO68">
            <v>9.0657793703608824E-2</v>
          </cell>
          <cell r="AP68">
            <v>-4.3711740818385018E-2</v>
          </cell>
          <cell r="AQ68">
            <v>0.10357632327955102</v>
          </cell>
          <cell r="AR68">
            <v>0.12150298106532142</v>
          </cell>
          <cell r="AS68">
            <v>-4.6905812916549279E-2</v>
          </cell>
          <cell r="AT68">
            <v>1.0041617045087881E-2</v>
          </cell>
          <cell r="AU68">
            <v>-8.7749078513590484E-2</v>
          </cell>
          <cell r="AV68">
            <v>-0.11929939535563028</v>
          </cell>
          <cell r="AW68">
            <v>-1.7149132575565051E-2</v>
          </cell>
          <cell r="AX68">
            <v>0.11442514793389445</v>
          </cell>
          <cell r="AY68">
            <v>0.14612401044308987</v>
          </cell>
          <cell r="AZ68">
            <v>0.2340768491826872</v>
          </cell>
          <cell r="BA68">
            <v>0.21607667755160787</v>
          </cell>
          <cell r="BB68">
            <v>0.20707872543781769</v>
          </cell>
          <cell r="BC68">
            <v>0.27993549220863745</v>
          </cell>
          <cell r="BD68">
            <v>0.25630840316481351</v>
          </cell>
          <cell r="BE68">
            <v>0.2635441891893282</v>
          </cell>
          <cell r="BF68">
            <v>0.32150808175912138</v>
          </cell>
          <cell r="BG68">
            <v>0.22829275171405627</v>
          </cell>
          <cell r="BH68">
            <v>0.30351658719755847</v>
          </cell>
          <cell r="BI68">
            <v>0.23930858307169878</v>
          </cell>
          <cell r="BJ68">
            <v>0.15958191898179286</v>
          </cell>
          <cell r="BK68">
            <v>0.24221614638318598</v>
          </cell>
          <cell r="BL68">
            <v>0.2178439343546863</v>
          </cell>
          <cell r="BM68">
            <v>0.2865970704109877</v>
          </cell>
          <cell r="BN68">
            <v>0.3239519970166409</v>
          </cell>
          <cell r="BO68">
            <v>0.16074963333340045</v>
          </cell>
          <cell r="BP68">
            <v>-7.0387361463338793E-2</v>
          </cell>
          <cell r="BQ68">
            <v>-0.13404613276811228</v>
          </cell>
          <cell r="BR68">
            <v>-0.26760615027424617</v>
          </cell>
          <cell r="BS68">
            <v>-0.38444951144430756</v>
          </cell>
          <cell r="BT68">
            <v>-0.29519586560514643</v>
          </cell>
          <cell r="BU68">
            <v>-0.20137729142054972</v>
          </cell>
          <cell r="BV68">
            <v>8.3445568752499089E-2</v>
          </cell>
          <cell r="BW68">
            <v>0.37032706464998538</v>
          </cell>
          <cell r="BX68">
            <v>0.41705003615929215</v>
          </cell>
          <cell r="BY68">
            <v>0.1314562404980415</v>
          </cell>
          <cell r="BZ68">
            <v>6.0716352375194127E-3</v>
          </cell>
          <cell r="CA68">
            <v>1.56734946197159E-2</v>
          </cell>
          <cell r="CB68">
            <v>3.4355446831369818E-2</v>
          </cell>
          <cell r="CC68">
            <v>0.1173051094253237</v>
          </cell>
          <cell r="CD68">
            <v>-8.559309062746534E-2</v>
          </cell>
          <cell r="CE68">
            <v>-0.10543370924945773</v>
          </cell>
          <cell r="CF68">
            <v>-6.0611687891934614E-2</v>
          </cell>
          <cell r="CG68">
            <v>-6.713775692734758E-2</v>
          </cell>
          <cell r="CH68">
            <v>0.14829160491334092</v>
          </cell>
          <cell r="CI68">
            <v>0.20257745980690323</v>
          </cell>
          <cell r="CJ68">
            <v>0.19982466081524522</v>
          </cell>
          <cell r="CK68">
            <v>0.22751462685117119</v>
          </cell>
          <cell r="CL68">
            <v>0.24289511402662889</v>
          </cell>
          <cell r="CM68">
            <v>0.20198394951624721</v>
          </cell>
          <cell r="CN68">
            <v>0.13463138835797217</v>
          </cell>
          <cell r="CO68">
            <v>0.17434612488703549</v>
          </cell>
          <cell r="CP68">
            <v>5.9288886208479941E-2</v>
          </cell>
          <cell r="CQ68">
            <v>5.6102265348618507E-2</v>
          </cell>
          <cell r="CR68">
            <v>0.14130278072016522</v>
          </cell>
          <cell r="CS68">
            <v>5.6772393378836439E-2</v>
          </cell>
          <cell r="CT68">
            <v>-6.8194276720573432E-3</v>
          </cell>
          <cell r="CU68">
            <v>2.560824960660435E-2</v>
          </cell>
          <cell r="CV68">
            <v>-9.5913582514281503E-2</v>
          </cell>
          <cell r="CW68">
            <v>5.557556263529273E-3</v>
          </cell>
          <cell r="CX68">
            <v>0.13172852397702983</v>
          </cell>
          <cell r="CY68">
            <v>0.1179723342431689</v>
          </cell>
          <cell r="CZ68">
            <v>0.20490442257464525</v>
          </cell>
          <cell r="DA68">
            <v>0.1409015101524167</v>
          </cell>
          <cell r="DB68">
            <v>9.2476177957713221E-2</v>
          </cell>
          <cell r="DC68">
            <v>0.11796078365159059</v>
          </cell>
          <cell r="DD68">
            <v>2.5411437981449625E-2</v>
          </cell>
          <cell r="DE68">
            <v>0.13014760443980355</v>
          </cell>
          <cell r="DF68">
            <v>0.13967450377488411</v>
          </cell>
          <cell r="DG68">
            <v>-2.839698692064363E-2</v>
          </cell>
          <cell r="DH68">
            <v>0.12064843090097721</v>
          </cell>
          <cell r="DI68">
            <v>0.11546989028828293</v>
          </cell>
          <cell r="DJ68">
            <v>0.12465813137641035</v>
          </cell>
          <cell r="DK68">
            <v>0.23395138853580419</v>
          </cell>
          <cell r="DL68">
            <v>-0.14423461204521515</v>
          </cell>
          <cell r="DM68">
            <v>-7.680739379698176E-2</v>
          </cell>
          <cell r="DN68">
            <v>-0.10209879995591276</v>
          </cell>
          <cell r="DO68">
            <v>1.4004485424653934E-2</v>
          </cell>
          <cell r="DP68">
            <v>0.37468591257493711</v>
          </cell>
          <cell r="DQ68">
            <v>0.27798784219311368</v>
          </cell>
          <cell r="DR68">
            <v>0.30558848038061659</v>
          </cell>
          <cell r="DS68">
            <v>0.1723141890501094</v>
          </cell>
          <cell r="DT68">
            <v>0.14967985986526267</v>
          </cell>
          <cell r="DU68">
            <v>-6.4675123969214932E-2</v>
          </cell>
          <cell r="DV68">
            <v>-7.6858353379391842E-2</v>
          </cell>
          <cell r="DW68">
            <v>-1.0795474676162486E-2</v>
          </cell>
          <cell r="DX68">
            <v>1.0093181006494145E-3</v>
          </cell>
          <cell r="DY68">
            <v>0.14777993942350376</v>
          </cell>
          <cell r="DZ68">
            <v>0.13460200289234914</v>
          </cell>
          <cell r="EA68">
            <v>0.12418747283118826</v>
          </cell>
          <cell r="EB68">
            <v>0.1444523193341789</v>
          </cell>
          <cell r="EC68">
            <v>0.12103584228601472</v>
          </cell>
          <cell r="ED68">
            <v>0.21765068027947976</v>
          </cell>
          <cell r="EE68">
            <v>0.11440195541297271</v>
          </cell>
          <cell r="EF68">
            <v>2.8391854090694002E-2</v>
          </cell>
          <cell r="EG68">
            <v>0.13811559713395649</v>
          </cell>
          <cell r="EH68">
            <v>0.10563991882286781</v>
          </cell>
          <cell r="EI68">
            <v>0.10320042968954191</v>
          </cell>
          <cell r="EJ68">
            <v>0.16337164897159928</v>
          </cell>
          <cell r="EK68">
            <v>8.8957001936005975E-2</v>
          </cell>
          <cell r="EL68">
            <v>6.5967190415892718E-2</v>
          </cell>
          <cell r="EM68">
            <v>0.10381289062499977</v>
          </cell>
          <cell r="EN68">
            <v>0.10381289062499977</v>
          </cell>
          <cell r="EO68">
            <v>0.10381289062499977</v>
          </cell>
          <cell r="EP68">
            <v>0.10381289062499977</v>
          </cell>
          <cell r="EQ68">
            <v>0.10381289062499977</v>
          </cell>
          <cell r="ER68">
            <v>0.10381289062499977</v>
          </cell>
          <cell r="ES68">
            <v>0.10381289062499977</v>
          </cell>
          <cell r="ET68">
            <v>0.10381289062499977</v>
          </cell>
          <cell r="EU68">
            <v>0.10381289062499977</v>
          </cell>
          <cell r="EV68">
            <v>0.10381289062499977</v>
          </cell>
          <cell r="EW68">
            <v>0.10381289062499977</v>
          </cell>
          <cell r="EX68">
            <v>0.10381289062499977</v>
          </cell>
          <cell r="EY68">
            <v>0.10381289062499977</v>
          </cell>
          <cell r="EZ68">
            <v>0.10381289062499977</v>
          </cell>
          <cell r="FA68">
            <v>0.10381289062499977</v>
          </cell>
          <cell r="FB68">
            <v>0.10381289062499977</v>
          </cell>
          <cell r="FC68">
            <v>0.10381289062499977</v>
          </cell>
          <cell r="FD68">
            <v>0.10381289062499977</v>
          </cell>
          <cell r="FE68">
            <v>0.10381289062499977</v>
          </cell>
          <cell r="FF68">
            <v>0.10381289062499977</v>
          </cell>
          <cell r="FG68">
            <v>0.10381289062499977</v>
          </cell>
          <cell r="FH68">
            <v>0.10381289062499977</v>
          </cell>
          <cell r="FI68">
            <v>0.10381289062499977</v>
          </cell>
          <cell r="FJ68">
            <v>0.10381289062499977</v>
          </cell>
          <cell r="FK68">
            <v>0.10381289062499977</v>
          </cell>
          <cell r="FL68">
            <v>0.10381289062499977</v>
          </cell>
          <cell r="FM68">
            <v>0.10381289062499977</v>
          </cell>
          <cell r="FN68">
            <v>0.10381289062499977</v>
          </cell>
          <cell r="FO68">
            <v>0.10381289062499977</v>
          </cell>
          <cell r="FP68">
            <v>0.10381289062499977</v>
          </cell>
          <cell r="FQ68">
            <v>0.10381289062499977</v>
          </cell>
          <cell r="FR68">
            <v>0.10381289062499977</v>
          </cell>
          <cell r="FS68">
            <v>0.10381289062499977</v>
          </cell>
          <cell r="FT68">
            <v>0.10381289062499977</v>
          </cell>
          <cell r="FU68">
            <v>0.10381289062499977</v>
          </cell>
        </row>
        <row r="69">
          <cell r="A69" t="str">
            <v>12MoFIg</v>
          </cell>
          <cell r="B69" t="str">
            <v>Fixed income return</v>
          </cell>
          <cell r="D69">
            <v>0.18626021880259658</v>
          </cell>
          <cell r="E69">
            <v>0.22120484014113462</v>
          </cell>
          <cell r="F69">
            <v>0.15880084317832144</v>
          </cell>
          <cell r="G69">
            <v>0.1041360659148076</v>
          </cell>
          <cell r="H69">
            <v>0.18064695934176611</v>
          </cell>
          <cell r="I69">
            <v>0.13933996265834736</v>
          </cell>
          <cell r="J69">
            <v>0.1652433817250214</v>
          </cell>
          <cell r="K69">
            <v>0.1632162513988169</v>
          </cell>
          <cell r="L69">
            <v>5.9963411428295421E-2</v>
          </cell>
          <cell r="M69">
            <v>-1.1320845127554935E-2</v>
          </cell>
          <cell r="N69">
            <v>-4.2375901654979294E-2</v>
          </cell>
          <cell r="O69">
            <v>-4.6869708199376629E-2</v>
          </cell>
          <cell r="P69">
            <v>2.368732727990519E-2</v>
          </cell>
          <cell r="Q69">
            <v>0.11879484704796273</v>
          </cell>
          <cell r="R69">
            <v>0.1650950072074433</v>
          </cell>
          <cell r="S69">
            <v>0.18610507451618563</v>
          </cell>
          <cell r="T69">
            <v>0.12749804701019518</v>
          </cell>
          <cell r="U69">
            <v>9.4019578426224548E-2</v>
          </cell>
          <cell r="V69">
            <v>0.12213914545757198</v>
          </cell>
          <cell r="W69">
            <v>0.11920112883968305</v>
          </cell>
          <cell r="X69">
            <v>0.12610018049825156</v>
          </cell>
          <cell r="Y69">
            <v>0.1681208913649026</v>
          </cell>
          <cell r="Z69">
            <v>0.14597128310077756</v>
          </cell>
          <cell r="AA69">
            <v>0.12227868725269619</v>
          </cell>
          <cell r="AB69">
            <v>0.15680085826547829</v>
          </cell>
          <cell r="AC69">
            <v>0.10882632652949663</v>
          </cell>
          <cell r="AD69">
            <v>9.3150752028324776E-2</v>
          </cell>
          <cell r="AE69">
            <v>9.5395453178523257E-2</v>
          </cell>
          <cell r="AF69">
            <v>6.6501047471447139E-2</v>
          </cell>
          <cell r="AG69">
            <v>3.2830948402785998E-2</v>
          </cell>
          <cell r="AH69">
            <v>1.3621324235402632E-2</v>
          </cell>
          <cell r="AI69">
            <v>-1.2189972199344257E-2</v>
          </cell>
          <cell r="AJ69">
            <v>1.7893901795160039E-2</v>
          </cell>
          <cell r="AK69">
            <v>6.170174590930988E-2</v>
          </cell>
          <cell r="AL69">
            <v>5.8860178496906279E-2</v>
          </cell>
          <cell r="AM69">
            <v>0.12044841103105043</v>
          </cell>
          <cell r="AN69">
            <v>0.11808410320908959</v>
          </cell>
          <cell r="AO69">
            <v>7.4054707896978211E-2</v>
          </cell>
          <cell r="AP69">
            <v>0.10666811788894881</v>
          </cell>
          <cell r="AQ69">
            <v>5.4818844804723321E-2</v>
          </cell>
          <cell r="AR69">
            <v>2.3265811108426959E-2</v>
          </cell>
          <cell r="AS69">
            <v>6.1914492439318458E-2</v>
          </cell>
          <cell r="AT69">
            <v>5.7692297328685083E-2</v>
          </cell>
          <cell r="AU69">
            <v>8.811872597595638E-2</v>
          </cell>
          <cell r="AV69">
            <v>0.10124903579445398</v>
          </cell>
          <cell r="AW69">
            <v>9.819051244520359E-2</v>
          </cell>
          <cell r="AX69">
            <v>5.5103362431642378E-2</v>
          </cell>
          <cell r="AY69">
            <v>3.0479743845154506E-2</v>
          </cell>
          <cell r="AZ69">
            <v>4.1673773255157309E-2</v>
          </cell>
          <cell r="BA69">
            <v>2.3275096210732871E-2</v>
          </cell>
          <cell r="BB69">
            <v>5.2335177703753955E-2</v>
          </cell>
          <cell r="BC69">
            <v>6.9592989283558726E-2</v>
          </cell>
          <cell r="BD69">
            <v>4.8000251390622362E-2</v>
          </cell>
          <cell r="BE69">
            <v>7.789071655203017E-2</v>
          </cell>
          <cell r="BF69">
            <v>5.7475695008494032E-2</v>
          </cell>
          <cell r="BG69">
            <v>5.7866967344144982E-2</v>
          </cell>
          <cell r="BH69">
            <v>6.7395148723424336E-2</v>
          </cell>
          <cell r="BI69">
            <v>3.4132087009696832E-2</v>
          </cell>
          <cell r="BJ69">
            <v>4.7814617658494596E-2</v>
          </cell>
          <cell r="BK69">
            <v>3.1566975268926267E-2</v>
          </cell>
          <cell r="BL69">
            <v>3.7019236232338493E-2</v>
          </cell>
          <cell r="BM69">
            <v>3.9879655778017886E-2</v>
          </cell>
          <cell r="BN69">
            <v>3.473291889268082E-2</v>
          </cell>
          <cell r="BO69">
            <v>3.4628356792651305E-2</v>
          </cell>
          <cell r="BP69">
            <v>4.2903444976622129E-2</v>
          </cell>
          <cell r="BQ69">
            <v>4.4205549568182123E-2</v>
          </cell>
          <cell r="BR69">
            <v>8.3730465781403307E-2</v>
          </cell>
          <cell r="BS69">
            <v>0.14949416072119348</v>
          </cell>
          <cell r="BT69">
            <v>0.12773858977481178</v>
          </cell>
          <cell r="BU69">
            <v>0.10821824878023921</v>
          </cell>
          <cell r="BV69">
            <v>7.0743866482179119E-2</v>
          </cell>
          <cell r="BW69">
            <v>1.7342714757405231E-2</v>
          </cell>
          <cell r="BX69">
            <v>2.7270326458056049E-2</v>
          </cell>
          <cell r="BY69">
            <v>7.8557106490967588E-2</v>
          </cell>
          <cell r="BZ69">
            <v>7.3395038105735333E-2</v>
          </cell>
          <cell r="CA69">
            <v>6.0350937204915134E-2</v>
          </cell>
          <cell r="CB69">
            <v>6.8570635780775824E-2</v>
          </cell>
          <cell r="CC69">
            <v>5.5467859756219706E-2</v>
          </cell>
          <cell r="CD69">
            <v>9.043677348350343E-2</v>
          </cell>
          <cell r="CE69">
            <v>0.11373938132168625</v>
          </cell>
          <cell r="CF69">
            <v>0.10003091125249108</v>
          </cell>
          <cell r="CG69">
            <v>0.1240994129805346</v>
          </cell>
          <cell r="CH69">
            <v>9.5656195515706491E-2</v>
          </cell>
          <cell r="CI69">
            <v>7.7038723425289612E-2</v>
          </cell>
          <cell r="CJ69">
            <v>7.0404016044395723E-2</v>
          </cell>
          <cell r="CK69">
            <v>2.7775711930865921E-2</v>
          </cell>
          <cell r="CL69">
            <v>1.8214788245682456E-2</v>
          </cell>
          <cell r="CM69">
            <v>1.985693281607559E-2</v>
          </cell>
          <cell r="CN69">
            <v>3.2974155918175763E-2</v>
          </cell>
          <cell r="CO69">
            <v>6.0857251888848385E-2</v>
          </cell>
          <cell r="CP69">
            <v>6.0179806283829684E-2</v>
          </cell>
          <cell r="CQ69">
            <v>9.8097576573411546E-2</v>
          </cell>
          <cell r="CR69">
            <v>0.11127046184923106</v>
          </cell>
          <cell r="CS69">
            <v>5.6276375125360767E-2</v>
          </cell>
          <cell r="CT69">
            <v>6.9136034133731927E-2</v>
          </cell>
          <cell r="CU69">
            <v>2.5863232485519916E-2</v>
          </cell>
          <cell r="CV69">
            <v>1.9691973212013103E-2</v>
          </cell>
          <cell r="CW69">
            <v>7.0180977720924353E-2</v>
          </cell>
          <cell r="CX69">
            <v>5.6909950233251072E-2</v>
          </cell>
          <cell r="CY69">
            <v>2.91877050069973E-2</v>
          </cell>
          <cell r="CZ69">
            <v>2.0901640957524448E-2</v>
          </cell>
          <cell r="DA69">
            <v>2.4959832305855301E-3</v>
          </cell>
          <cell r="DB69">
            <v>-7.4664598466247512E-3</v>
          </cell>
          <cell r="DC69">
            <v>3.6554396988888849E-2</v>
          </cell>
          <cell r="DD69">
            <v>3.2844799830598292E-2</v>
          </cell>
          <cell r="DE69">
            <v>3.0853316892653471E-2</v>
          </cell>
          <cell r="DF69">
            <v>3.7177376014643215E-2</v>
          </cell>
          <cell r="DG69">
            <v>4.5351181670832075E-2</v>
          </cell>
          <cell r="DH69">
            <v>7.1950794226202763E-2</v>
          </cell>
          <cell r="DI69">
            <v>9.5721511142349058E-2</v>
          </cell>
          <cell r="DJ69">
            <v>0.11133783804959396</v>
          </cell>
          <cell r="DK69">
            <v>7.260637480446519E-2</v>
          </cell>
          <cell r="DL69">
            <v>6.7971967211703621E-2</v>
          </cell>
          <cell r="DM69">
            <v>4.1800660149551083E-2</v>
          </cell>
          <cell r="DN69">
            <v>3.2070265277537535E-2</v>
          </cell>
          <cell r="DO69">
            <v>4.4804274445260139E-2</v>
          </cell>
          <cell r="DP69">
            <v>-1.8132046991113926E-2</v>
          </cell>
          <cell r="DQ69">
            <v>-8.3988662035268113E-3</v>
          </cell>
          <cell r="DR69">
            <v>-1.539629241555085E-2</v>
          </cell>
          <cell r="DS69">
            <v>-2.874658227755833E-2</v>
          </cell>
          <cell r="DT69">
            <v>-5.5493282041461311E-2</v>
          </cell>
          <cell r="DU69">
            <v>-0.10505807890390395</v>
          </cell>
          <cell r="DV69">
            <v>-0.11358272631657895</v>
          </cell>
          <cell r="DW69">
            <v>-9.7063345629017417E-2</v>
          </cell>
          <cell r="DX69">
            <v>3.4738439742534322E-3</v>
          </cell>
          <cell r="DY69">
            <v>1.2405287579778657E-2</v>
          </cell>
          <cell r="DZ69">
            <v>1.6101582856587804E-2</v>
          </cell>
          <cell r="EA69">
            <v>5.0586486666804431E-2</v>
          </cell>
          <cell r="EB69">
            <v>1.4712854538323938E-2</v>
          </cell>
          <cell r="EC69">
            <v>3.6777694428068886E-2</v>
          </cell>
          <cell r="ED69">
            <v>7.1117315047770635E-2</v>
          </cell>
          <cell r="EE69">
            <v>2.931899536858662E-2</v>
          </cell>
          <cell r="EF69">
            <v>3.2040240186323343E-2</v>
          </cell>
          <cell r="EG69">
            <v>6.8112762459500376E-2</v>
          </cell>
          <cell r="EH69">
            <v>4.0929866166380391E-2</v>
          </cell>
          <cell r="EI69">
            <v>3.1736237119543986E-2</v>
          </cell>
          <cell r="EJ69">
            <v>3.3143695930150763E-2</v>
          </cell>
          <cell r="EK69">
            <v>2.1259298952941208E-2</v>
          </cell>
          <cell r="EL69">
            <v>3.2238834802829519E-2</v>
          </cell>
          <cell r="EM69">
            <v>5.9958932381878549E-2</v>
          </cell>
          <cell r="EN69">
            <v>6.0775340457223326E-2</v>
          </cell>
          <cell r="EO69">
            <v>6.110210487839729E-2</v>
          </cell>
          <cell r="EP69">
            <v>6.0775340457223326E-2</v>
          </cell>
          <cell r="EQ69">
            <v>5.9795650766809594E-2</v>
          </cell>
          <cell r="ER69">
            <v>5.8653735063923795E-2</v>
          </cell>
          <cell r="ES69">
            <v>5.7838708938324102E-2</v>
          </cell>
          <cell r="ET69">
            <v>5.7349919219749967E-2</v>
          </cell>
          <cell r="EU69">
            <v>5.718701441600027E-2</v>
          </cell>
          <cell r="EV69">
            <v>5.718701441600027E-2</v>
          </cell>
          <cell r="EW69">
            <v>5.718701441600027E-2</v>
          </cell>
          <cell r="EX69">
            <v>5.718701441600027E-2</v>
          </cell>
          <cell r="EY69">
            <v>5.718701441600027E-2</v>
          </cell>
          <cell r="EZ69">
            <v>5.718701441600027E-2</v>
          </cell>
          <cell r="FA69">
            <v>5.718701441600027E-2</v>
          </cell>
          <cell r="FB69">
            <v>5.718701441600027E-2</v>
          </cell>
          <cell r="FC69">
            <v>5.718701441600027E-2</v>
          </cell>
          <cell r="FD69">
            <v>5.718701441600027E-2</v>
          </cell>
          <cell r="FE69">
            <v>5.718701441600027E-2</v>
          </cell>
          <cell r="FF69">
            <v>5.718701441600027E-2</v>
          </cell>
          <cell r="FG69">
            <v>5.718701441600027E-2</v>
          </cell>
          <cell r="FH69">
            <v>5.718701441600027E-2</v>
          </cell>
          <cell r="FI69">
            <v>5.718701441600027E-2</v>
          </cell>
          <cell r="FJ69">
            <v>5.718701441600027E-2</v>
          </cell>
          <cell r="FK69">
            <v>5.718701441600027E-2</v>
          </cell>
          <cell r="FL69">
            <v>5.718701441600027E-2</v>
          </cell>
          <cell r="FM69">
            <v>5.718701441600027E-2</v>
          </cell>
          <cell r="FN69">
            <v>5.718701441600027E-2</v>
          </cell>
          <cell r="FO69">
            <v>5.718701441600027E-2</v>
          </cell>
          <cell r="FP69">
            <v>5.718701441600027E-2</v>
          </cell>
          <cell r="FQ69">
            <v>5.718701441600027E-2</v>
          </cell>
          <cell r="FR69">
            <v>5.718701441600027E-2</v>
          </cell>
          <cell r="FS69">
            <v>5.718701441600027E-2</v>
          </cell>
          <cell r="FT69">
            <v>5.718701441600027E-2</v>
          </cell>
          <cell r="FU69">
            <v>5.718701441600027E-2</v>
          </cell>
        </row>
        <row r="70">
          <cell r="A70" t="str">
            <v>12MoCashg</v>
          </cell>
          <cell r="B70" t="str">
            <v>Cash return</v>
          </cell>
          <cell r="D70">
            <v>9.3208333333333351E-2</v>
          </cell>
          <cell r="E70">
            <v>8.3291666666666681E-2</v>
          </cell>
          <cell r="F70">
            <v>7.154166666666667E-2</v>
          </cell>
          <cell r="G70">
            <v>6.3791666666666663E-2</v>
          </cell>
          <cell r="H70">
            <v>5.8875000000000004E-2</v>
          </cell>
          <cell r="I70">
            <v>5.4791666666666676E-2</v>
          </cell>
          <cell r="J70">
            <v>5.2875000000000005E-2</v>
          </cell>
          <cell r="K70">
            <v>5.0499999999999996E-2</v>
          </cell>
          <cell r="L70">
            <v>4.8500000000000008E-2</v>
          </cell>
          <cell r="M70">
            <v>4.7083333333333338E-2</v>
          </cell>
          <cell r="N70">
            <v>4.8250000000000001E-2</v>
          </cell>
          <cell r="O70">
            <v>5.3249999999999999E-2</v>
          </cell>
          <cell r="P70">
            <v>6.0041666666666674E-2</v>
          </cell>
          <cell r="Q70">
            <v>6.7058333333333345E-2</v>
          </cell>
          <cell r="R70">
            <v>7.2600000000000026E-2</v>
          </cell>
          <cell r="S70">
            <v>7.4266666666666661E-2</v>
          </cell>
          <cell r="T70">
            <v>7.4141666666666675E-2</v>
          </cell>
          <cell r="U70">
            <v>7.3666666666666672E-2</v>
          </cell>
          <cell r="V70">
            <v>7.2666666666666657E-2</v>
          </cell>
          <cell r="W70">
            <v>7.0391666666666672E-2</v>
          </cell>
          <cell r="X70">
            <v>6.696666666666666E-2</v>
          </cell>
          <cell r="Y70">
            <v>6.3125000000000014E-2</v>
          </cell>
          <cell r="Z70">
            <v>5.8083333333333348E-2</v>
          </cell>
          <cell r="AA70">
            <v>5.4225000000000023E-2</v>
          </cell>
          <cell r="AB70">
            <v>5.1600000000000007E-2</v>
          </cell>
          <cell r="AC70">
            <v>4.9791666666666679E-2</v>
          </cell>
          <cell r="AD70">
            <v>4.9791666666666679E-2</v>
          </cell>
          <cell r="AE70">
            <v>4.9575000000000008E-2</v>
          </cell>
          <cell r="AF70">
            <v>4.8941666666666668E-2</v>
          </cell>
          <cell r="AG70">
            <v>4.8391666666666666E-2</v>
          </cell>
          <cell r="AH70">
            <v>4.7833333333333325E-2</v>
          </cell>
          <cell r="AI70">
            <v>4.7866666666666662E-2</v>
          </cell>
          <cell r="AJ70">
            <v>4.9383333333333335E-2</v>
          </cell>
          <cell r="AK70">
            <v>5.2291666666666667E-2</v>
          </cell>
          <cell r="AL70">
            <v>5.5808333333333335E-2</v>
          </cell>
          <cell r="AM70">
            <v>5.9166666666666673E-2</v>
          </cell>
          <cell r="AN70">
            <v>6.0416666666666667E-2</v>
          </cell>
          <cell r="AO70">
            <v>5.8125000000000003E-2</v>
          </cell>
          <cell r="AP70">
            <v>5.5E-2</v>
          </cell>
          <cell r="AQ70">
            <v>5.0416666666666672E-2</v>
          </cell>
          <cell r="AR70">
            <v>4.6458333333333331E-2</v>
          </cell>
          <cell r="AS70">
            <v>4.520833333333333E-2</v>
          </cell>
          <cell r="AT70">
            <v>4.4791666666666667E-2</v>
          </cell>
          <cell r="AU70">
            <v>4.5624999999999999E-2</v>
          </cell>
          <cell r="AV70">
            <v>4.6875E-2</v>
          </cell>
          <cell r="AW70">
            <v>4.7500000000000001E-2</v>
          </cell>
          <cell r="AX70">
            <v>4.7500000000000001E-2</v>
          </cell>
          <cell r="AY70">
            <v>4.8125000000000001E-2</v>
          </cell>
          <cell r="AZ70">
            <v>4.9375000000000002E-2</v>
          </cell>
          <cell r="BA70">
            <v>5.0625000000000003E-2</v>
          </cell>
          <cell r="BB70">
            <v>5.1874999999999998E-2</v>
          </cell>
          <cell r="BC70">
            <v>5.2499999999999998E-2</v>
          </cell>
          <cell r="BD70">
            <v>5.2708333333333329E-2</v>
          </cell>
          <cell r="BE70">
            <v>5.333333333333333E-2</v>
          </cell>
          <cell r="BF70">
            <v>5.395833333333333E-2</v>
          </cell>
          <cell r="BG70">
            <v>5.4583333333333331E-2</v>
          </cell>
          <cell r="BH70">
            <v>5.5E-2</v>
          </cell>
          <cell r="BI70">
            <v>5.541666666666667E-2</v>
          </cell>
          <cell r="BJ70">
            <v>5.6458333333333333E-2</v>
          </cell>
          <cell r="BK70">
            <v>5.8125000000000003E-2</v>
          </cell>
          <cell r="BL70">
            <v>0.06</v>
          </cell>
          <cell r="BM70">
            <v>6.145833333333333E-2</v>
          </cell>
          <cell r="BN70">
            <v>6.2708333333333324E-2</v>
          </cell>
          <cell r="BO70">
            <v>6.3958333333333325E-2</v>
          </cell>
          <cell r="BP70">
            <v>6.5833333333333327E-2</v>
          </cell>
          <cell r="BQ70">
            <v>6.8333333333333329E-2</v>
          </cell>
          <cell r="BR70">
            <v>7.0208333333333331E-2</v>
          </cell>
          <cell r="BS70">
            <v>6.6458333333333328E-2</v>
          </cell>
          <cell r="BT70">
            <v>5.7916666666666672E-2</v>
          </cell>
          <cell r="BU70">
            <v>4.7291666666666669E-2</v>
          </cell>
          <cell r="BV70">
            <v>3.6874999999999998E-2</v>
          </cell>
          <cell r="BW70">
            <v>3.2708333333333332E-2</v>
          </cell>
          <cell r="BX70">
            <v>3.3333333333333333E-2</v>
          </cell>
          <cell r="BY70">
            <v>3.6874999999999998E-2</v>
          </cell>
          <cell r="BZ70">
            <v>4.0625000000000001E-2</v>
          </cell>
          <cell r="CA70">
            <v>4.3541666666666673E-2</v>
          </cell>
          <cell r="CB70">
            <v>4.583333333333333E-2</v>
          </cell>
          <cell r="CC70">
            <v>4.6666666666666669E-2</v>
          </cell>
          <cell r="CD70">
            <v>4.7291666666666669E-2</v>
          </cell>
          <cell r="CE70">
            <v>4.6875E-2</v>
          </cell>
          <cell r="CF70">
            <v>4.5624999999999999E-2</v>
          </cell>
          <cell r="CG70">
            <v>4.3333333333333328E-2</v>
          </cell>
          <cell r="CH70">
            <v>4.0208333333333332E-2</v>
          </cell>
          <cell r="CI70">
            <v>3.6874999999999998E-2</v>
          </cell>
          <cell r="CJ70">
            <v>3.3750000000000002E-2</v>
          </cell>
          <cell r="CK70">
            <v>3.125E-2</v>
          </cell>
          <cell r="CL70">
            <v>2.8958333333333336E-2</v>
          </cell>
          <cell r="CM70">
            <v>2.7291666666666665E-2</v>
          </cell>
          <cell r="CN70">
            <v>2.6041666666666664E-2</v>
          </cell>
          <cell r="CO70">
            <v>2.5208333333333336E-2</v>
          </cell>
          <cell r="CP70">
            <v>2.5000000000000001E-2</v>
          </cell>
          <cell r="CQ70">
            <v>2.5000000000000001E-2</v>
          </cell>
          <cell r="CR70">
            <v>2.4583333333333336E-2</v>
          </cell>
          <cell r="CS70">
            <v>2.3541666666666666E-2</v>
          </cell>
          <cell r="CT70">
            <v>2.2291666666666664E-2</v>
          </cell>
          <cell r="CU70">
            <v>2.1041666666666667E-2</v>
          </cell>
          <cell r="CV70">
            <v>2.0208333333333335E-2</v>
          </cell>
          <cell r="CW70">
            <v>1.9583333333333331E-2</v>
          </cell>
          <cell r="CX70">
            <v>1.8541666666666668E-2</v>
          </cell>
          <cell r="CY70">
            <v>1.7291666666666667E-2</v>
          </cell>
          <cell r="CZ70">
            <v>1.6041666666666666E-2</v>
          </cell>
          <cell r="DA70">
            <v>1.5208333333333332E-2</v>
          </cell>
          <cell r="DB70">
            <v>1.4999999999999999E-2</v>
          </cell>
          <cell r="DC70">
            <v>1.4999999999999999E-2</v>
          </cell>
          <cell r="DD70">
            <v>1.4999999999999999E-2</v>
          </cell>
          <cell r="DE70">
            <v>1.4999999999999999E-2</v>
          </cell>
          <cell r="DF70">
            <v>1.4999999999999999E-2</v>
          </cell>
          <cell r="DG70">
            <v>1.4999999999999999E-2</v>
          </cell>
          <cell r="DH70">
            <v>1.4999999999999999E-2</v>
          </cell>
          <cell r="DI70">
            <v>1.4791666666666668E-2</v>
          </cell>
          <cell r="DJ70">
            <v>1.3541666666666667E-2</v>
          </cell>
          <cell r="DK70">
            <v>1.1666666666666667E-2</v>
          </cell>
          <cell r="DL70">
            <v>9.3749999999999997E-3</v>
          </cell>
          <cell r="DM70">
            <v>6.4583333333333333E-3</v>
          </cell>
          <cell r="DN70">
            <v>4.5833333333333334E-3</v>
          </cell>
          <cell r="DO70">
            <v>3.0833333333333333E-3</v>
          </cell>
          <cell r="DP70">
            <v>1.8750000000000004E-3</v>
          </cell>
          <cell r="DQ70">
            <v>1.5000000000000005E-3</v>
          </cell>
          <cell r="DR70">
            <v>1.1250000000000001E-3</v>
          </cell>
          <cell r="DS70">
            <v>1E-3</v>
          </cell>
          <cell r="DT70">
            <v>1E-3</v>
          </cell>
          <cell r="DU70">
            <v>1.8333333333333333E-3</v>
          </cell>
          <cell r="DV70">
            <v>6.2083333333333322E-3</v>
          </cell>
          <cell r="DW70">
            <v>1.3083333333333334E-2</v>
          </cell>
          <cell r="DX70">
            <v>2.1208333333333336E-2</v>
          </cell>
          <cell r="DY70">
            <v>2.9750000000000002E-2</v>
          </cell>
          <cell r="DZ70">
            <v>3.5375000000000011E-2</v>
          </cell>
          <cell r="EA70">
            <v>3.8916666666666676E-2</v>
          </cell>
          <cell r="EB70">
            <v>4.1416666666666678E-2</v>
          </cell>
          <cell r="EC70">
            <v>4.2666666666666672E-2</v>
          </cell>
          <cell r="ED70">
            <v>4.3291666666666673E-2</v>
          </cell>
          <cell r="EE70">
            <v>4.3500000000000004E-2</v>
          </cell>
          <cell r="EF70">
            <v>4.3083333333333342E-2</v>
          </cell>
          <cell r="EG70">
            <v>4.2041666666666672E-2</v>
          </cell>
          <cell r="EH70">
            <v>4.0375000000000008E-2</v>
          </cell>
          <cell r="EI70">
            <v>3.8500000000000006E-2</v>
          </cell>
          <cell r="EJ70">
            <v>3.7880489988844968E-2</v>
          </cell>
          <cell r="EK70">
            <v>3.7505780701528435E-2</v>
          </cell>
          <cell r="EL70">
            <v>3.8094761523321585E-2</v>
          </cell>
          <cell r="EM70">
            <v>3.9220050071801404E-2</v>
          </cell>
          <cell r="EN70">
            <v>4.0024449763788494E-2</v>
          </cell>
          <cell r="EO70">
            <v>4.0346408854202265E-2</v>
          </cell>
          <cell r="EP70">
            <v>4.0024449763788272E-2</v>
          </cell>
          <cell r="EQ70">
            <v>3.9059170133403764E-2</v>
          </cell>
          <cell r="ER70">
            <v>3.7934055788984455E-2</v>
          </cell>
          <cell r="ES70">
            <v>3.7131024458104234E-2</v>
          </cell>
          <cell r="ET70">
            <v>3.6649429393655897E-2</v>
          </cell>
          <cell r="EU70">
            <v>3.6488922560999448E-2</v>
          </cell>
          <cell r="EV70">
            <v>3.6488922560999448E-2</v>
          </cell>
          <cell r="EW70">
            <v>3.6488922560999448E-2</v>
          </cell>
          <cell r="EX70">
            <v>3.6488922560999448E-2</v>
          </cell>
          <cell r="EY70">
            <v>3.6488922560999448E-2</v>
          </cell>
          <cell r="EZ70">
            <v>3.6488922560999448E-2</v>
          </cell>
          <cell r="FA70">
            <v>3.6488922560999448E-2</v>
          </cell>
          <cell r="FB70">
            <v>3.6488922560999448E-2</v>
          </cell>
          <cell r="FC70">
            <v>3.6488922560999448E-2</v>
          </cell>
          <cell r="FD70">
            <v>3.6488922560999448E-2</v>
          </cell>
          <cell r="FE70">
            <v>3.6488922560999448E-2</v>
          </cell>
          <cell r="FF70">
            <v>3.6488922560999448E-2</v>
          </cell>
          <cell r="FG70">
            <v>3.6488922560999448E-2</v>
          </cell>
          <cell r="FH70">
            <v>3.6488922560999448E-2</v>
          </cell>
          <cell r="FI70">
            <v>3.6488922560999448E-2</v>
          </cell>
          <cell r="FJ70">
            <v>3.6488922560999448E-2</v>
          </cell>
          <cell r="FK70">
            <v>3.6488922560999448E-2</v>
          </cell>
          <cell r="FL70">
            <v>3.6488922560999448E-2</v>
          </cell>
          <cell r="FM70">
            <v>3.6488922560999448E-2</v>
          </cell>
          <cell r="FN70">
            <v>3.6488922560999448E-2</v>
          </cell>
          <cell r="FO70">
            <v>3.6488922560999448E-2</v>
          </cell>
          <cell r="FP70">
            <v>3.6488922560999448E-2</v>
          </cell>
          <cell r="FQ70">
            <v>3.6488922560999448E-2</v>
          </cell>
          <cell r="FR70">
            <v>3.6488922560999448E-2</v>
          </cell>
          <cell r="FS70">
            <v>3.6488922560999448E-2</v>
          </cell>
          <cell r="FT70">
            <v>3.6488922560999448E-2</v>
          </cell>
          <cell r="FU70">
            <v>3.6488922560999448E-2</v>
          </cell>
        </row>
        <row r="71"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  <cell r="CE71"/>
          <cell r="CF71"/>
          <cell r="CG71"/>
          <cell r="CH71"/>
          <cell r="CI71"/>
          <cell r="CJ71"/>
          <cell r="CK71"/>
          <cell r="CL71"/>
          <cell r="CM71"/>
          <cell r="CN71"/>
          <cell r="CO71"/>
          <cell r="CP71"/>
          <cell r="CQ71"/>
          <cell r="CR71"/>
          <cell r="CS71"/>
          <cell r="CT71"/>
          <cell r="CU71"/>
          <cell r="CV71"/>
          <cell r="CW71"/>
          <cell r="CX71"/>
          <cell r="CY71"/>
          <cell r="CZ71"/>
          <cell r="DA71"/>
          <cell r="DB71"/>
          <cell r="DC71"/>
          <cell r="DD71"/>
          <cell r="DE71"/>
          <cell r="DF71"/>
          <cell r="DG71"/>
          <cell r="DH71"/>
          <cell r="DI71"/>
          <cell r="DJ71"/>
          <cell r="DK71"/>
          <cell r="DL71"/>
          <cell r="DM71"/>
          <cell r="DN71"/>
          <cell r="DO71"/>
          <cell r="DP71"/>
          <cell r="DQ71"/>
          <cell r="DR71"/>
          <cell r="DS71"/>
          <cell r="DT71"/>
          <cell r="DU71"/>
          <cell r="DV71"/>
          <cell r="DW71"/>
          <cell r="DX71"/>
          <cell r="DY71"/>
          <cell r="DZ71"/>
          <cell r="EA71"/>
          <cell r="EB71"/>
          <cell r="EC71"/>
          <cell r="ED71"/>
          <cell r="EE71"/>
          <cell r="EG71"/>
          <cell r="EH71"/>
        </row>
        <row r="72">
          <cell r="B72" t="str">
            <v>Miscellaneous</v>
          </cell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  <cell r="CE72"/>
          <cell r="CF72"/>
          <cell r="CG72"/>
          <cell r="CH72"/>
          <cell r="CI72"/>
          <cell r="CJ72"/>
          <cell r="CK72"/>
          <cell r="CL72"/>
          <cell r="CM72"/>
          <cell r="CN72"/>
          <cell r="CO72"/>
          <cell r="CP72"/>
          <cell r="CQ72"/>
          <cell r="CR72"/>
          <cell r="CS72"/>
          <cell r="CT72"/>
          <cell r="CU72"/>
          <cell r="CV72"/>
          <cell r="CW72"/>
          <cell r="CX72"/>
          <cell r="CY72"/>
          <cell r="CZ72"/>
          <cell r="DA72"/>
          <cell r="DB72"/>
          <cell r="DC72"/>
          <cell r="DD72"/>
          <cell r="DE72"/>
          <cell r="DF72"/>
          <cell r="DG72"/>
          <cell r="DH72"/>
          <cell r="DI72"/>
          <cell r="DJ72"/>
          <cell r="DK72"/>
          <cell r="DL72"/>
          <cell r="DM72"/>
          <cell r="DN72"/>
          <cell r="DO72"/>
          <cell r="DP72"/>
          <cell r="DQ72"/>
          <cell r="DR72"/>
          <cell r="DS72"/>
          <cell r="DT72"/>
          <cell r="DU72"/>
          <cell r="DV72"/>
          <cell r="DW72"/>
          <cell r="DX72"/>
          <cell r="DY72"/>
          <cell r="DZ72"/>
          <cell r="EA72"/>
          <cell r="EB72"/>
          <cell r="EC72"/>
          <cell r="ED72"/>
          <cell r="EE72"/>
          <cell r="EF72"/>
          <cell r="EG72"/>
          <cell r="EH72"/>
          <cell r="EI72"/>
          <cell r="EJ72"/>
          <cell r="EK72"/>
          <cell r="EL72"/>
          <cell r="EM72"/>
          <cell r="EN72"/>
          <cell r="EO72"/>
          <cell r="EP72"/>
          <cell r="EQ72"/>
          <cell r="ER72"/>
          <cell r="ES72"/>
          <cell r="ET72"/>
          <cell r="EU72"/>
          <cell r="EV72"/>
          <cell r="EW72"/>
          <cell r="EX72"/>
          <cell r="EY72"/>
          <cell r="EZ72"/>
          <cell r="FA72"/>
          <cell r="FB72"/>
          <cell r="FC72"/>
          <cell r="FD72"/>
          <cell r="FE72"/>
          <cell r="FF72"/>
          <cell r="FG72"/>
          <cell r="FH72"/>
          <cell r="FI72"/>
          <cell r="FJ72"/>
          <cell r="FK72"/>
          <cell r="FL72"/>
          <cell r="FM72"/>
          <cell r="FN72"/>
          <cell r="FO72"/>
          <cell r="FP72"/>
          <cell r="FQ72"/>
          <cell r="FR72"/>
          <cell r="FS72"/>
          <cell r="FT72"/>
          <cell r="FU72"/>
        </row>
        <row r="73">
          <cell r="A73" t="str">
            <v>ASS_TXCorpRate</v>
          </cell>
          <cell r="B73" t="str">
            <v>Corporate tax rate</v>
          </cell>
          <cell r="D73">
            <v>0.33</v>
          </cell>
          <cell r="E73">
            <v>0.33</v>
          </cell>
          <cell r="F73">
            <v>0.33</v>
          </cell>
          <cell r="G73">
            <v>0.33</v>
          </cell>
          <cell r="H73">
            <v>0.33</v>
          </cell>
          <cell r="I73">
            <v>0.33</v>
          </cell>
          <cell r="J73">
            <v>0.33</v>
          </cell>
          <cell r="K73">
            <v>0.33</v>
          </cell>
          <cell r="L73">
            <v>0.33</v>
          </cell>
          <cell r="M73">
            <v>0.33</v>
          </cell>
          <cell r="N73">
            <v>0.33</v>
          </cell>
          <cell r="O73">
            <v>0.33</v>
          </cell>
          <cell r="P73">
            <v>0.33</v>
          </cell>
          <cell r="Q73">
            <v>0.33</v>
          </cell>
          <cell r="R73">
            <v>0.33</v>
          </cell>
          <cell r="S73">
            <v>0.36</v>
          </cell>
          <cell r="T73">
            <v>0.36</v>
          </cell>
          <cell r="U73">
            <v>0.36</v>
          </cell>
          <cell r="V73">
            <v>0.36</v>
          </cell>
          <cell r="W73">
            <v>0.36</v>
          </cell>
          <cell r="X73">
            <v>0.36</v>
          </cell>
          <cell r="Y73">
            <v>0.36</v>
          </cell>
          <cell r="Z73">
            <v>0.36</v>
          </cell>
          <cell r="AA73">
            <v>0.36</v>
          </cell>
          <cell r="AB73">
            <v>0.36</v>
          </cell>
          <cell r="AC73">
            <v>0.36</v>
          </cell>
          <cell r="AD73">
            <v>0.36</v>
          </cell>
          <cell r="AE73">
            <v>0.36</v>
          </cell>
          <cell r="AF73">
            <v>0.36</v>
          </cell>
          <cell r="AG73">
            <v>0.36</v>
          </cell>
          <cell r="AH73">
            <v>0.36</v>
          </cell>
          <cell r="AI73">
            <v>0.36</v>
          </cell>
          <cell r="AJ73">
            <v>0.36</v>
          </cell>
          <cell r="AK73">
            <v>0.36</v>
          </cell>
          <cell r="AL73">
            <v>0.36</v>
          </cell>
          <cell r="AM73">
            <v>0.34</v>
          </cell>
          <cell r="AN73">
            <v>0.34</v>
          </cell>
          <cell r="AO73">
            <v>0.34</v>
          </cell>
          <cell r="AP73">
            <v>0.34</v>
          </cell>
          <cell r="AQ73">
            <v>0.3</v>
          </cell>
          <cell r="AR73">
            <v>0.3</v>
          </cell>
          <cell r="AS73">
            <v>0.3</v>
          </cell>
          <cell r="AT73">
            <v>0.3</v>
          </cell>
          <cell r="AU73">
            <v>0.3</v>
          </cell>
          <cell r="AV73">
            <v>0.3</v>
          </cell>
          <cell r="AW73">
            <v>0.3</v>
          </cell>
          <cell r="AX73">
            <v>0.3</v>
          </cell>
          <cell r="AY73">
            <v>0.3</v>
          </cell>
          <cell r="AZ73">
            <v>0.3</v>
          </cell>
          <cell r="BA73">
            <v>0.3</v>
          </cell>
          <cell r="BB73">
            <v>0.3</v>
          </cell>
          <cell r="BC73">
            <v>0.3</v>
          </cell>
          <cell r="BD73">
            <v>0.3</v>
          </cell>
          <cell r="BE73">
            <v>0.3</v>
          </cell>
          <cell r="BF73">
            <v>0.3</v>
          </cell>
          <cell r="BG73">
            <v>0.3</v>
          </cell>
          <cell r="BH73">
            <v>0.3</v>
          </cell>
          <cell r="BI73">
            <v>0.3</v>
          </cell>
          <cell r="BJ73">
            <v>0.3</v>
          </cell>
          <cell r="BK73">
            <v>0.3</v>
          </cell>
          <cell r="BL73">
            <v>0.3</v>
          </cell>
          <cell r="BM73">
            <v>0.3</v>
          </cell>
          <cell r="BN73">
            <v>0.3</v>
          </cell>
          <cell r="BO73">
            <v>0.3</v>
          </cell>
          <cell r="BP73">
            <v>0.3</v>
          </cell>
          <cell r="BQ73">
            <v>0.3</v>
          </cell>
          <cell r="BR73">
            <v>0.3</v>
          </cell>
          <cell r="BS73">
            <v>0.3</v>
          </cell>
          <cell r="BT73">
            <v>0.3</v>
          </cell>
          <cell r="BU73">
            <v>0.3</v>
          </cell>
          <cell r="BV73">
            <v>0.3</v>
          </cell>
          <cell r="BW73">
            <v>0.3</v>
          </cell>
          <cell r="BX73">
            <v>0.3</v>
          </cell>
          <cell r="BY73">
            <v>0.3</v>
          </cell>
          <cell r="BZ73">
            <v>0.3</v>
          </cell>
          <cell r="CA73">
            <v>0.3</v>
          </cell>
          <cell r="CB73">
            <v>0.3</v>
          </cell>
          <cell r="CC73">
            <v>0.3</v>
          </cell>
          <cell r="CD73">
            <v>0.3</v>
          </cell>
          <cell r="CE73">
            <v>0.3</v>
          </cell>
          <cell r="CF73">
            <v>0.3</v>
          </cell>
          <cell r="CG73">
            <v>0.3</v>
          </cell>
          <cell r="CH73">
            <v>0.3</v>
          </cell>
          <cell r="CI73">
            <v>0.3</v>
          </cell>
          <cell r="CJ73">
            <v>0.3</v>
          </cell>
          <cell r="CK73">
            <v>0.3</v>
          </cell>
          <cell r="CL73">
            <v>0.3</v>
          </cell>
          <cell r="CM73">
            <v>0.3</v>
          </cell>
          <cell r="CN73">
            <v>0.3</v>
          </cell>
          <cell r="CO73">
            <v>0.3</v>
          </cell>
          <cell r="CP73">
            <v>0.3</v>
          </cell>
          <cell r="CQ73">
            <v>0.3</v>
          </cell>
          <cell r="CR73">
            <v>0.3</v>
          </cell>
          <cell r="CS73">
            <v>0.3</v>
          </cell>
          <cell r="CT73">
            <v>0.3</v>
          </cell>
          <cell r="CU73">
            <v>0.3</v>
          </cell>
          <cell r="CV73">
            <v>0.3</v>
          </cell>
          <cell r="CW73">
            <v>0.3</v>
          </cell>
          <cell r="CX73">
            <v>0.3</v>
          </cell>
          <cell r="CY73">
            <v>0.3</v>
          </cell>
          <cell r="CZ73">
            <v>0.3</v>
          </cell>
          <cell r="DA73">
            <v>0.3</v>
          </cell>
          <cell r="DB73">
            <v>0.3</v>
          </cell>
          <cell r="DC73">
            <v>0.3</v>
          </cell>
          <cell r="DD73">
            <v>0.3</v>
          </cell>
          <cell r="DE73">
            <v>0.3</v>
          </cell>
          <cell r="DF73">
            <v>0.3</v>
          </cell>
          <cell r="DG73">
            <v>0.3</v>
          </cell>
          <cell r="DH73">
            <v>0.3</v>
          </cell>
          <cell r="DI73">
            <v>0.3</v>
          </cell>
          <cell r="DJ73">
            <v>0.3</v>
          </cell>
          <cell r="DK73">
            <v>0.3</v>
          </cell>
          <cell r="DL73">
            <v>0.3</v>
          </cell>
          <cell r="DM73">
            <v>0.3</v>
          </cell>
          <cell r="DN73">
            <v>0.3</v>
          </cell>
          <cell r="DO73">
            <v>0.3</v>
          </cell>
          <cell r="DP73">
            <v>0.3</v>
          </cell>
          <cell r="DQ73">
            <v>0.3</v>
          </cell>
          <cell r="DR73">
            <v>0.3</v>
          </cell>
          <cell r="DS73">
            <v>0.3</v>
          </cell>
          <cell r="DT73">
            <v>0.3</v>
          </cell>
          <cell r="DU73">
            <v>0.3</v>
          </cell>
          <cell r="DV73">
            <v>0.3</v>
          </cell>
          <cell r="DW73">
            <v>0.3</v>
          </cell>
          <cell r="DX73">
            <v>0.3</v>
          </cell>
          <cell r="DY73">
            <v>0.3</v>
          </cell>
          <cell r="DZ73">
            <v>0.3</v>
          </cell>
          <cell r="EA73">
            <v>0.3</v>
          </cell>
          <cell r="EB73">
            <v>0.3</v>
          </cell>
          <cell r="EC73">
            <v>0.3</v>
          </cell>
          <cell r="ED73">
            <v>0.3</v>
          </cell>
          <cell r="EE73">
            <v>0.3</v>
          </cell>
          <cell r="EF73">
            <v>0.3</v>
          </cell>
          <cell r="EG73">
            <v>0.3</v>
          </cell>
          <cell r="EH73">
            <v>0.3</v>
          </cell>
          <cell r="EI73">
            <v>0.3</v>
          </cell>
          <cell r="EJ73">
            <v>0.3</v>
          </cell>
          <cell r="EK73">
            <v>0.3</v>
          </cell>
          <cell r="EL73">
            <v>0.3</v>
          </cell>
          <cell r="EM73">
            <v>0.3</v>
          </cell>
          <cell r="EN73">
            <v>0.3</v>
          </cell>
          <cell r="EO73">
            <v>0.3</v>
          </cell>
          <cell r="EP73">
            <v>0.3</v>
          </cell>
          <cell r="EQ73">
            <v>0.3</v>
          </cell>
          <cell r="ER73">
            <v>0.3</v>
          </cell>
          <cell r="ES73">
            <v>0.3</v>
          </cell>
          <cell r="ET73">
            <v>0.3</v>
          </cell>
          <cell r="EU73">
            <v>0.3</v>
          </cell>
          <cell r="EV73">
            <v>0.3</v>
          </cell>
          <cell r="EW73">
            <v>0.3</v>
          </cell>
          <cell r="EX73">
            <v>0.3</v>
          </cell>
          <cell r="EY73">
            <v>0.3</v>
          </cell>
          <cell r="EZ73">
            <v>0.3</v>
          </cell>
          <cell r="FA73">
            <v>0.3</v>
          </cell>
          <cell r="FB73">
            <v>0.3</v>
          </cell>
          <cell r="FC73">
            <v>0.3</v>
          </cell>
          <cell r="FD73">
            <v>0.3</v>
          </cell>
          <cell r="FE73">
            <v>0.3</v>
          </cell>
          <cell r="FF73">
            <v>0.3</v>
          </cell>
          <cell r="FG73">
            <v>0.3</v>
          </cell>
          <cell r="FH73">
            <v>0.3</v>
          </cell>
          <cell r="FI73">
            <v>0.3</v>
          </cell>
          <cell r="FJ73">
            <v>0.3</v>
          </cell>
          <cell r="FK73">
            <v>0.3</v>
          </cell>
          <cell r="FL73">
            <v>0.3</v>
          </cell>
          <cell r="FM73">
            <v>0.3</v>
          </cell>
          <cell r="FN73">
            <v>0.3</v>
          </cell>
          <cell r="FO73">
            <v>0.3</v>
          </cell>
          <cell r="FP73">
            <v>0.3</v>
          </cell>
          <cell r="FQ73">
            <v>0.3</v>
          </cell>
          <cell r="FR73">
            <v>0.3</v>
          </cell>
          <cell r="FS73">
            <v>0.3</v>
          </cell>
          <cell r="FT73">
            <v>0.3</v>
          </cell>
          <cell r="FU73">
            <v>0.3</v>
          </cell>
        </row>
        <row r="74">
          <cell r="A74" t="str">
            <v>ASS_TXFrankingValued</v>
          </cell>
          <cell r="B74" t="str">
            <v>Proportion of franking credits valued</v>
          </cell>
          <cell r="D74">
            <v>0.6</v>
          </cell>
          <cell r="E74">
            <v>0.6</v>
          </cell>
          <cell r="F74">
            <v>0.6</v>
          </cell>
          <cell r="G74">
            <v>0.6</v>
          </cell>
          <cell r="H74">
            <v>0.6</v>
          </cell>
          <cell r="I74">
            <v>0.6</v>
          </cell>
          <cell r="J74">
            <v>0.6</v>
          </cell>
          <cell r="K74">
            <v>0.6</v>
          </cell>
          <cell r="L74">
            <v>0.6</v>
          </cell>
          <cell r="M74">
            <v>0.6</v>
          </cell>
          <cell r="N74">
            <v>0.6</v>
          </cell>
          <cell r="O74">
            <v>0.6</v>
          </cell>
          <cell r="P74">
            <v>0.6</v>
          </cell>
          <cell r="Q74">
            <v>0.6</v>
          </cell>
          <cell r="R74">
            <v>0.6</v>
          </cell>
          <cell r="S74">
            <v>0.6</v>
          </cell>
          <cell r="T74">
            <v>0.6</v>
          </cell>
          <cell r="U74">
            <v>0.6</v>
          </cell>
          <cell r="V74">
            <v>0.6</v>
          </cell>
          <cell r="W74">
            <v>0.6</v>
          </cell>
          <cell r="X74">
            <v>0.6</v>
          </cell>
          <cell r="Y74">
            <v>0.6</v>
          </cell>
          <cell r="Z74">
            <v>0.6</v>
          </cell>
          <cell r="AA74">
            <v>0.6</v>
          </cell>
          <cell r="AB74">
            <v>0.6</v>
          </cell>
          <cell r="AC74">
            <v>0.6</v>
          </cell>
          <cell r="AD74">
            <v>0.6</v>
          </cell>
          <cell r="AE74">
            <v>0.6</v>
          </cell>
          <cell r="AF74">
            <v>0.6</v>
          </cell>
          <cell r="AG74">
            <v>0.6</v>
          </cell>
          <cell r="AH74">
            <v>0.6</v>
          </cell>
          <cell r="AI74">
            <v>0.6</v>
          </cell>
          <cell r="AJ74">
            <v>0.6</v>
          </cell>
          <cell r="AK74">
            <v>0.6</v>
          </cell>
          <cell r="AL74">
            <v>0.6</v>
          </cell>
          <cell r="AM74">
            <v>0.6</v>
          </cell>
          <cell r="AN74">
            <v>0.6</v>
          </cell>
          <cell r="AO74">
            <v>0.6</v>
          </cell>
          <cell r="AP74">
            <v>0.6</v>
          </cell>
          <cell r="AQ74">
            <v>0.6</v>
          </cell>
          <cell r="AR74">
            <v>0.6</v>
          </cell>
          <cell r="AS74">
            <v>0.6</v>
          </cell>
          <cell r="AT74">
            <v>0.6</v>
          </cell>
          <cell r="AU74">
            <v>0.6</v>
          </cell>
          <cell r="AV74">
            <v>0.6</v>
          </cell>
          <cell r="AW74">
            <v>0.6</v>
          </cell>
          <cell r="AX74">
            <v>0.6</v>
          </cell>
          <cell r="AY74">
            <v>0.6</v>
          </cell>
          <cell r="AZ74">
            <v>0.6</v>
          </cell>
          <cell r="BA74">
            <v>0.6</v>
          </cell>
          <cell r="BB74">
            <v>0.6</v>
          </cell>
          <cell r="BC74">
            <v>0.6</v>
          </cell>
          <cell r="BD74">
            <v>0.6</v>
          </cell>
          <cell r="BE74">
            <v>0.6</v>
          </cell>
          <cell r="BF74">
            <v>0.6</v>
          </cell>
          <cell r="BG74">
            <v>0.6</v>
          </cell>
          <cell r="BH74">
            <v>0.6</v>
          </cell>
          <cell r="BI74">
            <v>0.6</v>
          </cell>
          <cell r="BJ74">
            <v>0.6</v>
          </cell>
          <cell r="BK74">
            <v>0.6</v>
          </cell>
          <cell r="BL74">
            <v>0.6</v>
          </cell>
          <cell r="BM74">
            <v>0.6</v>
          </cell>
          <cell r="BN74">
            <v>0.6</v>
          </cell>
          <cell r="BO74">
            <v>0.6</v>
          </cell>
          <cell r="BP74">
            <v>0.6</v>
          </cell>
          <cell r="BQ74">
            <v>0.6</v>
          </cell>
          <cell r="BR74">
            <v>0.6</v>
          </cell>
          <cell r="BS74">
            <v>0.6</v>
          </cell>
          <cell r="BT74">
            <v>0.6</v>
          </cell>
          <cell r="BU74">
            <v>0.6</v>
          </cell>
          <cell r="BV74">
            <v>0.6</v>
          </cell>
          <cell r="BW74">
            <v>0.6</v>
          </cell>
          <cell r="BX74">
            <v>0.6</v>
          </cell>
          <cell r="BY74">
            <v>0.6</v>
          </cell>
          <cell r="BZ74">
            <v>0.6</v>
          </cell>
          <cell r="CA74">
            <v>0.6</v>
          </cell>
          <cell r="CB74">
            <v>0.6</v>
          </cell>
          <cell r="CC74">
            <v>0.6</v>
          </cell>
          <cell r="CD74">
            <v>0.6</v>
          </cell>
          <cell r="CE74">
            <v>0.6</v>
          </cell>
          <cell r="CF74">
            <v>0.6</v>
          </cell>
          <cell r="CG74">
            <v>0.6</v>
          </cell>
          <cell r="CH74">
            <v>0.6</v>
          </cell>
          <cell r="CI74">
            <v>0.6</v>
          </cell>
          <cell r="CJ74">
            <v>0.6</v>
          </cell>
          <cell r="CK74">
            <v>0.6</v>
          </cell>
          <cell r="CL74">
            <v>0.6</v>
          </cell>
          <cell r="CM74">
            <v>0.6</v>
          </cell>
          <cell r="CN74">
            <v>0.6</v>
          </cell>
          <cell r="CO74">
            <v>0.6</v>
          </cell>
          <cell r="CP74">
            <v>0.6</v>
          </cell>
          <cell r="CQ74">
            <v>0.6</v>
          </cell>
          <cell r="CR74">
            <v>0.6</v>
          </cell>
          <cell r="CS74">
            <v>0.6</v>
          </cell>
          <cell r="CT74">
            <v>0.6</v>
          </cell>
          <cell r="CU74">
            <v>0.6</v>
          </cell>
          <cell r="CV74">
            <v>0.6</v>
          </cell>
          <cell r="CW74">
            <v>0.6</v>
          </cell>
          <cell r="CX74">
            <v>0.6</v>
          </cell>
          <cell r="CY74">
            <v>0.6</v>
          </cell>
          <cell r="CZ74">
            <v>0.6</v>
          </cell>
          <cell r="DA74">
            <v>0.6</v>
          </cell>
          <cell r="DB74">
            <v>0.6</v>
          </cell>
          <cell r="DC74">
            <v>0.6</v>
          </cell>
          <cell r="DD74">
            <v>0.6</v>
          </cell>
          <cell r="DE74">
            <v>0.6</v>
          </cell>
          <cell r="DF74">
            <v>0.6</v>
          </cell>
          <cell r="DG74">
            <v>0.6</v>
          </cell>
          <cell r="DH74">
            <v>0.6</v>
          </cell>
          <cell r="DI74">
            <v>0.6</v>
          </cell>
          <cell r="DJ74">
            <v>0.6</v>
          </cell>
          <cell r="DK74">
            <v>0.6</v>
          </cell>
          <cell r="DL74">
            <v>0.6</v>
          </cell>
          <cell r="DM74">
            <v>0.6</v>
          </cell>
          <cell r="DN74">
            <v>0.6</v>
          </cell>
          <cell r="DO74">
            <v>0.6</v>
          </cell>
          <cell r="DP74">
            <v>0.6</v>
          </cell>
          <cell r="DQ74">
            <v>0.6</v>
          </cell>
          <cell r="DR74">
            <v>0.6</v>
          </cell>
          <cell r="DS74">
            <v>0.6</v>
          </cell>
          <cell r="DT74">
            <v>0.6</v>
          </cell>
          <cell r="DU74">
            <v>0.6</v>
          </cell>
          <cell r="DV74">
            <v>0.6</v>
          </cell>
          <cell r="DW74">
            <v>0.6</v>
          </cell>
          <cell r="DX74">
            <v>0.6</v>
          </cell>
          <cell r="DY74">
            <v>0.6</v>
          </cell>
          <cell r="DZ74">
            <v>0.6</v>
          </cell>
          <cell r="EA74">
            <v>0.6</v>
          </cell>
          <cell r="EB74">
            <v>0.6</v>
          </cell>
          <cell r="EC74">
            <v>0.6</v>
          </cell>
          <cell r="ED74">
            <v>0.6</v>
          </cell>
          <cell r="EE74">
            <v>0.6</v>
          </cell>
          <cell r="EF74">
            <v>0.6</v>
          </cell>
          <cell r="EG74">
            <v>0.6</v>
          </cell>
          <cell r="EH74">
            <v>0.6</v>
          </cell>
          <cell r="EI74">
            <v>0.6</v>
          </cell>
          <cell r="EJ74">
            <v>0.6</v>
          </cell>
          <cell r="EK74">
            <v>0.6</v>
          </cell>
          <cell r="EL74">
            <v>0.6</v>
          </cell>
          <cell r="EM74">
            <v>0.6</v>
          </cell>
          <cell r="EN74">
            <v>0.6</v>
          </cell>
          <cell r="EO74">
            <v>0.6</v>
          </cell>
          <cell r="EP74">
            <v>0.6</v>
          </cell>
          <cell r="EQ74">
            <v>0.6</v>
          </cell>
          <cell r="ER74">
            <v>0.6</v>
          </cell>
          <cell r="ES74">
            <v>0.6</v>
          </cell>
          <cell r="ET74">
            <v>0.6</v>
          </cell>
          <cell r="EU74">
            <v>0.6</v>
          </cell>
          <cell r="EV74">
            <v>0.6</v>
          </cell>
          <cell r="EW74">
            <v>0.6</v>
          </cell>
          <cell r="EX74">
            <v>0.6</v>
          </cell>
          <cell r="EY74">
            <v>0.6</v>
          </cell>
          <cell r="EZ74">
            <v>0.6</v>
          </cell>
          <cell r="FA74">
            <v>0.6</v>
          </cell>
          <cell r="FB74">
            <v>0.6</v>
          </cell>
          <cell r="FC74">
            <v>0.6</v>
          </cell>
          <cell r="FD74">
            <v>0.6</v>
          </cell>
          <cell r="FE74">
            <v>0.6</v>
          </cell>
          <cell r="FF74">
            <v>0.6</v>
          </cell>
          <cell r="FG74">
            <v>0.6</v>
          </cell>
          <cell r="FH74">
            <v>0.6</v>
          </cell>
          <cell r="FI74">
            <v>0.6</v>
          </cell>
          <cell r="FJ74">
            <v>0.6</v>
          </cell>
          <cell r="FK74">
            <v>0.6</v>
          </cell>
          <cell r="FL74">
            <v>0.6</v>
          </cell>
          <cell r="FM74">
            <v>0.6</v>
          </cell>
          <cell r="FN74">
            <v>0.6</v>
          </cell>
          <cell r="FO74">
            <v>0.6</v>
          </cell>
          <cell r="FP74">
            <v>0.6</v>
          </cell>
          <cell r="FQ74">
            <v>0.6</v>
          </cell>
          <cell r="FR74">
            <v>0.6</v>
          </cell>
          <cell r="FS74">
            <v>0.6</v>
          </cell>
          <cell r="FT74">
            <v>0.6</v>
          </cell>
          <cell r="FU74">
            <v>0.6</v>
          </cell>
        </row>
        <row r="75">
          <cell r="A75" t="str">
            <v>au_cpi_yoy</v>
          </cell>
          <cell r="B75" t="str">
            <v>Cost inflation (6mo)</v>
          </cell>
          <cell r="D75">
            <v>1.7000000000000001E-2</v>
          </cell>
          <cell r="E75">
            <v>1.2E-2</v>
          </cell>
          <cell r="F75">
            <v>8.0000000000000002E-3</v>
          </cell>
          <cell r="G75">
            <v>3.0000000000000001E-3</v>
          </cell>
          <cell r="H75">
            <v>1.2E-2</v>
          </cell>
          <cell r="I75">
            <v>1.8000000000000002E-2</v>
          </cell>
          <cell r="J75">
            <v>2.2000000000000002E-2</v>
          </cell>
          <cell r="K75">
            <v>1.8000000000000002E-2</v>
          </cell>
          <cell r="L75">
            <v>1.4999999999999999E-2</v>
          </cell>
          <cell r="M75">
            <v>1.8000000000000002E-2</v>
          </cell>
          <cell r="N75">
            <v>0.02</v>
          </cell>
          <cell r="O75">
            <v>2.6000000000000002E-2</v>
          </cell>
          <cell r="P75">
            <v>3.7000000000000005E-2</v>
          </cell>
          <cell r="Q75">
            <v>4.4999999999999998E-2</v>
          </cell>
          <cell r="R75">
            <v>5.0999999999999997E-2</v>
          </cell>
          <cell r="S75">
            <v>5.0999999999999997E-2</v>
          </cell>
          <cell r="T75">
            <v>3.7999999999999999E-2</v>
          </cell>
          <cell r="U75">
            <v>3.1E-2</v>
          </cell>
          <cell r="V75">
            <v>2.1000000000000001E-2</v>
          </cell>
          <cell r="W75">
            <v>1.4999999999999999E-2</v>
          </cell>
          <cell r="X75">
            <v>1.3999999999999999E-2</v>
          </cell>
          <cell r="Y75">
            <v>3.0000000000000001E-3</v>
          </cell>
          <cell r="Z75">
            <v>-4.0000000000000001E-3</v>
          </cell>
          <cell r="AA75">
            <v>-3.0000000000000001E-3</v>
          </cell>
          <cell r="AB75">
            <v>-1E-3</v>
          </cell>
          <cell r="AC75">
            <v>6.9999999999999993E-3</v>
          </cell>
          <cell r="AD75">
            <v>1.3999999999999999E-2</v>
          </cell>
          <cell r="AE75">
            <v>1.4999999999999999E-2</v>
          </cell>
          <cell r="AF75">
            <v>1.2E-2</v>
          </cell>
          <cell r="AG75">
            <v>0.01</v>
          </cell>
          <cell r="AH75">
            <v>1.8000000000000002E-2</v>
          </cell>
          <cell r="AI75">
            <v>1.9E-2</v>
          </cell>
          <cell r="AJ75">
            <v>2.7999999999999997E-2</v>
          </cell>
          <cell r="AK75">
            <v>3.1E-2</v>
          </cell>
          <cell r="AL75">
            <v>6.0999999999999999E-2</v>
          </cell>
          <cell r="AM75">
            <v>5.7999999999999996E-2</v>
          </cell>
          <cell r="AN75">
            <v>0.06</v>
          </cell>
          <cell r="AO75">
            <v>6.0999999999999999E-2</v>
          </cell>
          <cell r="AP75">
            <v>2.5000000000000001E-2</v>
          </cell>
          <cell r="AQ75">
            <v>3.1E-2</v>
          </cell>
          <cell r="AR75">
            <v>0.03</v>
          </cell>
          <cell r="AS75">
            <v>2.7999999999999997E-2</v>
          </cell>
          <cell r="AT75">
            <v>3.2000000000000001E-2</v>
          </cell>
          <cell r="AU75">
            <v>2.8999999999999998E-2</v>
          </cell>
          <cell r="AV75">
            <v>3.3000000000000002E-2</v>
          </cell>
          <cell r="AW75">
            <v>2.6000000000000002E-2</v>
          </cell>
          <cell r="AX75">
            <v>2.6000000000000002E-2</v>
          </cell>
          <cell r="AY75">
            <v>2.4E-2</v>
          </cell>
          <cell r="AZ75">
            <v>0.02</v>
          </cell>
          <cell r="BA75">
            <v>2.5000000000000001E-2</v>
          </cell>
          <cell r="BB75">
            <v>2.3E-2</v>
          </cell>
          <cell r="BC75">
            <v>2.5000000000000001E-2</v>
          </cell>
          <cell r="BD75">
            <v>2.4E-2</v>
          </cell>
          <cell r="BE75">
            <v>2.5000000000000001E-2</v>
          </cell>
          <cell r="BF75">
            <v>3.1E-2</v>
          </cell>
          <cell r="BG75">
            <v>2.7999999999999997E-2</v>
          </cell>
          <cell r="BH75">
            <v>2.8999999999999998E-2</v>
          </cell>
          <cell r="BI75">
            <v>0.04</v>
          </cell>
          <cell r="BJ75">
            <v>0.04</v>
          </cell>
          <cell r="BK75">
            <v>3.3000000000000002E-2</v>
          </cell>
          <cell r="BL75">
            <v>2.5000000000000001E-2</v>
          </cell>
          <cell r="BM75">
            <v>2.1000000000000001E-2</v>
          </cell>
          <cell r="BN75">
            <v>1.8000000000000002E-2</v>
          </cell>
          <cell r="BO75">
            <v>2.8999999999999998E-2</v>
          </cell>
          <cell r="BP75">
            <v>4.2999999999999997E-2</v>
          </cell>
          <cell r="BQ75">
            <v>4.4000000000000004E-2</v>
          </cell>
          <cell r="BR75">
            <v>0.05</v>
          </cell>
          <cell r="BS75">
            <v>3.7000000000000005E-2</v>
          </cell>
          <cell r="BT75">
            <v>2.4E-2</v>
          </cell>
          <cell r="BU75">
            <v>1.3999999999999999E-2</v>
          </cell>
          <cell r="BV75">
            <v>1.2E-2</v>
          </cell>
          <cell r="BW75">
            <v>2.1000000000000001E-2</v>
          </cell>
          <cell r="BX75">
            <v>2.8999999999999998E-2</v>
          </cell>
          <cell r="BY75">
            <v>3.1E-2</v>
          </cell>
          <cell r="BZ75">
            <v>2.8999999999999998E-2</v>
          </cell>
          <cell r="CA75">
            <v>2.7999999999999997E-2</v>
          </cell>
          <cell r="CB75">
            <v>3.3000000000000002E-2</v>
          </cell>
          <cell r="CC75">
            <v>3.5000000000000003E-2</v>
          </cell>
          <cell r="CD75">
            <v>3.4000000000000002E-2</v>
          </cell>
          <cell r="CE75">
            <v>0.03</v>
          </cell>
          <cell r="CF75">
            <v>1.6E-2</v>
          </cell>
          <cell r="CG75">
            <v>1.2E-2</v>
          </cell>
          <cell r="CH75">
            <v>0.02</v>
          </cell>
          <cell r="CI75">
            <v>2.2000000000000002E-2</v>
          </cell>
          <cell r="CJ75">
            <v>2.5000000000000001E-2</v>
          </cell>
          <cell r="CK75">
            <v>2.4E-2</v>
          </cell>
          <cell r="CL75">
            <v>2.2000000000000002E-2</v>
          </cell>
          <cell r="CM75">
            <v>2.7000000000000003E-2</v>
          </cell>
          <cell r="CN75">
            <v>2.8999999999999998E-2</v>
          </cell>
          <cell r="CO75">
            <v>0.03</v>
          </cell>
          <cell r="CP75">
            <v>2.3E-2</v>
          </cell>
          <cell r="CQ75">
            <v>1.7000000000000001E-2</v>
          </cell>
          <cell r="CR75">
            <v>1.3000000000000001E-2</v>
          </cell>
          <cell r="CS75">
            <v>1.4999999999999999E-2</v>
          </cell>
          <cell r="CT75">
            <v>1.4999999999999999E-2</v>
          </cell>
          <cell r="CU75">
            <v>1.7000000000000001E-2</v>
          </cell>
          <cell r="CV75">
            <v>1.3000000000000001E-2</v>
          </cell>
          <cell r="CW75">
            <v>0.01</v>
          </cell>
          <cell r="CX75">
            <v>1.3000000000000001E-2</v>
          </cell>
          <cell r="CY75">
            <v>1.4999999999999999E-2</v>
          </cell>
          <cell r="CZ75">
            <v>2.1000000000000001E-2</v>
          </cell>
          <cell r="DA75">
            <v>1.9E-2</v>
          </cell>
          <cell r="DB75">
            <v>1.8000000000000002E-2</v>
          </cell>
          <cell r="DC75">
            <v>1.9E-2</v>
          </cell>
          <cell r="DD75">
            <v>1.9E-2</v>
          </cell>
          <cell r="DE75">
            <v>2.1000000000000001E-2</v>
          </cell>
          <cell r="DF75">
            <v>1.9E-2</v>
          </cell>
          <cell r="DG75">
            <v>1.8000000000000002E-2</v>
          </cell>
          <cell r="DH75">
            <v>1.3000000000000001E-2</v>
          </cell>
          <cell r="DI75">
            <v>1.6E-2</v>
          </cell>
          <cell r="DJ75">
            <v>1.7000000000000001E-2</v>
          </cell>
          <cell r="DK75">
            <v>1.8000000000000002E-2</v>
          </cell>
          <cell r="DL75">
            <v>2.2000000000000002E-2</v>
          </cell>
          <cell r="DM75">
            <v>-3.0000000000000001E-3</v>
          </cell>
          <cell r="DN75">
            <v>6.9999999999999993E-3</v>
          </cell>
          <cell r="DO75">
            <v>9.0000000000000011E-3</v>
          </cell>
          <cell r="DP75">
            <v>1.1000000000000001E-2</v>
          </cell>
          <cell r="DQ75">
            <v>3.7999999999999999E-2</v>
          </cell>
          <cell r="DR75">
            <v>0.03</v>
          </cell>
          <cell r="DS75">
            <v>3.5000000000000003E-2</v>
          </cell>
          <cell r="DT75">
            <v>5.0999999999999997E-2</v>
          </cell>
          <cell r="DU75">
            <v>6.0999999999999999E-2</v>
          </cell>
          <cell r="DV75">
            <v>7.2999999999999995E-2</v>
          </cell>
          <cell r="DW75">
            <v>7.8E-2</v>
          </cell>
          <cell r="DX75">
            <v>7.0000000000000007E-2</v>
          </cell>
          <cell r="DY75">
            <v>0.06</v>
          </cell>
          <cell r="DZ75">
            <v>5.4000000000000006E-2</v>
          </cell>
          <cell r="EA75">
            <v>4.0999999999999995E-2</v>
          </cell>
          <cell r="EB75">
            <v>3.6000000000000004E-2</v>
          </cell>
          <cell r="EC75">
            <v>3.7999999999999999E-2</v>
          </cell>
          <cell r="ED75">
            <v>2.7999999999999997E-2</v>
          </cell>
          <cell r="EE75">
            <v>2.4E-2</v>
          </cell>
          <cell r="EF75">
            <v>2.4E-2</v>
          </cell>
          <cell r="EG75">
            <v>2.1000000000000001E-2</v>
          </cell>
          <cell r="EH75">
            <v>3.2000000000000001E-2</v>
          </cell>
          <cell r="EI75">
            <v>0.01</v>
          </cell>
          <cell r="EJ75">
            <v>2.8000000000000001E-2</v>
          </cell>
          <cell r="EK75">
            <v>2.7E-2</v>
          </cell>
          <cell r="EL75">
            <v>2.5000000000000001E-2</v>
          </cell>
          <cell r="EM75">
            <v>2.5000000000000001E-2</v>
          </cell>
          <cell r="EN75">
            <v>2.5000000000000001E-2</v>
          </cell>
          <cell r="EO75">
            <v>2.5000000000000001E-2</v>
          </cell>
          <cell r="EP75">
            <v>2.5000000000000001E-2</v>
          </cell>
          <cell r="EQ75">
            <v>2.5000000000000001E-2</v>
          </cell>
          <cell r="ER75">
            <v>2.5000000000000001E-2</v>
          </cell>
          <cell r="ES75">
            <v>2.5000000000000001E-2</v>
          </cell>
          <cell r="ET75">
            <v>2.5000000000000001E-2</v>
          </cell>
          <cell r="EU75">
            <v>2.5000000000000001E-2</v>
          </cell>
          <cell r="EV75">
            <v>2.5000000000000001E-2</v>
          </cell>
          <cell r="EW75">
            <v>2.5000000000000001E-2</v>
          </cell>
          <cell r="EX75">
            <v>2.5000000000000001E-2</v>
          </cell>
          <cell r="EY75">
            <v>2.5000000000000001E-2</v>
          </cell>
          <cell r="EZ75">
            <v>2.5000000000000001E-2</v>
          </cell>
          <cell r="FA75">
            <v>2.5000000000000001E-2</v>
          </cell>
          <cell r="FB75">
            <v>2.5000000000000001E-2</v>
          </cell>
          <cell r="FC75">
            <v>2.5000000000000001E-2</v>
          </cell>
          <cell r="FD75">
            <v>2.5000000000000001E-2</v>
          </cell>
          <cell r="FE75">
            <v>2.5000000000000001E-2</v>
          </cell>
          <cell r="FF75">
            <v>2.5000000000000001E-2</v>
          </cell>
          <cell r="FG75">
            <v>2.5000000000000001E-2</v>
          </cell>
          <cell r="FH75">
            <v>2.5000000000000001E-2</v>
          </cell>
          <cell r="FI75">
            <v>2.5000000000000001E-2</v>
          </cell>
          <cell r="FJ75">
            <v>2.5000000000000001E-2</v>
          </cell>
          <cell r="FK75">
            <v>2.5000000000000001E-2</v>
          </cell>
          <cell r="FL75">
            <v>2.5000000000000001E-2</v>
          </cell>
          <cell r="FM75">
            <v>2.5000000000000001E-2</v>
          </cell>
          <cell r="FN75">
            <v>2.5000000000000001E-2</v>
          </cell>
          <cell r="FO75">
            <v>2.5000000000000001E-2</v>
          </cell>
          <cell r="FP75">
            <v>2.5000000000000001E-2</v>
          </cell>
          <cell r="FQ75">
            <v>2.5000000000000001E-2</v>
          </cell>
          <cell r="FR75">
            <v>2.5000000000000001E-2</v>
          </cell>
          <cell r="FS75">
            <v>2.5000000000000001E-2</v>
          </cell>
          <cell r="FT75">
            <v>2.5000000000000001E-2</v>
          </cell>
          <cell r="FU75">
            <v>2.5000000000000001E-2</v>
          </cell>
        </row>
        <row r="76">
          <cell r="B76" t="str">
            <v>Target capital ratio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  <cell r="CE76"/>
          <cell r="CF76"/>
          <cell r="CG76"/>
          <cell r="CH76"/>
          <cell r="CI76"/>
          <cell r="CJ76"/>
          <cell r="CK76"/>
          <cell r="CL76"/>
          <cell r="CM76"/>
          <cell r="CN76"/>
          <cell r="CO76"/>
          <cell r="CP76"/>
          <cell r="CQ76"/>
          <cell r="CR76"/>
          <cell r="CS76"/>
          <cell r="CT76"/>
          <cell r="CU76"/>
          <cell r="CV76"/>
          <cell r="CW76"/>
          <cell r="CX76"/>
          <cell r="CY76"/>
          <cell r="CZ76"/>
          <cell r="DA76"/>
          <cell r="DB76"/>
          <cell r="DC76"/>
          <cell r="DD76"/>
          <cell r="DE76"/>
          <cell r="DF76"/>
          <cell r="DG76"/>
          <cell r="DH76"/>
          <cell r="DI76"/>
          <cell r="DJ76"/>
          <cell r="DK76"/>
          <cell r="DL76"/>
          <cell r="DM76"/>
          <cell r="DN76"/>
          <cell r="DO76"/>
          <cell r="DP76"/>
          <cell r="DQ76"/>
          <cell r="DR76"/>
          <cell r="DS76"/>
          <cell r="DT76"/>
          <cell r="DU76"/>
          <cell r="DV76"/>
          <cell r="DW76"/>
          <cell r="DX76"/>
          <cell r="DY76"/>
          <cell r="DZ76"/>
          <cell r="EA76"/>
          <cell r="EB76"/>
          <cell r="EC76"/>
          <cell r="ED76"/>
          <cell r="EE76"/>
          <cell r="EG76"/>
          <cell r="EH76"/>
          <cell r="EJ76"/>
          <cell r="EL76"/>
        </row>
        <row r="77">
          <cell r="B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  <cell r="CE77"/>
          <cell r="CF77"/>
          <cell r="CG77"/>
          <cell r="CH77"/>
          <cell r="CI77"/>
          <cell r="CJ77"/>
          <cell r="CK77"/>
          <cell r="CL77"/>
          <cell r="CM77"/>
          <cell r="CN77"/>
          <cell r="CO77"/>
          <cell r="CP77"/>
          <cell r="CQ77"/>
          <cell r="CR77"/>
          <cell r="CS77"/>
          <cell r="CT77"/>
          <cell r="CU77"/>
          <cell r="CV77"/>
          <cell r="CW77"/>
          <cell r="CX77"/>
          <cell r="CY77"/>
          <cell r="CZ77"/>
          <cell r="DA77"/>
          <cell r="DB77"/>
          <cell r="DC77"/>
          <cell r="DD77"/>
          <cell r="DE77"/>
          <cell r="DF77"/>
          <cell r="DG77"/>
          <cell r="DH77"/>
          <cell r="DI77"/>
          <cell r="DJ77"/>
          <cell r="DK77"/>
          <cell r="DL77"/>
          <cell r="DM77"/>
          <cell r="DN77"/>
          <cell r="DO77"/>
          <cell r="DP77"/>
          <cell r="DQ77"/>
          <cell r="DR77"/>
          <cell r="DS77"/>
          <cell r="DT77"/>
          <cell r="DU77"/>
          <cell r="DV77"/>
          <cell r="DW77"/>
          <cell r="DX77"/>
          <cell r="DY77"/>
          <cell r="DZ77"/>
          <cell r="EA77"/>
          <cell r="EB77"/>
          <cell r="EC77"/>
          <cell r="ED77"/>
          <cell r="EE77"/>
          <cell r="EF77"/>
          <cell r="EG77"/>
          <cell r="EH77"/>
          <cell r="EI77"/>
        </row>
        <row r="78">
          <cell r="B78" t="str">
            <v>System volume growth (3mo)</v>
          </cell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  <cell r="CE78"/>
          <cell r="CF78"/>
          <cell r="CG78"/>
          <cell r="CH78"/>
          <cell r="CI78"/>
          <cell r="CJ78"/>
          <cell r="CK78"/>
          <cell r="CL78"/>
          <cell r="CM78"/>
          <cell r="CN78"/>
          <cell r="CO78"/>
          <cell r="CP78"/>
          <cell r="CQ78"/>
          <cell r="CR78"/>
          <cell r="CS78"/>
          <cell r="CT78"/>
          <cell r="CU78"/>
          <cell r="CV78"/>
          <cell r="CW78"/>
          <cell r="CX78"/>
          <cell r="CY78"/>
          <cell r="CZ78"/>
          <cell r="DA78"/>
          <cell r="DB78"/>
          <cell r="DC78"/>
          <cell r="DD78"/>
          <cell r="DE78"/>
          <cell r="DF78"/>
          <cell r="DG78"/>
          <cell r="DH78"/>
          <cell r="DI78"/>
          <cell r="DJ78"/>
          <cell r="DK78"/>
          <cell r="DL78"/>
          <cell r="DM78"/>
          <cell r="DN78"/>
          <cell r="DO78"/>
          <cell r="DP78"/>
          <cell r="DQ78"/>
          <cell r="DR78"/>
          <cell r="DS78"/>
          <cell r="DT78"/>
          <cell r="DU78"/>
          <cell r="DV78"/>
          <cell r="DW78"/>
          <cell r="DX78"/>
          <cell r="DY78"/>
          <cell r="DZ78"/>
          <cell r="EA78"/>
          <cell r="EB78"/>
          <cell r="EC78"/>
          <cell r="ED78"/>
          <cell r="EE78"/>
          <cell r="EF78"/>
          <cell r="EG78"/>
          <cell r="EH78"/>
          <cell r="EI78"/>
          <cell r="EJ78"/>
          <cell r="EK78"/>
          <cell r="EL78"/>
          <cell r="EM78"/>
          <cell r="EN78"/>
          <cell r="EO78"/>
          <cell r="EP78"/>
          <cell r="EQ78"/>
          <cell r="ER78"/>
          <cell r="ES78"/>
          <cell r="ET78"/>
          <cell r="EU78"/>
          <cell r="EV78"/>
          <cell r="EW78"/>
          <cell r="EX78"/>
          <cell r="EY78"/>
          <cell r="EZ78"/>
          <cell r="FA78"/>
          <cell r="FB78"/>
          <cell r="FC78"/>
          <cell r="FD78"/>
          <cell r="FE78"/>
          <cell r="FF78"/>
          <cell r="FG78"/>
          <cell r="FH78"/>
          <cell r="FI78"/>
          <cell r="FJ78"/>
          <cell r="FK78"/>
          <cell r="FL78"/>
          <cell r="FM78"/>
          <cell r="FN78"/>
          <cell r="FO78"/>
          <cell r="FP78"/>
          <cell r="FQ78"/>
          <cell r="FR78"/>
          <cell r="FS78"/>
          <cell r="FT78"/>
          <cell r="FU78"/>
        </row>
        <row r="79">
          <cell r="A79" t="str">
            <v>3MoSystemAUHCg</v>
          </cell>
          <cell r="B79" t="str">
            <v>Australian housing</v>
          </cell>
          <cell r="D79">
            <v>2.6447229839134057E-2</v>
          </cell>
          <cell r="E79">
            <v>2.9699747226410445E-2</v>
          </cell>
          <cell r="F79">
            <v>3.0280888960947827E-2</v>
          </cell>
          <cell r="G79">
            <v>4.0256851649135728E-2</v>
          </cell>
          <cell r="H79">
            <v>3.6990675750982582E-2</v>
          </cell>
          <cell r="I79">
            <v>4.3286017484811312E-2</v>
          </cell>
          <cell r="J79">
            <v>4.3305734203385349E-2</v>
          </cell>
          <cell r="K79">
            <v>4.4990967918923097E-2</v>
          </cell>
          <cell r="L79">
            <v>5.2440319656710699E-2</v>
          </cell>
          <cell r="M79">
            <v>5.4486523131771714E-2</v>
          </cell>
          <cell r="N79">
            <v>4.8363271200830171E-2</v>
          </cell>
          <cell r="O79">
            <v>3.8632002322383174E-2</v>
          </cell>
          <cell r="P79">
            <v>3.4939791092913008E-2</v>
          </cell>
          <cell r="Q79">
            <v>2.291655634283285E-2</v>
          </cell>
          <cell r="R79">
            <v>2.5682333994439643E-2</v>
          </cell>
          <cell r="S79">
            <v>3.4556798308364556E-2</v>
          </cell>
          <cell r="T79">
            <v>2.938906939873287E-2</v>
          </cell>
          <cell r="U79">
            <v>2.4945338180931254E-2</v>
          </cell>
          <cell r="V79">
            <v>2.9897744297113782E-2</v>
          </cell>
          <cell r="W79">
            <v>2.4047289403414496E-2</v>
          </cell>
          <cell r="X79">
            <v>2.7852791595463833E-2</v>
          </cell>
          <cell r="Y79">
            <v>3.1821132719278111E-2</v>
          </cell>
          <cell r="Z79">
            <v>3.2354577453088007E-2</v>
          </cell>
          <cell r="AA79">
            <v>2.4624665549273672E-2</v>
          </cell>
          <cell r="AB79">
            <v>2.6980135985570364E-2</v>
          </cell>
          <cell r="AC79">
            <v>3.2058004561756448E-2</v>
          </cell>
          <cell r="AD79">
            <v>2.5036127881891357E-2</v>
          </cell>
          <cell r="AE79">
            <v>3.1017372478267191E-2</v>
          </cell>
          <cell r="AF79">
            <v>2.6833572261108607E-2</v>
          </cell>
          <cell r="AG79">
            <v>3.1987354993422201E-2</v>
          </cell>
          <cell r="AH79">
            <v>4.0396350068920173E-2</v>
          </cell>
          <cell r="AI79">
            <v>3.7562748925881628E-2</v>
          </cell>
          <cell r="AJ79">
            <v>4.5118593548579389E-2</v>
          </cell>
          <cell r="AK79">
            <v>3.6816127749241145E-2</v>
          </cell>
          <cell r="AL79">
            <v>2.8888128549387604E-2</v>
          </cell>
          <cell r="AM79">
            <v>2.4207846519223919E-2</v>
          </cell>
          <cell r="AN79">
            <v>3.1190159883006663E-2</v>
          </cell>
          <cell r="AO79">
            <v>3.5461230769255447E-2</v>
          </cell>
          <cell r="AP79">
            <v>3.9620780591983928E-2</v>
          </cell>
          <cell r="AQ79">
            <v>4.5551036045328619E-2</v>
          </cell>
          <cell r="AR79">
            <v>4.6652003813565157E-2</v>
          </cell>
          <cell r="AS79">
            <v>3.7199715282480783E-2</v>
          </cell>
          <cell r="AT79">
            <v>5.029540588427861E-2</v>
          </cell>
          <cell r="AU79">
            <v>3.863271308267846E-2</v>
          </cell>
          <cell r="AV79">
            <v>4.0629589485216444E-2</v>
          </cell>
          <cell r="AW79">
            <v>4.9230125247588852E-2</v>
          </cell>
          <cell r="AX79">
            <v>5.1496581805683173E-2</v>
          </cell>
          <cell r="AY79">
            <v>5.3368963164418304E-2</v>
          </cell>
          <cell r="AZ79">
            <v>4.9340464123147409E-2</v>
          </cell>
          <cell r="BA79">
            <v>3.88224453418895E-2</v>
          </cell>
          <cell r="BB79">
            <v>3.9213280212258228E-2</v>
          </cell>
          <cell r="BC79">
            <v>3.9594943562812679E-2</v>
          </cell>
          <cell r="BD79">
            <v>3.0374399978352784E-2</v>
          </cell>
          <cell r="BE79">
            <v>3.0084557033081216E-2</v>
          </cell>
          <cell r="BF79">
            <v>2.7235043439624906E-2</v>
          </cell>
          <cell r="BG79">
            <v>3.4017042836049338E-2</v>
          </cell>
          <cell r="BH79">
            <v>3.1311352639842971E-2</v>
          </cell>
          <cell r="BI79">
            <v>3.7788386373634353E-2</v>
          </cell>
          <cell r="BJ79">
            <v>3.4643243523051703E-2</v>
          </cell>
          <cell r="BK79">
            <v>2.6461412092120273E-2</v>
          </cell>
          <cell r="BL79">
            <v>2.9672814817619519E-2</v>
          </cell>
          <cell r="BM79">
            <v>3.3106727642933098E-2</v>
          </cell>
          <cell r="BN79">
            <v>2.4824547276508513E-2</v>
          </cell>
          <cell r="BO79">
            <v>2.582545540586989E-2</v>
          </cell>
          <cell r="BP79">
            <v>2.3743776312179055E-2</v>
          </cell>
          <cell r="BQ79">
            <v>1.831913977676991E-2</v>
          </cell>
          <cell r="BR79">
            <v>1.4252091707782633E-2</v>
          </cell>
          <cell r="BS79">
            <v>1.5179229217876511E-2</v>
          </cell>
          <cell r="BT79">
            <v>1.5602906729651256E-2</v>
          </cell>
          <cell r="BU79">
            <v>1.86591540210157E-2</v>
          </cell>
          <cell r="BV79">
            <v>2.0126061748432456E-2</v>
          </cell>
          <cell r="BW79">
            <v>2.0330963610193376E-2</v>
          </cell>
          <cell r="BX79">
            <v>2.0804579076316498E-2</v>
          </cell>
          <cell r="BY79">
            <v>1.6654876483758629E-2</v>
          </cell>
          <cell r="BZ79">
            <v>1.6417439755721741E-2</v>
          </cell>
          <cell r="CA79">
            <v>1.6099562828890246E-2</v>
          </cell>
          <cell r="CB79">
            <v>1.3874515514932906E-2</v>
          </cell>
          <cell r="CC79">
            <v>1.2874893423024281E-2</v>
          </cell>
          <cell r="CD79">
            <v>1.4117079490260975E-2</v>
          </cell>
          <cell r="CE79">
            <v>1.2033844482276956E-2</v>
          </cell>
          <cell r="CF79">
            <v>1.2671585225877635E-2</v>
          </cell>
          <cell r="CG79">
            <v>1.0511839749008267E-2</v>
          </cell>
          <cell r="CH79">
            <v>1.0948943778810394E-2</v>
          </cell>
          <cell r="CI79">
            <v>1.0413041118869426E-2</v>
          </cell>
          <cell r="CJ79">
            <v>1.1696654920734018E-2</v>
          </cell>
          <cell r="CK79">
            <v>1.236705212389988E-2</v>
          </cell>
          <cell r="CL79">
            <v>1.3715365173011307E-2</v>
          </cell>
          <cell r="CM79">
            <v>1.5459305434951442E-2</v>
          </cell>
          <cell r="CN79">
            <v>1.6056410775546759E-2</v>
          </cell>
          <cell r="CO79">
            <v>1.7591517781401445E-2</v>
          </cell>
          <cell r="CP79">
            <v>1.6767735304895837E-2</v>
          </cell>
          <cell r="CQ79">
            <v>1.8066652452652487E-2</v>
          </cell>
          <cell r="CR79">
            <v>1.7709830246990022E-2</v>
          </cell>
          <cell r="CS79">
            <v>1.8428902295341443E-2</v>
          </cell>
          <cell r="CT79">
            <v>1.8422998645567956E-2</v>
          </cell>
          <cell r="CU79">
            <v>1.740981089241922E-2</v>
          </cell>
          <cell r="CV79">
            <v>1.4678292334081799E-2</v>
          </cell>
          <cell r="CW79">
            <v>1.5034039791709253E-2</v>
          </cell>
          <cell r="CX79">
            <v>1.5695774485765979E-2</v>
          </cell>
          <cell r="CY79">
            <v>1.6399665223218118E-2</v>
          </cell>
          <cell r="CZ79">
            <v>1.6182874876405906E-2</v>
          </cell>
          <cell r="DA79">
            <v>1.656090922296638E-2</v>
          </cell>
          <cell r="DB79">
            <v>1.5097382999058384E-2</v>
          </cell>
          <cell r="DC79">
            <v>1.4123135642750473E-2</v>
          </cell>
          <cell r="DD79">
            <v>1.4284023489936626E-2</v>
          </cell>
          <cell r="DE79">
            <v>1.1564482508253704E-2</v>
          </cell>
          <cell r="DF79">
            <v>1.1551878275877225E-2</v>
          </cell>
          <cell r="DG79">
            <v>8.5994129128383889E-3</v>
          </cell>
          <cell r="DH79">
            <v>7.217563496257684E-3</v>
          </cell>
          <cell r="DI79">
            <v>6.6964133421609784E-3</v>
          </cell>
          <cell r="DJ79">
            <v>7.1032794091028251E-3</v>
          </cell>
          <cell r="DK79">
            <v>8.4080760718614478E-3</v>
          </cell>
          <cell r="DL79">
            <v>9.1588501667563271E-3</v>
          </cell>
          <cell r="DM79">
            <v>6.1953918543238284E-3</v>
          </cell>
          <cell r="DN79">
            <v>8.5322536625993539E-3</v>
          </cell>
          <cell r="DO79">
            <v>1.1141216695968792E-2</v>
          </cell>
          <cell r="DP79">
            <v>1.4877459989031339E-2</v>
          </cell>
          <cell r="DQ79">
            <v>1.8153101511475311E-2</v>
          </cell>
          <cell r="DR79">
            <v>1.9199616605253489E-2</v>
          </cell>
          <cell r="DS79">
            <v>2.0259671468420004E-2</v>
          </cell>
          <cell r="DT79">
            <v>1.9659809868530997E-2</v>
          </cell>
          <cell r="DU79">
            <v>1.7920095050807605E-2</v>
          </cell>
          <cell r="DV79">
            <v>1.4334107727999035E-2</v>
          </cell>
          <cell r="DW79">
            <v>1.1192207210688476E-2</v>
          </cell>
          <cell r="DX79">
            <v>1.0292721503670554E-2</v>
          </cell>
          <cell r="DY79">
            <v>9.8884239455618861E-3</v>
          </cell>
          <cell r="DZ79">
            <v>1.0014575228990186E-2</v>
          </cell>
          <cell r="EA79">
            <v>1.0868333633207827E-2</v>
          </cell>
          <cell r="EB79">
            <v>1.1826271872425798E-2</v>
          </cell>
          <cell r="EC79">
            <v>1.3540649167885999E-2</v>
          </cell>
          <cell r="ED79">
            <v>1.4035116400460179E-2</v>
          </cell>
          <cell r="EE79">
            <v>1.4539856975503973E-2</v>
          </cell>
          <cell r="EF79">
            <v>1.376264507416991E-2</v>
          </cell>
          <cell r="EG79">
            <v>1.5822689132960255E-2</v>
          </cell>
          <cell r="EH79">
            <v>1.7622229961168134E-2</v>
          </cell>
          <cell r="EI79">
            <v>1.9616748761806857E-2</v>
          </cell>
          <cell r="EJ79">
            <v>1.6E-2</v>
          </cell>
          <cell r="EK79">
            <v>1.4500000000000001E-2</v>
          </cell>
          <cell r="EL79">
            <v>1.4500000000000001E-2</v>
          </cell>
          <cell r="EM79">
            <v>1.4500000000000001E-2</v>
          </cell>
          <cell r="EN79">
            <v>1.4500000000000001E-2</v>
          </cell>
          <cell r="EO79">
            <v>1.4500000000000001E-2</v>
          </cell>
          <cell r="EP79">
            <v>1.4500000000000001E-2</v>
          </cell>
          <cell r="EQ79">
            <v>1.4500000000000001E-2</v>
          </cell>
          <cell r="ER79">
            <v>1.4500000000000001E-2</v>
          </cell>
          <cell r="ES79">
            <v>1.4500000000000001E-2</v>
          </cell>
          <cell r="ET79">
            <v>1.4500000000000001E-2</v>
          </cell>
          <cell r="EU79">
            <v>1.4500000000000001E-2</v>
          </cell>
          <cell r="EV79">
            <v>1.2500000000000001E-2</v>
          </cell>
          <cell r="EW79">
            <v>1.2500000000000001E-2</v>
          </cell>
          <cell r="EX79">
            <v>1.2500000000000001E-2</v>
          </cell>
          <cell r="EY79">
            <v>1.2500000000000001E-2</v>
          </cell>
          <cell r="EZ79">
            <v>0.01</v>
          </cell>
          <cell r="FA79">
            <v>0.01</v>
          </cell>
          <cell r="FB79">
            <v>0.01</v>
          </cell>
          <cell r="FC79">
            <v>0.01</v>
          </cell>
          <cell r="FD79">
            <v>0.01</v>
          </cell>
          <cell r="FE79">
            <v>0.01</v>
          </cell>
          <cell r="FF79">
            <v>0.01</v>
          </cell>
          <cell r="FG79">
            <v>0.01</v>
          </cell>
          <cell r="FH79">
            <v>0.01</v>
          </cell>
          <cell r="FI79">
            <v>0.01</v>
          </cell>
          <cell r="FJ79">
            <v>0.01</v>
          </cell>
          <cell r="FK79">
            <v>0.01</v>
          </cell>
          <cell r="FL79">
            <v>0.01</v>
          </cell>
          <cell r="FM79">
            <v>0.01</v>
          </cell>
          <cell r="FN79">
            <v>0.01</v>
          </cell>
          <cell r="FO79">
            <v>0.01</v>
          </cell>
          <cell r="FP79">
            <v>0.01</v>
          </cell>
          <cell r="FQ79">
            <v>0.01</v>
          </cell>
          <cell r="FR79">
            <v>0.01</v>
          </cell>
          <cell r="FS79">
            <v>0.01</v>
          </cell>
          <cell r="FT79">
            <v>0.01</v>
          </cell>
          <cell r="FU79">
            <v>0.01</v>
          </cell>
        </row>
        <row r="80">
          <cell r="A80" t="str">
            <v>3MoSystemAUBCg</v>
          </cell>
          <cell r="B80" t="str">
            <v>Australian business</v>
          </cell>
          <cell r="D80">
            <v>-1.6185188420262731E-2</v>
          </cell>
          <cell r="E80">
            <v>-1.3975016183885858E-2</v>
          </cell>
          <cell r="F80">
            <v>-1.2749160530807657E-2</v>
          </cell>
          <cell r="G80">
            <v>-2.7672379657232238E-2</v>
          </cell>
          <cell r="H80">
            <v>5.3688021109987716E-4</v>
          </cell>
          <cell r="I80">
            <v>-7.4825150068072999E-3</v>
          </cell>
          <cell r="J80">
            <v>-4.3470938319585262E-3</v>
          </cell>
          <cell r="K80">
            <v>-3.219192286038064E-3</v>
          </cell>
          <cell r="L80">
            <v>-2.2820778708827483E-3</v>
          </cell>
          <cell r="M80">
            <v>6.5897567417878555E-3</v>
          </cell>
          <cell r="N80">
            <v>8.6630665567979381E-3</v>
          </cell>
          <cell r="O80">
            <v>1.076617413626102E-2</v>
          </cell>
          <cell r="P80">
            <v>1.0294732180073041E-2</v>
          </cell>
          <cell r="Q80">
            <v>2.5473399166718647E-2</v>
          </cell>
          <cell r="R80">
            <v>2.3693185065090328E-2</v>
          </cell>
          <cell r="S80">
            <v>3.8891785309081772E-2</v>
          </cell>
          <cell r="T80">
            <v>4.3683836214568617E-2</v>
          </cell>
          <cell r="U80">
            <v>2.1908447643912865E-2</v>
          </cell>
          <cell r="V80">
            <v>2.4572256523677005E-2</v>
          </cell>
          <cell r="W80">
            <v>1.9034499056178822E-2</v>
          </cell>
          <cell r="X80">
            <v>1.5700038719529408E-2</v>
          </cell>
          <cell r="Y80">
            <v>3.0519016342077654E-2</v>
          </cell>
          <cell r="Z80">
            <v>3.2880066600138314E-2</v>
          </cell>
          <cell r="AA80">
            <v>3.2128876197894618E-2</v>
          </cell>
          <cell r="AB80">
            <v>1.3320604754656351E-2</v>
          </cell>
          <cell r="AC80">
            <v>2.1570005566274864E-2</v>
          </cell>
          <cell r="AD80">
            <v>2.219431274861372E-2</v>
          </cell>
          <cell r="AE80">
            <v>2.3257539860125798E-2</v>
          </cell>
          <cell r="AF80">
            <v>2.0474695309051327E-2</v>
          </cell>
          <cell r="AG80">
            <v>1.5283037699135527E-2</v>
          </cell>
          <cell r="AH80">
            <v>1.3723127554112313E-2</v>
          </cell>
          <cell r="AI80">
            <v>2.0465232023075597E-2</v>
          </cell>
          <cell r="AJ80">
            <v>2.3628927902352492E-2</v>
          </cell>
          <cell r="AK80">
            <v>2.6053617447861388E-2</v>
          </cell>
          <cell r="AL80">
            <v>2.1557690161388532E-2</v>
          </cell>
          <cell r="AM80">
            <v>1.1868295038063081E-2</v>
          </cell>
          <cell r="AN80">
            <v>2.407332776740434E-2</v>
          </cell>
          <cell r="AO80">
            <v>4.6628311540206635E-3</v>
          </cell>
          <cell r="AP80">
            <v>-6.6273127248671626E-3</v>
          </cell>
          <cell r="AQ80">
            <v>-1.3048917517000103E-4</v>
          </cell>
          <cell r="AR80">
            <v>6.8454099165877746E-3</v>
          </cell>
          <cell r="AS80">
            <v>1.7680345780443973E-2</v>
          </cell>
          <cell r="AT80">
            <v>2.245837932909911E-2</v>
          </cell>
          <cell r="AU80">
            <v>3.5105546589593306E-3</v>
          </cell>
          <cell r="AV80">
            <v>3.2325924009051654E-2</v>
          </cell>
          <cell r="AW80">
            <v>4.9230846606087564E-3</v>
          </cell>
          <cell r="AX80">
            <v>2.3727470451093691E-2</v>
          </cell>
          <cell r="AY80">
            <v>2.5994260126582125E-2</v>
          </cell>
          <cell r="AZ80">
            <v>4.9032050715676068E-3</v>
          </cell>
          <cell r="BA80">
            <v>2.8803664452951905E-2</v>
          </cell>
          <cell r="BB80">
            <v>2.348102192559276E-2</v>
          </cell>
          <cell r="BC80">
            <v>2.0880719770479006E-2</v>
          </cell>
          <cell r="BD80">
            <v>3.1282244473737952E-2</v>
          </cell>
          <cell r="BE80">
            <v>3.510426998224303E-2</v>
          </cell>
          <cell r="BF80">
            <v>3.7830102177404124E-2</v>
          </cell>
          <cell r="BG80">
            <v>4.0307250495885016E-2</v>
          </cell>
          <cell r="BH80">
            <v>4.281286289794739E-2</v>
          </cell>
          <cell r="BI80">
            <v>3.7298399069120691E-2</v>
          </cell>
          <cell r="BJ80">
            <v>3.2633031966955661E-2</v>
          </cell>
          <cell r="BK80">
            <v>3.9126635082594508E-2</v>
          </cell>
          <cell r="BL80">
            <v>4.9683851472470897E-2</v>
          </cell>
          <cell r="BM80">
            <v>5.9384848333800866E-2</v>
          </cell>
          <cell r="BN80">
            <v>5.7487334445244009E-2</v>
          </cell>
          <cell r="BO80">
            <v>5.5065590761410377E-2</v>
          </cell>
          <cell r="BP80">
            <v>2.8990350120147168E-2</v>
          </cell>
          <cell r="BQ80">
            <v>1.7234595633705663E-2</v>
          </cell>
          <cell r="BR80">
            <v>3.0646844846142551E-2</v>
          </cell>
          <cell r="BS80">
            <v>9.9816150591440778E-3</v>
          </cell>
          <cell r="BT80">
            <v>-7.4273639894085752E-3</v>
          </cell>
          <cell r="BU80">
            <v>-2.0595892035167873E-2</v>
          </cell>
          <cell r="BV80">
            <v>-2.172569314832884E-2</v>
          </cell>
          <cell r="BW80">
            <v>-1.7535116010381824E-2</v>
          </cell>
          <cell r="BX80">
            <v>-3.1933054230249835E-3</v>
          </cell>
          <cell r="BY80">
            <v>5.6839256576002306E-4</v>
          </cell>
          <cell r="BZ80">
            <v>-1.5274507015876293E-2</v>
          </cell>
          <cell r="CA80">
            <v>-3.7371996432624677E-3</v>
          </cell>
          <cell r="CB80">
            <v>1.0553344316363233E-2</v>
          </cell>
          <cell r="CC80">
            <v>-1.7379487764082047E-2</v>
          </cell>
          <cell r="CD80">
            <v>9.4369449846674058E-3</v>
          </cell>
          <cell r="CE80">
            <v>7.3147710935710375E-3</v>
          </cell>
          <cell r="CF80">
            <v>1.0597871313788865E-2</v>
          </cell>
          <cell r="CG80">
            <v>1.6329791497455615E-2</v>
          </cell>
          <cell r="CH80">
            <v>5.6316378019938274E-3</v>
          </cell>
          <cell r="CI80">
            <v>-4.7639492011808393E-4</v>
          </cell>
          <cell r="CJ80">
            <v>-1.1629029768621679E-3</v>
          </cell>
          <cell r="CK80">
            <v>8.5609709835079428E-3</v>
          </cell>
          <cell r="CL80">
            <v>3.3502401759331057E-3</v>
          </cell>
          <cell r="CM80">
            <v>5.2326602224701535E-3</v>
          </cell>
          <cell r="CN80">
            <v>8.5217742669665419E-3</v>
          </cell>
          <cell r="CO80">
            <v>1.7105342128643342E-2</v>
          </cell>
          <cell r="CP80">
            <v>6.4406898397313395E-3</v>
          </cell>
          <cell r="CQ80">
            <v>1.3799119470677024E-2</v>
          </cell>
          <cell r="CR80">
            <v>1.6031091346346615E-2</v>
          </cell>
          <cell r="CS80">
            <v>7.9852320714137726E-3</v>
          </cell>
          <cell r="CT80">
            <v>2.4464608312284808E-2</v>
          </cell>
          <cell r="CU80">
            <v>1.4625306017883588E-2</v>
          </cell>
          <cell r="CV80">
            <v>1.690005403770134E-2</v>
          </cell>
          <cell r="CW80">
            <v>9.0478299971326059E-3</v>
          </cell>
          <cell r="CX80">
            <v>7.658183791715123E-3</v>
          </cell>
          <cell r="CY80">
            <v>2.0954107486579998E-2</v>
          </cell>
          <cell r="CZ80">
            <v>-4.2089148627615369E-3</v>
          </cell>
          <cell r="DA80">
            <v>1.6773753627359778E-2</v>
          </cell>
          <cell r="DB80">
            <v>7.575881990204536E-3</v>
          </cell>
          <cell r="DC80">
            <v>1.0652603465132415E-2</v>
          </cell>
          <cell r="DD80">
            <v>3.2899417534322239E-3</v>
          </cell>
          <cell r="DE80">
            <v>9.4406446807069333E-3</v>
          </cell>
          <cell r="DF80">
            <v>1.9804406377684547E-2</v>
          </cell>
          <cell r="DG80">
            <v>1.4507869713494159E-2</v>
          </cell>
          <cell r="DH80">
            <v>3.9786720022763067E-3</v>
          </cell>
          <cell r="DI80">
            <v>1.5845213765428579E-3</v>
          </cell>
          <cell r="DJ80">
            <v>9.8992068534480282E-3</v>
          </cell>
          <cell r="DK80">
            <v>3.1972498366434898E-3</v>
          </cell>
          <cell r="DL80">
            <v>3.3644789764252225E-2</v>
          </cell>
          <cell r="DM80">
            <v>-1.5864765281707771E-2</v>
          </cell>
          <cell r="DN80">
            <v>-1.0157051292571273E-2</v>
          </cell>
          <cell r="DO80">
            <v>-4.6629811837131108E-3</v>
          </cell>
          <cell r="DP80">
            <v>6.7863344558858341E-3</v>
          </cell>
          <cell r="DQ80">
            <v>1.5376486272493439E-2</v>
          </cell>
          <cell r="DR80">
            <v>2.3826566835390972E-2</v>
          </cell>
          <cell r="DS80">
            <v>2.8310838061026633E-2</v>
          </cell>
          <cell r="DT80">
            <v>2.151456801128826E-2</v>
          </cell>
          <cell r="DU80">
            <v>4.0632413208641083E-2</v>
          </cell>
          <cell r="DV80">
            <v>3.6878990034217685E-2</v>
          </cell>
          <cell r="DW80">
            <v>1.2428800854181743E-2</v>
          </cell>
          <cell r="DX80">
            <v>1.111438617579541E-2</v>
          </cell>
          <cell r="DY80">
            <v>1.8601492035993816E-2</v>
          </cell>
          <cell r="DZ80">
            <v>2.2663837769799411E-2</v>
          </cell>
          <cell r="EA80">
            <v>9.903617940928422E-3</v>
          </cell>
          <cell r="EB80">
            <v>2.3785555620031928E-2</v>
          </cell>
          <cell r="EC80">
            <v>1.9776880951135833E-2</v>
          </cell>
          <cell r="ED80">
            <v>2.039362421424995E-2</v>
          </cell>
          <cell r="EE80">
            <v>2.6510332698320038E-2</v>
          </cell>
          <cell r="EF80">
            <v>1.6063878104000118E-2</v>
          </cell>
          <cell r="EG80">
            <v>2.0918096188802027E-2</v>
          </cell>
          <cell r="EH80">
            <v>2.7792547654543975E-2</v>
          </cell>
          <cell r="EI80">
            <v>2.9033416187000061E-2</v>
          </cell>
          <cell r="EJ80">
            <v>0.02</v>
          </cell>
          <cell r="EK80">
            <v>0.02</v>
          </cell>
          <cell r="EL80">
            <v>1.4999999999999999E-2</v>
          </cell>
          <cell r="EM80">
            <v>1.4999999999999999E-2</v>
          </cell>
          <cell r="EN80">
            <v>1.4999999999999999E-2</v>
          </cell>
          <cell r="EO80">
            <v>1.4999999999999999E-2</v>
          </cell>
          <cell r="EP80">
            <v>0.01</v>
          </cell>
          <cell r="EQ80">
            <v>0.01</v>
          </cell>
          <cell r="ER80">
            <v>0.01</v>
          </cell>
          <cell r="ES80">
            <v>0.01</v>
          </cell>
          <cell r="ET80">
            <v>0.01</v>
          </cell>
          <cell r="EU80">
            <v>0.01</v>
          </cell>
          <cell r="EV80">
            <v>0.01</v>
          </cell>
          <cell r="EW80">
            <v>0.01</v>
          </cell>
          <cell r="EX80">
            <v>0.01</v>
          </cell>
          <cell r="EY80">
            <v>0.01</v>
          </cell>
          <cell r="EZ80">
            <v>0.01</v>
          </cell>
          <cell r="FA80">
            <v>0.01</v>
          </cell>
          <cell r="FB80">
            <v>0.01</v>
          </cell>
          <cell r="FC80">
            <v>0.01</v>
          </cell>
          <cell r="FD80">
            <v>0.01</v>
          </cell>
          <cell r="FE80">
            <v>0.01</v>
          </cell>
          <cell r="FF80">
            <v>0.01</v>
          </cell>
          <cell r="FG80">
            <v>0.01</v>
          </cell>
          <cell r="FH80">
            <v>0.01</v>
          </cell>
          <cell r="FI80">
            <v>0.01</v>
          </cell>
          <cell r="FJ80">
            <v>0.01</v>
          </cell>
          <cell r="FK80">
            <v>0.01</v>
          </cell>
          <cell r="FL80">
            <v>0.01</v>
          </cell>
          <cell r="FM80">
            <v>0.01</v>
          </cell>
          <cell r="FN80">
            <v>0.01</v>
          </cell>
          <cell r="FO80">
            <v>0.01</v>
          </cell>
          <cell r="FP80">
            <v>0.01</v>
          </cell>
          <cell r="FQ80">
            <v>0.01</v>
          </cell>
          <cell r="FR80">
            <v>0.01</v>
          </cell>
          <cell r="FS80">
            <v>0.01</v>
          </cell>
          <cell r="FT80">
            <v>0.01</v>
          </cell>
          <cell r="FU80">
            <v>0.01</v>
          </cell>
        </row>
        <row r="81">
          <cell r="A81" t="str">
            <v>3MoSystemAUPCg</v>
          </cell>
          <cell r="B81" t="str">
            <v>Australian personal</v>
          </cell>
          <cell r="D81">
            <v>-6.7645561521026965E-3</v>
          </cell>
          <cell r="E81">
            <v>-1.3028540048630632E-2</v>
          </cell>
          <cell r="F81">
            <v>-2.4133734517317595E-4</v>
          </cell>
          <cell r="G81">
            <v>1.8767509439492347E-3</v>
          </cell>
          <cell r="H81">
            <v>-6.9641152944610596E-5</v>
          </cell>
          <cell r="I81">
            <v>-6.8909607149497676E-3</v>
          </cell>
          <cell r="J81">
            <v>6.6657605185600488E-3</v>
          </cell>
          <cell r="K81">
            <v>8.1939007528322172E-3</v>
          </cell>
          <cell r="L81">
            <v>9.8774160141295031E-3</v>
          </cell>
          <cell r="M81">
            <v>1.5592956314465223E-2</v>
          </cell>
          <cell r="N81">
            <v>1.4792323293824516E-2</v>
          </cell>
          <cell r="O81">
            <v>2.4267692393810991E-2</v>
          </cell>
          <cell r="P81">
            <v>2.4979874094333665E-2</v>
          </cell>
          <cell r="Q81">
            <v>3.3558414111374057E-2</v>
          </cell>
          <cell r="R81">
            <v>2.5628287424976248E-2</v>
          </cell>
          <cell r="S81">
            <v>1.5419369870144806E-2</v>
          </cell>
          <cell r="T81">
            <v>2.3213283288271214E-2</v>
          </cell>
          <cell r="U81">
            <v>3.6110943050731814E-2</v>
          </cell>
          <cell r="V81">
            <v>3.6362446184882602E-2</v>
          </cell>
          <cell r="W81">
            <v>1.492212179705632E-2</v>
          </cell>
          <cell r="X81">
            <v>1.8574865109723726E-2</v>
          </cell>
          <cell r="Y81">
            <v>1.4858585877375319E-2</v>
          </cell>
          <cell r="Z81">
            <v>2.4440227032610062E-2</v>
          </cell>
          <cell r="AA81">
            <v>4.0653172330398224E-2</v>
          </cell>
          <cell r="AB81">
            <v>2.6028040032864519E-2</v>
          </cell>
          <cell r="AC81">
            <v>2.1842200379640131E-2</v>
          </cell>
          <cell r="AD81">
            <v>3.3499801377963045E-2</v>
          </cell>
          <cell r="AE81">
            <v>3.8418120231812125E-2</v>
          </cell>
          <cell r="AF81">
            <v>4.6486716991239074E-2</v>
          </cell>
          <cell r="AG81">
            <v>3.5082559689550763E-2</v>
          </cell>
          <cell r="AH81">
            <v>3.7442188266877841E-2</v>
          </cell>
          <cell r="AI81">
            <v>3.5691517138008111E-2</v>
          </cell>
          <cell r="AJ81">
            <v>3.8012510434905389E-2</v>
          </cell>
          <cell r="AK81">
            <v>4.0943452050115736E-2</v>
          </cell>
          <cell r="AL81">
            <v>1.2320694952614009E-2</v>
          </cell>
          <cell r="AM81">
            <v>4.4369480793924998E-2</v>
          </cell>
          <cell r="AN81">
            <v>2.4231543605863326E-2</v>
          </cell>
          <cell r="AO81">
            <v>2.193293815942976E-2</v>
          </cell>
          <cell r="AP81">
            <v>1.4163177397873428E-2</v>
          </cell>
          <cell r="AQ81">
            <v>2.230557964899349E-2</v>
          </cell>
          <cell r="AR81">
            <v>2.2421691444482583E-2</v>
          </cell>
          <cell r="AS81">
            <v>3.0984346658995188E-2</v>
          </cell>
          <cell r="AT81">
            <v>2.5925554860771749E-2</v>
          </cell>
          <cell r="AU81">
            <v>1.4808491338694774E-2</v>
          </cell>
          <cell r="AV81">
            <v>3.2130798151041029E-2</v>
          </cell>
          <cell r="AW81">
            <v>4.5617309502319348E-2</v>
          </cell>
          <cell r="AX81">
            <v>3.592347561415643E-2</v>
          </cell>
          <cell r="AY81">
            <v>2.5447160693798487E-2</v>
          </cell>
          <cell r="AZ81">
            <v>3.2024826012033492E-2</v>
          </cell>
          <cell r="BA81">
            <v>1.906975253188814E-2</v>
          </cell>
          <cell r="BB81">
            <v>3.2861313371904233E-2</v>
          </cell>
          <cell r="BC81">
            <v>4.2416576091019564E-2</v>
          </cell>
          <cell r="BD81">
            <v>2.6458623715435392E-2</v>
          </cell>
          <cell r="BE81">
            <v>2.6647719023921823E-2</v>
          </cell>
          <cell r="BF81">
            <v>2.7961166940273952E-2</v>
          </cell>
          <cell r="BG81">
            <v>1.4692801626090546E-2</v>
          </cell>
          <cell r="BH81">
            <v>2.7616706829205029E-2</v>
          </cell>
          <cell r="BI81">
            <v>2.3728785809644881E-2</v>
          </cell>
          <cell r="BJ81">
            <v>4.1353201401598927E-2</v>
          </cell>
          <cell r="BK81">
            <v>1.7239516190927118E-2</v>
          </cell>
          <cell r="BL81">
            <v>3.055020583769319E-2</v>
          </cell>
          <cell r="BM81">
            <v>6.3617121121336995E-2</v>
          </cell>
          <cell r="BN81">
            <v>2.726030871279983E-3</v>
          </cell>
          <cell r="BO81">
            <v>3.4186964902543915E-2</v>
          </cell>
          <cell r="BP81">
            <v>-1.2593255594068875E-3</v>
          </cell>
          <cell r="BQ81">
            <v>-2.5180458074304246E-3</v>
          </cell>
          <cell r="BR81">
            <v>-9.0032756105109524E-3</v>
          </cell>
          <cell r="BS81">
            <v>-3.8165701177244049E-2</v>
          </cell>
          <cell r="BT81">
            <v>-1.8470953300682824E-2</v>
          </cell>
          <cell r="BU81">
            <v>-6.7021760637849814E-3</v>
          </cell>
          <cell r="BV81">
            <v>7.681749174972774E-3</v>
          </cell>
          <cell r="BW81">
            <v>1.5465785844542612E-2</v>
          </cell>
          <cell r="BX81">
            <v>6.8820800456987907E-3</v>
          </cell>
          <cell r="BY81">
            <v>-6.1737005099626874E-4</v>
          </cell>
          <cell r="BZ81">
            <v>6.1801458061188086E-3</v>
          </cell>
          <cell r="CA81">
            <v>1.5014868104223922E-4</v>
          </cell>
          <cell r="CB81">
            <v>4.4564951850580847E-3</v>
          </cell>
          <cell r="CC81">
            <v>-4.2376007087958634E-3</v>
          </cell>
          <cell r="CD81">
            <v>-7.488182406725219E-3</v>
          </cell>
          <cell r="CE81">
            <v>-2.0557071337733435E-3</v>
          </cell>
          <cell r="CF81">
            <v>1.0722573174581917E-4</v>
          </cell>
          <cell r="CG81">
            <v>-2.3635374651831409E-3</v>
          </cell>
          <cell r="CH81">
            <v>-2.9421162143937751E-3</v>
          </cell>
          <cell r="CI81">
            <v>1.8934862800845664E-3</v>
          </cell>
          <cell r="CJ81">
            <v>2.8048147290078429E-3</v>
          </cell>
          <cell r="CK81">
            <v>9.1998997416742334E-4</v>
          </cell>
          <cell r="CL81">
            <v>1.2521428109004695E-3</v>
          </cell>
          <cell r="CM81">
            <v>1.7386736482840615E-3</v>
          </cell>
          <cell r="CN81">
            <v>-5.9026105531434503E-5</v>
          </cell>
          <cell r="CO81">
            <v>4.2254002138548685E-3</v>
          </cell>
          <cell r="CP81">
            <v>5.1452587566918062E-3</v>
          </cell>
          <cell r="CQ81">
            <v>1.5063739592153791E-3</v>
          </cell>
          <cell r="CR81">
            <v>2.5105645616121386E-3</v>
          </cell>
          <cell r="CS81">
            <v>-2.0136278072913072E-4</v>
          </cell>
          <cell r="CT81">
            <v>1.0731065833224918E-4</v>
          </cell>
          <cell r="CU81">
            <v>-2.5902831874339283E-3</v>
          </cell>
          <cell r="CV81">
            <v>-2.0664909982917035E-3</v>
          </cell>
          <cell r="CW81">
            <v>-1.745697423246706E-3</v>
          </cell>
          <cell r="CX81">
            <v>-2.9718443328926591E-3</v>
          </cell>
          <cell r="CY81">
            <v>-2.0822518501839582E-3</v>
          </cell>
          <cell r="CZ81">
            <v>-3.6114206232222834E-3</v>
          </cell>
          <cell r="DA81">
            <v>-7.5557384317559428E-4</v>
          </cell>
          <cell r="DB81">
            <v>-2.3852330378942854E-3</v>
          </cell>
          <cell r="DC81">
            <v>-5.4740293016534158E-3</v>
          </cell>
          <cell r="DD81">
            <v>-2.9319491783386109E-3</v>
          </cell>
          <cell r="DE81">
            <v>-2.092858337949588E-3</v>
          </cell>
          <cell r="DF81">
            <v>-3.5114091365253675E-3</v>
          </cell>
          <cell r="DG81">
            <v>-1.3175979690661199E-2</v>
          </cell>
          <cell r="DH81">
            <v>-9.7701918606212246E-3</v>
          </cell>
          <cell r="DI81">
            <v>-8.5617373582483891E-3</v>
          </cell>
          <cell r="DJ81">
            <v>-1.1813693312713314E-2</v>
          </cell>
          <cell r="DK81">
            <v>-2.0028085081412517E-2</v>
          </cell>
          <cell r="DL81">
            <v>-2.8375602963418012E-2</v>
          </cell>
          <cell r="DM81">
            <v>-5.2138717756465613E-2</v>
          </cell>
          <cell r="DN81">
            <v>-3.5437306247879996E-2</v>
          </cell>
          <cell r="DO81">
            <v>-1.4660048299211303E-2</v>
          </cell>
          <cell r="DP81">
            <v>-9.1728158767581114E-3</v>
          </cell>
          <cell r="DQ81">
            <v>-4.4242547559977252E-3</v>
          </cell>
          <cell r="DR81">
            <v>-2.6835944232908582E-2</v>
          </cell>
          <cell r="DS81">
            <v>3.462640991646726E-3</v>
          </cell>
          <cell r="DT81">
            <v>-4.1128835061170488E-3</v>
          </cell>
          <cell r="DU81">
            <v>3.036288291313749E-4</v>
          </cell>
          <cell r="DV81">
            <v>-2.5038234511063351E-3</v>
          </cell>
          <cell r="DW81">
            <v>2.3849367865460547E-3</v>
          </cell>
          <cell r="DX81">
            <v>-1.4616947458955254E-3</v>
          </cell>
          <cell r="DY81">
            <v>5.7269859986144311E-3</v>
          </cell>
          <cell r="DZ81">
            <v>1.2268011716026983E-2</v>
          </cell>
          <cell r="EA81">
            <v>2.0883937539231123E-3</v>
          </cell>
          <cell r="EB81">
            <v>1.2006069995250002E-2</v>
          </cell>
          <cell r="EC81">
            <v>2.0676718806080796E-3</v>
          </cell>
          <cell r="ED81">
            <v>7.1824532097750637E-3</v>
          </cell>
          <cell r="EE81">
            <v>4.7914949579488386E-3</v>
          </cell>
          <cell r="EF81">
            <v>8.6686088097078784E-3</v>
          </cell>
          <cell r="EG81">
            <v>1.6221147207199804E-2</v>
          </cell>
          <cell r="EH81">
            <v>1.3932006493184046E-2</v>
          </cell>
          <cell r="EI81">
            <v>6.9868095668801367E-4</v>
          </cell>
          <cell r="EJ81">
            <v>0.01</v>
          </cell>
          <cell r="EK81">
            <v>0.01</v>
          </cell>
          <cell r="EL81">
            <v>7.4999999999999997E-3</v>
          </cell>
          <cell r="EM81">
            <v>5.0000000000000001E-3</v>
          </cell>
          <cell r="EN81">
            <v>5.0000000000000001E-3</v>
          </cell>
          <cell r="EO81">
            <v>5.0000000000000001E-3</v>
          </cell>
          <cell r="EP81">
            <v>5.0000000000000001E-3</v>
          </cell>
          <cell r="EQ81">
            <v>5.0000000000000001E-3</v>
          </cell>
          <cell r="ER81">
            <v>5.0000000000000001E-3</v>
          </cell>
          <cell r="ES81">
            <v>5.0000000000000001E-3</v>
          </cell>
          <cell r="ET81">
            <v>5.0000000000000001E-3</v>
          </cell>
          <cell r="EU81">
            <v>5.0000000000000001E-3</v>
          </cell>
          <cell r="EV81">
            <v>5.0000000000000001E-3</v>
          </cell>
          <cell r="EW81">
            <v>5.0000000000000001E-3</v>
          </cell>
          <cell r="EX81">
            <v>5.0000000000000001E-3</v>
          </cell>
          <cell r="EY81">
            <v>5.0000000000000001E-3</v>
          </cell>
          <cell r="EZ81">
            <v>5.0000000000000001E-3</v>
          </cell>
          <cell r="FA81">
            <v>5.0000000000000001E-3</v>
          </cell>
          <cell r="FB81">
            <v>5.0000000000000001E-3</v>
          </cell>
          <cell r="FC81">
            <v>5.0000000000000001E-3</v>
          </cell>
          <cell r="FD81">
            <v>5.0000000000000001E-3</v>
          </cell>
          <cell r="FE81">
            <v>5.0000000000000001E-3</v>
          </cell>
          <cell r="FF81">
            <v>5.0000000000000001E-3</v>
          </cell>
          <cell r="FG81">
            <v>5.0000000000000001E-3</v>
          </cell>
          <cell r="FH81">
            <v>5.0000000000000001E-3</v>
          </cell>
          <cell r="FI81">
            <v>5.0000000000000001E-3</v>
          </cell>
          <cell r="FJ81">
            <v>5.0000000000000001E-3</v>
          </cell>
          <cell r="FK81">
            <v>5.0000000000000001E-3</v>
          </cell>
          <cell r="FL81">
            <v>5.0000000000000001E-3</v>
          </cell>
          <cell r="FM81">
            <v>5.0000000000000001E-3</v>
          </cell>
          <cell r="FN81">
            <v>5.0000000000000001E-3</v>
          </cell>
          <cell r="FO81">
            <v>5.0000000000000001E-3</v>
          </cell>
          <cell r="FP81">
            <v>5.0000000000000001E-3</v>
          </cell>
          <cell r="FQ81">
            <v>5.0000000000000001E-3</v>
          </cell>
          <cell r="FR81">
            <v>5.0000000000000001E-3</v>
          </cell>
          <cell r="FS81">
            <v>5.0000000000000001E-3</v>
          </cell>
          <cell r="FT81">
            <v>5.0000000000000001E-3</v>
          </cell>
          <cell r="FU81">
            <v>5.0000000000000001E-3</v>
          </cell>
        </row>
        <row r="82">
          <cell r="A82" t="str">
            <v>3MoSystemNZHCg</v>
          </cell>
          <cell r="B82" t="str">
            <v>New Zealand housing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>
            <v>3.5239091386321197E-2</v>
          </cell>
          <cell r="AE82">
            <v>2.7001755258263094E-2</v>
          </cell>
          <cell r="AF82">
            <v>2.9438525382823766E-2</v>
          </cell>
          <cell r="AG82">
            <v>2.5834864688995873E-2</v>
          </cell>
          <cell r="AH82">
            <v>2.4302481157728817E-2</v>
          </cell>
          <cell r="AI82">
            <v>2.1014197511517896E-2</v>
          </cell>
          <cell r="AJ82">
            <v>1.7375869318984272E-2</v>
          </cell>
          <cell r="AK82">
            <v>1.4704546471917102E-2</v>
          </cell>
          <cell r="AL82">
            <v>1.2166210889234419E-2</v>
          </cell>
          <cell r="AM82">
            <v>2.137167292236053E-2</v>
          </cell>
          <cell r="AN82">
            <v>1.6238109465056105E-2</v>
          </cell>
          <cell r="AO82">
            <v>1.9695290028259205E-2</v>
          </cell>
          <cell r="AP82">
            <v>1.3859000307493874E-2</v>
          </cell>
          <cell r="AQ82">
            <v>2.0587856457434883E-2</v>
          </cell>
          <cell r="AR82">
            <v>2.2382215727853261E-2</v>
          </cell>
          <cell r="AS82">
            <v>2.282024879355582E-2</v>
          </cell>
          <cell r="AT82">
            <v>1.8841848321830001E-2</v>
          </cell>
          <cell r="AU82">
            <v>2.9450740535814202E-2</v>
          </cell>
          <cell r="AV82">
            <v>3.3874577710194309E-2</v>
          </cell>
          <cell r="AW82">
            <v>3.5798591812386205E-2</v>
          </cell>
          <cell r="AX82">
            <v>3.8843777249805811E-2</v>
          </cell>
          <cell r="AY82">
            <v>4.5546414241751432E-2</v>
          </cell>
          <cell r="AZ82">
            <v>3.9911326765093902E-2</v>
          </cell>
          <cell r="BA82">
            <v>3.8127121402333986E-2</v>
          </cell>
          <cell r="BB82">
            <v>3.4070428437227074E-2</v>
          </cell>
          <cell r="BC82">
            <v>3.9779406600653822E-2</v>
          </cell>
          <cell r="BD82">
            <v>3.8994672095326921E-2</v>
          </cell>
          <cell r="BE82">
            <v>3.8294072412040858E-2</v>
          </cell>
          <cell r="BF82">
            <v>3.6928093674248208E-2</v>
          </cell>
          <cell r="BG82">
            <v>3.8130676955879572E-2</v>
          </cell>
          <cell r="BH82">
            <v>3.0575280209643507E-2</v>
          </cell>
          <cell r="BI82">
            <v>3.2754789139979312E-2</v>
          </cell>
          <cell r="BJ82">
            <v>2.9643439113220538E-2</v>
          </cell>
          <cell r="BK82">
            <v>3.5019966685748694E-2</v>
          </cell>
          <cell r="BL82">
            <v>3.7402435067966033E-2</v>
          </cell>
          <cell r="BM82">
            <v>3.4738658221793228E-2</v>
          </cell>
          <cell r="BN82">
            <v>2.3797776428347017E-2</v>
          </cell>
          <cell r="BO82">
            <v>2.6665514166128501E-2</v>
          </cell>
          <cell r="BP82">
            <v>2.2531961574812742E-2</v>
          </cell>
          <cell r="BQ82">
            <v>1.0119595216191435E-2</v>
          </cell>
          <cell r="BR82">
            <v>7.1394548841894334E-3</v>
          </cell>
          <cell r="BS82">
            <v>3.8721799996541684E-3</v>
          </cell>
          <cell r="BT82">
            <v>8.9948006825515403E-3</v>
          </cell>
          <cell r="BU82">
            <v>9.9690274128765299E-3</v>
          </cell>
          <cell r="BV82">
            <v>7.7059127179313069E-3</v>
          </cell>
          <cell r="BW82">
            <v>8.1211675645962433E-3</v>
          </cell>
          <cell r="BX82">
            <v>7.7143457323394227E-3</v>
          </cell>
          <cell r="BY82">
            <v>5.0832399196958367E-3</v>
          </cell>
          <cell r="BZ82">
            <v>4.1358427061646275E-3</v>
          </cell>
          <cell r="CA82">
            <v>7.1883583659637651E-4</v>
          </cell>
          <cell r="CB82">
            <v>4.8877309187034257E-3</v>
          </cell>
          <cell r="CC82">
            <v>4.6385181574191137E-3</v>
          </cell>
          <cell r="CD82">
            <v>1.7492394047196047E-3</v>
          </cell>
          <cell r="CE82">
            <v>4.9927257453852292E-4</v>
          </cell>
          <cell r="CF82">
            <v>7.4361694481206442E-3</v>
          </cell>
          <cell r="CG82">
            <v>8.6564888549467423E-3</v>
          </cell>
          <cell r="CH82">
            <v>7.7920106024964575E-3</v>
          </cell>
          <cell r="CI82">
            <v>1.2181269008535001E-2</v>
          </cell>
          <cell r="CJ82">
            <v>1.5450460882436845E-2</v>
          </cell>
          <cell r="CK82">
            <v>1.5217753195503558E-2</v>
          </cell>
          <cell r="CL82">
            <v>1.3979488143628149E-2</v>
          </cell>
          <cell r="CM82">
            <v>1.266528092071173E-2</v>
          </cell>
          <cell r="CN82">
            <v>1.3450254935826189E-2</v>
          </cell>
          <cell r="CO82">
            <v>1.1956233157998319E-2</v>
          </cell>
          <cell r="CP82">
            <v>8.1373374943352061E-3</v>
          </cell>
          <cell r="CQ82">
            <v>1.1669710366424058E-2</v>
          </cell>
          <cell r="CR82">
            <v>1.6504007996298808E-2</v>
          </cell>
          <cell r="CS82">
            <v>1.625792686094929E-2</v>
          </cell>
          <cell r="CT82">
            <v>2.0479060784661662E-2</v>
          </cell>
          <cell r="CU82">
            <v>1.872686806414392E-2</v>
          </cell>
          <cell r="CV82">
            <v>1.9147827819268048E-2</v>
          </cell>
          <cell r="CW82">
            <v>2.6525457800229191E-2</v>
          </cell>
          <cell r="CX82">
            <v>2.1673282686397455E-2</v>
          </cell>
          <cell r="CY82">
            <v>2.0530868746022835E-2</v>
          </cell>
          <cell r="CZ82">
            <v>1.5633680726142796E-2</v>
          </cell>
          <cell r="DA82">
            <v>1.5411028613622646E-2</v>
          </cell>
          <cell r="DB82">
            <v>1.2656618484831572E-2</v>
          </cell>
          <cell r="DC82">
            <v>1.4149102456601836E-2</v>
          </cell>
          <cell r="DD82">
            <v>1.4396657972200355E-2</v>
          </cell>
          <cell r="DE82">
            <v>1.6075327707032239E-2</v>
          </cell>
          <cell r="DF82">
            <v>1.3650254157308694E-2</v>
          </cell>
          <cell r="DG82">
            <v>1.5199479123549242E-2</v>
          </cell>
          <cell r="DH82">
            <v>1.6038424121477046E-2</v>
          </cell>
          <cell r="DI82">
            <v>1.6872378181166159E-2</v>
          </cell>
          <cell r="DJ82">
            <v>1.6722487565495436E-2</v>
          </cell>
          <cell r="DK82">
            <v>1.8214072516431257E-2</v>
          </cell>
          <cell r="DL82">
            <v>1.7093244278614694E-2</v>
          </cell>
          <cell r="DM82">
            <v>8.7493555480746554E-3</v>
          </cell>
          <cell r="DN82">
            <v>2.2570460222097521E-2</v>
          </cell>
          <cell r="DO82">
            <v>3.2327077673137694E-2</v>
          </cell>
          <cell r="DP82">
            <v>3.1215699139902409E-2</v>
          </cell>
          <cell r="DQ82">
            <v>2.8107227428765258E-2</v>
          </cell>
          <cell r="DR82">
            <v>1.9542568721011788E-2</v>
          </cell>
          <cell r="DS82">
            <v>2.22090136801667E-2</v>
          </cell>
          <cell r="DT82">
            <v>1.4432118979465836E-2</v>
          </cell>
          <cell r="DU82">
            <v>1.125522792159539E-2</v>
          </cell>
          <cell r="DV82">
            <v>8.1912972107702764E-3</v>
          </cell>
          <cell r="DW82">
            <v>1.0590677024320039E-2</v>
          </cell>
          <cell r="DX82">
            <v>5.0558516500758266E-3</v>
          </cell>
          <cell r="DY82">
            <v>7.4675173361620217E-3</v>
          </cell>
          <cell r="DZ82">
            <v>7.5857510717813881E-3</v>
          </cell>
          <cell r="EA82">
            <v>8.3075850845406585E-3</v>
          </cell>
          <cell r="EB82">
            <v>7.7333975311018044E-3</v>
          </cell>
          <cell r="EC82">
            <v>7.8944233399713681E-3</v>
          </cell>
          <cell r="ED82">
            <v>8.7668355330803305E-3</v>
          </cell>
          <cell r="EE82">
            <v>1.3490614763723263E-2</v>
          </cell>
          <cell r="EF82">
            <v>1.1211848199267127E-2</v>
          </cell>
          <cell r="EG82">
            <v>1.466530718198622E-2</v>
          </cell>
          <cell r="EH82">
            <v>1.3575066398347824E-2</v>
          </cell>
          <cell r="EI82">
            <v>1.6375312908211814E-2</v>
          </cell>
          <cell r="EJ82">
            <v>0.01</v>
          </cell>
          <cell r="EK82">
            <v>0.01</v>
          </cell>
          <cell r="EL82">
            <v>0.01</v>
          </cell>
          <cell r="EM82">
            <v>0.01</v>
          </cell>
          <cell r="EN82">
            <v>0.01</v>
          </cell>
          <cell r="EO82">
            <v>0.01</v>
          </cell>
          <cell r="EP82">
            <v>0.01</v>
          </cell>
          <cell r="EQ82">
            <v>0.01</v>
          </cell>
          <cell r="ER82">
            <v>0.01</v>
          </cell>
          <cell r="ES82">
            <v>0.01</v>
          </cell>
          <cell r="ET82">
            <v>0.01</v>
          </cell>
          <cell r="EU82">
            <v>0.01</v>
          </cell>
          <cell r="EV82">
            <v>0.01</v>
          </cell>
          <cell r="EW82">
            <v>0.01</v>
          </cell>
          <cell r="EX82">
            <v>0.01</v>
          </cell>
          <cell r="EY82">
            <v>0.01</v>
          </cell>
          <cell r="EZ82">
            <v>0.01</v>
          </cell>
          <cell r="FA82">
            <v>0.01</v>
          </cell>
          <cell r="FB82">
            <v>0.01</v>
          </cell>
          <cell r="FC82">
            <v>0.01</v>
          </cell>
          <cell r="FD82">
            <v>0.01</v>
          </cell>
          <cell r="FE82">
            <v>0.01</v>
          </cell>
          <cell r="FF82">
            <v>0.01</v>
          </cell>
          <cell r="FG82">
            <v>0.01</v>
          </cell>
          <cell r="FH82">
            <v>0.01</v>
          </cell>
          <cell r="FI82">
            <v>0.01</v>
          </cell>
          <cell r="FJ82">
            <v>0.01</v>
          </cell>
          <cell r="FK82">
            <v>0.01</v>
          </cell>
          <cell r="FL82">
            <v>0.01</v>
          </cell>
          <cell r="FM82">
            <v>0.01</v>
          </cell>
          <cell r="FN82">
            <v>0.01</v>
          </cell>
          <cell r="FO82">
            <v>0.01</v>
          </cell>
          <cell r="FP82">
            <v>0.01</v>
          </cell>
          <cell r="FQ82">
            <v>0.01</v>
          </cell>
          <cell r="FR82">
            <v>0.01</v>
          </cell>
          <cell r="FS82">
            <v>0.01</v>
          </cell>
          <cell r="FT82">
            <v>0.01</v>
          </cell>
          <cell r="FU82">
            <v>0.01</v>
          </cell>
        </row>
        <row r="83">
          <cell r="A83" t="str">
            <v>3MoSystemNZNHCg</v>
          </cell>
          <cell r="B83" t="str">
            <v>New Zealand non-housing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>
            <v>-4.0964974245727426E-4</v>
          </cell>
          <cell r="AE83">
            <v>3.5417887269958426E-2</v>
          </cell>
          <cell r="AF83">
            <v>-4.6013829804907314E-3</v>
          </cell>
          <cell r="AG83">
            <v>3.6858207659979492E-2</v>
          </cell>
          <cell r="AH83">
            <v>5.514441685772864E-3</v>
          </cell>
          <cell r="AI83">
            <v>4.8490246283048322E-2</v>
          </cell>
          <cell r="AJ83">
            <v>2.5340089186090431E-2</v>
          </cell>
          <cell r="AK83">
            <v>7.1985028262304684E-3</v>
          </cell>
          <cell r="AL83">
            <v>-2.6497165658915578E-2</v>
          </cell>
          <cell r="AM83">
            <v>3.8754559762570917E-2</v>
          </cell>
          <cell r="AN83">
            <v>-1.0746815404893195E-2</v>
          </cell>
          <cell r="AO83">
            <v>1.6504553502485253E-2</v>
          </cell>
          <cell r="AP83">
            <v>3.1779186049862629E-2</v>
          </cell>
          <cell r="AQ83">
            <v>2.1774311957921455E-2</v>
          </cell>
          <cell r="AR83">
            <v>3.003607732533764E-2</v>
          </cell>
          <cell r="AS83">
            <v>-1.7945890426257494E-3</v>
          </cell>
          <cell r="AT83">
            <v>1.8704816325698648E-3</v>
          </cell>
          <cell r="AU83">
            <v>4.3277834099623824E-2</v>
          </cell>
          <cell r="AV83">
            <v>4.024714082384806E-3</v>
          </cell>
          <cell r="AW83">
            <v>7.5467709884025069E-4</v>
          </cell>
          <cell r="AX83">
            <v>-1.679906113136953E-3</v>
          </cell>
          <cell r="AY83">
            <v>2.8705576898551799E-2</v>
          </cell>
          <cell r="AZ83">
            <v>2.1095084125759556E-2</v>
          </cell>
          <cell r="BA83">
            <v>2.27102501013976E-2</v>
          </cell>
          <cell r="BB83">
            <v>2.6470775503186772E-3</v>
          </cell>
          <cell r="BC83">
            <v>5.8131253606096722E-2</v>
          </cell>
          <cell r="BD83">
            <v>3.379922145454306E-2</v>
          </cell>
          <cell r="BE83">
            <v>4.6827201564767496E-2</v>
          </cell>
          <cell r="BF83">
            <v>2.0501942146461172E-2</v>
          </cell>
          <cell r="BG83">
            <v>3.73806730788242E-2</v>
          </cell>
          <cell r="BH83">
            <v>2.4077205870123519E-2</v>
          </cell>
          <cell r="BI83">
            <v>3.3255577080520959E-2</v>
          </cell>
          <cell r="BJ83">
            <v>3.395583554060444E-2</v>
          </cell>
          <cell r="BK83">
            <v>4.8788081738548872E-2</v>
          </cell>
          <cell r="BL83">
            <v>1.740020998989511E-2</v>
          </cell>
          <cell r="BM83">
            <v>5.6478040908155336E-2</v>
          </cell>
          <cell r="BN83">
            <v>4.0433124097072115E-2</v>
          </cell>
          <cell r="BO83">
            <v>3.6951696714470295E-2</v>
          </cell>
          <cell r="BP83">
            <v>2.5466087870328336E-2</v>
          </cell>
          <cell r="BQ83">
            <v>4.3500200854179161E-2</v>
          </cell>
          <cell r="BR83">
            <v>3.948378940641617E-2</v>
          </cell>
          <cell r="BS83">
            <v>2.5202511821592166E-2</v>
          </cell>
          <cell r="BT83">
            <v>-1.2653180001456432E-2</v>
          </cell>
          <cell r="BU83">
            <v>-9.150627180029125E-3</v>
          </cell>
          <cell r="BV83">
            <v>2.0633350192700295E-3</v>
          </cell>
          <cell r="BW83">
            <v>-1.5532845161635556E-2</v>
          </cell>
          <cell r="BX83">
            <v>-1.2977897103463754E-2</v>
          </cell>
          <cell r="BY83">
            <v>1.4035198436634921E-3</v>
          </cell>
          <cell r="BZ83">
            <v>3.3102702556473407E-3</v>
          </cell>
          <cell r="CA83">
            <v>1.3794570608388623E-2</v>
          </cell>
          <cell r="CB83">
            <v>-5.9930147424540614E-3</v>
          </cell>
          <cell r="CC83">
            <v>2.4731182698880527E-3</v>
          </cell>
          <cell r="CD83">
            <v>4.392159776205995E-3</v>
          </cell>
          <cell r="CE83">
            <v>4.5717544640815344E-2</v>
          </cell>
          <cell r="CF83">
            <v>5.7605602971897429E-3</v>
          </cell>
          <cell r="CG83">
            <v>8.3056602416826664E-3</v>
          </cell>
          <cell r="CH83">
            <v>3.4947574644086377E-3</v>
          </cell>
          <cell r="CI83">
            <v>2.9219748987315164E-2</v>
          </cell>
          <cell r="CJ83">
            <v>-5.3553985420229377E-4</v>
          </cell>
          <cell r="CK83">
            <v>5.8104070424711551E-3</v>
          </cell>
          <cell r="CL83">
            <v>4.3408767605304099E-3</v>
          </cell>
          <cell r="CM83">
            <v>2.0480361330088348E-2</v>
          </cell>
          <cell r="CN83">
            <v>-8.194489562166507E-3</v>
          </cell>
          <cell r="CO83">
            <v>9.0575348489698726E-3</v>
          </cell>
          <cell r="CP83">
            <v>1.2199744754418873E-2</v>
          </cell>
          <cell r="CQ83">
            <v>1.9618493569592665E-2</v>
          </cell>
          <cell r="CR83">
            <v>1.8564469488178359E-2</v>
          </cell>
          <cell r="CS83">
            <v>2.3713014564618939E-2</v>
          </cell>
          <cell r="CT83">
            <v>1.9840304674945131E-3</v>
          </cell>
          <cell r="CU83">
            <v>2.9411809305129655E-2</v>
          </cell>
          <cell r="CV83">
            <v>1.7638333641751602E-2</v>
          </cell>
          <cell r="CW83">
            <v>3.4704413919521837E-3</v>
          </cell>
          <cell r="CX83">
            <v>1.7845976237601535E-2</v>
          </cell>
          <cell r="CY83">
            <v>5.7649919448639064E-3</v>
          </cell>
          <cell r="CZ83">
            <v>7.1230724522672872E-3</v>
          </cell>
          <cell r="DA83">
            <v>1.0227855274735909E-2</v>
          </cell>
          <cell r="DB83">
            <v>8.8586191939656889E-3</v>
          </cell>
          <cell r="DC83">
            <v>9.8033800401595705E-3</v>
          </cell>
          <cell r="DD83">
            <v>3.6584728948212408E-3</v>
          </cell>
          <cell r="DE83">
            <v>2.7257175310466675E-2</v>
          </cell>
          <cell r="DF83">
            <v>6.1704111084119884E-3</v>
          </cell>
          <cell r="DG83">
            <v>7.8563416712187362E-3</v>
          </cell>
          <cell r="DH83">
            <v>1.528740002114537E-2</v>
          </cell>
          <cell r="DI83">
            <v>1.0040175416835995E-2</v>
          </cell>
          <cell r="DJ83">
            <v>2.1675969843331089E-2</v>
          </cell>
          <cell r="DK83">
            <v>-9.5654585387903168E-3</v>
          </cell>
          <cell r="DL83">
            <v>3.3999563668910326E-2</v>
          </cell>
          <cell r="DM83">
            <v>-3.0159356925694714E-2</v>
          </cell>
          <cell r="DN83">
            <v>-2.3989241977821929E-2</v>
          </cell>
          <cell r="DO83">
            <v>-2.4860266549520116E-4</v>
          </cell>
          <cell r="DP83">
            <v>-1.8174439425215461E-2</v>
          </cell>
          <cell r="DQ83">
            <v>4.2092905465134223E-3</v>
          </cell>
          <cell r="DR83">
            <v>-1.007855289731352E-3</v>
          </cell>
          <cell r="DS83">
            <v>9.7318180959558021E-3</v>
          </cell>
          <cell r="DT83">
            <v>1.0579873164848763E-3</v>
          </cell>
          <cell r="DU83">
            <v>2.5864697571158057E-2</v>
          </cell>
          <cell r="DV83">
            <v>2.962100130042078E-2</v>
          </cell>
          <cell r="DW83">
            <v>-1.7723602179476883E-2</v>
          </cell>
          <cell r="DX83">
            <v>-2.7174162879948227E-3</v>
          </cell>
          <cell r="DY83">
            <v>7.2690970976576619E-3</v>
          </cell>
          <cell r="DZ83">
            <v>2.0374535458564935E-3</v>
          </cell>
          <cell r="EA83">
            <v>8.0364049321719477E-3</v>
          </cell>
          <cell r="EB83">
            <v>4.2875159272743879E-3</v>
          </cell>
          <cell r="EC83">
            <v>-6.3414979508158442E-4</v>
          </cell>
          <cell r="ED83">
            <v>1.1930741286855451E-2</v>
          </cell>
          <cell r="EE83">
            <v>2.0184659842902741E-2</v>
          </cell>
          <cell r="EF83">
            <v>-6.7891334024909877E-3</v>
          </cell>
          <cell r="EG83">
            <v>-2.4940836368274599E-3</v>
          </cell>
          <cell r="EH83">
            <v>2.7138886126540696E-2</v>
          </cell>
          <cell r="EI83">
            <v>5.601556448936007E-3</v>
          </cell>
          <cell r="EJ83">
            <v>5.601556448936007E-3</v>
          </cell>
          <cell r="EK83">
            <v>5.601556448936007E-3</v>
          </cell>
          <cell r="EL83">
            <v>5.601556448936007E-3</v>
          </cell>
          <cell r="EM83">
            <v>5.601556448936007E-3</v>
          </cell>
          <cell r="EN83">
            <v>5.601556448936007E-3</v>
          </cell>
          <cell r="EO83">
            <v>5.601556448936007E-3</v>
          </cell>
          <cell r="EP83">
            <v>5.601556448936007E-3</v>
          </cell>
          <cell r="EQ83">
            <v>5.601556448936007E-3</v>
          </cell>
          <cell r="ER83">
            <v>5.601556448936007E-3</v>
          </cell>
          <cell r="ES83">
            <v>5.601556448936007E-3</v>
          </cell>
          <cell r="ET83">
            <v>5.601556448936007E-3</v>
          </cell>
          <cell r="EU83">
            <v>5.601556448936007E-3</v>
          </cell>
          <cell r="EV83">
            <v>5.601556448936007E-3</v>
          </cell>
          <cell r="EW83">
            <v>5.601556448936007E-3</v>
          </cell>
          <cell r="EX83">
            <v>5.601556448936007E-3</v>
          </cell>
          <cell r="EY83">
            <v>5.601556448936007E-3</v>
          </cell>
          <cell r="EZ83">
            <v>5.601556448936007E-3</v>
          </cell>
          <cell r="FA83">
            <v>5.601556448936007E-3</v>
          </cell>
          <cell r="FB83">
            <v>5.601556448936007E-3</v>
          </cell>
          <cell r="FC83">
            <v>5.601556448936007E-3</v>
          </cell>
          <cell r="FD83">
            <v>5.601556448936007E-3</v>
          </cell>
          <cell r="FE83">
            <v>5.601556448936007E-3</v>
          </cell>
          <cell r="FF83">
            <v>5.601556448936007E-3</v>
          </cell>
          <cell r="FG83">
            <v>5.601556448936007E-3</v>
          </cell>
          <cell r="FH83">
            <v>5.601556448936007E-3</v>
          </cell>
          <cell r="FI83">
            <v>5.601556448936007E-3</v>
          </cell>
          <cell r="FJ83">
            <v>5.601556448936007E-3</v>
          </cell>
          <cell r="FK83">
            <v>5.601556448936007E-3</v>
          </cell>
          <cell r="FL83">
            <v>5.601556448936007E-3</v>
          </cell>
          <cell r="FM83">
            <v>5.601556448936007E-3</v>
          </cell>
          <cell r="FN83">
            <v>5.601556448936007E-3</v>
          </cell>
          <cell r="FO83">
            <v>5.601556448936007E-3</v>
          </cell>
          <cell r="FP83">
            <v>5.601556448936007E-3</v>
          </cell>
          <cell r="FQ83">
            <v>5.601556448936007E-3</v>
          </cell>
          <cell r="FR83">
            <v>5.601556448936007E-3</v>
          </cell>
          <cell r="FS83">
            <v>5.601556448936007E-3</v>
          </cell>
          <cell r="FT83">
            <v>5.601556448936007E-3</v>
          </cell>
          <cell r="FU83">
            <v>5.601556448936007E-3</v>
          </cell>
        </row>
        <row r="84">
          <cell r="A84" t="str">
            <v>3MoSystemUKHCg</v>
          </cell>
          <cell r="B84" t="str">
            <v>UK housing</v>
          </cell>
          <cell r="D84"/>
          <cell r="E84"/>
          <cell r="F84"/>
          <cell r="G84"/>
          <cell r="H84"/>
          <cell r="I84"/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 t="e">
            <v>#REF!</v>
          </cell>
          <cell r="R84" t="e">
            <v>#REF!</v>
          </cell>
          <cell r="S84" t="e">
            <v>#REF!</v>
          </cell>
          <cell r="T84" t="e">
            <v>#REF!</v>
          </cell>
          <cell r="U84" t="e">
            <v>#REF!</v>
          </cell>
          <cell r="V84" t="e">
            <v>#REF!</v>
          </cell>
          <cell r="W84" t="e">
            <v>#REF!</v>
          </cell>
          <cell r="X84" t="e">
            <v>#REF!</v>
          </cell>
          <cell r="Y84" t="e">
            <v>#REF!</v>
          </cell>
          <cell r="Z84" t="e">
            <v>#REF!</v>
          </cell>
          <cell r="AA84" t="e">
            <v>#REF!</v>
          </cell>
          <cell r="AB84" t="e">
            <v>#REF!</v>
          </cell>
          <cell r="AC84" t="e">
            <v>#REF!</v>
          </cell>
          <cell r="AD84" t="e">
            <v>#REF!</v>
          </cell>
          <cell r="AE84" t="e">
            <v>#REF!</v>
          </cell>
          <cell r="AF84" t="e">
            <v>#REF!</v>
          </cell>
          <cell r="AG84" t="e">
            <v>#REF!</v>
          </cell>
          <cell r="AH84" t="e">
            <v>#REF!</v>
          </cell>
          <cell r="AI84" t="e">
            <v>#REF!</v>
          </cell>
          <cell r="AJ84" t="e">
            <v>#REF!</v>
          </cell>
          <cell r="AK84" t="e">
            <v>#REF!</v>
          </cell>
          <cell r="AL84" t="e">
            <v>#REF!</v>
          </cell>
          <cell r="AM84" t="e">
            <v>#REF!</v>
          </cell>
          <cell r="AN84" t="e">
            <v>#REF!</v>
          </cell>
          <cell r="AO84" t="e">
            <v>#REF!</v>
          </cell>
          <cell r="AP84" t="e">
            <v>#REF!</v>
          </cell>
          <cell r="AQ84" t="e">
            <v>#REF!</v>
          </cell>
          <cell r="AR84" t="e">
            <v>#REF!</v>
          </cell>
          <cell r="AS84" t="e">
            <v>#REF!</v>
          </cell>
          <cell r="AT84" t="e">
            <v>#REF!</v>
          </cell>
          <cell r="AU84" t="e">
            <v>#REF!</v>
          </cell>
          <cell r="AV84" t="e">
            <v>#REF!</v>
          </cell>
          <cell r="AW84" t="e">
            <v>#REF!</v>
          </cell>
          <cell r="AX84" t="e">
            <v>#REF!</v>
          </cell>
          <cell r="AY84" t="e">
            <v>#REF!</v>
          </cell>
          <cell r="AZ84" t="e">
            <v>#REF!</v>
          </cell>
          <cell r="BA84" t="e">
            <v>#REF!</v>
          </cell>
          <cell r="BB84" t="e">
            <v>#REF!</v>
          </cell>
          <cell r="BC84" t="e">
            <v>#REF!</v>
          </cell>
          <cell r="BD84" t="e">
            <v>#REF!</v>
          </cell>
          <cell r="BE84" t="e">
            <v>#REF!</v>
          </cell>
          <cell r="BF84" t="e">
            <v>#REF!</v>
          </cell>
          <cell r="BG84" t="e">
            <v>#REF!</v>
          </cell>
          <cell r="BH84" t="e">
            <v>#REF!</v>
          </cell>
          <cell r="BI84" t="e">
            <v>#REF!</v>
          </cell>
          <cell r="BJ84" t="e">
            <v>#REF!</v>
          </cell>
          <cell r="BK84" t="e">
            <v>#REF!</v>
          </cell>
          <cell r="BL84" t="e">
            <v>#REF!</v>
          </cell>
          <cell r="BM84" t="e">
            <v>#REF!</v>
          </cell>
          <cell r="BN84" t="e">
            <v>#REF!</v>
          </cell>
          <cell r="BO84" t="e">
            <v>#REF!</v>
          </cell>
          <cell r="BP84" t="e">
            <v>#REF!</v>
          </cell>
          <cell r="BQ84" t="e">
            <v>#REF!</v>
          </cell>
          <cell r="BR84" t="e">
            <v>#REF!</v>
          </cell>
          <cell r="BS84" t="e">
            <v>#REF!</v>
          </cell>
          <cell r="BT84" t="e">
            <v>#REF!</v>
          </cell>
          <cell r="BU84" t="e">
            <v>#REF!</v>
          </cell>
          <cell r="BV84" t="e">
            <v>#REF!</v>
          </cell>
          <cell r="BW84" t="e">
            <v>#REF!</v>
          </cell>
          <cell r="BX84" t="e">
            <v>#REF!</v>
          </cell>
          <cell r="BY84" t="e">
            <v>#REF!</v>
          </cell>
          <cell r="BZ84" t="e">
            <v>#REF!</v>
          </cell>
          <cell r="CA84" t="e">
            <v>#REF!</v>
          </cell>
          <cell r="CB84" t="e">
            <v>#REF!</v>
          </cell>
          <cell r="CC84" t="e">
            <v>#REF!</v>
          </cell>
          <cell r="CD84" t="e">
            <v>#REF!</v>
          </cell>
          <cell r="CE84" t="e">
            <v>#REF!</v>
          </cell>
          <cell r="CF84" t="e">
            <v>#REF!</v>
          </cell>
          <cell r="CG84" t="e">
            <v>#REF!</v>
          </cell>
          <cell r="CH84" t="e">
            <v>#REF!</v>
          </cell>
          <cell r="CI84" t="e">
            <v>#REF!</v>
          </cell>
          <cell r="CJ84" t="e">
            <v>#REF!</v>
          </cell>
          <cell r="CK84" t="e">
            <v>#REF!</v>
          </cell>
          <cell r="CL84" t="e">
            <v>#REF!</v>
          </cell>
          <cell r="CM84" t="e">
            <v>#REF!</v>
          </cell>
          <cell r="CN84" t="e">
            <v>#REF!</v>
          </cell>
          <cell r="CO84" t="e">
            <v>#REF!</v>
          </cell>
          <cell r="CP84" t="e">
            <v>#REF!</v>
          </cell>
          <cell r="CQ84" t="e">
            <v>#REF!</v>
          </cell>
          <cell r="CR84" t="e">
            <v>#REF!</v>
          </cell>
          <cell r="CS84" t="e">
            <v>#REF!</v>
          </cell>
          <cell r="CT84" t="e">
            <v>#REF!</v>
          </cell>
          <cell r="CU84" t="e">
            <v>#REF!</v>
          </cell>
          <cell r="CV84" t="e">
            <v>#REF!</v>
          </cell>
          <cell r="CW84" t="e">
            <v>#REF!</v>
          </cell>
          <cell r="CX84"/>
          <cell r="CY84"/>
          <cell r="CZ84"/>
          <cell r="DA84"/>
          <cell r="DB84"/>
          <cell r="DC84"/>
          <cell r="DD84"/>
          <cell r="DE84"/>
          <cell r="DF84"/>
          <cell r="DG84"/>
          <cell r="DH84"/>
          <cell r="DI84"/>
          <cell r="DJ84"/>
          <cell r="DK84"/>
          <cell r="DL84"/>
          <cell r="DM84"/>
          <cell r="DN84"/>
          <cell r="DO84"/>
          <cell r="DP84"/>
          <cell r="DQ84"/>
          <cell r="DR84"/>
          <cell r="DS84"/>
          <cell r="DT84"/>
          <cell r="DU84"/>
          <cell r="DV84"/>
          <cell r="DW84"/>
          <cell r="DX84"/>
          <cell r="DY84"/>
          <cell r="DZ84"/>
          <cell r="EA84"/>
          <cell r="EB84"/>
          <cell r="EC84"/>
          <cell r="ED84"/>
          <cell r="EE84"/>
          <cell r="EF84"/>
          <cell r="EG84"/>
          <cell r="EH84"/>
          <cell r="EI84"/>
          <cell r="EJ84"/>
          <cell r="EK84"/>
          <cell r="EL84"/>
          <cell r="EM84"/>
          <cell r="EN84"/>
          <cell r="EO84"/>
          <cell r="EP84"/>
          <cell r="EQ84"/>
          <cell r="ER84"/>
          <cell r="ES84"/>
          <cell r="ET84"/>
          <cell r="EU84"/>
          <cell r="EV84"/>
          <cell r="EW84"/>
          <cell r="EX84"/>
          <cell r="EY84"/>
          <cell r="EZ84"/>
          <cell r="FA84"/>
          <cell r="FB84"/>
          <cell r="FC84"/>
          <cell r="FD84"/>
          <cell r="FE84"/>
          <cell r="FF84"/>
          <cell r="FG84"/>
          <cell r="FH84"/>
          <cell r="FI84"/>
          <cell r="FJ84"/>
          <cell r="FK84"/>
          <cell r="FL84"/>
          <cell r="FM84"/>
          <cell r="FN84"/>
          <cell r="FO84"/>
          <cell r="FP84"/>
          <cell r="FQ84"/>
          <cell r="FR84"/>
          <cell r="FS84"/>
          <cell r="FT84"/>
          <cell r="FU84"/>
        </row>
        <row r="85">
          <cell r="A85" t="str">
            <v>3MoSystemUKNHCg</v>
          </cell>
          <cell r="B85" t="str">
            <v>UK non-housing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 t="e">
            <v>#REF!</v>
          </cell>
          <cell r="AB85" t="e">
            <v>#REF!</v>
          </cell>
          <cell r="AC85" t="e">
            <v>#REF!</v>
          </cell>
          <cell r="AD85" t="e">
            <v>#REF!</v>
          </cell>
          <cell r="AE85" t="e">
            <v>#REF!</v>
          </cell>
          <cell r="AF85" t="e">
            <v>#REF!</v>
          </cell>
          <cell r="AG85" t="e">
            <v>#REF!</v>
          </cell>
          <cell r="AH85" t="e">
            <v>#REF!</v>
          </cell>
          <cell r="AI85" t="e">
            <v>#REF!</v>
          </cell>
          <cell r="AJ85" t="e">
            <v>#REF!</v>
          </cell>
          <cell r="AK85" t="e">
            <v>#REF!</v>
          </cell>
          <cell r="AL85" t="e">
            <v>#REF!</v>
          </cell>
          <cell r="AM85" t="e">
            <v>#REF!</v>
          </cell>
          <cell r="AN85" t="e">
            <v>#REF!</v>
          </cell>
          <cell r="AO85" t="e">
            <v>#REF!</v>
          </cell>
          <cell r="AP85" t="e">
            <v>#REF!</v>
          </cell>
          <cell r="AQ85" t="e">
            <v>#REF!</v>
          </cell>
          <cell r="AR85" t="e">
            <v>#REF!</v>
          </cell>
          <cell r="AS85" t="e">
            <v>#REF!</v>
          </cell>
          <cell r="AT85" t="e">
            <v>#REF!</v>
          </cell>
          <cell r="AU85" t="e">
            <v>#REF!</v>
          </cell>
          <cell r="AV85" t="e">
            <v>#REF!</v>
          </cell>
          <cell r="AW85" t="e">
            <v>#REF!</v>
          </cell>
          <cell r="AX85" t="e">
            <v>#REF!</v>
          </cell>
          <cell r="AY85" t="e">
            <v>#REF!</v>
          </cell>
          <cell r="AZ85" t="e">
            <v>#REF!</v>
          </cell>
          <cell r="BA85" t="e">
            <v>#REF!</v>
          </cell>
          <cell r="BB85" t="e">
            <v>#REF!</v>
          </cell>
          <cell r="BC85" t="e">
            <v>#REF!</v>
          </cell>
          <cell r="BD85" t="e">
            <v>#REF!</v>
          </cell>
          <cell r="BE85" t="e">
            <v>#REF!</v>
          </cell>
          <cell r="BF85" t="e">
            <v>#REF!</v>
          </cell>
          <cell r="BG85" t="e">
            <v>#REF!</v>
          </cell>
          <cell r="BH85" t="e">
            <v>#REF!</v>
          </cell>
          <cell r="BI85" t="e">
            <v>#REF!</v>
          </cell>
          <cell r="BJ85" t="e">
            <v>#REF!</v>
          </cell>
          <cell r="BK85" t="e">
            <v>#REF!</v>
          </cell>
          <cell r="BL85" t="e">
            <v>#REF!</v>
          </cell>
          <cell r="BM85" t="e">
            <v>#REF!</v>
          </cell>
          <cell r="BN85" t="e">
            <v>#REF!</v>
          </cell>
          <cell r="BO85" t="e">
            <v>#REF!</v>
          </cell>
          <cell r="BP85" t="e">
            <v>#REF!</v>
          </cell>
          <cell r="BQ85" t="e">
            <v>#REF!</v>
          </cell>
          <cell r="BR85" t="e">
            <v>#REF!</v>
          </cell>
          <cell r="BS85" t="e">
            <v>#REF!</v>
          </cell>
          <cell r="BT85" t="e">
            <v>#REF!</v>
          </cell>
          <cell r="BU85" t="e">
            <v>#REF!</v>
          </cell>
          <cell r="BV85" t="e">
            <v>#REF!</v>
          </cell>
          <cell r="BW85" t="e">
            <v>#REF!</v>
          </cell>
          <cell r="BX85" t="e">
            <v>#REF!</v>
          </cell>
          <cell r="BY85" t="e">
            <v>#REF!</v>
          </cell>
          <cell r="BZ85" t="e">
            <v>#REF!</v>
          </cell>
          <cell r="CA85" t="e">
            <v>#REF!</v>
          </cell>
          <cell r="CB85" t="e">
            <v>#REF!</v>
          </cell>
          <cell r="CC85" t="e">
            <v>#REF!</v>
          </cell>
          <cell r="CD85" t="e">
            <v>#REF!</v>
          </cell>
          <cell r="CE85" t="e">
            <v>#REF!</v>
          </cell>
          <cell r="CF85" t="e">
            <v>#REF!</v>
          </cell>
          <cell r="CG85" t="e">
            <v>#REF!</v>
          </cell>
          <cell r="CH85" t="e">
            <v>#REF!</v>
          </cell>
          <cell r="CI85" t="e">
            <v>#REF!</v>
          </cell>
          <cell r="CJ85" t="e">
            <v>#REF!</v>
          </cell>
          <cell r="CK85" t="e">
            <v>#REF!</v>
          </cell>
          <cell r="CL85" t="e">
            <v>#REF!</v>
          </cell>
          <cell r="CM85" t="e">
            <v>#REF!</v>
          </cell>
          <cell r="CN85" t="e">
            <v>#REF!</v>
          </cell>
          <cell r="CO85" t="e">
            <v>#REF!</v>
          </cell>
          <cell r="CP85" t="e">
            <v>#REF!</v>
          </cell>
          <cell r="CQ85" t="e">
            <v>#REF!</v>
          </cell>
          <cell r="CR85" t="e">
            <v>#REF!</v>
          </cell>
          <cell r="CS85" t="e">
            <v>#REF!</v>
          </cell>
          <cell r="CT85" t="e">
            <v>#REF!</v>
          </cell>
          <cell r="CU85" t="e">
            <v>#REF!</v>
          </cell>
          <cell r="CV85" t="e">
            <v>#REF!</v>
          </cell>
          <cell r="CW85" t="e">
            <v>#REF!</v>
          </cell>
          <cell r="CX85"/>
          <cell r="CY85"/>
          <cell r="CZ85"/>
          <cell r="DA85"/>
          <cell r="DB85"/>
          <cell r="DC85"/>
          <cell r="DD85"/>
          <cell r="DE85"/>
          <cell r="DF85"/>
          <cell r="DG85"/>
          <cell r="DH85"/>
          <cell r="DI85"/>
          <cell r="DJ85"/>
          <cell r="DK85"/>
          <cell r="DL85"/>
          <cell r="DM85"/>
          <cell r="DN85"/>
          <cell r="DO85"/>
          <cell r="DP85"/>
          <cell r="DQ85"/>
          <cell r="DR85"/>
          <cell r="DS85"/>
          <cell r="DT85"/>
          <cell r="DU85"/>
          <cell r="DV85"/>
          <cell r="DW85"/>
          <cell r="DX85"/>
          <cell r="DY85"/>
          <cell r="DZ85"/>
          <cell r="EA85"/>
          <cell r="EB85"/>
          <cell r="EC85"/>
          <cell r="ED85"/>
          <cell r="EE85"/>
          <cell r="EF85"/>
          <cell r="EG85"/>
          <cell r="EH85"/>
          <cell r="EI85"/>
          <cell r="EJ85"/>
          <cell r="EK85"/>
          <cell r="EL85"/>
          <cell r="EM85"/>
          <cell r="EN85"/>
          <cell r="EO85"/>
          <cell r="EP85"/>
          <cell r="EQ85"/>
          <cell r="ER85"/>
          <cell r="ES85"/>
          <cell r="ET85"/>
          <cell r="EU85"/>
          <cell r="EV85"/>
          <cell r="EW85"/>
          <cell r="EX85"/>
          <cell r="EY85"/>
          <cell r="EZ85"/>
          <cell r="FA85"/>
          <cell r="FB85"/>
          <cell r="FC85"/>
          <cell r="FD85"/>
          <cell r="FE85"/>
          <cell r="FF85"/>
          <cell r="FG85"/>
          <cell r="FH85"/>
          <cell r="FI85"/>
          <cell r="FJ85"/>
          <cell r="FK85"/>
          <cell r="FL85"/>
          <cell r="FM85"/>
          <cell r="FN85"/>
          <cell r="FO85"/>
          <cell r="FP85"/>
          <cell r="FQ85"/>
          <cell r="FR85"/>
          <cell r="FS85"/>
          <cell r="FT85"/>
          <cell r="FU85"/>
        </row>
        <row r="86">
          <cell r="B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  <cell r="CE86"/>
          <cell r="CF86"/>
          <cell r="CG86"/>
          <cell r="CH86"/>
          <cell r="CI86"/>
          <cell r="CJ86"/>
          <cell r="CK86"/>
          <cell r="CL86"/>
          <cell r="CM86"/>
          <cell r="CN86"/>
          <cell r="CO86"/>
          <cell r="CP86"/>
          <cell r="CQ86"/>
          <cell r="CR86"/>
          <cell r="CS86"/>
          <cell r="CT86"/>
          <cell r="CU86"/>
          <cell r="CV86"/>
          <cell r="CW86"/>
          <cell r="CX86"/>
          <cell r="CY86"/>
          <cell r="CZ86"/>
          <cell r="DA86"/>
          <cell r="DB86"/>
          <cell r="DC86"/>
          <cell r="DD86"/>
          <cell r="DF86"/>
          <cell r="DG86"/>
          <cell r="DH86"/>
          <cell r="DI86"/>
          <cell r="DJ86"/>
          <cell r="DK86"/>
          <cell r="DL86"/>
          <cell r="DM86"/>
          <cell r="DN86"/>
          <cell r="DO86"/>
          <cell r="DP86"/>
          <cell r="DQ86"/>
          <cell r="DR86"/>
          <cell r="DS86"/>
          <cell r="DT86"/>
          <cell r="DU86"/>
          <cell r="DV86"/>
          <cell r="DW86"/>
          <cell r="DX86"/>
          <cell r="DY86"/>
          <cell r="DZ86"/>
          <cell r="EA86"/>
          <cell r="EB86"/>
          <cell r="EC86"/>
          <cell r="ED86"/>
          <cell r="EE86"/>
          <cell r="EG86"/>
          <cell r="EH86"/>
          <cell r="EJ86"/>
          <cell r="EL86"/>
        </row>
        <row r="87">
          <cell r="B87" t="str">
            <v>System volume growth (6mo)</v>
          </cell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  <cell r="CE87"/>
          <cell r="CF87"/>
          <cell r="CG87"/>
          <cell r="CH87"/>
          <cell r="CI87"/>
          <cell r="CJ87"/>
          <cell r="CK87"/>
          <cell r="CL87"/>
          <cell r="CM87"/>
          <cell r="CN87"/>
          <cell r="CO87"/>
          <cell r="CP87"/>
          <cell r="CQ87"/>
          <cell r="CR87"/>
          <cell r="CS87"/>
          <cell r="CT87"/>
          <cell r="CU87"/>
          <cell r="CV87"/>
          <cell r="CW87"/>
          <cell r="CX87"/>
          <cell r="CY87"/>
          <cell r="CZ87"/>
          <cell r="DA87"/>
          <cell r="DB87"/>
          <cell r="DC87"/>
          <cell r="DD87"/>
          <cell r="DE87"/>
          <cell r="DF87"/>
          <cell r="DG87"/>
          <cell r="DH87"/>
          <cell r="DI87"/>
          <cell r="DJ87"/>
          <cell r="DK87"/>
          <cell r="DL87"/>
          <cell r="DM87"/>
          <cell r="DN87"/>
          <cell r="DO87"/>
          <cell r="DP87"/>
          <cell r="DQ87"/>
          <cell r="DR87"/>
          <cell r="DS87"/>
          <cell r="DT87"/>
          <cell r="DU87"/>
          <cell r="DV87"/>
          <cell r="DW87"/>
          <cell r="DX87"/>
          <cell r="DY87"/>
          <cell r="DZ87"/>
          <cell r="EA87"/>
          <cell r="EB87"/>
          <cell r="EC87"/>
          <cell r="ED87"/>
          <cell r="EE87"/>
          <cell r="EF87"/>
          <cell r="EG87"/>
          <cell r="EH87"/>
          <cell r="EI87"/>
          <cell r="EJ87"/>
          <cell r="EK87"/>
          <cell r="EL87"/>
          <cell r="EM87"/>
          <cell r="EN87"/>
          <cell r="EO87"/>
          <cell r="EP87"/>
          <cell r="EQ87"/>
          <cell r="ER87"/>
          <cell r="ES87"/>
          <cell r="ET87"/>
          <cell r="EU87"/>
          <cell r="EV87"/>
          <cell r="EW87"/>
          <cell r="EX87"/>
          <cell r="EY87"/>
          <cell r="EZ87"/>
          <cell r="FA87"/>
          <cell r="FB87"/>
          <cell r="FC87"/>
          <cell r="FD87"/>
          <cell r="FE87"/>
          <cell r="FF87"/>
          <cell r="FG87"/>
          <cell r="FH87"/>
          <cell r="FI87"/>
          <cell r="FJ87"/>
          <cell r="FK87"/>
          <cell r="FL87"/>
          <cell r="FM87"/>
          <cell r="FN87"/>
          <cell r="FO87"/>
          <cell r="FP87"/>
          <cell r="FQ87"/>
          <cell r="FR87"/>
          <cell r="FS87"/>
          <cell r="FT87"/>
          <cell r="FU87"/>
        </row>
        <row r="88">
          <cell r="A88" t="str">
            <v>6MoSystemAUHCg</v>
          </cell>
          <cell r="B88" t="str">
            <v>Australian housing</v>
          </cell>
          <cell r="D88">
            <v>6.2807456476395185E-2</v>
          </cell>
          <cell r="E88">
            <v>5.6932453106605774E-2</v>
          </cell>
          <cell r="F88">
            <v>6.0879970935289185E-2</v>
          </cell>
          <cell r="G88">
            <v>7.1756753864788081E-2</v>
          </cell>
          <cell r="H88">
            <v>7.8736655546226997E-2</v>
          </cell>
          <cell r="I88">
            <v>8.1877872273125943E-2</v>
          </cell>
          <cell r="J88">
            <v>8.8466284456117025E-2</v>
          </cell>
          <cell r="K88">
            <v>9.024506902055851E-2</v>
          </cell>
          <cell r="L88">
            <v>9.9790628314966767E-2</v>
          </cell>
          <cell r="M88">
            <v>0.10978413347849525</v>
          </cell>
          <cell r="N88">
            <v>0.10548494082761417</v>
          </cell>
          <cell r="O88">
            <v>8.8863643528561909E-2</v>
          </cell>
          <cell r="P88">
            <v>7.4921587505941245E-2</v>
          </cell>
          <cell r="Q88">
            <v>5.8657047126933426E-2</v>
          </cell>
          <cell r="R88">
            <v>4.9187440991271592E-2</v>
          </cell>
          <cell r="S88">
            <v>6.1126631538737985E-2</v>
          </cell>
          <cell r="T88">
            <v>6.4961459850779946E-2</v>
          </cell>
          <cell r="U88">
            <v>5.5067527854638421E-2</v>
          </cell>
          <cell r="V88">
            <v>5.5588891820383735E-2</v>
          </cell>
          <cell r="W88">
            <v>5.4663993410150269E-2</v>
          </cell>
          <cell r="X88">
            <v>5.2569865139067584E-2</v>
          </cell>
          <cell r="Y88">
            <v>6.0560231692703637E-2</v>
          </cell>
          <cell r="Z88">
            <v>6.5205269475576921E-2</v>
          </cell>
          <cell r="AA88">
            <v>5.7775963651132134E-2</v>
          </cell>
          <cell r="AB88">
            <v>5.2269178359962698E-2</v>
          </cell>
          <cell r="AC88">
            <v>5.9903069869829073E-2</v>
          </cell>
          <cell r="AD88">
            <v>5.7896740745494002E-2</v>
          </cell>
          <cell r="AE88">
            <v>5.68300552640848E-2</v>
          </cell>
          <cell r="AF88">
            <v>5.8683251645121004E-2</v>
          </cell>
          <cell r="AG88">
            <v>5.9679262256188581E-2</v>
          </cell>
          <cell r="AH88">
            <v>7.3675877452435534E-2</v>
          </cell>
          <cell r="AI88">
            <v>7.9476496949962616E-2</v>
          </cell>
          <cell r="AJ88">
            <v>8.4376120875815364E-2</v>
          </cell>
          <cell r="AK88">
            <v>8.3595813201770883E-2</v>
          </cell>
          <cell r="AL88">
            <v>6.676780532973936E-2</v>
          </cell>
          <cell r="AM88">
            <v>5.379529445076292E-2</v>
          </cell>
          <cell r="AN88">
            <v>5.6153053005588482E-2</v>
          </cell>
          <cell r="AO88">
            <v>6.7757432109603499E-2</v>
          </cell>
          <cell r="AP88">
            <v>7.6487013005069882E-2</v>
          </cell>
          <cell r="AQ88">
            <v>8.6976584242201907E-2</v>
          </cell>
          <cell r="AR88">
            <v>9.4328086966191993E-2</v>
          </cell>
          <cell r="AS88">
            <v>8.5587160355268033E-2</v>
          </cell>
          <cell r="AT88">
            <v>8.9366095945671464E-2</v>
          </cell>
          <cell r="AU88">
            <v>9.0871166951861149E-2</v>
          </cell>
          <cell r="AV88">
            <v>8.0831933841144052E-2</v>
          </cell>
          <cell r="AW88">
            <v>9.1859914511920771E-2</v>
          </cell>
          <cell r="AX88">
            <v>0.10326189022538834</v>
          </cell>
          <cell r="AY88">
            <v>0.10761386414758235</v>
          </cell>
          <cell r="AZ88">
            <v>0.1053426766998693</v>
          </cell>
          <cell r="BA88">
            <v>9.007842693660105E-2</v>
          </cell>
          <cell r="BB88">
            <v>7.9558080981864343E-2</v>
          </cell>
          <cell r="BC88">
            <v>8.0360871391988109E-2</v>
          </cell>
          <cell r="BD88">
            <v>7.117201619406277E-2</v>
          </cell>
          <cell r="BE88">
            <v>6.1372757379928089E-2</v>
          </cell>
          <cell r="BF88">
            <v>5.8138954690363898E-2</v>
          </cell>
          <cell r="BG88">
            <v>6.2178541915001606E-2</v>
          </cell>
          <cell r="BH88">
            <v>6.6393515099896439E-2</v>
          </cell>
          <cell r="BI88">
            <v>7.0282944504912681E-2</v>
          </cell>
          <cell r="BJ88">
            <v>7.374074216817128E-2</v>
          </cell>
          <cell r="BK88">
            <v>6.2021364758243047E-2</v>
          </cell>
          <cell r="BL88">
            <v>5.6919411490562011E-2</v>
          </cell>
          <cell r="BM88">
            <v>6.3761912259118647E-2</v>
          </cell>
          <cell r="BN88">
            <v>5.875313444498409E-2</v>
          </cell>
          <cell r="BO88">
            <v>5.1291107921038748E-2</v>
          </cell>
          <cell r="BP88">
            <v>5.0182425554365917E-2</v>
          </cell>
          <cell r="BQ88">
            <v>4.2497881646039959E-2</v>
          </cell>
          <cell r="BR88">
            <v>3.2832317544658762E-2</v>
          </cell>
          <cell r="BS88">
            <v>2.964765669252567E-2</v>
          </cell>
          <cell r="BT88">
            <v>3.1018976045242397E-2</v>
          </cell>
          <cell r="BU88">
            <v>3.4553197790511136E-2</v>
          </cell>
          <cell r="BV88">
            <v>3.9160751055448806E-2</v>
          </cell>
          <cell r="BW88">
            <v>4.0866207587649583E-2</v>
          </cell>
          <cell r="BX88">
            <v>4.1558519826635942E-2</v>
          </cell>
          <cell r="BY88">
            <v>3.7805953254887781E-2</v>
          </cell>
          <cell r="BZ88">
            <v>3.3345746670791376E-2</v>
          </cell>
          <cell r="CA88">
            <v>3.2781316187448839E-2</v>
          </cell>
          <cell r="CB88">
            <v>3.0197451978076328E-2</v>
          </cell>
          <cell r="CC88">
            <v>2.69280418465081E-2</v>
          </cell>
          <cell r="CD88">
            <v>2.717372880716673E-2</v>
          </cell>
          <cell r="CE88">
            <v>2.632080671166781E-2</v>
          </cell>
          <cell r="CF88">
            <v>2.4857917594106382E-2</v>
          </cell>
          <cell r="CG88">
            <v>2.3316626648146155E-2</v>
          </cell>
          <cell r="CH88">
            <v>2.1575877070242555E-2</v>
          </cell>
          <cell r="CI88">
            <v>2.1475996699456879E-2</v>
          </cell>
          <cell r="CJ88">
            <v>2.2231493788246182E-2</v>
          </cell>
          <cell r="CK88">
            <v>2.4208360185713929E-2</v>
          </cell>
          <cell r="CL88">
            <v>2.6252035932903928E-2</v>
          </cell>
          <cell r="CM88">
            <v>2.9386700627324291E-2</v>
          </cell>
          <cell r="CN88">
            <v>3.1763937168866496E-2</v>
          </cell>
          <cell r="CO88">
            <v>3.3930385192611823E-2</v>
          </cell>
          <cell r="CP88">
            <v>3.4654223000067041E-2</v>
          </cell>
          <cell r="CQ88">
            <v>3.5137324603719877E-2</v>
          </cell>
          <cell r="CR88">
            <v>3.6096440047710399E-2</v>
          </cell>
          <cell r="CS88">
            <v>3.6465105273620457E-2</v>
          </cell>
          <cell r="CT88">
            <v>3.7191416582935677E-2</v>
          </cell>
          <cell r="CU88">
            <v>3.6153550460477746E-2</v>
          </cell>
          <cell r="CV88">
            <v>3.234364952026092E-2</v>
          </cell>
          <cell r="CW88">
            <v>2.9933006156816155E-2</v>
          </cell>
          <cell r="CX88">
            <v>3.0965785175655736E-2</v>
          </cell>
          <cell r="CY88">
            <v>3.2352845155969812E-2</v>
          </cell>
          <cell r="CZ88">
            <v>3.284793382994633E-2</v>
          </cell>
          <cell r="DA88">
            <v>3.3011787221167266E-2</v>
          </cell>
          <cell r="DB88">
            <v>3.1908318611376663E-2</v>
          </cell>
          <cell r="DC88">
            <v>2.9433741029755378E-2</v>
          </cell>
          <cell r="DD88">
            <v>2.8608894333959745E-2</v>
          </cell>
          <cell r="DE88">
            <v>2.6013693337987087E-2</v>
          </cell>
          <cell r="DF88">
            <v>2.3249952278389774E-2</v>
          </cell>
          <cell r="DG88">
            <v>2.0250630559928595E-2</v>
          </cell>
          <cell r="DH88">
            <v>1.5879043217825073E-2</v>
          </cell>
          <cell r="DI88">
            <v>1.3962308626912945E-2</v>
          </cell>
          <cell r="DJ88">
            <v>1.3847259246271948E-2</v>
          </cell>
          <cell r="DK88">
            <v>1.5571080394595649E-2</v>
          </cell>
          <cell r="DL88">
            <v>1.7643934547550755E-2</v>
          </cell>
          <cell r="DM88">
            <v>1.5410984686798246E-2</v>
          </cell>
          <cell r="DN88">
            <v>1.4780506171763408E-2</v>
          </cell>
          <cell r="DO88">
            <v>1.9768530045528143E-2</v>
          </cell>
          <cell r="DP88">
            <v>2.6184429690623512E-2</v>
          </cell>
          <cell r="DQ88">
            <v>3.3300633541920144E-2</v>
          </cell>
          <cell r="DR88">
            <v>3.7701250705945322E-2</v>
          </cell>
          <cell r="DS88">
            <v>3.9848265998415622E-2</v>
          </cell>
          <cell r="DT88">
            <v>4.0317782626018817E-2</v>
          </cell>
          <cell r="DU88">
            <v>3.7932210580863712E-2</v>
          </cell>
          <cell r="DV88">
            <v>3.2511071351760901E-2</v>
          </cell>
          <cell r="DW88">
            <v>2.5686745242559317E-2</v>
          </cell>
          <cell r="DX88">
            <v>2.1600126986190293E-2</v>
          </cell>
          <cell r="DY88">
            <v>2.0282924243014255E-2</v>
          </cell>
          <cell r="DZ88">
            <v>2.0002027540050982E-2</v>
          </cell>
          <cell r="EA88">
            <v>2.0991750606981663E-2</v>
          </cell>
          <cell r="EB88">
            <v>2.2823137373980007E-2</v>
          </cell>
          <cell r="EC88">
            <v>2.5527056438700235E-2</v>
          </cell>
          <cell r="ED88">
            <v>2.7765810155555126E-2</v>
          </cell>
          <cell r="EE88">
            <v>2.8779041961061624E-2</v>
          </cell>
          <cell r="EF88">
            <v>2.8502608940657259E-2</v>
          </cell>
          <cell r="EG88">
            <v>2.9803096261785678E-2</v>
          </cell>
          <cell r="EH88">
            <v>3.3723750160633559E-2</v>
          </cell>
          <cell r="EI88">
            <v>3.7584669580746022E-2</v>
          </cell>
          <cell r="EJ88">
            <v>3.5930616741995713E-2</v>
          </cell>
          <cell r="EK88">
            <v>3.0731999999999982E-2</v>
          </cell>
          <cell r="EL88">
            <v>2.9210249999999993E-2</v>
          </cell>
          <cell r="EM88">
            <v>2.9210249999999993E-2</v>
          </cell>
          <cell r="EN88">
            <v>2.9210249999999993E-2</v>
          </cell>
          <cell r="EO88">
            <v>2.9210249999999993E-2</v>
          </cell>
          <cell r="EP88">
            <v>2.9210249999999993E-2</v>
          </cell>
          <cell r="EQ88">
            <v>2.9210249999999993E-2</v>
          </cell>
          <cell r="ER88">
            <v>2.9210249999999993E-2</v>
          </cell>
          <cell r="ES88">
            <v>2.9210249999999993E-2</v>
          </cell>
          <cell r="ET88">
            <v>2.9210249999999993E-2</v>
          </cell>
          <cell r="EU88">
            <v>2.9210249999999993E-2</v>
          </cell>
          <cell r="EV88">
            <v>2.7181249999999935E-2</v>
          </cell>
          <cell r="EW88">
            <v>2.5156249999999991E-2</v>
          </cell>
          <cell r="EX88">
            <v>2.5156249999999991E-2</v>
          </cell>
          <cell r="EY88">
            <v>2.5156249999999991E-2</v>
          </cell>
          <cell r="EZ88">
            <v>2.2624999999999895E-2</v>
          </cell>
          <cell r="FA88">
            <v>2.0100000000000007E-2</v>
          </cell>
          <cell r="FB88">
            <v>2.0100000000000007E-2</v>
          </cell>
          <cell r="FC88">
            <v>2.0100000000000007E-2</v>
          </cell>
          <cell r="FD88">
            <v>2.0100000000000007E-2</v>
          </cell>
          <cell r="FE88">
            <v>2.0100000000000007E-2</v>
          </cell>
          <cell r="FF88">
            <v>2.0100000000000007E-2</v>
          </cell>
          <cell r="FG88">
            <v>2.0100000000000007E-2</v>
          </cell>
          <cell r="FH88">
            <v>2.0100000000000007E-2</v>
          </cell>
          <cell r="FI88">
            <v>2.0100000000000007E-2</v>
          </cell>
          <cell r="FJ88">
            <v>2.0100000000000007E-2</v>
          </cell>
          <cell r="FK88">
            <v>2.0100000000000007E-2</v>
          </cell>
          <cell r="FL88">
            <v>2.0100000000000007E-2</v>
          </cell>
          <cell r="FM88">
            <v>2.0100000000000007E-2</v>
          </cell>
          <cell r="FN88">
            <v>2.0100000000000007E-2</v>
          </cell>
          <cell r="FO88">
            <v>2.0100000000000007E-2</v>
          </cell>
          <cell r="FP88">
            <v>2.0100000000000007E-2</v>
          </cell>
          <cell r="FQ88">
            <v>2.0100000000000007E-2</v>
          </cell>
          <cell r="FR88">
            <v>2.0100000000000007E-2</v>
          </cell>
          <cell r="FS88">
            <v>2.0100000000000007E-2</v>
          </cell>
          <cell r="FT88">
            <v>2.0100000000000007E-2</v>
          </cell>
          <cell r="FU88">
            <v>2.0100000000000007E-2</v>
          </cell>
        </row>
        <row r="89">
          <cell r="A89" t="str">
            <v>6MoSystemAUBCg</v>
          </cell>
          <cell r="B89" t="str">
            <v>Australian business</v>
          </cell>
          <cell r="D89">
            <v>-3.3295841711464158E-2</v>
          </cell>
          <cell r="E89">
            <v>-2.993401633403614E-2</v>
          </cell>
          <cell r="F89">
            <v>-2.6546006989944582E-2</v>
          </cell>
          <cell r="G89">
            <v>-4.0068740577520308E-2</v>
          </cell>
          <cell r="H89">
            <v>-2.7150356199164283E-2</v>
          </cell>
          <cell r="I89">
            <v>-6.9496520099436854E-3</v>
          </cell>
          <cell r="J89">
            <v>-1.1797081643932228E-2</v>
          </cell>
          <cell r="K89">
            <v>-7.5522919870660843E-3</v>
          </cell>
          <cell r="L89">
            <v>-5.493923709442794E-3</v>
          </cell>
          <cell r="M89">
            <v>4.2926405328702621E-3</v>
          </cell>
          <cell r="N89">
            <v>1.5309910799833126E-2</v>
          </cell>
          <cell r="O89">
            <v>1.9522508776163461E-2</v>
          </cell>
          <cell r="P89">
            <v>2.1171741195670668E-2</v>
          </cell>
          <cell r="Q89">
            <v>3.6030373168929097E-2</v>
          </cell>
          <cell r="R89">
            <v>4.9770130192503093E-2</v>
          </cell>
          <cell r="S89">
            <v>6.3506440641011741E-2</v>
          </cell>
          <cell r="T89">
            <v>8.4274563903184538E-2</v>
          </cell>
          <cell r="U89">
            <v>6.6549328897073545E-2</v>
          </cell>
          <cell r="V89">
            <v>4.701904416313174E-2</v>
          </cell>
          <cell r="W89">
            <v>4.4074476173463717E-2</v>
          </cell>
          <cell r="X89">
            <v>3.5033380147897253E-2</v>
          </cell>
          <cell r="Y89">
            <v>4.6698204799859422E-2</v>
          </cell>
          <cell r="Z89">
            <v>6.4402550232113942E-2</v>
          </cell>
          <cell r="AA89">
            <v>6.6065342387207515E-2</v>
          </cell>
          <cell r="AB89">
            <v>4.5877457013594469E-2</v>
          </cell>
          <cell r="AC89">
            <v>3.5177935839635577E-2</v>
          </cell>
          <cell r="AD89">
            <v>4.4243049764415732E-2</v>
          </cell>
          <cell r="AE89">
            <v>4.5968037722158295E-2</v>
          </cell>
          <cell r="AF89">
            <v>4.4208426211451046E-2</v>
          </cell>
          <cell r="AG89">
            <v>3.6070648548473416E-2</v>
          </cell>
          <cell r="AH89">
            <v>2.9215896329007451E-2</v>
          </cell>
          <cell r="AI89">
            <v>3.4469206566665189E-2</v>
          </cell>
          <cell r="AJ89">
            <v>4.4577731417406063E-2</v>
          </cell>
          <cell r="AK89">
            <v>5.0298164398484779E-2</v>
          </cell>
          <cell r="AL89">
            <v>4.817296342177424E-2</v>
          </cell>
          <cell r="AM89">
            <v>3.3681838226626182E-2</v>
          </cell>
          <cell r="AN89">
            <v>3.6227332161959058E-2</v>
          </cell>
          <cell r="AO89">
            <v>2.8848408784119872E-2</v>
          </cell>
          <cell r="AP89">
            <v>-1.9953836110875312E-3</v>
          </cell>
          <cell r="AQ89">
            <v>-6.7569371074661655E-3</v>
          </cell>
          <cell r="AR89">
            <v>6.7140274895243213E-3</v>
          </cell>
          <cell r="AS89">
            <v>2.4646784911365627E-2</v>
          </cell>
          <cell r="AT89">
            <v>4.0535797021749698E-2</v>
          </cell>
          <cell r="AU89">
            <v>2.6047775356244696E-2</v>
          </cell>
          <cell r="AV89">
            <v>3.5949960591146191E-2</v>
          </cell>
          <cell r="AW89">
            <v>3.7408151930289568E-2</v>
          </cell>
          <cell r="AX89">
            <v>2.8767367457515292E-2</v>
          </cell>
          <cell r="AY89">
            <v>5.0338508616727173E-2</v>
          </cell>
          <cell r="AZ89">
            <v>3.1024920386234056E-2</v>
          </cell>
          <cell r="BA89">
            <v>3.3848099798144959E-2</v>
          </cell>
          <cell r="BB89">
            <v>5.2961025855101873E-2</v>
          </cell>
          <cell r="BC89">
            <v>4.4852042334824427E-2</v>
          </cell>
          <cell r="BD89">
            <v>5.2816160024864667E-2</v>
          </cell>
          <cell r="BE89">
            <v>6.7484654811637679E-2</v>
          </cell>
          <cell r="BF89">
            <v>7.4262370279938761E-2</v>
          </cell>
          <cell r="BG89">
            <v>7.9662180078038825E-2</v>
          </cell>
          <cell r="BH89">
            <v>8.48457821831059E-2</v>
          </cell>
          <cell r="BI89">
            <v>8.1708113212727293E-2</v>
          </cell>
          <cell r="BJ89">
            <v>7.114859088521519E-2</v>
          </cell>
          <cell r="BK89">
            <v>7.303648778295968E-2</v>
          </cell>
          <cell r="BL89">
            <v>9.0754448481126668E-2</v>
          </cell>
          <cell r="BM89">
            <v>0.11201916779060372</v>
          </cell>
          <cell r="BN89">
            <v>0.12028605941619031</v>
          </cell>
          <cell r="BO89">
            <v>0.11571849923918066</v>
          </cell>
          <cell r="BP89">
            <v>8.565231163730358E-2</v>
          </cell>
          <cell r="BQ89">
            <v>4.6724582715452989E-2</v>
          </cell>
          <cell r="BR89">
            <v>4.8409626458220556E-2</v>
          </cell>
          <cell r="BS89">
            <v>4.0934364913318255E-2</v>
          </cell>
          <cell r="BT89">
            <v>2.4801139814889517E-3</v>
          </cell>
          <cell r="BU89">
            <v>-2.787028283774462E-2</v>
          </cell>
          <cell r="BV89">
            <v>-4.1874125153024577E-2</v>
          </cell>
          <cell r="BW89">
            <v>-3.8879846608948831E-2</v>
          </cell>
          <cell r="BX89">
            <v>-2.0672426452357451E-2</v>
          </cell>
          <cell r="BY89">
            <v>-2.6267279083277417E-3</v>
          </cell>
          <cell r="BZ89">
            <v>-1.4714796366349758E-2</v>
          </cell>
          <cell r="CA89">
            <v>-1.8954622776967911E-2</v>
          </cell>
          <cell r="CB89">
            <v>6.7767047184863483E-3</v>
          </cell>
          <cell r="CC89">
            <v>-7.0095551661353284E-3</v>
          </cell>
          <cell r="CD89">
            <v>-8.1065520493061038E-3</v>
          </cell>
          <cell r="CE89">
            <v>1.682074517062393E-2</v>
          </cell>
          <cell r="CF89">
            <v>1.799016341009918E-2</v>
          </cell>
          <cell r="CG89">
            <v>2.7100723840115748E-2</v>
          </cell>
          <cell r="CH89">
            <v>2.2053392770545299E-2</v>
          </cell>
          <cell r="CI89">
            <v>5.1525599982349402E-3</v>
          </cell>
          <cell r="CJ89">
            <v>-1.6387438959093448E-3</v>
          </cell>
          <cell r="CK89">
            <v>7.3881124280041899E-3</v>
          </cell>
          <cell r="CL89">
            <v>1.193989246837468E-2</v>
          </cell>
          <cell r="CM89">
            <v>8.6004310669076656E-3</v>
          </cell>
          <cell r="CN89">
            <v>1.3799026038668227E-2</v>
          </cell>
          <cell r="CO89">
            <v>2.5772884259989581E-2</v>
          </cell>
          <cell r="CP89">
            <v>2.3656202171627783E-2</v>
          </cell>
          <cell r="CQ89">
            <v>2.0328685158980342E-2</v>
          </cell>
          <cell r="CR89">
            <v>3.0051425761757233E-2</v>
          </cell>
          <cell r="CS89">
            <v>2.4144335402519035E-2</v>
          </cell>
          <cell r="CT89">
            <v>3.2645195958608708E-2</v>
          </cell>
          <cell r="CU89">
            <v>3.944771671334335E-2</v>
          </cell>
          <cell r="CV89">
            <v>3.1772528517604925E-2</v>
          </cell>
          <cell r="CW89">
            <v>2.610079285070932E-2</v>
          </cell>
          <cell r="CX89">
            <v>1.677530373388203E-2</v>
          </cell>
          <cell r="CY89">
            <v>2.8772761684618731E-2</v>
          </cell>
          <cell r="CZ89">
            <v>1.665699856938252E-2</v>
          </cell>
          <cell r="DA89">
            <v>1.249423946365158E-2</v>
          </cell>
          <cell r="DB89">
            <v>2.447671159557796E-2</v>
          </cell>
          <cell r="DC89">
            <v>1.8309188322077397E-2</v>
          </cell>
          <cell r="DD89">
            <v>1.3977591663487221E-2</v>
          </cell>
          <cell r="DE89">
            <v>1.2761645605253502E-2</v>
          </cell>
          <cell r="DF89">
            <v>2.9432017422115431E-2</v>
          </cell>
          <cell r="DG89">
            <v>3.4599595838659347E-2</v>
          </cell>
          <cell r="DH89">
            <v>1.8544263770812197E-2</v>
          </cell>
          <cell r="DI89">
            <v>5.5694976696569753E-3</v>
          </cell>
          <cell r="DJ89">
            <v>1.1499413734860964E-2</v>
          </cell>
          <cell r="DK89">
            <v>1.3128106927586813E-2</v>
          </cell>
          <cell r="DL89">
            <v>3.6949610399473309E-2</v>
          </cell>
          <cell r="DM89">
            <v>1.7246257789982122E-2</v>
          </cell>
          <cell r="DN89">
            <v>-2.5860677339568094E-2</v>
          </cell>
          <cell r="DO89">
            <v>-1.4772670337225069E-2</v>
          </cell>
          <cell r="DP89">
            <v>2.0917087222984687E-3</v>
          </cell>
          <cell r="DQ89">
            <v>2.2267170706980366E-2</v>
          </cell>
          <cell r="DR89">
            <v>3.9569421985749642E-2</v>
          </cell>
          <cell r="DS89">
            <v>5.2811954971644592E-2</v>
          </cell>
          <cell r="DT89">
            <v>5.0434501523235475E-2</v>
          </cell>
          <cell r="DU89">
            <v>6.302117003736929E-2</v>
          </cell>
          <cell r="DV89">
            <v>7.900988560464639E-2</v>
          </cell>
          <cell r="DW89">
            <v>4.9766152511238282E-2</v>
          </cell>
          <cell r="DX89">
            <v>2.3681325522372454E-2</v>
          </cell>
          <cell r="DY89">
            <v>2.9922622377723362E-2</v>
          </cell>
          <cell r="DZ89">
            <v>4.1686911003573357E-2</v>
          </cell>
          <cell r="EA89">
            <v>3.279190970107515E-2</v>
          </cell>
          <cell r="EB89">
            <v>3.3924736616333773E-2</v>
          </cell>
          <cell r="EC89">
            <v>4.4032840673021933E-2</v>
          </cell>
          <cell r="ED89">
            <v>4.0573827443633359E-2</v>
          </cell>
          <cell r="EE89">
            <v>4.7444598675414174E-2</v>
          </cell>
          <cell r="EF89">
            <v>4.300006955528235E-2</v>
          </cell>
          <cell r="EG89">
            <v>3.7318000040146959E-2</v>
          </cell>
          <cell r="EH89">
            <v>4.9292011028515548E-2</v>
          </cell>
          <cell r="EI89">
            <v>5.7632876444495551E-2</v>
          </cell>
          <cell r="EJ89">
            <v>4.9614084510740009E-2</v>
          </cell>
          <cell r="EK89">
            <v>4.0399999999999991E-2</v>
          </cell>
          <cell r="EL89">
            <v>3.5299999999999887E-2</v>
          </cell>
          <cell r="EM89">
            <v>3.0224999999999724E-2</v>
          </cell>
          <cell r="EN89">
            <v>3.0224999999999724E-2</v>
          </cell>
          <cell r="EO89">
            <v>3.0224999999999724E-2</v>
          </cell>
          <cell r="EP89">
            <v>2.5150000000000006E-2</v>
          </cell>
          <cell r="EQ89">
            <v>2.0100000000000007E-2</v>
          </cell>
          <cell r="ER89">
            <v>2.0100000000000007E-2</v>
          </cell>
          <cell r="ES89">
            <v>2.0100000000000007E-2</v>
          </cell>
          <cell r="ET89">
            <v>2.0100000000000007E-2</v>
          </cell>
          <cell r="EU89">
            <v>2.0100000000000007E-2</v>
          </cell>
          <cell r="EV89">
            <v>2.0100000000000007E-2</v>
          </cell>
          <cell r="EW89">
            <v>2.0100000000000007E-2</v>
          </cell>
          <cell r="EX89">
            <v>2.0100000000000007E-2</v>
          </cell>
          <cell r="EY89">
            <v>2.0100000000000007E-2</v>
          </cell>
          <cell r="EZ89">
            <v>2.0100000000000007E-2</v>
          </cell>
          <cell r="FA89">
            <v>2.0100000000000007E-2</v>
          </cell>
          <cell r="FB89">
            <v>2.0100000000000007E-2</v>
          </cell>
          <cell r="FC89">
            <v>2.0100000000000007E-2</v>
          </cell>
          <cell r="FD89">
            <v>2.0100000000000007E-2</v>
          </cell>
          <cell r="FE89">
            <v>2.0100000000000007E-2</v>
          </cell>
          <cell r="FF89">
            <v>2.0100000000000007E-2</v>
          </cell>
          <cell r="FG89">
            <v>2.0100000000000007E-2</v>
          </cell>
          <cell r="FH89">
            <v>2.0100000000000007E-2</v>
          </cell>
          <cell r="FI89">
            <v>2.0100000000000007E-2</v>
          </cell>
          <cell r="FJ89">
            <v>2.0100000000000007E-2</v>
          </cell>
          <cell r="FK89">
            <v>2.0100000000000007E-2</v>
          </cell>
          <cell r="FL89">
            <v>2.0100000000000007E-2</v>
          </cell>
          <cell r="FM89">
            <v>2.0100000000000007E-2</v>
          </cell>
          <cell r="FN89">
            <v>2.0100000000000007E-2</v>
          </cell>
          <cell r="FO89">
            <v>2.0100000000000007E-2</v>
          </cell>
          <cell r="FP89">
            <v>2.0100000000000007E-2</v>
          </cell>
          <cell r="FQ89">
            <v>2.0100000000000007E-2</v>
          </cell>
          <cell r="FR89">
            <v>2.0100000000000007E-2</v>
          </cell>
          <cell r="FS89">
            <v>2.0100000000000007E-2</v>
          </cell>
          <cell r="FT89">
            <v>2.0100000000000007E-2</v>
          </cell>
          <cell r="FU89">
            <v>2.0100000000000007E-2</v>
          </cell>
        </row>
        <row r="90">
          <cell r="A90" t="str">
            <v>6MoSystemAUPCg</v>
          </cell>
          <cell r="B90" t="str">
            <v>Australian personal</v>
          </cell>
          <cell r="D90">
            <v>-2.3835661488468163E-2</v>
          </cell>
          <cell r="E90">
            <v>-1.9704963909994544E-2</v>
          </cell>
          <cell r="F90">
            <v>-1.3266733120537055E-2</v>
          </cell>
          <cell r="G90">
            <v>1.6349606686858476E-3</v>
          </cell>
          <cell r="H90">
            <v>1.806979091905081E-3</v>
          </cell>
          <cell r="I90">
            <v>-6.9601219734453101E-3</v>
          </cell>
          <cell r="J90">
            <v>-2.7113369025844047E-4</v>
          </cell>
          <cell r="K90">
            <v>1.4914279851523604E-2</v>
          </cell>
          <cell r="L90">
            <v>1.8152251333475977E-2</v>
          </cell>
          <cell r="M90">
            <v>2.5624390445002865E-2</v>
          </cell>
          <cell r="N90">
            <v>3.0615935659199955E-2</v>
          </cell>
          <cell r="O90">
            <v>3.9418991239119627E-2</v>
          </cell>
          <cell r="P90">
            <v>4.9853770388701868E-2</v>
          </cell>
          <cell r="Q90">
            <v>5.9376573165015323E-2</v>
          </cell>
          <cell r="R90">
            <v>6.0046746218723079E-2</v>
          </cell>
          <cell r="S90">
            <v>4.144282933806509E-2</v>
          </cell>
          <cell r="T90">
            <v>3.8990587359338358E-2</v>
          </cell>
          <cell r="U90">
            <v>6.0162479889846354E-2</v>
          </cell>
          <cell r="V90">
            <v>7.3786471458982206E-2</v>
          </cell>
          <cell r="W90">
            <v>5.1827172832748625E-2</v>
          </cell>
          <cell r="X90">
            <v>3.3774163306311111E-2</v>
          </cell>
          <cell r="Y90">
            <v>3.3709447215492627E-2</v>
          </cell>
          <cell r="Z90">
            <v>3.9661960122211903E-2</v>
          </cell>
          <cell r="AA90">
            <v>6.60869721243591E-2</v>
          </cell>
          <cell r="AB90">
            <v>6.7739334760141379E-2</v>
          </cell>
          <cell r="AC90">
            <v>4.8438750078392045E-2</v>
          </cell>
          <cell r="AD90">
            <v>5.6073711131978898E-2</v>
          </cell>
          <cell r="AE90">
            <v>7.3204921006855495E-2</v>
          </cell>
          <cell r="AF90">
            <v>8.6690769505602727E-2</v>
          </cell>
          <cell r="AG90">
            <v>8.3200149704406368E-2</v>
          </cell>
          <cell r="AH90">
            <v>7.3838315761208584E-2</v>
          </cell>
          <cell r="AI90">
            <v>7.4470073909097767E-2</v>
          </cell>
          <cell r="AJ90">
            <v>7.5060751740559706E-2</v>
          </cell>
          <cell r="AK90">
            <v>8.0512325883317359E-2</v>
          </cell>
          <cell r="AL90">
            <v>5.3768598785746358E-2</v>
          </cell>
          <cell r="AM90">
            <v>5.7236838584606931E-2</v>
          </cell>
          <cell r="AN90">
            <v>6.9676165408415702E-2</v>
          </cell>
          <cell r="AO90">
            <v>4.6695950712707823E-2</v>
          </cell>
          <cell r="AP90">
            <v>3.6406755651311906E-2</v>
          </cell>
          <cell r="AQ90">
            <v>3.6784674928397987E-2</v>
          </cell>
          <cell r="AR90">
            <v>4.5227399917856292E-2</v>
          </cell>
          <cell r="AS90">
            <v>5.4100759563874723E-2</v>
          </cell>
          <cell r="AT90">
            <v>5.771318789890012E-2</v>
          </cell>
          <cell r="AU90">
            <v>4.1117964554073128E-2</v>
          </cell>
          <cell r="AV90">
            <v>4.7415098135860756E-2</v>
          </cell>
          <cell r="AW90">
            <v>7.9213828217173043E-2</v>
          </cell>
          <cell r="AX90">
            <v>8.317951742196561E-2</v>
          </cell>
          <cell r="AY90">
            <v>6.2284786764588151E-2</v>
          </cell>
          <cell r="AZ90">
            <v>5.8286927599551008E-2</v>
          </cell>
          <cell r="BA90">
            <v>5.1705284050848066E-2</v>
          </cell>
          <cell r="BB90">
            <v>5.2557723017667479E-2</v>
          </cell>
          <cell r="BC90">
            <v>7.6671753862013858E-2</v>
          </cell>
          <cell r="BD90">
            <v>6.9997484032544577E-2</v>
          </cell>
          <cell r="BE90">
            <v>5.3811404709885879E-2</v>
          </cell>
          <cell r="BF90">
            <v>5.5353987284401107E-2</v>
          </cell>
          <cell r="BG90">
            <v>4.3064796445451581E-2</v>
          </cell>
          <cell r="BH90">
            <v>4.2715275250303053E-2</v>
          </cell>
          <cell r="BI90">
            <v>5.2000803559967945E-2</v>
          </cell>
          <cell r="BJ90">
            <v>6.606324846984557E-2</v>
          </cell>
          <cell r="BK90">
            <v>5.9305626777635512E-2</v>
          </cell>
          <cell r="BL90">
            <v>4.8316392796795116E-2</v>
          </cell>
          <cell r="BM90">
            <v>9.6110843104088448E-2</v>
          </cell>
          <cell r="BN90">
            <v>6.6516574228735692E-2</v>
          </cell>
          <cell r="BO90">
            <v>3.7006190495543434E-2</v>
          </cell>
          <cell r="BP90">
            <v>3.2884586824436735E-2</v>
          </cell>
          <cell r="BQ90">
            <v>-3.7742003273921743E-3</v>
          </cell>
          <cell r="BR90">
            <v>-1.1498650757536977E-2</v>
          </cell>
          <cell r="BS90">
            <v>-4.6825360461187786E-2</v>
          </cell>
          <cell r="BT90">
            <v>-5.5931697593794238E-2</v>
          </cell>
          <cell r="BU90">
            <v>-2.504933378338059E-2</v>
          </cell>
          <cell r="BV90">
            <v>9.2808867573945797E-4</v>
          </cell>
          <cell r="BW90">
            <v>2.3266339307167039E-2</v>
          </cell>
          <cell r="BX90">
            <v>2.2454302666393255E-2</v>
          </cell>
          <cell r="BY90">
            <v>6.2604612045937813E-3</v>
          </cell>
          <cell r="BZ90">
            <v>5.5589603181911418E-3</v>
          </cell>
          <cell r="CA90">
            <v>6.3312224279026275E-3</v>
          </cell>
          <cell r="CB90">
            <v>4.6073130029744558E-3</v>
          </cell>
          <cell r="CC90">
            <v>2.0000962910726727E-4</v>
          </cell>
          <cell r="CD90">
            <v>-1.1694051188446686E-2</v>
          </cell>
          <cell r="CE90">
            <v>-9.528496030505873E-3</v>
          </cell>
          <cell r="CF90">
            <v>-1.9487018267291267E-3</v>
          </cell>
          <cell r="CG90">
            <v>-2.256565165471569E-3</v>
          </cell>
          <cell r="CH90">
            <v>-5.298699877677393E-3</v>
          </cell>
          <cell r="CI90">
            <v>-1.0542007909956075E-3</v>
          </cell>
          <cell r="CJ90">
            <v>4.7036118872998411E-3</v>
          </cell>
          <cell r="CK90">
            <v>3.7273851046053519E-3</v>
          </cell>
          <cell r="CL90">
            <v>2.1732847439002168E-3</v>
          </cell>
          <cell r="CM90">
            <v>2.9929935268935282E-3</v>
          </cell>
          <cell r="CN90">
            <v>1.6795449156183917E-3</v>
          </cell>
          <cell r="CO90">
            <v>4.1661246994046941E-3</v>
          </cell>
          <cell r="CP90">
            <v>9.3923997479976595E-3</v>
          </cell>
          <cell r="CQ90">
            <v>6.6593833997117269E-3</v>
          </cell>
          <cell r="CR90">
            <v>4.0207203699058613E-3</v>
          </cell>
          <cell r="CS90">
            <v>2.3086962466216665E-3</v>
          </cell>
          <cell r="CT90">
            <v>-9.4073730769528296E-5</v>
          </cell>
          <cell r="CU90">
            <v>-2.4832504940958122E-3</v>
          </cell>
          <cell r="CV90">
            <v>-4.6514213888356748E-3</v>
          </cell>
          <cell r="CW90">
            <v>-3.8085809535275406E-3</v>
          </cell>
          <cell r="CX90">
            <v>-4.7123538151451205E-3</v>
          </cell>
          <cell r="CY90">
            <v>-5.0479080547159993E-3</v>
          </cell>
          <cell r="CZ90">
            <v>-5.6861525861319206E-3</v>
          </cell>
          <cell r="DA90">
            <v>-4.3642657714382249E-3</v>
          </cell>
          <cell r="DB90">
            <v>-3.1390046613766209E-3</v>
          </cell>
          <cell r="DC90">
            <v>-7.8462055040069423E-3</v>
          </cell>
          <cell r="DD90">
            <v>-8.3899289042788094E-3</v>
          </cell>
          <cell r="DE90">
            <v>-5.0186713620039569E-3</v>
          </cell>
          <cell r="DF90">
            <v>-5.596918592585487E-3</v>
          </cell>
          <cell r="DG90">
            <v>-1.6641122571718125E-2</v>
          </cell>
          <cell r="DH90">
            <v>-2.2817439701753095E-2</v>
          </cell>
          <cell r="DI90">
            <v>-1.8248279402219292E-2</v>
          </cell>
          <cell r="DJ90">
            <v>-2.0274284931587339E-2</v>
          </cell>
          <cell r="DK90">
            <v>-3.1605172739333165E-2</v>
          </cell>
          <cell r="DL90">
            <v>-4.7835379054442795E-2</v>
          </cell>
          <cell r="DM90">
            <v>-7.9034853165804386E-2</v>
          </cell>
          <cell r="DN90">
            <v>-8.5728368295838062E-2</v>
          </cell>
          <cell r="DO90">
            <v>-4.9577841925903421E-2</v>
          </cell>
          <cell r="DP90">
            <v>-2.369839025217646E-2</v>
          </cell>
          <cell r="DQ90">
            <v>-1.3556487758487279E-2</v>
          </cell>
          <cell r="DR90">
            <v>-3.1141469935002219E-2</v>
          </cell>
          <cell r="DS90">
            <v>-2.3466226481812402E-2</v>
          </cell>
          <cell r="DT90">
            <v>-6.6448395349250067E-4</v>
          </cell>
          <cell r="DU90">
            <v>-3.8105034669889681E-3</v>
          </cell>
          <cell r="DV90">
            <v>-2.2009548549577485E-3</v>
          </cell>
          <cell r="DW90">
            <v>-1.2485812521589867E-4</v>
          </cell>
          <cell r="DX90">
            <v>9.1975599108029549E-4</v>
          </cell>
          <cell r="DY90">
            <v>4.2569201473749985E-3</v>
          </cell>
          <cell r="DZ90">
            <v>1.8065256445970235E-2</v>
          </cell>
          <cell r="EA90">
            <v>1.4382025908990848E-2</v>
          </cell>
          <cell r="EB90">
            <v>1.4119537150760308E-2</v>
          </cell>
          <cell r="EC90">
            <v>1.4098566489183728E-2</v>
          </cell>
          <cell r="ED90">
            <v>9.2649760469187825E-3</v>
          </cell>
          <cell r="EE90">
            <v>1.2008362856064325E-2</v>
          </cell>
          <cell r="EF90">
            <v>1.3501639363060702E-2</v>
          </cell>
          <cell r="EG90">
            <v>2.5030370796491619E-2</v>
          </cell>
          <cell r="EH90">
            <v>3.0379146828601433E-2</v>
          </cell>
          <cell r="EI90">
            <v>1.4640421477497334E-2</v>
          </cell>
          <cell r="EJ90">
            <v>1.0705667766254923E-2</v>
          </cell>
          <cell r="EK90">
            <v>2.0100000000000007E-2</v>
          </cell>
          <cell r="EL90">
            <v>1.7575000000000118E-2</v>
          </cell>
          <cell r="EM90">
            <v>1.2537499999999868E-2</v>
          </cell>
          <cell r="EN90">
            <v>1.0024999999999729E-2</v>
          </cell>
          <cell r="EO90">
            <v>1.0024999999999729E-2</v>
          </cell>
          <cell r="EP90">
            <v>1.0024999999999729E-2</v>
          </cell>
          <cell r="EQ90">
            <v>1.0024999999999729E-2</v>
          </cell>
          <cell r="ER90">
            <v>1.0024999999999729E-2</v>
          </cell>
          <cell r="ES90">
            <v>1.0024999999999729E-2</v>
          </cell>
          <cell r="ET90">
            <v>1.0024999999999729E-2</v>
          </cell>
          <cell r="EU90">
            <v>1.0024999999999729E-2</v>
          </cell>
          <cell r="EV90">
            <v>1.0024999999999729E-2</v>
          </cell>
          <cell r="EW90">
            <v>1.0024999999999729E-2</v>
          </cell>
          <cell r="EX90">
            <v>1.0024999999999729E-2</v>
          </cell>
          <cell r="EY90">
            <v>1.0024999999999729E-2</v>
          </cell>
          <cell r="EZ90">
            <v>1.0024999999999729E-2</v>
          </cell>
          <cell r="FA90">
            <v>1.0024999999999729E-2</v>
          </cell>
          <cell r="FB90">
            <v>1.0024999999999729E-2</v>
          </cell>
          <cell r="FC90">
            <v>1.0024999999999729E-2</v>
          </cell>
          <cell r="FD90">
            <v>1.0024999999999729E-2</v>
          </cell>
          <cell r="FE90">
            <v>1.0024999999999729E-2</v>
          </cell>
          <cell r="FF90">
            <v>1.0024999999999729E-2</v>
          </cell>
          <cell r="FG90">
            <v>1.0024999999999729E-2</v>
          </cell>
          <cell r="FH90">
            <v>1.0024999999999729E-2</v>
          </cell>
          <cell r="FI90">
            <v>1.0024999999999729E-2</v>
          </cell>
          <cell r="FJ90">
            <v>1.0024999999999729E-2</v>
          </cell>
          <cell r="FK90">
            <v>1.0024999999999729E-2</v>
          </cell>
          <cell r="FL90">
            <v>1.0024999999999729E-2</v>
          </cell>
          <cell r="FM90">
            <v>1.0024999999999729E-2</v>
          </cell>
          <cell r="FN90">
            <v>1.0024999999999729E-2</v>
          </cell>
          <cell r="FO90">
            <v>1.0024999999999729E-2</v>
          </cell>
          <cell r="FP90">
            <v>1.0024999999999729E-2</v>
          </cell>
          <cell r="FQ90">
            <v>1.0024999999999729E-2</v>
          </cell>
          <cell r="FR90">
            <v>1.0024999999999729E-2</v>
          </cell>
          <cell r="FS90">
            <v>1.0024999999999729E-2</v>
          </cell>
          <cell r="FT90">
            <v>1.0024999999999729E-2</v>
          </cell>
          <cell r="FU90">
            <v>1.0024999999999729E-2</v>
          </cell>
        </row>
        <row r="91">
          <cell r="A91" t="str">
            <v>6MoSystemNZHCg</v>
          </cell>
          <cell r="B91" t="str">
            <v>New Zealand housing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>
            <v>6.3192363965721476E-2</v>
          </cell>
          <cell r="AF91">
            <v>5.7235172498638187E-2</v>
          </cell>
          <cell r="AG91">
            <v>5.6033930391728548E-2</v>
          </cell>
          <cell r="AH91">
            <v>5.0765197159041708E-2</v>
          </cell>
          <cell r="AI91">
            <v>4.5827375808315196E-2</v>
          </cell>
          <cell r="AJ91">
            <v>3.875520678030564E-2</v>
          </cell>
          <cell r="AK91">
            <v>3.2335920068792268E-2</v>
          </cell>
          <cell r="AL91">
            <v>2.7049655974559439E-2</v>
          </cell>
          <cell r="AM91">
            <v>3.3797896091424251E-2</v>
          </cell>
          <cell r="AN91">
            <v>3.7956817951781519E-2</v>
          </cell>
          <cell r="AO91">
            <v>3.6253213768740356E-2</v>
          </cell>
          <cell r="AP91">
            <v>3.382724736631082E-2</v>
          </cell>
          <cell r="AQ91">
            <v>3.4732183873902978E-2</v>
          </cell>
          <cell r="AR91">
            <v>4.3430874029892541E-2</v>
          </cell>
          <cell r="AS91">
            <v>4.5713232252869718E-2</v>
          </cell>
          <cell r="AT91">
            <v>4.2092072781820589E-2</v>
          </cell>
          <cell r="AU91">
            <v>4.8847495243785621E-2</v>
          </cell>
          <cell r="AV91">
            <v>6.4322949644911587E-2</v>
          </cell>
          <cell r="AW91">
            <v>7.088583170284446E-2</v>
          </cell>
          <cell r="AX91">
            <v>7.6032921588409019E-2</v>
          </cell>
          <cell r="AY91">
            <v>8.6159386260891355E-2</v>
          </cell>
          <cell r="AZ91">
            <v>8.727555882862624E-2</v>
          </cell>
          <cell r="BA91">
            <v>7.9560152168328901E-2</v>
          </cell>
          <cell r="BB91">
            <v>7.3496557200816826E-2</v>
          </cell>
          <cell r="BC91">
            <v>7.5205136463744049E-2</v>
          </cell>
          <cell r="BD91">
            <v>8.0325263612520015E-2</v>
          </cell>
          <cell r="BE91">
            <v>7.8782009304269929E-2</v>
          </cell>
          <cell r="BF91">
            <v>7.6636293179489279E-2</v>
          </cell>
          <cell r="BG91">
            <v>7.6466863840616961E-2</v>
          </cell>
          <cell r="BH91">
            <v>6.9871813298032492E-2</v>
          </cell>
          <cell r="BI91">
            <v>6.4331556205785567E-2</v>
          </cell>
          <cell r="BJ91">
            <v>6.3369192850737166E-2</v>
          </cell>
          <cell r="BK91">
            <v>6.5701518049165131E-2</v>
          </cell>
          <cell r="BL91">
            <v>7.3732233783760925E-2</v>
          </cell>
          <cell r="BM91">
            <v>7.3440403698248335E-2</v>
          </cell>
          <cell r="BN91">
            <v>5.9363137471923455E-2</v>
          </cell>
          <cell r="BO91">
            <v>5.1097870538947987E-2</v>
          </cell>
          <cell r="BP91">
            <v>4.9798302081505152E-2</v>
          </cell>
          <cell r="BQ91">
            <v>3.2879571121567919E-2</v>
          </cell>
          <cell r="BR91">
            <v>1.733129849387316E-2</v>
          </cell>
          <cell r="BS91">
            <v>1.1039280138254837E-2</v>
          </cell>
          <cell r="BT91">
            <v>1.2901810169509753E-2</v>
          </cell>
          <cell r="BU91">
            <v>1.9053497510005846E-2</v>
          </cell>
          <cell r="BV91">
            <v>1.7751760585934306E-2</v>
          </cell>
          <cell r="BW91">
            <v>1.5889661290948043E-2</v>
          </cell>
          <cell r="BX91">
            <v>1.5898162791279091E-2</v>
          </cell>
          <cell r="BY91">
            <v>1.283679952221628E-2</v>
          </cell>
          <cell r="BZ91">
            <v>9.240106106606083E-3</v>
          </cell>
          <cell r="CA91">
            <v>4.8576515347127369E-3</v>
          </cell>
          <cell r="CB91">
            <v>5.6100802314438258E-3</v>
          </cell>
          <cell r="CC91">
            <v>9.54892090473769E-3</v>
          </cell>
          <cell r="CD91">
            <v>6.3958714408791639E-3</v>
          </cell>
          <cell r="CE91">
            <v>2.2493853265190822E-3</v>
          </cell>
          <cell r="CF91">
            <v>7.9391546981242289E-3</v>
          </cell>
          <cell r="CG91">
            <v>1.6157029421018487E-2</v>
          </cell>
          <cell r="CH91">
            <v>1.6515950910381383E-2</v>
          </cell>
          <cell r="CI91">
            <v>2.0068196188298026E-2</v>
          </cell>
          <cell r="CJ91">
            <v>2.7819936111286747E-2</v>
          </cell>
          <cell r="CK91">
            <v>3.0903335378405838E-2</v>
          </cell>
          <cell r="CL91">
            <v>2.9409977739500937E-2</v>
          </cell>
          <cell r="CM91">
            <v>2.6821823208806661E-2</v>
          </cell>
          <cell r="CN91">
            <v>2.6285887113755235E-2</v>
          </cell>
          <cell r="CO91">
            <v>2.5567302477871756E-2</v>
          </cell>
          <cell r="CP91">
            <v>2.0190862556701106E-2</v>
          </cell>
          <cell r="CQ91">
            <v>1.9902008232472124E-2</v>
          </cell>
          <cell r="CR91">
            <v>2.836631535592482E-2</v>
          </cell>
          <cell r="CS91">
            <v>3.3030255812164233E-2</v>
          </cell>
          <cell r="CT91">
            <v>3.7069934718028996E-2</v>
          </cell>
          <cell r="CU91">
            <v>3.9589437518197768E-2</v>
          </cell>
          <cell r="CV91">
            <v>3.8233274728698419E-2</v>
          </cell>
          <cell r="CW91">
            <v>4.6181190518283177E-2</v>
          </cell>
          <cell r="CX91">
            <v>4.877363423191694E-2</v>
          </cell>
          <cell r="CY91">
            <v>4.2649122754550017E-2</v>
          </cell>
          <cell r="CZ91">
            <v>3.6485522519171143E-2</v>
          </cell>
          <cell r="DA91">
            <v>3.12856404407722E-2</v>
          </cell>
          <cell r="DB91">
            <v>2.826269860807562E-2</v>
          </cell>
          <cell r="DC91">
            <v>2.6984800733129255E-2</v>
          </cell>
          <cell r="DD91">
            <v>2.8749460217483591E-2</v>
          </cell>
          <cell r="DE91">
            <v>3.0703416674021655E-2</v>
          </cell>
          <cell r="DF91">
            <v>2.9945014173203832E-2</v>
          </cell>
          <cell r="DG91">
            <v>2.9057210033953007E-2</v>
          </cell>
          <cell r="DH91">
            <v>3.1481678937635316E-2</v>
          </cell>
          <cell r="DI91">
            <v>3.3181408659850753E-2</v>
          </cell>
          <cell r="DJ91">
            <v>3.3877013880996287E-2</v>
          </cell>
          <cell r="DK91">
            <v>3.5241144683099801E-2</v>
          </cell>
          <cell r="DL91">
            <v>3.5618654385877635E-2</v>
          </cell>
          <cell r="DM91">
            <v>2.5992154698353032E-2</v>
          </cell>
          <cell r="DN91">
            <v>3.1517292751539028E-2</v>
          </cell>
          <cell r="DO91">
            <v>5.562717491595337E-2</v>
          </cell>
          <cell r="DP91">
            <v>6.4551889143756869E-2</v>
          </cell>
          <cell r="DQ91">
            <v>6.0200313323740762E-2</v>
          </cell>
          <cell r="DR91">
            <v>4.8199083573360779E-2</v>
          </cell>
          <cell r="DS91">
            <v>4.2185603577249209E-2</v>
          </cell>
          <cell r="DT91">
            <v>3.6961655787481451E-2</v>
          </cell>
          <cell r="DU91">
            <v>2.5849783689566808E-2</v>
          </cell>
          <cell r="DV91">
            <v>1.9538720049446567E-2</v>
          </cell>
          <cell r="DW91">
            <v>1.8868725618259807E-2</v>
          </cell>
          <cell r="DX91">
            <v>1.5700073566304873E-2</v>
          </cell>
          <cell r="DY91">
            <v>1.256112364608386E-2</v>
          </cell>
          <cell r="DZ91">
            <v>1.5109915135579577E-2</v>
          </cell>
          <cell r="EA91">
            <v>1.5956355428780933E-2</v>
          </cell>
          <cell r="EB91">
            <v>1.6105228473624722E-2</v>
          </cell>
          <cell r="EC91">
            <v>1.5688871585039843E-2</v>
          </cell>
          <cell r="ED91">
            <v>1.6730467984101827E-2</v>
          </cell>
          <cell r="EE91">
            <v>2.2375720297677315E-2</v>
          </cell>
          <cell r="EF91">
            <v>2.4853717687836063E-2</v>
          </cell>
          <cell r="EG91">
            <v>2.6041580579173607E-2</v>
          </cell>
          <cell r="EH91">
            <v>2.8439456099081717E-2</v>
          </cell>
          <cell r="EI91">
            <v>3.0172675266582294E-2</v>
          </cell>
          <cell r="EJ91">
            <v>2.6539066037293946E-2</v>
          </cell>
          <cell r="EK91">
            <v>2.0100000000000007E-2</v>
          </cell>
          <cell r="EL91">
            <v>2.0100000000000007E-2</v>
          </cell>
          <cell r="EM91">
            <v>2.0100000000000007E-2</v>
          </cell>
          <cell r="EN91">
            <v>2.0100000000000007E-2</v>
          </cell>
          <cell r="EO91">
            <v>2.0100000000000007E-2</v>
          </cell>
          <cell r="EP91">
            <v>2.0100000000000007E-2</v>
          </cell>
          <cell r="EQ91">
            <v>2.0100000000000007E-2</v>
          </cell>
          <cell r="ER91">
            <v>2.0100000000000007E-2</v>
          </cell>
          <cell r="ES91">
            <v>2.0100000000000007E-2</v>
          </cell>
          <cell r="ET91">
            <v>2.0100000000000007E-2</v>
          </cell>
          <cell r="EU91">
            <v>2.0100000000000007E-2</v>
          </cell>
          <cell r="EV91">
            <v>2.0100000000000007E-2</v>
          </cell>
          <cell r="EW91">
            <v>2.0100000000000007E-2</v>
          </cell>
          <cell r="EX91">
            <v>2.0100000000000007E-2</v>
          </cell>
          <cell r="EY91">
            <v>2.0100000000000007E-2</v>
          </cell>
          <cell r="EZ91">
            <v>2.0100000000000007E-2</v>
          </cell>
          <cell r="FA91">
            <v>2.0100000000000007E-2</v>
          </cell>
          <cell r="FB91">
            <v>2.0100000000000007E-2</v>
          </cell>
          <cell r="FC91">
            <v>2.0100000000000007E-2</v>
          </cell>
          <cell r="FD91">
            <v>2.0100000000000007E-2</v>
          </cell>
          <cell r="FE91">
            <v>2.0100000000000007E-2</v>
          </cell>
          <cell r="FF91">
            <v>2.0100000000000007E-2</v>
          </cell>
          <cell r="FG91">
            <v>2.0100000000000007E-2</v>
          </cell>
          <cell r="FH91">
            <v>2.0100000000000007E-2</v>
          </cell>
          <cell r="FI91">
            <v>2.0100000000000007E-2</v>
          </cell>
          <cell r="FJ91">
            <v>2.0100000000000007E-2</v>
          </cell>
          <cell r="FK91">
            <v>2.0100000000000007E-2</v>
          </cell>
          <cell r="FL91">
            <v>2.0100000000000007E-2</v>
          </cell>
          <cell r="FM91">
            <v>2.0100000000000007E-2</v>
          </cell>
          <cell r="FN91">
            <v>2.0100000000000007E-2</v>
          </cell>
          <cell r="FO91">
            <v>2.0100000000000007E-2</v>
          </cell>
          <cell r="FP91">
            <v>2.0100000000000007E-2</v>
          </cell>
          <cell r="FQ91">
            <v>2.0100000000000007E-2</v>
          </cell>
          <cell r="FR91">
            <v>2.0100000000000007E-2</v>
          </cell>
          <cell r="FS91">
            <v>2.0100000000000007E-2</v>
          </cell>
          <cell r="FT91">
            <v>2.0100000000000007E-2</v>
          </cell>
          <cell r="FU91">
            <v>2.0100000000000007E-2</v>
          </cell>
        </row>
        <row r="92">
          <cell r="A92" t="str">
            <v>6MoSystemNZNHCg</v>
          </cell>
          <cell r="B92" t="str">
            <v>New Zealand non-housing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>
            <v>3.4993728599102658E-2</v>
          </cell>
          <cell r="AF92">
            <v>3.0653533025778668E-2</v>
          </cell>
          <cell r="AG92">
            <v>3.208722595007063E-2</v>
          </cell>
          <cell r="AH92">
            <v>4.2575901782535563E-2</v>
          </cell>
          <cell r="AI92">
            <v>5.4272084604277904E-2</v>
          </cell>
          <cell r="AJ92">
            <v>7.5059082634606478E-2</v>
          </cell>
          <cell r="AK92">
            <v>3.2721002715943914E-2</v>
          </cell>
          <cell r="AL92">
            <v>-1.9489402754567786E-2</v>
          </cell>
          <cell r="AM92">
            <v>1.1230508113588167E-2</v>
          </cell>
          <cell r="AN92">
            <v>2.7591256257811558E-2</v>
          </cell>
          <cell r="AO92">
            <v>5.5803667077607422E-3</v>
          </cell>
          <cell r="AP92">
            <v>4.880824082877333E-2</v>
          </cell>
          <cell r="AQ92">
            <v>5.424546791860263E-2</v>
          </cell>
          <cell r="AR92">
            <v>5.2464404200933235E-2</v>
          </cell>
          <cell r="AS92">
            <v>2.8187585867460285E-2</v>
          </cell>
          <cell r="AT92">
            <v>7.2535844101828673E-5</v>
          </cell>
          <cell r="AU92">
            <v>4.5229266125974332E-2</v>
          </cell>
          <cell r="AV92">
            <v>4.7476729090364378E-2</v>
          </cell>
          <cell r="AW92">
            <v>4.7824285407722655E-3</v>
          </cell>
          <cell r="AX92">
            <v>-9.2649680096856812E-4</v>
          </cell>
          <cell r="AY92">
            <v>2.6977448111301872E-2</v>
          </cell>
          <cell r="AZ92">
            <v>5.0406207583864715E-2</v>
          </cell>
          <cell r="BA92">
            <v>4.4284408863562996E-2</v>
          </cell>
          <cell r="BB92">
            <v>2.5417443444921917E-2</v>
          </cell>
          <cell r="BC92">
            <v>6.0932209092807943E-2</v>
          </cell>
          <cell r="BD92">
            <v>9.3895266174702355E-2</v>
          </cell>
          <cell r="BE92">
            <v>8.2209145975094669E-2</v>
          </cell>
          <cell r="BF92">
            <v>6.8289192288590206E-2</v>
          </cell>
          <cell r="BG92">
            <v>5.8648991622143098E-2</v>
          </cell>
          <cell r="BH92">
            <v>6.2357901110230429E-2</v>
          </cell>
          <cell r="BI92">
            <v>5.8133484326342133E-2</v>
          </cell>
          <cell r="BJ92">
            <v>6.8340633527279593E-2</v>
          </cell>
          <cell r="BK92">
            <v>8.440055735900899E-2</v>
          </cell>
          <cell r="BL92">
            <v>6.703721459569878E-2</v>
          </cell>
          <cell r="BM92">
            <v>7.4860980669670063E-2</v>
          </cell>
          <cell r="BN92">
            <v>9.9194748642026376E-2</v>
          </cell>
          <cell r="BO92">
            <v>7.8878893350396106E-2</v>
          </cell>
          <cell r="BP92">
            <v>6.3358799740287131E-2</v>
          </cell>
          <cell r="BQ92">
            <v>7.0074068661836852E-2</v>
          </cell>
          <cell r="BR92">
            <v>8.4701543030258453E-2</v>
          </cell>
          <cell r="BS92">
            <v>6.5681391897284946E-2</v>
          </cell>
          <cell r="BT92">
            <v>1.2230439901568246E-2</v>
          </cell>
          <cell r="BU92">
            <v>-2.1688022648650329E-2</v>
          </cell>
          <cell r="BV92">
            <v>-7.1061729702678322E-3</v>
          </cell>
          <cell r="BW92">
            <v>-1.3501559605736402E-2</v>
          </cell>
          <cell r="BX92">
            <v>-2.8309158598867623E-2</v>
          </cell>
          <cell r="BY92">
            <v>-1.1592591995913892E-2</v>
          </cell>
          <cell r="BZ92">
            <v>4.7184361293026722E-3</v>
          </cell>
          <cell r="CA92">
            <v>1.7150504620810247E-2</v>
          </cell>
          <cell r="CB92">
            <v>7.7188848009126509E-3</v>
          </cell>
          <cell r="CC92">
            <v>-3.5347179068171419E-3</v>
          </cell>
          <cell r="CD92">
            <v>6.8761403766810503E-3</v>
          </cell>
          <cell r="CE92">
            <v>5.0310503177659616E-2</v>
          </cell>
          <cell r="CF92">
            <v>5.1741463610547989E-2</v>
          </cell>
          <cell r="CG92">
            <v>1.411406579550234E-2</v>
          </cell>
          <cell r="CH92">
            <v>1.1829443974217702E-2</v>
          </cell>
          <cell r="CI92">
            <v>3.281662238760541E-2</v>
          </cell>
          <cell r="CJ92">
            <v>2.8668560793000397E-2</v>
          </cell>
          <cell r="CK92">
            <v>5.2717554837284908E-3</v>
          </cell>
          <cell r="CL92">
            <v>1.0176506063901192E-2</v>
          </cell>
          <cell r="CM92">
            <v>2.4910140815163739E-2</v>
          </cell>
          <cell r="CN92">
            <v>1.2118045660773014E-2</v>
          </cell>
          <cell r="CO92">
            <v>7.8882341202435313E-4</v>
          </cell>
          <cell r="CP92">
            <v>2.1367779216650451E-2</v>
          </cell>
          <cell r="CQ92">
            <v>3.2057578938026854E-2</v>
          </cell>
          <cell r="CR92">
            <v>3.8547169983047747E-2</v>
          </cell>
          <cell r="CS92">
            <v>4.2717703588154743E-2</v>
          </cell>
          <cell r="CT92">
            <v>2.5744092375485916E-2</v>
          </cell>
          <cell r="CU92">
            <v>3.1454193698389643E-2</v>
          </cell>
          <cell r="CV92">
            <v>4.7568918252412828E-2</v>
          </cell>
          <cell r="CW92">
            <v>2.1169987836859194E-2</v>
          </cell>
          <cell r="CX92">
            <v>2.137835104416852E-2</v>
          </cell>
          <cell r="CY92">
            <v>2.3713850091723554E-2</v>
          </cell>
          <cell r="CZ92">
            <v>1.292912885244113E-2</v>
          </cell>
          <cell r="DA92">
            <v>1.742378148115642E-2</v>
          </cell>
          <cell r="DB92">
            <v>1.9177079143751552E-2</v>
          </cell>
          <cell r="DC92">
            <v>1.8748843644714741E-2</v>
          </cell>
          <cell r="DD92">
            <v>1.3497718335135245E-2</v>
          </cell>
          <cell r="DE92">
            <v>3.1015367842350594E-2</v>
          </cell>
          <cell r="DF92">
            <v>3.3595774396198319E-2</v>
          </cell>
          <cell r="DG92">
            <v>1.4075229637550368E-2</v>
          </cell>
          <cell r="DH92">
            <v>2.3263844730194716E-2</v>
          </cell>
          <cell r="DI92">
            <v>2.5481063615860888E-2</v>
          </cell>
          <cell r="DJ92">
            <v>3.1933775799724229E-2</v>
          </cell>
          <cell r="DK92">
            <v>1.1903170713716493E-2</v>
          </cell>
          <cell r="DL92">
            <v>2.4108883713508167E-2</v>
          </cell>
          <cell r="DM92">
            <v>2.8148017672069425E-3</v>
          </cell>
          <cell r="DN92">
            <v>-5.3425098792330594E-2</v>
          </cell>
          <cell r="DO92">
            <v>-2.4231880853818222E-2</v>
          </cell>
          <cell r="DP92">
            <v>-1.8418523876625681E-2</v>
          </cell>
          <cell r="DQ92">
            <v>-1.4041650374762682E-2</v>
          </cell>
          <cell r="DR92">
            <v>3.1971929010388145E-3</v>
          </cell>
          <cell r="DS92">
            <v>8.7141545418776278E-3</v>
          </cell>
          <cell r="DT92">
            <v>1.0800101552552732E-2</v>
          </cell>
          <cell r="DU92">
            <v>2.6950049409617982E-2</v>
          </cell>
          <cell r="DV92">
            <v>5.6251837111969127E-2</v>
          </cell>
          <cell r="DW92">
            <v>1.1372408277737556E-2</v>
          </cell>
          <cell r="DX92">
            <v>-2.0392856062227294E-2</v>
          </cell>
          <cell r="DY92">
            <v>4.5319276468105407E-3</v>
          </cell>
          <cell r="DZ92">
            <v>9.3213610911708766E-3</v>
          </cell>
          <cell r="EA92">
            <v>1.0090232279753364E-2</v>
          </cell>
          <cell r="EB92">
            <v>1.2358377073591109E-2</v>
          </cell>
          <cell r="EC92">
            <v>3.6506472048463134E-3</v>
          </cell>
          <cell r="ED92">
            <v>1.1289025614631631E-2</v>
          </cell>
          <cell r="EE92">
            <v>3.235621908430697E-2</v>
          </cell>
          <cell r="EF92">
            <v>1.3258490092054487E-2</v>
          </cell>
          <cell r="EG92">
            <v>-9.2662843727909783E-3</v>
          </cell>
          <cell r="EH92">
            <v>2.4577115837903341E-2</v>
          </cell>
          <cell r="EI92">
            <v>3.2892462578075765E-2</v>
          </cell>
          <cell r="EJ92">
            <v>1.1234490332522551E-2</v>
          </cell>
          <cell r="EK92">
            <v>1.1234490332522551E-2</v>
          </cell>
          <cell r="EL92">
            <v>1.1234490332522551E-2</v>
          </cell>
          <cell r="EM92">
            <v>1.1234490332522551E-2</v>
          </cell>
          <cell r="EN92">
            <v>1.1234490332522551E-2</v>
          </cell>
          <cell r="EO92">
            <v>1.1234490332522551E-2</v>
          </cell>
          <cell r="EP92">
            <v>1.1234490332522551E-2</v>
          </cell>
          <cell r="EQ92">
            <v>1.1234490332522551E-2</v>
          </cell>
          <cell r="ER92">
            <v>1.1234490332522551E-2</v>
          </cell>
          <cell r="ES92">
            <v>1.1234490332522551E-2</v>
          </cell>
          <cell r="ET92">
            <v>1.1234490332522551E-2</v>
          </cell>
          <cell r="EU92">
            <v>1.1234490332522551E-2</v>
          </cell>
          <cell r="EV92">
            <v>1.1234490332522551E-2</v>
          </cell>
          <cell r="EW92">
            <v>1.1234490332522551E-2</v>
          </cell>
          <cell r="EX92">
            <v>1.1234490332522551E-2</v>
          </cell>
          <cell r="EY92">
            <v>1.1234490332522551E-2</v>
          </cell>
          <cell r="EZ92">
            <v>1.1234490332522551E-2</v>
          </cell>
          <cell r="FA92">
            <v>1.1234490332522551E-2</v>
          </cell>
          <cell r="FB92">
            <v>1.1234490332522551E-2</v>
          </cell>
          <cell r="FC92">
            <v>1.1234490332522551E-2</v>
          </cell>
          <cell r="FD92">
            <v>1.1234490332522551E-2</v>
          </cell>
          <cell r="FE92">
            <v>1.1234490332522551E-2</v>
          </cell>
          <cell r="FF92">
            <v>1.1234490332522551E-2</v>
          </cell>
          <cell r="FG92">
            <v>1.1234490332522551E-2</v>
          </cell>
          <cell r="FH92">
            <v>1.1234490332522551E-2</v>
          </cell>
          <cell r="FI92">
            <v>1.1234490332522551E-2</v>
          </cell>
          <cell r="FJ92">
            <v>1.1234490332522551E-2</v>
          </cell>
          <cell r="FK92">
            <v>1.1234490332522551E-2</v>
          </cell>
          <cell r="FL92">
            <v>1.1234490332522551E-2</v>
          </cell>
          <cell r="FM92">
            <v>1.1234490332522551E-2</v>
          </cell>
          <cell r="FN92">
            <v>1.1234490332522551E-2</v>
          </cell>
          <cell r="FO92">
            <v>1.1234490332522551E-2</v>
          </cell>
          <cell r="FP92">
            <v>1.1234490332522551E-2</v>
          </cell>
          <cell r="FQ92">
            <v>1.1234490332522551E-2</v>
          </cell>
          <cell r="FR92">
            <v>1.1234490332522551E-2</v>
          </cell>
          <cell r="FS92">
            <v>1.1234490332522551E-2</v>
          </cell>
          <cell r="FT92">
            <v>1.1234490332522551E-2</v>
          </cell>
          <cell r="FU92">
            <v>1.1234490332522551E-2</v>
          </cell>
        </row>
        <row r="93">
          <cell r="A93" t="str">
            <v>6MoSystemUKHCg</v>
          </cell>
          <cell r="B93" t="str">
            <v>UK housing</v>
          </cell>
          <cell r="D93"/>
          <cell r="E93"/>
          <cell r="F93"/>
          <cell r="G93"/>
          <cell r="H93"/>
          <cell r="I93"/>
          <cell r="J93"/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 t="e">
            <v>#REF!</v>
          </cell>
          <cell r="R93" t="e">
            <v>#REF!</v>
          </cell>
          <cell r="S93" t="e">
            <v>#REF!</v>
          </cell>
          <cell r="T93" t="e">
            <v>#REF!</v>
          </cell>
          <cell r="U93" t="e">
            <v>#REF!</v>
          </cell>
          <cell r="V93" t="e">
            <v>#REF!</v>
          </cell>
          <cell r="W93" t="e">
            <v>#REF!</v>
          </cell>
          <cell r="X93" t="e">
            <v>#REF!</v>
          </cell>
          <cell r="Y93" t="e">
            <v>#REF!</v>
          </cell>
          <cell r="Z93" t="e">
            <v>#REF!</v>
          </cell>
          <cell r="AA93" t="e">
            <v>#REF!</v>
          </cell>
          <cell r="AB93" t="e">
            <v>#REF!</v>
          </cell>
          <cell r="AC93" t="e">
            <v>#REF!</v>
          </cell>
          <cell r="AD93" t="e">
            <v>#REF!</v>
          </cell>
          <cell r="AE93" t="e">
            <v>#REF!</v>
          </cell>
          <cell r="AF93" t="e">
            <v>#REF!</v>
          </cell>
          <cell r="AG93" t="e">
            <v>#REF!</v>
          </cell>
          <cell r="AH93" t="e">
            <v>#REF!</v>
          </cell>
          <cell r="AI93" t="e">
            <v>#REF!</v>
          </cell>
          <cell r="AJ93" t="e">
            <v>#REF!</v>
          </cell>
          <cell r="AK93" t="e">
            <v>#REF!</v>
          </cell>
          <cell r="AL93" t="e">
            <v>#REF!</v>
          </cell>
          <cell r="AM93" t="e">
            <v>#REF!</v>
          </cell>
          <cell r="AN93" t="e">
            <v>#REF!</v>
          </cell>
          <cell r="AO93" t="e">
            <v>#REF!</v>
          </cell>
          <cell r="AP93" t="e">
            <v>#REF!</v>
          </cell>
          <cell r="AQ93" t="e">
            <v>#REF!</v>
          </cell>
          <cell r="AR93" t="e">
            <v>#REF!</v>
          </cell>
          <cell r="AS93" t="e">
            <v>#REF!</v>
          </cell>
          <cell r="AT93" t="e">
            <v>#REF!</v>
          </cell>
          <cell r="AU93" t="e">
            <v>#REF!</v>
          </cell>
          <cell r="AV93" t="e">
            <v>#REF!</v>
          </cell>
          <cell r="AW93" t="e">
            <v>#REF!</v>
          </cell>
          <cell r="AX93" t="e">
            <v>#REF!</v>
          </cell>
          <cell r="AY93" t="e">
            <v>#REF!</v>
          </cell>
          <cell r="AZ93" t="e">
            <v>#REF!</v>
          </cell>
          <cell r="BA93" t="e">
            <v>#REF!</v>
          </cell>
          <cell r="BB93" t="e">
            <v>#REF!</v>
          </cell>
          <cell r="BC93" t="e">
            <v>#REF!</v>
          </cell>
          <cell r="BD93" t="e">
            <v>#REF!</v>
          </cell>
          <cell r="BE93" t="e">
            <v>#REF!</v>
          </cell>
          <cell r="BF93" t="e">
            <v>#REF!</v>
          </cell>
          <cell r="BG93" t="e">
            <v>#REF!</v>
          </cell>
          <cell r="BH93" t="e">
            <v>#REF!</v>
          </cell>
          <cell r="BI93" t="e">
            <v>#REF!</v>
          </cell>
          <cell r="BJ93" t="e">
            <v>#REF!</v>
          </cell>
          <cell r="BK93" t="e">
            <v>#REF!</v>
          </cell>
          <cell r="BL93" t="e">
            <v>#REF!</v>
          </cell>
          <cell r="BM93" t="e">
            <v>#REF!</v>
          </cell>
          <cell r="BN93" t="e">
            <v>#REF!</v>
          </cell>
          <cell r="BO93" t="e">
            <v>#REF!</v>
          </cell>
          <cell r="BP93" t="e">
            <v>#REF!</v>
          </cell>
          <cell r="BQ93" t="e">
            <v>#REF!</v>
          </cell>
          <cell r="BR93" t="e">
            <v>#REF!</v>
          </cell>
          <cell r="BS93" t="e">
            <v>#REF!</v>
          </cell>
          <cell r="BT93" t="e">
            <v>#REF!</v>
          </cell>
          <cell r="BU93" t="e">
            <v>#REF!</v>
          </cell>
          <cell r="BV93" t="e">
            <v>#REF!</v>
          </cell>
          <cell r="BW93" t="e">
            <v>#REF!</v>
          </cell>
          <cell r="BX93" t="e">
            <v>#REF!</v>
          </cell>
          <cell r="BY93" t="e">
            <v>#REF!</v>
          </cell>
          <cell r="BZ93" t="e">
            <v>#REF!</v>
          </cell>
          <cell r="CA93" t="e">
            <v>#REF!</v>
          </cell>
          <cell r="CB93" t="e">
            <v>#REF!</v>
          </cell>
          <cell r="CC93" t="e">
            <v>#REF!</v>
          </cell>
          <cell r="CD93" t="e">
            <v>#REF!</v>
          </cell>
          <cell r="CE93" t="e">
            <v>#REF!</v>
          </cell>
          <cell r="CF93" t="e">
            <v>#REF!</v>
          </cell>
          <cell r="CG93" t="e">
            <v>#REF!</v>
          </cell>
          <cell r="CH93" t="e">
            <v>#REF!</v>
          </cell>
          <cell r="CI93" t="e">
            <v>#REF!</v>
          </cell>
          <cell r="CJ93" t="e">
            <v>#REF!</v>
          </cell>
          <cell r="CK93" t="e">
            <v>#REF!</v>
          </cell>
          <cell r="CL93" t="e">
            <v>#REF!</v>
          </cell>
          <cell r="CM93" t="e">
            <v>#REF!</v>
          </cell>
          <cell r="CN93" t="e">
            <v>#REF!</v>
          </cell>
          <cell r="CO93" t="e">
            <v>#REF!</v>
          </cell>
          <cell r="CP93" t="e">
            <v>#REF!</v>
          </cell>
          <cell r="CQ93" t="e">
            <v>#REF!</v>
          </cell>
          <cell r="CR93" t="e">
            <v>#REF!</v>
          </cell>
          <cell r="CS93" t="e">
            <v>#REF!</v>
          </cell>
          <cell r="CT93" t="e">
            <v>#REF!</v>
          </cell>
          <cell r="CU93" t="e">
            <v>#REF!</v>
          </cell>
          <cell r="CV93" t="e">
            <v>#REF!</v>
          </cell>
          <cell r="CW93" t="e">
            <v>#REF!</v>
          </cell>
          <cell r="CX93"/>
          <cell r="CY93"/>
          <cell r="CZ93"/>
          <cell r="DA93"/>
          <cell r="DB93"/>
          <cell r="DC93"/>
          <cell r="DD93"/>
          <cell r="DE93"/>
          <cell r="DF93"/>
          <cell r="DG93"/>
          <cell r="DH93"/>
          <cell r="DI93"/>
          <cell r="DJ93"/>
          <cell r="DK93"/>
          <cell r="DL93"/>
          <cell r="DM93"/>
          <cell r="DN93"/>
          <cell r="DO93"/>
          <cell r="DP93"/>
          <cell r="DQ93"/>
          <cell r="DR93"/>
          <cell r="DS93"/>
          <cell r="DT93"/>
          <cell r="DU93"/>
          <cell r="DV93"/>
          <cell r="DW93"/>
          <cell r="DX93"/>
          <cell r="DY93"/>
          <cell r="DZ93"/>
          <cell r="EA93"/>
          <cell r="EB93"/>
          <cell r="EC93"/>
          <cell r="ED93"/>
          <cell r="EE93"/>
          <cell r="EF93"/>
          <cell r="EG93"/>
          <cell r="EH93"/>
          <cell r="EI93"/>
          <cell r="EJ93"/>
          <cell r="EK93"/>
          <cell r="EL93"/>
          <cell r="EM93"/>
          <cell r="EN93"/>
          <cell r="EO93"/>
          <cell r="EP93"/>
          <cell r="EQ93"/>
          <cell r="ER93"/>
          <cell r="ES93"/>
          <cell r="ET93"/>
          <cell r="EU93"/>
          <cell r="EV93"/>
          <cell r="EW93"/>
          <cell r="EX93"/>
          <cell r="EY93"/>
          <cell r="EZ93"/>
          <cell r="FA93"/>
          <cell r="FB93"/>
          <cell r="FC93"/>
          <cell r="FD93"/>
          <cell r="FE93"/>
          <cell r="FF93"/>
          <cell r="FG93"/>
          <cell r="FH93"/>
          <cell r="FI93"/>
          <cell r="FJ93"/>
          <cell r="FK93"/>
          <cell r="FL93"/>
          <cell r="FM93"/>
          <cell r="FN93"/>
          <cell r="FO93"/>
          <cell r="FP93"/>
          <cell r="FQ93"/>
          <cell r="FR93"/>
          <cell r="FS93"/>
          <cell r="FT93"/>
          <cell r="FU93"/>
        </row>
        <row r="94">
          <cell r="A94" t="str">
            <v>6MoSystemUKNHCg</v>
          </cell>
          <cell r="B94" t="str">
            <v>UK non-housing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 t="e">
            <v>#REF!</v>
          </cell>
          <cell r="AB94" t="e">
            <v>#REF!</v>
          </cell>
          <cell r="AC94" t="e">
            <v>#REF!</v>
          </cell>
          <cell r="AD94" t="e">
            <v>#REF!</v>
          </cell>
          <cell r="AE94" t="e">
            <v>#REF!</v>
          </cell>
          <cell r="AF94" t="e">
            <v>#REF!</v>
          </cell>
          <cell r="AG94" t="e">
            <v>#REF!</v>
          </cell>
          <cell r="AH94" t="e">
            <v>#REF!</v>
          </cell>
          <cell r="AI94" t="e">
            <v>#REF!</v>
          </cell>
          <cell r="AJ94" t="e">
            <v>#REF!</v>
          </cell>
          <cell r="AK94" t="e">
            <v>#REF!</v>
          </cell>
          <cell r="AL94" t="e">
            <v>#REF!</v>
          </cell>
          <cell r="AM94" t="e">
            <v>#REF!</v>
          </cell>
          <cell r="AN94" t="e">
            <v>#REF!</v>
          </cell>
          <cell r="AO94" t="e">
            <v>#REF!</v>
          </cell>
          <cell r="AP94" t="e">
            <v>#REF!</v>
          </cell>
          <cell r="AQ94" t="e">
            <v>#REF!</v>
          </cell>
          <cell r="AR94" t="e">
            <v>#REF!</v>
          </cell>
          <cell r="AS94" t="e">
            <v>#REF!</v>
          </cell>
          <cell r="AT94" t="e">
            <v>#REF!</v>
          </cell>
          <cell r="AU94" t="e">
            <v>#REF!</v>
          </cell>
          <cell r="AV94" t="e">
            <v>#REF!</v>
          </cell>
          <cell r="AW94" t="e">
            <v>#REF!</v>
          </cell>
          <cell r="AX94" t="e">
            <v>#REF!</v>
          </cell>
          <cell r="AY94" t="e">
            <v>#REF!</v>
          </cell>
          <cell r="AZ94" t="e">
            <v>#REF!</v>
          </cell>
          <cell r="BA94" t="e">
            <v>#REF!</v>
          </cell>
          <cell r="BB94" t="e">
            <v>#REF!</v>
          </cell>
          <cell r="BC94" t="e">
            <v>#REF!</v>
          </cell>
          <cell r="BD94" t="e">
            <v>#REF!</v>
          </cell>
          <cell r="BE94" t="e">
            <v>#REF!</v>
          </cell>
          <cell r="BF94" t="e">
            <v>#REF!</v>
          </cell>
          <cell r="BG94" t="e">
            <v>#REF!</v>
          </cell>
          <cell r="BH94" t="e">
            <v>#REF!</v>
          </cell>
          <cell r="BI94" t="e">
            <v>#REF!</v>
          </cell>
          <cell r="BJ94" t="e">
            <v>#REF!</v>
          </cell>
          <cell r="BK94" t="e">
            <v>#REF!</v>
          </cell>
          <cell r="BL94" t="e">
            <v>#REF!</v>
          </cell>
          <cell r="BM94" t="e">
            <v>#REF!</v>
          </cell>
          <cell r="BN94" t="e">
            <v>#REF!</v>
          </cell>
          <cell r="BO94" t="e">
            <v>#REF!</v>
          </cell>
          <cell r="BP94" t="e">
            <v>#REF!</v>
          </cell>
          <cell r="BQ94" t="e">
            <v>#REF!</v>
          </cell>
          <cell r="BR94" t="e">
            <v>#REF!</v>
          </cell>
          <cell r="BS94" t="e">
            <v>#REF!</v>
          </cell>
          <cell r="BT94" t="e">
            <v>#REF!</v>
          </cell>
          <cell r="BU94" t="e">
            <v>#REF!</v>
          </cell>
          <cell r="BV94" t="e">
            <v>#REF!</v>
          </cell>
          <cell r="BW94" t="e">
            <v>#REF!</v>
          </cell>
          <cell r="BX94" t="e">
            <v>#REF!</v>
          </cell>
          <cell r="BY94" t="e">
            <v>#REF!</v>
          </cell>
          <cell r="BZ94" t="e">
            <v>#REF!</v>
          </cell>
          <cell r="CA94" t="e">
            <v>#REF!</v>
          </cell>
          <cell r="CB94" t="e">
            <v>#REF!</v>
          </cell>
          <cell r="CC94" t="e">
            <v>#REF!</v>
          </cell>
          <cell r="CD94" t="e">
            <v>#REF!</v>
          </cell>
          <cell r="CE94" t="e">
            <v>#REF!</v>
          </cell>
          <cell r="CF94" t="e">
            <v>#REF!</v>
          </cell>
          <cell r="CG94" t="e">
            <v>#REF!</v>
          </cell>
          <cell r="CH94" t="e">
            <v>#REF!</v>
          </cell>
          <cell r="CI94" t="e">
            <v>#REF!</v>
          </cell>
          <cell r="CJ94" t="e">
            <v>#REF!</v>
          </cell>
          <cell r="CK94" t="e">
            <v>#REF!</v>
          </cell>
          <cell r="CL94" t="e">
            <v>#REF!</v>
          </cell>
          <cell r="CM94" t="e">
            <v>#REF!</v>
          </cell>
          <cell r="CN94" t="e">
            <v>#REF!</v>
          </cell>
          <cell r="CO94" t="e">
            <v>#REF!</v>
          </cell>
          <cell r="CP94" t="e">
            <v>#REF!</v>
          </cell>
          <cell r="CQ94" t="e">
            <v>#REF!</v>
          </cell>
          <cell r="CR94" t="e">
            <v>#REF!</v>
          </cell>
          <cell r="CS94" t="e">
            <v>#REF!</v>
          </cell>
          <cell r="CT94" t="e">
            <v>#REF!</v>
          </cell>
          <cell r="CU94" t="e">
            <v>#REF!</v>
          </cell>
          <cell r="CV94" t="e">
            <v>#REF!</v>
          </cell>
          <cell r="CW94" t="e">
            <v>#REF!</v>
          </cell>
          <cell r="CX94"/>
          <cell r="CY94"/>
          <cell r="CZ94"/>
          <cell r="DA94"/>
          <cell r="DB94"/>
          <cell r="DC94"/>
          <cell r="DD94"/>
          <cell r="DE94"/>
          <cell r="DF94"/>
          <cell r="DG94"/>
          <cell r="DH94"/>
          <cell r="DI94"/>
          <cell r="DJ94"/>
          <cell r="DK94"/>
          <cell r="DL94"/>
          <cell r="DM94"/>
          <cell r="DN94"/>
          <cell r="DO94"/>
          <cell r="DP94"/>
          <cell r="DQ94"/>
          <cell r="DR94"/>
          <cell r="DS94"/>
          <cell r="DT94"/>
          <cell r="DU94"/>
          <cell r="DV94"/>
          <cell r="DW94"/>
          <cell r="DX94"/>
          <cell r="DY94"/>
          <cell r="DZ94"/>
          <cell r="EA94"/>
          <cell r="EB94"/>
          <cell r="EC94"/>
          <cell r="ED94"/>
          <cell r="EE94"/>
          <cell r="EF94"/>
          <cell r="EG94"/>
          <cell r="EH94"/>
          <cell r="EI94"/>
          <cell r="EJ94"/>
          <cell r="EK94"/>
          <cell r="EL94"/>
          <cell r="EM94"/>
          <cell r="EN94"/>
          <cell r="EO94"/>
          <cell r="EP94"/>
          <cell r="EQ94"/>
          <cell r="ER94"/>
          <cell r="ES94"/>
          <cell r="ET94"/>
          <cell r="EU94"/>
          <cell r="EV94"/>
          <cell r="EW94"/>
          <cell r="EX94"/>
          <cell r="EY94"/>
          <cell r="EZ94"/>
          <cell r="FA94"/>
          <cell r="FB94"/>
          <cell r="FC94"/>
          <cell r="FD94"/>
          <cell r="FE94"/>
          <cell r="FF94"/>
          <cell r="FG94"/>
          <cell r="FH94"/>
          <cell r="FI94"/>
          <cell r="FJ94"/>
          <cell r="FK94"/>
          <cell r="FL94"/>
          <cell r="FM94"/>
          <cell r="FN94"/>
          <cell r="FO94"/>
          <cell r="FP94"/>
          <cell r="FQ94"/>
          <cell r="FR94"/>
          <cell r="FS94"/>
          <cell r="FT94"/>
          <cell r="FU94"/>
        </row>
        <row r="95">
          <cell r="B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  <cell r="CE95"/>
          <cell r="CF95"/>
          <cell r="CG95"/>
          <cell r="CH95"/>
          <cell r="CI95"/>
          <cell r="CJ95"/>
          <cell r="CK95"/>
          <cell r="CL95"/>
          <cell r="CM95"/>
          <cell r="CN95"/>
          <cell r="CO95"/>
          <cell r="CP95"/>
          <cell r="CQ95"/>
          <cell r="CR95"/>
          <cell r="CS95"/>
          <cell r="CT95"/>
          <cell r="CU95"/>
          <cell r="CV95"/>
          <cell r="CW95"/>
          <cell r="CX95"/>
          <cell r="CY95"/>
          <cell r="CZ95"/>
          <cell r="DA95"/>
          <cell r="DB95"/>
          <cell r="DC95"/>
          <cell r="DD95"/>
          <cell r="DF95"/>
          <cell r="DG95"/>
          <cell r="DH95"/>
          <cell r="DI95"/>
          <cell r="DJ95"/>
          <cell r="DK95"/>
          <cell r="DL95"/>
          <cell r="DM95"/>
          <cell r="DN95"/>
          <cell r="DO95"/>
          <cell r="DP95"/>
          <cell r="DQ95"/>
          <cell r="DR95"/>
          <cell r="DS95"/>
          <cell r="DT95"/>
          <cell r="DU95"/>
          <cell r="DV95"/>
          <cell r="DW95"/>
          <cell r="DX95"/>
          <cell r="DY95"/>
          <cell r="DZ95"/>
          <cell r="EA95"/>
          <cell r="EB95"/>
          <cell r="EC95"/>
          <cell r="ED95"/>
          <cell r="EE95"/>
          <cell r="EG95"/>
          <cell r="EH95"/>
        </row>
        <row r="96">
          <cell r="B96" t="str">
            <v>System volume growth (12mo)</v>
          </cell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  <cell r="CE96"/>
          <cell r="CF96"/>
          <cell r="CG96"/>
          <cell r="CH96"/>
          <cell r="CI96"/>
          <cell r="CJ96"/>
          <cell r="CK96"/>
          <cell r="CL96"/>
          <cell r="CM96"/>
          <cell r="CN96"/>
          <cell r="CO96"/>
          <cell r="CP96"/>
          <cell r="CQ96"/>
          <cell r="CR96"/>
          <cell r="CS96"/>
          <cell r="CT96"/>
          <cell r="CU96"/>
          <cell r="CV96"/>
          <cell r="CW96"/>
          <cell r="CX96"/>
          <cell r="CY96"/>
          <cell r="CZ96"/>
          <cell r="DA96"/>
          <cell r="DB96"/>
          <cell r="DC96"/>
          <cell r="DD96"/>
          <cell r="DE96"/>
          <cell r="DF96"/>
          <cell r="DG96"/>
          <cell r="DH96"/>
          <cell r="DI96"/>
          <cell r="DJ96"/>
          <cell r="DK96"/>
          <cell r="DL96"/>
          <cell r="DM96"/>
          <cell r="DN96"/>
          <cell r="DO96"/>
          <cell r="DP96"/>
          <cell r="DQ96"/>
          <cell r="DR96"/>
          <cell r="DS96"/>
          <cell r="DT96"/>
          <cell r="DU96"/>
          <cell r="DV96"/>
          <cell r="DW96"/>
          <cell r="DX96"/>
          <cell r="DY96"/>
          <cell r="DZ96"/>
          <cell r="EA96"/>
          <cell r="EB96"/>
          <cell r="EC96"/>
          <cell r="ED96"/>
          <cell r="EE96"/>
          <cell r="EF96"/>
          <cell r="EG96"/>
          <cell r="EH96"/>
          <cell r="EI96"/>
          <cell r="EJ96"/>
          <cell r="EK96"/>
          <cell r="EL96"/>
          <cell r="EM96"/>
          <cell r="EN96"/>
          <cell r="EO96"/>
          <cell r="EP96"/>
          <cell r="EQ96"/>
          <cell r="ER96"/>
          <cell r="ES96"/>
          <cell r="ET96"/>
          <cell r="EU96"/>
          <cell r="EV96"/>
          <cell r="EW96"/>
          <cell r="EX96"/>
          <cell r="EY96"/>
          <cell r="EZ96"/>
          <cell r="FA96"/>
          <cell r="FB96"/>
          <cell r="FC96"/>
          <cell r="FD96"/>
          <cell r="FE96"/>
          <cell r="FF96"/>
          <cell r="FG96"/>
          <cell r="FH96"/>
          <cell r="FI96"/>
          <cell r="FJ96"/>
          <cell r="FK96"/>
          <cell r="FL96"/>
          <cell r="FM96"/>
          <cell r="FN96"/>
          <cell r="FO96"/>
          <cell r="FP96"/>
          <cell r="FQ96"/>
          <cell r="FR96"/>
          <cell r="FS96"/>
          <cell r="FT96"/>
          <cell r="FU96"/>
        </row>
        <row r="97">
          <cell r="A97" t="str">
            <v>12MoSystemAUHCg</v>
          </cell>
          <cell r="B97" t="str">
            <v>Australian housing</v>
          </cell>
          <cell r="D97">
            <v>0.11468739095120985</v>
          </cell>
          <cell r="E97">
            <v>0.12082280708391992</v>
          </cell>
          <cell r="F97">
            <v>0.12751114353648685</v>
          </cell>
          <cell r="G97">
            <v>0.13277449499588312</v>
          </cell>
          <cell r="H97">
            <v>0.1444101117827119</v>
          </cell>
          <cell r="I97">
            <v>0.15950991646558932</v>
          </cell>
          <cell r="J97">
            <v>0.17416847936902013</v>
          </cell>
          <cell r="K97">
            <v>0.17951201552822904</v>
          </cell>
          <cell r="L97">
            <v>0.19708501888165064</v>
          </cell>
          <cell r="M97">
            <v>0.20993667920218287</v>
          </cell>
          <cell r="N97">
            <v>0.21580197766553552</v>
          </cell>
          <cell r="O97">
            <v>0.20840359510958195</v>
          </cell>
          <cell r="P97">
            <v>0.1883096275583305</v>
          </cell>
          <cell r="Q97">
            <v>0.15273316958182104</v>
          </cell>
          <cell r="R97">
            <v>0.12779422966163367</v>
          </cell>
          <cell r="S97">
            <v>0.12336918637255012</v>
          </cell>
          <cell r="T97">
            <v>0.11734418881516895</v>
          </cell>
          <cell r="U97">
            <v>0.11956025187829609</v>
          </cell>
          <cell r="V97">
            <v>0.12416148723530294</v>
          </cell>
          <cell r="W97">
            <v>0.11274173224454787</v>
          </cell>
          <cell r="X97">
            <v>0.11108105750567931</v>
          </cell>
          <cell r="Y97">
            <v>0.11853468920902156</v>
          </cell>
          <cell r="Z97">
            <v>0.12120296683733243</v>
          </cell>
          <cell r="AA97">
            <v>0.12183512108881756</v>
          </cell>
          <cell r="AB97">
            <v>0.12088267369576776</v>
          </cell>
          <cell r="AC97">
            <v>0.12113999110835148</v>
          </cell>
          <cell r="AD97">
            <v>0.11319213417394348</v>
          </cell>
          <cell r="AE97">
            <v>0.12013741990510463</v>
          </cell>
          <cell r="AF97">
            <v>0.11997756139721538</v>
          </cell>
          <cell r="AG97">
            <v>0.11990089329241214</v>
          </cell>
          <cell r="AH97">
            <v>0.13668266915427263</v>
          </cell>
          <cell r="AI97">
            <v>0.14389885791083135</v>
          </cell>
          <cell r="AJ97">
            <v>0.16426848306980937</v>
          </cell>
          <cell r="AK97">
            <v>0.16971621254469427</v>
          </cell>
          <cell r="AL97">
            <v>0.15677753461866972</v>
          </cell>
          <cell r="AM97">
            <v>0.14188816903857382</v>
          </cell>
          <cell r="AN97">
            <v>0.12667007444707545</v>
          </cell>
          <cell r="AO97">
            <v>0.12519775757192986</v>
          </cell>
          <cell r="AP97">
            <v>0.13693504530617107</v>
          </cell>
          <cell r="AQ97">
            <v>0.16062732635372168</v>
          </cell>
          <cell r="AR97">
            <v>0.17802997358578843</v>
          </cell>
          <cell r="AS97">
            <v>0.18000782346016031</v>
          </cell>
          <cell r="AT97">
            <v>0.19212391578205579</v>
          </cell>
          <cell r="AU97">
            <v>0.18423573244470837</v>
          </cell>
          <cell r="AV97">
            <v>0.17742166414193772</v>
          </cell>
          <cell r="AW97">
            <v>0.19107849909157815</v>
          </cell>
          <cell r="AX97">
            <v>0.1924406823455429</v>
          </cell>
          <cell r="AY97">
            <v>0.20935917902039747</v>
          </cell>
          <cell r="AZ97">
            <v>0.21948245084268803</v>
          </cell>
          <cell r="BA97">
            <v>0.20738597868316647</v>
          </cell>
          <cell r="BB97">
            <v>0.19328161888546802</v>
          </cell>
          <cell r="BC97">
            <v>0.17767807921083389</v>
          </cell>
          <cell r="BD97">
            <v>0.15639240620393702</v>
          </cell>
          <cell r="BE97">
            <v>0.14666559703469684</v>
          </cell>
          <cell r="BF97">
            <v>0.13344883750915515</v>
          </cell>
          <cell r="BG97">
            <v>0.12736736786211655</v>
          </cell>
          <cell r="BH97">
            <v>0.12839251935638707</v>
          </cell>
          <cell r="BI97">
            <v>0.13683157743072272</v>
          </cell>
          <cell r="BJ97">
            <v>0.14503016434668781</v>
          </cell>
          <cell r="BK97">
            <v>0.13666335340057834</v>
          </cell>
          <cell r="BL97">
            <v>0.13485743330582256</v>
          </cell>
          <cell r="BM97">
            <v>0.12973787783526758</v>
          </cell>
          <cell r="BN97">
            <v>0.11901673977138059</v>
          </cell>
          <cell r="BO97">
            <v>0.11832343930309186</v>
          </cell>
          <cell r="BP97">
            <v>0.11188393479472092</v>
          </cell>
          <cell r="BQ97">
            <v>9.5968753001001161E-2</v>
          </cell>
          <cell r="BR97">
            <v>8.4662348429986878E-2</v>
          </cell>
          <cell r="BS97">
            <v>7.3405500943767077E-2</v>
          </cell>
          <cell r="BT97">
            <v>6.4869718461328718E-2</v>
          </cell>
          <cell r="BU97">
            <v>6.5225275828758811E-2</v>
          </cell>
          <cell r="BV97">
            <v>7.1394453499593835E-2</v>
          </cell>
          <cell r="BW97">
            <v>7.6831463531884969E-2</v>
          </cell>
          <cell r="BX97">
            <v>8.2346733731248248E-2</v>
          </cell>
          <cell r="BY97">
            <v>8.0217146776300444E-2</v>
          </cell>
          <cell r="BZ97">
            <v>7.6290066371579313E-2</v>
          </cell>
          <cell r="CA97">
            <v>7.1826598349752802E-2</v>
          </cell>
          <cell r="CB97">
            <v>6.4550155232632189E-2</v>
          </cell>
          <cell r="CC97">
            <v>6.0592094688036058E-2</v>
          </cell>
          <cell r="CD97">
            <v>5.8191758155962781E-2</v>
          </cell>
          <cell r="CE97">
            <v>5.3957616342741543E-2</v>
          </cell>
          <cell r="CF97">
            <v>5.2707128712686346E-2</v>
          </cell>
          <cell r="CG97">
            <v>5.0251145782987727E-2</v>
          </cell>
          <cell r="CH97">
            <v>4.6970126038581084E-2</v>
          </cell>
          <cell r="CI97">
            <v>4.5293371144541128E-2</v>
          </cell>
          <cell r="CJ97">
            <v>4.4287034835551964E-2</v>
          </cell>
          <cell r="CK97">
            <v>4.6204255548618178E-2</v>
          </cell>
          <cell r="CL97">
            <v>4.9067151694921707E-2</v>
          </cell>
          <cell r="CM97">
            <v>5.4306464646493913E-2</v>
          </cell>
          <cell r="CN97">
            <v>5.8849841121697777E-2</v>
          </cell>
          <cell r="CO97">
            <v>6.4314187891761465E-2</v>
          </cell>
          <cell r="CP97">
            <v>6.7518914730944068E-2</v>
          </cell>
          <cell r="CQ97">
            <v>7.0259932754773935E-2</v>
          </cell>
          <cell r="CR97">
            <v>7.2001557130699334E-2</v>
          </cell>
          <cell r="CS97">
            <v>7.2883716118048225E-2</v>
          </cell>
          <cell r="CT97">
            <v>7.463033436962152E-2</v>
          </cell>
          <cell r="CU97">
            <v>7.3936998757654582E-2</v>
          </cell>
          <cell r="CV97">
            <v>7.073797224631706E-2</v>
          </cell>
          <cell r="CW97">
            <v>6.7168741065817716E-2</v>
          </cell>
          <cell r="CX97">
            <v>6.4310981198757888E-2</v>
          </cell>
          <cell r="CY97">
            <v>6.325426922603028E-2</v>
          </cell>
          <cell r="CZ97">
            <v>6.4830881068044688E-2</v>
          </cell>
          <cell r="DA97">
            <v>6.6432657617425228E-2</v>
          </cell>
          <cell r="DB97">
            <v>6.5804374779694363E-2</v>
          </cell>
          <cell r="DC97">
            <v>6.3417188646919476E-2</v>
          </cell>
          <cell r="DD97">
            <v>6.1430074660863809E-2</v>
          </cell>
          <cell r="DE97">
            <v>5.6213114680680132E-2</v>
          </cell>
          <cell r="DF97">
            <v>5.2524002040351236E-2</v>
          </cell>
          <cell r="DG97">
            <v>4.6791117591202358E-2</v>
          </cell>
          <cell r="DH97">
            <v>3.9498182493255429E-2</v>
          </cell>
          <cell r="DI97">
            <v>3.4495684740608823E-2</v>
          </cell>
          <cell r="DJ97">
            <v>2.9946183692117101E-2</v>
          </cell>
          <cell r="DK97">
            <v>2.9750797251632433E-2</v>
          </cell>
          <cell r="DL97">
            <v>3.1735513929626924E-2</v>
          </cell>
          <cell r="DM97">
            <v>3.1222030762912079E-2</v>
          </cell>
          <cell r="DN97">
            <v>3.2685227002788642E-2</v>
          </cell>
          <cell r="DO97">
            <v>3.5484167246138343E-2</v>
          </cell>
          <cell r="DP97">
            <v>4.1351954987032924E-2</v>
          </cell>
          <cell r="DQ97">
            <v>5.3727468162157122E-2</v>
          </cell>
          <cell r="DR97">
            <v>6.4872866144927155E-2</v>
          </cell>
          <cell r="DS97">
            <v>7.447587204362982E-2</v>
          </cell>
          <cell r="DT97">
            <v>7.9539064162655881E-2</v>
          </cell>
          <cell r="DU97">
            <v>7.9292009396413121E-2</v>
          </cell>
          <cell r="DV97">
            <v>7.4139628285478931E-2</v>
          </cell>
          <cell r="DW97">
            <v>6.459331085310116E-2</v>
          </cell>
          <cell r="DX97">
            <v>5.4813441607606483E-2</v>
          </cell>
          <cell r="DY97">
            <v>4.6490671793377958E-2</v>
          </cell>
          <cell r="DZ97">
            <v>4.2034200861087667E-2</v>
          </cell>
          <cell r="EA97">
            <v>4.1700448937285417E-2</v>
          </cell>
          <cell r="EB97">
            <v>4.3281673936336196E-2</v>
          </cell>
          <cell r="EC97">
            <v>4.7054664648173761E-2</v>
          </cell>
          <cell r="ED97">
            <v>5.1222650429014971E-2</v>
          </cell>
          <cell r="EE97">
            <v>5.5040742628153172E-2</v>
          </cell>
          <cell r="EF97">
            <v>5.7059817124996526E-2</v>
          </cell>
          <cell r="EG97">
            <v>5.9439842780734997E-2</v>
          </cell>
          <cell r="EH97">
            <v>6.3187573964131438E-2</v>
          </cell>
          <cell r="EI97">
            <v>6.8507905368014432E-2</v>
          </cell>
          <cell r="EJ97">
            <v>7.0866082044753975E-2</v>
          </cell>
          <cell r="EK97">
            <v>6.9471721646301443E-2</v>
          </cell>
          <cell r="EL97">
            <v>6.6190409039683429E-2</v>
          </cell>
          <cell r="EM97">
            <v>6.0839939402999921E-2</v>
          </cell>
          <cell r="EN97">
            <v>5.9273738705062362E-2</v>
          </cell>
          <cell r="EO97">
            <v>5.9273738705062362E-2</v>
          </cell>
          <cell r="EP97">
            <v>5.9273738705062362E-2</v>
          </cell>
          <cell r="EQ97">
            <v>5.9273738705062362E-2</v>
          </cell>
          <cell r="ER97">
            <v>5.9273738705062362E-2</v>
          </cell>
          <cell r="ES97">
            <v>5.9273738705062362E-2</v>
          </cell>
          <cell r="ET97">
            <v>5.9273738705062362E-2</v>
          </cell>
          <cell r="EU97">
            <v>5.9273738705062362E-2</v>
          </cell>
          <cell r="EV97">
            <v>5.7185471107812358E-2</v>
          </cell>
          <cell r="EW97">
            <v>5.5101320351562233E-2</v>
          </cell>
          <cell r="EX97">
            <v>5.3021278320312337E-2</v>
          </cell>
          <cell r="EY97">
            <v>5.0945336914062223E-2</v>
          </cell>
          <cell r="EZ97">
            <v>4.8350410156249746E-2</v>
          </cell>
          <cell r="FA97">
            <v>4.5761890624999912E-2</v>
          </cell>
          <cell r="FB97">
            <v>4.3179762500000107E-2</v>
          </cell>
          <cell r="FC97">
            <v>4.0604010000000024E-2</v>
          </cell>
          <cell r="FD97">
            <v>4.0604010000000024E-2</v>
          </cell>
          <cell r="FE97">
            <v>4.0604010000000024E-2</v>
          </cell>
          <cell r="FF97">
            <v>4.0604010000000024E-2</v>
          </cell>
          <cell r="FG97">
            <v>4.0604010000000024E-2</v>
          </cell>
          <cell r="FH97">
            <v>4.0604010000000024E-2</v>
          </cell>
          <cell r="FI97">
            <v>4.0604010000000024E-2</v>
          </cell>
          <cell r="FJ97">
            <v>4.0604010000000024E-2</v>
          </cell>
          <cell r="FK97">
            <v>4.0604010000000024E-2</v>
          </cell>
          <cell r="FL97">
            <v>4.0604010000000024E-2</v>
          </cell>
          <cell r="FM97">
            <v>4.0604010000000024E-2</v>
          </cell>
          <cell r="FN97">
            <v>4.0604010000000024E-2</v>
          </cell>
          <cell r="FO97">
            <v>4.0604010000000024E-2</v>
          </cell>
          <cell r="FP97">
            <v>4.0604010000000024E-2</v>
          </cell>
          <cell r="FQ97">
            <v>4.0604010000000024E-2</v>
          </cell>
          <cell r="FR97">
            <v>4.0604010000000024E-2</v>
          </cell>
          <cell r="FS97">
            <v>4.0604010000000024E-2</v>
          </cell>
          <cell r="FT97">
            <v>4.0604010000000024E-2</v>
          </cell>
          <cell r="FU97">
            <v>4.0604010000000024E-2</v>
          </cell>
        </row>
        <row r="98">
          <cell r="A98" t="str">
            <v>12MoSystemAUBCg</v>
          </cell>
          <cell r="B98" t="str">
            <v>Australian business</v>
          </cell>
          <cell r="D98">
            <v>-5.7930307969056398E-2</v>
          </cell>
          <cell r="E98">
            <v>-5.7336531936571289E-2</v>
          </cell>
          <cell r="F98">
            <v>-5.8957977054600159E-2</v>
          </cell>
          <cell r="G98">
            <v>-6.8803338576624795E-2</v>
          </cell>
          <cell r="H98">
            <v>-5.2975629643666311E-2</v>
          </cell>
          <cell r="I98">
            <v>-4.6739928783973594E-2</v>
          </cell>
          <cell r="J98">
            <v>-3.8627142874353093E-2</v>
          </cell>
          <cell r="K98">
            <v>-1.4449458195822107E-2</v>
          </cell>
          <cell r="L98">
            <v>-1.7226193086829045E-2</v>
          </cell>
          <cell r="M98">
            <v>-3.2920707288955908E-3</v>
          </cell>
          <cell r="N98">
            <v>9.7318756084576741E-3</v>
          </cell>
          <cell r="O98">
            <v>2.3898952421509856E-2</v>
          </cell>
          <cell r="P98">
            <v>3.6805789464686933E-2</v>
          </cell>
          <cell r="Q98">
            <v>5.625628522149162E-2</v>
          </cell>
          <cell r="R98">
            <v>7.1995591703884365E-2</v>
          </cell>
          <cell r="S98">
            <v>0.10182497456486717</v>
          </cell>
          <cell r="T98">
            <v>0.13823905011306525</v>
          </cell>
          <cell r="U98">
            <v>0.13428208054338664</v>
          </cell>
          <cell r="V98">
            <v>0.13525611750830913</v>
          </cell>
          <cell r="W98">
            <v>0.11355693188137161</v>
          </cell>
          <cell r="X98">
            <v>8.369966035938671E-2</v>
          </cell>
          <cell r="Y98">
            <v>9.283087988811832E-2</v>
          </cell>
          <cell r="Z98">
            <v>0.10169216940478677</v>
          </cell>
          <cell r="AA98">
            <v>0.1158486800760372</v>
          </cell>
          <cell r="AB98">
            <v>0.11323463247554821</v>
          </cell>
          <cell r="AC98">
            <v>0.10356732060256357</v>
          </cell>
          <cell r="AD98">
            <v>9.2150265391727229E-2</v>
          </cell>
          <cell r="AE98">
            <v>8.2763034243457767E-2</v>
          </cell>
          <cell r="AF98">
            <v>9.0407391576746723E-2</v>
          </cell>
          <cell r="AG98">
            <v>8.3696783203770497E-2</v>
          </cell>
          <cell r="AH98">
            <v>7.471591133752109E-2</v>
          </cell>
          <cell r="AI98">
            <v>7.1783181750949554E-2</v>
          </cell>
          <cell r="AJ98">
            <v>7.5096006126087245E-2</v>
          </cell>
          <cell r="AK98">
            <v>8.6501108783725744E-2</v>
          </cell>
          <cell r="AL98">
            <v>9.4898136264176744E-2</v>
          </cell>
          <cell r="AM98">
            <v>8.5674137261476879E-2</v>
          </cell>
          <cell r="AN98">
            <v>8.6145473530839775E-2</v>
          </cell>
          <cell r="AO98">
            <v>6.3501914448508279E-2</v>
          </cell>
          <cell r="AP98">
            <v>3.4159661126002216E-2</v>
          </cell>
          <cell r="AQ98">
            <v>2.1896544792848749E-2</v>
          </cell>
          <cell r="AR98">
            <v>4.7052468180195373E-3</v>
          </cell>
          <cell r="AS98">
            <v>1.7723311028352562E-2</v>
          </cell>
          <cell r="AT98">
            <v>4.752198296678789E-2</v>
          </cell>
          <cell r="AU98">
            <v>5.1336554184235439E-2</v>
          </cell>
          <cell r="AV98">
            <v>7.7943017918358448E-2</v>
          </cell>
          <cell r="AW98">
            <v>6.4430326424506523E-2</v>
          </cell>
          <cell r="AX98">
            <v>6.575151377507038E-2</v>
          </cell>
          <cell r="AY98">
            <v>8.962973112529582E-2</v>
          </cell>
          <cell r="AZ98">
            <v>6.068479312884012E-2</v>
          </cell>
          <cell r="BA98">
            <v>8.5890471278220706E-2</v>
          </cell>
          <cell r="BB98">
            <v>8.5629057852063539E-2</v>
          </cell>
          <cell r="BC98">
            <v>8.0218298538069721E-2</v>
          </cell>
          <cell r="BD98">
            <v>0.10857438389661045</v>
          </cell>
          <cell r="BE98">
            <v>0.11536352174102449</v>
          </cell>
          <cell r="BF98">
            <v>0.13100078353733391</v>
          </cell>
          <cell r="BG98">
            <v>0.15252280961378539</v>
          </cell>
          <cell r="BH98">
            <v>0.16540900135621772</v>
          </cell>
          <cell r="BI98">
            <v>0.1678793397193552</v>
          </cell>
          <cell r="BJ98">
            <v>0.16203103091320295</v>
          </cell>
          <cell r="BK98">
            <v>0.1607122746081171</v>
          </cell>
          <cell r="BL98">
            <v>0.16836009049233902</v>
          </cell>
          <cell r="BM98">
            <v>0.19323714215335919</v>
          </cell>
          <cell r="BN98">
            <v>0.22195700287960166</v>
          </cell>
          <cell r="BO98">
            <v>0.24070035701253456</v>
          </cell>
          <cell r="BP98">
            <v>0.2162411501002324</v>
          </cell>
          <cell r="BQ98">
            <v>0.16784998054404277</v>
          </cell>
          <cell r="BR98">
            <v>0.13820833450716874</v>
          </cell>
          <cell r="BS98">
            <v>8.9571588748068157E-2</v>
          </cell>
          <cell r="BT98">
            <v>5.1009801831127577E-2</v>
          </cell>
          <cell r="BU98">
            <v>1.1923229747655917E-2</v>
          </cell>
          <cell r="BV98">
            <v>-3.9497863774790254E-2</v>
          </cell>
          <cell r="BW98">
            <v>-6.5666537125014024E-2</v>
          </cell>
          <cell r="BX98">
            <v>-6.1680911832899366E-2</v>
          </cell>
          <cell r="BY98">
            <v>-4.140444773911723E-2</v>
          </cell>
          <cell r="BZ98">
            <v>-3.508303227306242E-2</v>
          </cell>
          <cell r="CA98">
            <v>-2.1531562048655584E-2</v>
          </cell>
          <cell r="CB98">
            <v>-8.0378094778308373E-3</v>
          </cell>
          <cell r="CC98">
            <v>-2.5831314469094702E-2</v>
          </cell>
          <cell r="CD98">
            <v>-1.3847830403430628E-3</v>
          </cell>
          <cell r="CE98">
            <v>9.693284063279517E-3</v>
          </cell>
          <cell r="CF98">
            <v>9.7377731647338983E-3</v>
          </cell>
          <cell r="CG98">
            <v>4.4377323380393241E-2</v>
          </cell>
          <cell r="CH98">
            <v>4.0440300320333744E-2</v>
          </cell>
          <cell r="CI98">
            <v>3.2392921943932285E-2</v>
          </cell>
          <cell r="CJ98">
            <v>2.0378509011848678E-2</v>
          </cell>
          <cell r="CK98">
            <v>1.2578740118798226E-2</v>
          </cell>
          <cell r="CL98">
            <v>1.0281582146564938E-2</v>
          </cell>
          <cell r="CM98">
            <v>1.6052084446563031E-2</v>
          </cell>
          <cell r="CN98">
            <v>2.5903677394112812E-2</v>
          </cell>
          <cell r="CO98">
            <v>3.4594973241370619E-2</v>
          </cell>
          <cell r="CP98">
            <v>3.7781660760038083E-2</v>
          </cell>
          <cell r="CQ98">
            <v>4.662549826872997E-2</v>
          </cell>
          <cell r="CR98">
            <v>5.4418530536750831E-2</v>
          </cell>
          <cell r="CS98">
            <v>4.4963843154270267E-2</v>
          </cell>
          <cell r="CT98">
            <v>6.3677656403194005E-2</v>
          </cell>
          <cell r="CU98">
            <v>6.4544491019052463E-2</v>
          </cell>
          <cell r="CV98">
            <v>6.5454944895771305E-2</v>
          </cell>
          <cell r="CW98">
            <v>6.6578126246421343E-2</v>
          </cell>
          <cell r="CX98">
            <v>4.9080826067763095E-2</v>
          </cell>
          <cell r="CY98">
            <v>5.5624546427801347E-2</v>
          </cell>
          <cell r="CZ98">
            <v>3.3711728513560635E-2</v>
          </cell>
          <cell r="DA98">
            <v>4.1626494922788471E-2</v>
          </cell>
          <cell r="DB98">
            <v>4.1541418714991396E-2</v>
          </cell>
          <cell r="DC98">
            <v>3.1032187169010017E-2</v>
          </cell>
          <cell r="DD98">
            <v>3.8796428739013233E-2</v>
          </cell>
          <cell r="DE98">
            <v>3.1304489300017169E-2</v>
          </cell>
          <cell r="DF98">
            <v>4.3820997806961692E-2</v>
          </cell>
          <cell r="DG98">
            <v>4.7802789224090869E-2</v>
          </cell>
          <cell r="DH98">
            <v>4.8522076287310645E-2</v>
          </cell>
          <cell r="DI98">
            <v>4.0361795876710849E-2</v>
          </cell>
          <cell r="DJ98">
            <v>3.0256925667182077E-2</v>
          </cell>
          <cell r="DK98">
            <v>1.8770721558183601E-2</v>
          </cell>
          <cell r="DL98">
            <v>4.8873922991659935E-2</v>
          </cell>
          <cell r="DM98">
            <v>3.0600775433936578E-2</v>
          </cell>
          <cell r="DN98">
            <v>1.0133391107541412E-2</v>
          </cell>
          <cell r="DO98">
            <v>2.2188141718748611E-3</v>
          </cell>
          <cell r="DP98">
            <v>-2.3823061621625397E-2</v>
          </cell>
          <cell r="DQ98">
            <v>7.1655547975584266E-3</v>
          </cell>
          <cell r="DR98">
            <v>4.1743898413151515E-2</v>
          </cell>
          <cell r="DS98">
            <v>7.6255098495347839E-2</v>
          </cell>
          <cell r="DT98">
            <v>9.1999587582399123E-2</v>
          </cell>
          <cell r="DU98">
            <v>0.11916139620328803</v>
          </cell>
          <cell r="DV98">
            <v>0.13342921132376007</v>
          </cell>
          <cell r="DW98">
            <v>0.1159236437081239</v>
          </cell>
          <cell r="DX98">
            <v>0.10456226994750818</v>
          </cell>
          <cell r="DY98">
            <v>8.1177908677747337E-2</v>
          </cell>
          <cell r="DZ98">
            <v>6.635543783544362E-2</v>
          </cell>
          <cell r="EA98">
            <v>6.3695752009828244E-2</v>
          </cell>
          <cell r="EB98">
            <v>7.7025865096051804E-2</v>
          </cell>
          <cell r="EC98">
            <v>7.8268671309328575E-2</v>
          </cell>
          <cell r="ED98">
            <v>7.5875020469508891E-2</v>
          </cell>
          <cell r="EE98">
            <v>9.3566559802706242E-2</v>
          </cell>
          <cell r="EF98">
            <v>8.5318574401115801E-2</v>
          </cell>
          <cell r="EG98">
            <v>8.65331362508346E-2</v>
          </cell>
          <cell r="EH98">
            <v>9.4411640486543824E-2</v>
          </cell>
          <cell r="EI98">
            <v>9.7101620170111591E-2</v>
          </cell>
          <cell r="EJ98">
            <v>0.10135167354012875</v>
          </cell>
          <cell r="EK98">
            <v>0.10036124465285301</v>
          </cell>
          <cell r="EL98">
            <v>8.6665461693969048E-2</v>
          </cell>
          <cell r="EM98">
            <v>7.1846089999999974E-2</v>
          </cell>
          <cell r="EN98">
            <v>6.6591942499999668E-2</v>
          </cell>
          <cell r="EO98">
            <v>6.136355062499943E-2</v>
          </cell>
          <cell r="EP98">
            <v>5.6135158749999636E-2</v>
          </cell>
          <cell r="EQ98">
            <v>5.093252249999991E-2</v>
          </cell>
          <cell r="ER98">
            <v>4.5755515000000191E-2</v>
          </cell>
          <cell r="ES98">
            <v>4.0604010000000024E-2</v>
          </cell>
          <cell r="ET98">
            <v>4.0604010000000024E-2</v>
          </cell>
          <cell r="EU98">
            <v>4.0604010000000024E-2</v>
          </cell>
          <cell r="EV98">
            <v>4.0604010000000024E-2</v>
          </cell>
          <cell r="EW98">
            <v>4.0604010000000024E-2</v>
          </cell>
          <cell r="EX98">
            <v>4.0604010000000024E-2</v>
          </cell>
          <cell r="EY98">
            <v>4.0604010000000024E-2</v>
          </cell>
          <cell r="EZ98">
            <v>4.0604010000000024E-2</v>
          </cell>
          <cell r="FA98">
            <v>4.0604010000000024E-2</v>
          </cell>
          <cell r="FB98">
            <v>4.0604010000000024E-2</v>
          </cell>
          <cell r="FC98">
            <v>4.0604010000000024E-2</v>
          </cell>
          <cell r="FD98">
            <v>4.0604010000000024E-2</v>
          </cell>
          <cell r="FE98">
            <v>4.0604010000000024E-2</v>
          </cell>
          <cell r="FF98">
            <v>4.0604010000000024E-2</v>
          </cell>
          <cell r="FG98">
            <v>4.0604010000000024E-2</v>
          </cell>
          <cell r="FH98">
            <v>4.0604010000000024E-2</v>
          </cell>
          <cell r="FI98">
            <v>4.0604010000000024E-2</v>
          </cell>
          <cell r="FJ98">
            <v>4.0604010000000024E-2</v>
          </cell>
          <cell r="FK98">
            <v>4.0604010000000024E-2</v>
          </cell>
          <cell r="FL98">
            <v>4.0604010000000024E-2</v>
          </cell>
          <cell r="FM98">
            <v>4.0604010000000024E-2</v>
          </cell>
          <cell r="FN98">
            <v>4.0604010000000024E-2</v>
          </cell>
          <cell r="FO98">
            <v>4.0604010000000024E-2</v>
          </cell>
          <cell r="FP98">
            <v>4.0604010000000024E-2</v>
          </cell>
          <cell r="FQ98">
            <v>4.0604010000000024E-2</v>
          </cell>
          <cell r="FR98">
            <v>4.0604010000000024E-2</v>
          </cell>
          <cell r="FS98">
            <v>4.0604010000000024E-2</v>
          </cell>
          <cell r="FT98">
            <v>4.0604010000000024E-2</v>
          </cell>
          <cell r="FU98">
            <v>4.0604010000000024E-2</v>
          </cell>
        </row>
        <row r="99">
          <cell r="A99" t="str">
            <v>12MoSystemAUPCg</v>
          </cell>
          <cell r="B99" t="str">
            <v>Australian personal</v>
          </cell>
          <cell r="D99">
            <v>-4.9203187174602474E-2</v>
          </cell>
          <cell r="E99">
            <v>-5.1446486942879129E-2</v>
          </cell>
          <cell r="F99">
            <v>-3.6786173249286236E-2</v>
          </cell>
          <cell r="G99">
            <v>-1.8102220082279685E-2</v>
          </cell>
          <cell r="H99">
            <v>-1.1483726737998468E-2</v>
          </cell>
          <cell r="I99">
            <v>-5.3365408304351103E-3</v>
          </cell>
          <cell r="J99">
            <v>1.5353554687371762E-3</v>
          </cell>
          <cell r="K99">
            <v>7.8503526711655169E-3</v>
          </cell>
          <cell r="L99">
            <v>1.7876195956326946E-2</v>
          </cell>
          <cell r="M99">
            <v>4.0920839626647831E-2</v>
          </cell>
          <cell r="N99">
            <v>4.9323935151570852E-2</v>
          </cell>
          <cell r="O99">
            <v>6.6053469306581958E-2</v>
          </cell>
          <cell r="P99">
            <v>8.1996025874490966E-2</v>
          </cell>
          <cell r="Q99">
            <v>0.10113612902153557</v>
          </cell>
          <cell r="R99">
            <v>0.11289407330600178</v>
          </cell>
          <cell r="S99">
            <v>0.10328013569143725</v>
          </cell>
          <cell r="T99">
            <v>0.10137859148214655</v>
          </cell>
          <cell r="U99">
            <v>0.10409861261454134</v>
          </cell>
          <cell r="V99">
            <v>0.11565403667967944</v>
          </cell>
          <cell r="W99">
            <v>0.11510770396589297</v>
          </cell>
          <cell r="X99">
            <v>0.11005271110214544</v>
          </cell>
          <cell r="Y99">
            <v>8.7283685395174823E-2</v>
          </cell>
          <cell r="Z99">
            <v>7.4775672946739258E-2</v>
          </cell>
          <cell r="AA99">
            <v>0.10202417463830947</v>
          </cell>
          <cell r="AB99">
            <v>0.1100879696763155</v>
          </cell>
          <cell r="AC99">
            <v>0.11772689252892053</v>
          </cell>
          <cell r="AD99">
            <v>0.12761144178173267</v>
          </cell>
          <cell r="AE99">
            <v>0.12518962595840688</v>
          </cell>
          <cell r="AF99">
            <v>0.14762555380464759</v>
          </cell>
          <cell r="AG99">
            <v>0.16249573109813142</v>
          </cell>
          <cell r="AH99">
            <v>0.1669301856791483</v>
          </cell>
          <cell r="AI99">
            <v>0.16386614491123885</v>
          </cell>
          <cell r="AJ99">
            <v>0.15444142699006091</v>
          </cell>
          <cell r="AK99">
            <v>0.16097815865153886</v>
          </cell>
          <cell r="AL99">
            <v>0.13286526197120097</v>
          </cell>
          <cell r="AM99">
            <v>0.14235743546857904</v>
          </cell>
          <cell r="AN99">
            <v>0.12719115397693637</v>
          </cell>
          <cell r="AO99">
            <v>0.10660551789081296</v>
          </cell>
          <cell r="AP99">
            <v>0.10861960418847216</v>
          </cell>
          <cell r="AQ99">
            <v>8.5198321008545186E-2</v>
          </cell>
          <cell r="AR99">
            <v>8.3280738466721585E-2</v>
          </cell>
          <cell r="AS99">
            <v>9.2875513346209151E-2</v>
          </cell>
          <cell r="AT99">
            <v>0.10555080524639404</v>
          </cell>
          <cell r="AU99">
            <v>9.7443237232043747E-2</v>
          </cell>
          <cell r="AV99">
            <v>0.10786476250272091</v>
          </cell>
          <cell r="AW99">
            <v>0.12358890415207213</v>
          </cell>
          <cell r="AX99">
            <v>0.13453858053928291</v>
          </cell>
          <cell r="AY99">
            <v>0.14643243138107409</v>
          </cell>
          <cell r="AZ99">
            <v>0.14631472353125607</v>
          </cell>
          <cell r="BA99">
            <v>0.11721052340714566</v>
          </cell>
          <cell r="BB99">
            <v>0.1139080788135467</v>
          </cell>
          <cell r="BC99">
            <v>0.13234137272497404</v>
          </cell>
          <cell r="BD99">
            <v>0.12623411542792828</v>
          </cell>
          <cell r="BE99">
            <v>0.13460897334878519</v>
          </cell>
          <cell r="BF99">
            <v>0.12922611115802329</v>
          </cell>
          <cell r="BG99">
            <v>9.9193578345612821E-2</v>
          </cell>
          <cell r="BH99">
            <v>0.10043372333775903</v>
          </cell>
          <cell r="BI99">
            <v>9.7305004025729711E-2</v>
          </cell>
          <cell r="BJ99">
            <v>0.11160043356246717</v>
          </cell>
          <cell r="BK99">
            <v>0.11439037058566835</v>
          </cell>
          <cell r="BL99">
            <v>0.11757157912914205</v>
          </cell>
          <cell r="BM99">
            <v>0.16111638367213854</v>
          </cell>
          <cell r="BN99">
            <v>0.11804680795346334</v>
          </cell>
          <cell r="BO99">
            <v>0.13667372976822922</v>
          </cell>
          <cell r="BP99">
            <v>0.10158853111366174</v>
          </cell>
          <cell r="BQ99">
            <v>3.3092321391867685E-2</v>
          </cell>
          <cell r="BR99">
            <v>2.1007807687699831E-2</v>
          </cell>
          <cell r="BS99">
            <v>-5.0422832497797006E-2</v>
          </cell>
          <cell r="BT99">
            <v>-6.6787209294423944E-2</v>
          </cell>
          <cell r="BU99">
            <v>-7.0701750160849119E-2</v>
          </cell>
          <cell r="BV99">
            <v>-5.5055518493206342E-2</v>
          </cell>
          <cell r="BW99">
            <v>-2.3658007754361332E-3</v>
          </cell>
          <cell r="BX99">
            <v>2.3403230926158702E-2</v>
          </cell>
          <cell r="BY99">
            <v>2.9672458526366352E-2</v>
          </cell>
          <cell r="BZ99">
            <v>2.8138085562079418E-2</v>
          </cell>
          <cell r="CA99">
            <v>1.2631320004883984E-2</v>
          </cell>
          <cell r="CB99">
            <v>1.0191885191322747E-2</v>
          </cell>
          <cell r="CC99">
            <v>6.5324983624595045E-3</v>
          </cell>
          <cell r="CD99">
            <v>-7.1406163395700828E-3</v>
          </cell>
          <cell r="CE99">
            <v>-9.3303921923558741E-3</v>
          </cell>
          <cell r="CF99">
            <v>-1.3619964796262929E-2</v>
          </cell>
          <cell r="CG99">
            <v>-1.1763559523755629E-2</v>
          </cell>
          <cell r="CH99">
            <v>-7.2370761182756205E-3</v>
          </cell>
          <cell r="CI99">
            <v>-3.3083870836847495E-3</v>
          </cell>
          <cell r="CJ99">
            <v>-6.2001101810937875E-4</v>
          </cell>
          <cell r="CK99">
            <v>2.6692549012838906E-3</v>
          </cell>
          <cell r="CL99">
            <v>6.8871189191561655E-3</v>
          </cell>
          <cell r="CM99">
            <v>6.7315346709895252E-3</v>
          </cell>
          <cell r="CN99">
            <v>3.8564797888602786E-3</v>
          </cell>
          <cell r="CO99">
            <v>7.1715874105555688E-3</v>
          </cell>
          <cell r="CP99">
            <v>1.1087719620858083E-2</v>
          </cell>
          <cell r="CQ99">
            <v>1.085325192078046E-2</v>
          </cell>
          <cell r="CR99">
            <v>1.345088433089292E-2</v>
          </cell>
          <cell r="CS99">
            <v>8.9834541397928458E-3</v>
          </cell>
          <cell r="CT99">
            <v>3.9262683949707888E-3</v>
          </cell>
          <cell r="CU99">
            <v>-1.8028731856911673E-4</v>
          </cell>
          <cell r="CV99">
            <v>-4.7450575430418862E-3</v>
          </cell>
          <cell r="CW99">
            <v>-6.2823737870887353E-3</v>
          </cell>
          <cell r="CX99">
            <v>-9.3418560606531864E-3</v>
          </cell>
          <cell r="CY99">
            <v>-8.8372636417711758E-3</v>
          </cell>
          <cell r="CZ99">
            <v>-1.037171123844427E-2</v>
          </cell>
          <cell r="DA99">
            <v>-9.390143413813612E-3</v>
          </cell>
          <cell r="DB99">
            <v>-8.8073083880352288E-3</v>
          </cell>
          <cell r="DC99">
            <v>-1.2176228349328411E-2</v>
          </cell>
          <cell r="DD99">
            <v>-1.1502597539716386E-2</v>
          </cell>
          <cell r="DE99">
            <v>-1.2825499339147561E-2</v>
          </cell>
          <cell r="DF99">
            <v>-1.3939889747789591E-2</v>
          </cell>
          <cell r="DG99">
            <v>-2.157627760843972E-2</v>
          </cell>
          <cell r="DH99">
            <v>-2.8286650941836466E-2</v>
          </cell>
          <cell r="DI99">
            <v>-3.4585730119682134E-2</v>
          </cell>
          <cell r="DJ99">
            <v>-4.2629117359417767E-2</v>
          </cell>
          <cell r="DK99">
            <v>-4.9276712118849882E-2</v>
          </cell>
          <cell r="DL99">
            <v>-6.7139835881269816E-2</v>
          </cell>
          <cell r="DM99">
            <v>-0.10814211571840449</v>
          </cell>
          <cell r="DN99">
            <v>-0.12946289835713043</v>
          </cell>
          <cell r="DO99">
            <v>-0.12469431763481664</v>
          </cell>
          <cell r="DP99">
            <v>-0.10739513422045732</v>
          </cell>
          <cell r="DQ99">
            <v>-6.2462228277229803E-2</v>
          </cell>
          <cell r="DR99">
            <v>-5.4101857479632705E-2</v>
          </cell>
          <cell r="DS99">
            <v>-3.6704594628261034E-2</v>
          </cell>
          <cell r="DT99">
            <v>-3.178526088143474E-2</v>
          </cell>
          <cell r="DU99">
            <v>-2.7187311811435522E-2</v>
          </cell>
          <cell r="DV99">
            <v>-2.8639763092666026E-3</v>
          </cell>
          <cell r="DW99">
            <v>-3.9348858198857695E-3</v>
          </cell>
          <cell r="DX99">
            <v>-1.283223205291173E-3</v>
          </cell>
          <cell r="DY99">
            <v>4.1315305110902756E-3</v>
          </cell>
          <cell r="DZ99">
            <v>1.9001628064897025E-2</v>
          </cell>
          <cell r="EA99">
            <v>1.8700169192217952E-2</v>
          </cell>
          <cell r="EB99">
            <v>3.2439866656257532E-2</v>
          </cell>
          <cell r="EC99">
            <v>2.8683358346701882E-2</v>
          </cell>
          <cell r="ED99">
            <v>2.351533037117437E-2</v>
          </cell>
          <cell r="EE99">
            <v>2.627623004740065E-2</v>
          </cell>
          <cell r="EF99">
            <v>2.2891707775272163E-2</v>
          </cell>
          <cell r="EG99">
            <v>3.7339307427501911E-2</v>
          </cell>
          <cell r="EH99">
            <v>4.4290954476299715E-2</v>
          </cell>
          <cell r="EI99">
            <v>4.003724745218773E-2</v>
          </cell>
          <cell r="EJ99">
            <v>4.1410043647825745E-2</v>
          </cell>
          <cell r="EK99">
            <v>3.5034693949195006E-2</v>
          </cell>
          <cell r="EL99">
            <v>2.846881987724692E-2</v>
          </cell>
          <cell r="EM99">
            <v>3.2889503749999882E-2</v>
          </cell>
          <cell r="EN99">
            <v>2.7776189374999927E-2</v>
          </cell>
          <cell r="EO99">
            <v>2.2688188437499646E-2</v>
          </cell>
          <cell r="EP99">
            <v>2.0150500624999568E-2</v>
          </cell>
          <cell r="EQ99">
            <v>2.0150500624999568E-2</v>
          </cell>
          <cell r="ER99">
            <v>2.0150500624999568E-2</v>
          </cell>
          <cell r="ES99">
            <v>2.0150500624999568E-2</v>
          </cell>
          <cell r="ET99">
            <v>2.0150500624999568E-2</v>
          </cell>
          <cell r="EU99">
            <v>2.0150500624999568E-2</v>
          </cell>
          <cell r="EV99">
            <v>2.0150500624999568E-2</v>
          </cell>
          <cell r="EW99">
            <v>2.0150500624999568E-2</v>
          </cell>
          <cell r="EX99">
            <v>2.0150500624999568E-2</v>
          </cell>
          <cell r="EY99">
            <v>2.0150500624999568E-2</v>
          </cell>
          <cell r="EZ99">
            <v>2.0150500624999568E-2</v>
          </cell>
          <cell r="FA99">
            <v>2.0150500624999568E-2</v>
          </cell>
          <cell r="FB99">
            <v>2.0150500624999568E-2</v>
          </cell>
          <cell r="FC99">
            <v>2.0150500624999568E-2</v>
          </cell>
          <cell r="FD99">
            <v>2.0150500624999568E-2</v>
          </cell>
          <cell r="FE99">
            <v>2.0150500624999568E-2</v>
          </cell>
          <cell r="FF99">
            <v>2.0150500624999568E-2</v>
          </cell>
          <cell r="FG99">
            <v>2.0150500624999568E-2</v>
          </cell>
          <cell r="FH99">
            <v>2.0150500624999568E-2</v>
          </cell>
          <cell r="FI99">
            <v>2.0150500624999568E-2</v>
          </cell>
          <cell r="FJ99">
            <v>2.0150500624999568E-2</v>
          </cell>
          <cell r="FK99">
            <v>2.0150500624999568E-2</v>
          </cell>
          <cell r="FL99">
            <v>2.0150500624999568E-2</v>
          </cell>
          <cell r="FM99">
            <v>2.0150500624999568E-2</v>
          </cell>
          <cell r="FN99">
            <v>2.0150500624999568E-2</v>
          </cell>
          <cell r="FO99">
            <v>2.0150500624999568E-2</v>
          </cell>
          <cell r="FP99">
            <v>2.0150500624999568E-2</v>
          </cell>
          <cell r="FQ99">
            <v>2.0150500624999568E-2</v>
          </cell>
          <cell r="FR99">
            <v>2.0150500624999568E-2</v>
          </cell>
          <cell r="FS99">
            <v>2.0150500624999568E-2</v>
          </cell>
          <cell r="FT99">
            <v>2.0150500624999568E-2</v>
          </cell>
          <cell r="FU99">
            <v>2.0150500624999568E-2</v>
          </cell>
        </row>
        <row r="100">
          <cell r="A100" t="str">
            <v>12MoSystemNZHCg</v>
          </cell>
          <cell r="B100" t="str">
            <v>New Zealand housing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>
            <v>0.10400000000000001</v>
          </cell>
          <cell r="AH100">
            <v>0.111</v>
          </cell>
          <cell r="AI100">
            <v>0.10400000000000001</v>
          </cell>
          <cell r="AJ100">
            <v>9.0999999999999998E-2</v>
          </cell>
          <cell r="AK100">
            <v>0.08</v>
          </cell>
          <cell r="AL100">
            <v>6.7000000000000004E-2</v>
          </cell>
          <cell r="AM100">
            <v>6.7000000000000004E-2</v>
          </cell>
          <cell r="AN100">
            <v>6.6000000000000003E-2</v>
          </cell>
          <cell r="AO100">
            <v>7.0999999999999994E-2</v>
          </cell>
          <cell r="AP100">
            <v>7.2999999999999995E-2</v>
          </cell>
          <cell r="AQ100">
            <v>7.2000000000000008E-2</v>
          </cell>
          <cell r="AR100">
            <v>7.9000000000000001E-2</v>
          </cell>
          <cell r="AS100">
            <v>8.199999999999999E-2</v>
          </cell>
          <cell r="AT100">
            <v>8.6999999999999994E-2</v>
          </cell>
          <cell r="AU100">
            <v>9.6999999999999989E-2</v>
          </cell>
          <cell r="AV100">
            <v>0.109</v>
          </cell>
          <cell r="AW100">
            <v>0.12300000000000001</v>
          </cell>
          <cell r="AX100">
            <v>0.14499999999999999</v>
          </cell>
          <cell r="AY100">
            <v>0.16300000000000001</v>
          </cell>
          <cell r="AZ100">
            <v>0.17</v>
          </cell>
          <cell r="BA100">
            <v>0.17300000000000001</v>
          </cell>
          <cell r="BB100">
            <v>0.16699999999999998</v>
          </cell>
          <cell r="BC100">
            <v>0.161</v>
          </cell>
          <cell r="BD100">
            <v>0.16</v>
          </cell>
          <cell r="BE100">
            <v>0.16</v>
          </cell>
          <cell r="BF100">
            <v>0.16300000000000001</v>
          </cell>
          <cell r="BG100">
            <v>0.161</v>
          </cell>
          <cell r="BH100">
            <v>0.152</v>
          </cell>
          <cell r="BI100">
            <v>0.14599999999999999</v>
          </cell>
          <cell r="BJ100">
            <v>0.13800000000000001</v>
          </cell>
          <cell r="BK100">
            <v>0.13400000000000001</v>
          </cell>
          <cell r="BL100">
            <v>0.14199999999999999</v>
          </cell>
          <cell r="BM100">
            <v>0.14400000000000002</v>
          </cell>
          <cell r="BN100">
            <v>0.13800000000000001</v>
          </cell>
          <cell r="BO100">
            <v>0.128</v>
          </cell>
          <cell r="BP100">
            <v>0.11199999999999999</v>
          </cell>
          <cell r="BQ100">
            <v>8.5999999999999993E-2</v>
          </cell>
          <cell r="BR100">
            <v>6.8000000000000005E-2</v>
          </cell>
          <cell r="BS100">
            <v>4.4000000000000004E-2</v>
          </cell>
          <cell r="BT100">
            <v>0.03</v>
          </cell>
          <cell r="BU100">
            <v>0.03</v>
          </cell>
          <cell r="BV100">
            <v>3.1E-2</v>
          </cell>
          <cell r="BW100">
            <v>3.5000000000000003E-2</v>
          </cell>
          <cell r="BX100">
            <v>3.4000000000000002E-2</v>
          </cell>
          <cell r="BY100">
            <v>2.8999999999999998E-2</v>
          </cell>
          <cell r="BZ100">
            <v>2.5000000000000001E-2</v>
          </cell>
          <cell r="CA100">
            <v>1.8000000000000002E-2</v>
          </cell>
          <cell r="CB100">
            <v>1.4999999999999999E-2</v>
          </cell>
          <cell r="CC100">
            <v>1.3999999999999999E-2</v>
          </cell>
          <cell r="CD100">
            <v>1.2E-2</v>
          </cell>
          <cell r="CE100">
            <v>1.2E-2</v>
          </cell>
          <cell r="CF100">
            <v>1.3999999999999999E-2</v>
          </cell>
          <cell r="CG100">
            <v>1.8000000000000002E-2</v>
          </cell>
          <cell r="CH100">
            <v>2.5000000000000001E-2</v>
          </cell>
          <cell r="CI100">
            <v>3.7000000000000005E-2</v>
          </cell>
          <cell r="CJ100">
            <v>4.4999999999999998E-2</v>
          </cell>
          <cell r="CK100">
            <v>5.2000000000000005E-2</v>
          </cell>
          <cell r="CL100">
            <v>5.7999999999999996E-2</v>
          </cell>
          <cell r="CM100">
            <v>5.9000000000000004E-2</v>
          </cell>
          <cell r="CN100">
            <v>5.5999999999999994E-2</v>
          </cell>
          <cell r="CO100">
            <v>5.2999999999999999E-2</v>
          </cell>
          <cell r="CP100">
            <v>4.7E-2</v>
          </cell>
          <cell r="CQ100">
            <v>4.5999999999999999E-2</v>
          </cell>
          <cell r="CR100">
            <v>4.9000000000000002E-2</v>
          </cell>
          <cell r="CS100">
            <v>5.4000000000000006E-2</v>
          </cell>
          <cell r="CT100">
            <v>6.6000000000000003E-2</v>
          </cell>
          <cell r="CU100">
            <v>7.400000000000001E-2</v>
          </cell>
          <cell r="CV100">
            <v>7.6999999999999999E-2</v>
          </cell>
          <cell r="CW100">
            <v>8.8000000000000009E-2</v>
          </cell>
          <cell r="CX100">
            <v>9.0999999999999998E-2</v>
          </cell>
          <cell r="CY100">
            <v>9.3000000000000013E-2</v>
          </cell>
          <cell r="CZ100">
            <v>8.900000000000001E-2</v>
          </cell>
          <cell r="DA100">
            <v>7.6999999999999999E-2</v>
          </cell>
          <cell r="DB100">
            <v>6.6000000000000003E-2</v>
          </cell>
          <cell r="DC100">
            <v>5.9000000000000004E-2</v>
          </cell>
          <cell r="DD100">
            <v>5.7999999999999996E-2</v>
          </cell>
          <cell r="DE100">
            <v>5.9000000000000004E-2</v>
          </cell>
          <cell r="DF100">
            <v>0.06</v>
          </cell>
          <cell r="DG100">
            <v>6.0999999999999999E-2</v>
          </cell>
          <cell r="DH100">
            <v>6.2E-2</v>
          </cell>
          <cell r="DI100">
            <v>6.3E-2</v>
          </cell>
          <cell r="DJ100">
            <v>6.6000000000000003E-2</v>
          </cell>
          <cell r="DK100">
            <v>7.0000000000000007E-2</v>
          </cell>
          <cell r="DL100">
            <v>7.0999999999999994E-2</v>
          </cell>
          <cell r="DM100">
            <v>6.2E-2</v>
          </cell>
          <cell r="DN100">
            <v>6.8000000000000005E-2</v>
          </cell>
          <cell r="DO100">
            <v>8.3000000000000004E-2</v>
          </cell>
          <cell r="DP100">
            <v>9.8000000000000004E-2</v>
          </cell>
          <cell r="DQ100">
            <v>0.11900000000000001</v>
          </cell>
          <cell r="DR100">
            <v>0.11599999999999999</v>
          </cell>
          <cell r="DS100">
            <v>0.105</v>
          </cell>
          <cell r="DT100">
            <v>8.6999999999999994E-2</v>
          </cell>
          <cell r="DU100">
            <v>6.9000000000000006E-2</v>
          </cell>
          <cell r="DV100">
            <v>5.7000000000000002E-2</v>
          </cell>
          <cell r="DW100">
            <v>4.4000000000000004E-2</v>
          </cell>
          <cell r="DX100">
            <v>3.5000000000000003E-2</v>
          </cell>
          <cell r="DY100">
            <v>3.1E-2</v>
          </cell>
          <cell r="DZ100">
            <v>0.03</v>
          </cell>
          <cell r="EA100">
            <v>2.8999999999999998E-2</v>
          </cell>
          <cell r="EB100">
            <v>3.1E-2</v>
          </cell>
          <cell r="EC100">
            <v>3.2000000000000001E-2</v>
          </cell>
          <cell r="ED100">
            <v>3.3000000000000002E-2</v>
          </cell>
          <cell r="EE100">
            <v>3.7999999999999999E-2</v>
          </cell>
          <cell r="EF100">
            <v>4.2000000000000003E-2</v>
          </cell>
          <cell r="EG100">
            <v>4.9000000000000002E-2</v>
          </cell>
          <cell r="EH100">
            <v>5.4000000000000048E-2</v>
          </cell>
          <cell r="EI100">
            <v>5.6999999999999718E-2</v>
          </cell>
          <cell r="EJ100">
            <v>5.5733278739853898E-2</v>
          </cell>
          <cell r="EK100">
            <v>5.0879146039440659E-2</v>
          </cell>
          <cell r="EL100">
            <v>4.7172501264643563E-2</v>
          </cell>
          <cell r="EM100">
            <v>4.0604010000000024E-2</v>
          </cell>
          <cell r="EN100">
            <v>4.0604010000000024E-2</v>
          </cell>
          <cell r="EO100">
            <v>4.0604010000000024E-2</v>
          </cell>
          <cell r="EP100">
            <v>4.0604010000000024E-2</v>
          </cell>
          <cell r="EQ100">
            <v>4.0604010000000024E-2</v>
          </cell>
          <cell r="ER100">
            <v>4.0604010000000024E-2</v>
          </cell>
          <cell r="ES100">
            <v>4.0604010000000024E-2</v>
          </cell>
          <cell r="ET100">
            <v>4.0604010000000024E-2</v>
          </cell>
          <cell r="EU100">
            <v>4.0604010000000024E-2</v>
          </cell>
          <cell r="EV100">
            <v>4.0604010000000024E-2</v>
          </cell>
          <cell r="EW100">
            <v>4.0604010000000024E-2</v>
          </cell>
          <cell r="EX100">
            <v>4.0604010000000024E-2</v>
          </cell>
          <cell r="EY100">
            <v>4.0604010000000024E-2</v>
          </cell>
          <cell r="EZ100">
            <v>4.0604010000000024E-2</v>
          </cell>
          <cell r="FA100">
            <v>4.0604010000000024E-2</v>
          </cell>
          <cell r="FB100">
            <v>4.0604010000000024E-2</v>
          </cell>
          <cell r="FC100">
            <v>4.0604010000000024E-2</v>
          </cell>
          <cell r="FD100">
            <v>4.0604010000000024E-2</v>
          </cell>
          <cell r="FE100">
            <v>4.0604010000000024E-2</v>
          </cell>
          <cell r="FF100">
            <v>4.0604010000000024E-2</v>
          </cell>
          <cell r="FG100">
            <v>4.0604010000000024E-2</v>
          </cell>
          <cell r="FH100">
            <v>4.0604010000000024E-2</v>
          </cell>
          <cell r="FI100">
            <v>4.0604010000000024E-2</v>
          </cell>
          <cell r="FJ100">
            <v>4.0604010000000024E-2</v>
          </cell>
          <cell r="FK100">
            <v>4.0604010000000024E-2</v>
          </cell>
          <cell r="FL100">
            <v>4.0604010000000024E-2</v>
          </cell>
          <cell r="FM100">
            <v>4.0604010000000024E-2</v>
          </cell>
          <cell r="FN100">
            <v>4.0604010000000024E-2</v>
          </cell>
          <cell r="FO100">
            <v>4.0604010000000024E-2</v>
          </cell>
          <cell r="FP100">
            <v>4.0604010000000024E-2</v>
          </cell>
          <cell r="FQ100">
            <v>4.0604010000000024E-2</v>
          </cell>
          <cell r="FR100">
            <v>4.0604010000000024E-2</v>
          </cell>
          <cell r="FS100">
            <v>4.0604010000000024E-2</v>
          </cell>
          <cell r="FT100">
            <v>4.0604010000000024E-2</v>
          </cell>
          <cell r="FU100">
            <v>4.0604010000000024E-2</v>
          </cell>
        </row>
        <row r="101">
          <cell r="A101" t="str">
            <v>12MoSystemNZNHCg</v>
          </cell>
          <cell r="B101" t="str">
            <v>New Zealand non-housing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>
            <v>6.820380622556832E-2</v>
          </cell>
          <cell r="AH101">
            <v>7.4534536619707659E-2</v>
          </cell>
          <cell r="AI101">
            <v>8.8100751195827373E-2</v>
          </cell>
          <cell r="AJ101">
            <v>0.12083069254728042</v>
          </cell>
          <cell r="AK101">
            <v>8.8768924347958342E-2</v>
          </cell>
          <cell r="AL101">
            <v>5.4106823188184494E-2</v>
          </cell>
          <cell r="AM101">
            <v>4.4318984316018328E-2</v>
          </cell>
          <cell r="AN101">
            <v>7.5641163975308512E-3</v>
          </cell>
          <cell r="AO101">
            <v>1.687354517493711E-2</v>
          </cell>
          <cell r="AP101">
            <v>7.7746177766784497E-2</v>
          </cell>
          <cell r="AQ101">
            <v>6.0128544229583358E-2</v>
          </cell>
          <cell r="AR101">
            <v>0.10383334030488388</v>
          </cell>
          <cell r="AS101">
            <v>8.3962102570939154E-2</v>
          </cell>
          <cell r="AT101">
            <v>5.2540745594878979E-2</v>
          </cell>
          <cell r="AU101">
            <v>7.4691755816082894E-2</v>
          </cell>
          <cell r="AV101">
            <v>4.7552708699085899E-2</v>
          </cell>
          <cell r="AW101">
            <v>5.0228000399945794E-2</v>
          </cell>
          <cell r="AX101">
            <v>4.6506245251773271E-2</v>
          </cell>
          <cell r="AY101">
            <v>3.188889436987874E-2</v>
          </cell>
          <cell r="AZ101">
            <v>4.943300959282082E-2</v>
          </cell>
          <cell r="BA101">
            <v>7.2456537317121539E-2</v>
          </cell>
          <cell r="BB101">
            <v>7.7104847959322376E-2</v>
          </cell>
          <cell r="BC101">
            <v>0.10791496481679719</v>
          </cell>
          <cell r="BD101">
            <v>0.12169928723736569</v>
          </cell>
          <cell r="BE101">
            <v>0.14815053993979821</v>
          </cell>
          <cell r="BF101">
            <v>0.16859649035008517</v>
          </cell>
          <cell r="BG101">
            <v>0.14567962111079469</v>
          </cell>
          <cell r="BH101">
            <v>0.13490546409844995</v>
          </cell>
          <cell r="BI101">
            <v>0.12019194618370686</v>
          </cell>
          <cell r="BJ101">
            <v>0.13496011310481437</v>
          </cell>
          <cell r="BK101">
            <v>0.14744054016371555</v>
          </cell>
          <cell r="BL101">
            <v>0.13995921383835253</v>
          </cell>
          <cell r="BM101">
            <v>0.16557984652164115</v>
          </cell>
          <cell r="BN101">
            <v>0.1728817028892071</v>
          </cell>
          <cell r="BO101">
            <v>0.15964482533041502</v>
          </cell>
          <cell r="BP101">
            <v>0.16883840859681176</v>
          </cell>
          <cell r="BQ101">
            <v>0.15448032700083836</v>
          </cell>
          <cell r="BR101">
            <v>0.15342693087309311</v>
          </cell>
          <cell r="BS101">
            <v>0.1403580229247372</v>
          </cell>
          <cell r="BT101">
            <v>9.7967920063428485E-2</v>
          </cell>
          <cell r="BU101">
            <v>4.2568869733571324E-2</v>
          </cell>
          <cell r="BV101">
            <v>5.0373553098574941E-3</v>
          </cell>
          <cell r="BW101">
            <v>-3.4896760123865445E-2</v>
          </cell>
          <cell r="BX101">
            <v>-3.5214161791489063E-2</v>
          </cell>
          <cell r="BY101">
            <v>-2.4937633529832581E-2</v>
          </cell>
          <cell r="BZ101">
            <v>-2.372429742628801E-2</v>
          </cell>
          <cell r="CA101">
            <v>5.3590938223033735E-3</v>
          </cell>
          <cell r="CB101">
            <v>1.2473741995137733E-2</v>
          </cell>
          <cell r="CC101">
            <v>1.3555164518199048E-2</v>
          </cell>
          <cell r="CD101">
            <v>1.4648101313036177E-2</v>
          </cell>
          <cell r="CE101">
            <v>4.6597951834359552E-2</v>
          </cell>
          <cell r="CF101">
            <v>5.8973385554309976E-2</v>
          </cell>
          <cell r="CG101">
            <v>6.5134654725216512E-2</v>
          </cell>
          <cell r="CH101">
            <v>6.4182980329690498E-2</v>
          </cell>
          <cell r="CI101">
            <v>4.7393864150672593E-2</v>
          </cell>
          <cell r="CJ101">
            <v>4.0837137900940235E-2</v>
          </cell>
          <cell r="CK101">
            <v>3.82613790803632E-2</v>
          </cell>
          <cell r="CL101">
            <v>3.9136812639654961E-2</v>
          </cell>
          <cell r="CM101">
            <v>3.0313216470335025E-2</v>
          </cell>
          <cell r="CN101">
            <v>2.2417871089823738E-2</v>
          </cell>
          <cell r="CO101">
            <v>2.5718613929460066E-2</v>
          </cell>
          <cell r="CP101">
            <v>3.3744760601640111E-2</v>
          </cell>
          <cell r="CQ101">
            <v>3.2871690118850383E-2</v>
          </cell>
          <cell r="CR101">
            <v>6.0738616617322494E-2</v>
          </cell>
          <cell r="CS101">
            <v>7.6144708681010309E-2</v>
          </cell>
          <cell r="CT101">
            <v>6.5283624263390738E-2</v>
          </cell>
          <cell r="CU101">
            <v>7.5515548209556638E-2</v>
          </cell>
          <cell r="CV101">
            <v>7.4537629253590643E-2</v>
          </cell>
          <cell r="CW101">
            <v>5.3290066433262062E-2</v>
          </cell>
          <cell r="CX101">
            <v>6.9964214329772734E-2</v>
          </cell>
          <cell r="CY101">
            <v>4.5385859846589716E-2</v>
          </cell>
          <cell r="CZ101">
            <v>3.4583883351912537E-2</v>
          </cell>
          <cell r="DA101">
            <v>4.1550816514954958E-2</v>
          </cell>
          <cell r="DB101">
            <v>3.2354150923455727E-2</v>
          </cell>
          <cell r="DC101">
            <v>3.649930088056097E-2</v>
          </cell>
          <cell r="DD101">
            <v>3.2933644291659681E-2</v>
          </cell>
          <cell r="DE101">
            <v>5.034571376932484E-2</v>
          </cell>
          <cell r="DF101">
            <v>4.7546959031384395E-2</v>
          </cell>
          <cell r="DG101">
            <v>4.5527145904575184E-2</v>
          </cell>
          <cell r="DH101">
            <v>5.7641186005537026E-2</v>
          </cell>
          <cell r="DI101">
            <v>3.9914945075213648E-2</v>
          </cell>
          <cell r="DJ101">
            <v>5.5940522931772652E-2</v>
          </cell>
          <cell r="DK101">
            <v>3.7687539779764023E-2</v>
          </cell>
          <cell r="DL101">
            <v>5.6812547200521202E-2</v>
          </cell>
          <cell r="DM101">
            <v>1.4751477546883773E-2</v>
          </cell>
          <cell r="DN101">
            <v>-3.0604234572989553E-2</v>
          </cell>
          <cell r="DO101">
            <v>-2.1485287027661282E-2</v>
          </cell>
          <cell r="DP101">
            <v>-7.0859611211238738E-2</v>
          </cell>
          <cell r="DQ101">
            <v>-3.7933275629708718E-2</v>
          </cell>
          <cell r="DR101">
            <v>-1.5280218549372893E-2</v>
          </cell>
          <cell r="DS101">
            <v>-5.4498569442736899E-3</v>
          </cell>
          <cell r="DT101">
            <v>1.403182446160578E-2</v>
          </cell>
          <cell r="DU101">
            <v>3.5899050846962322E-2</v>
          </cell>
          <cell r="DV101">
            <v>6.7659464217848742E-2</v>
          </cell>
          <cell r="DW101">
            <v>3.8628944652346897E-2</v>
          </cell>
          <cell r="DX101">
            <v>3.4711845432281452E-2</v>
          </cell>
          <cell r="DY101">
            <v>1.5955874856032892E-2</v>
          </cell>
          <cell r="DZ101">
            <v>-1.1261584146092685E-2</v>
          </cell>
          <cell r="EA101">
            <v>1.4667888129195283E-2</v>
          </cell>
          <cell r="EB101">
            <v>2.179493505996577E-2</v>
          </cell>
          <cell r="EC101">
            <v>1.377771536286776E-2</v>
          </cell>
          <cell r="ED101">
            <v>2.3786916723561813E-2</v>
          </cell>
          <cell r="EE101">
            <v>3.6124987429912769E-2</v>
          </cell>
          <cell r="EF101">
            <v>2.4697191140946595E-2</v>
          </cell>
          <cell r="EG101">
            <v>2.279011278425247E-2</v>
          </cell>
          <cell r="EH101">
            <v>3.8161461376785777E-2</v>
          </cell>
          <cell r="EI101">
            <v>2.3321387293314899E-2</v>
          </cell>
          <cell r="EJ101">
            <v>3.6087717540708164E-2</v>
          </cell>
          <cell r="EK101">
            <v>4.4496482963444661E-2</v>
          </cell>
          <cell r="EL101">
            <v>2.2595194438076893E-2</v>
          </cell>
          <cell r="EM101">
            <v>2.2595194438076893E-2</v>
          </cell>
          <cell r="EN101">
            <v>2.2595194438076893E-2</v>
          </cell>
          <cell r="EO101">
            <v>2.2595194438076893E-2</v>
          </cell>
          <cell r="EP101">
            <v>2.2595194438076893E-2</v>
          </cell>
          <cell r="EQ101">
            <v>2.2595194438076893E-2</v>
          </cell>
          <cell r="ER101">
            <v>2.2595194438076893E-2</v>
          </cell>
          <cell r="ES101">
            <v>2.2595194438076893E-2</v>
          </cell>
          <cell r="ET101">
            <v>2.2595194438076893E-2</v>
          </cell>
          <cell r="EU101">
            <v>2.2595194438076893E-2</v>
          </cell>
          <cell r="EV101">
            <v>2.2595194438076893E-2</v>
          </cell>
          <cell r="EW101">
            <v>2.2595194438076893E-2</v>
          </cell>
          <cell r="EX101">
            <v>2.2595194438076893E-2</v>
          </cell>
          <cell r="EY101">
            <v>2.2595194438076893E-2</v>
          </cell>
          <cell r="EZ101">
            <v>2.2595194438076893E-2</v>
          </cell>
          <cell r="FA101">
            <v>2.2595194438076893E-2</v>
          </cell>
          <cell r="FB101">
            <v>2.2595194438076893E-2</v>
          </cell>
          <cell r="FC101">
            <v>2.2595194438076893E-2</v>
          </cell>
          <cell r="FD101">
            <v>2.2595194438076893E-2</v>
          </cell>
          <cell r="FE101">
            <v>2.2595194438076893E-2</v>
          </cell>
          <cell r="FF101">
            <v>2.2595194438076893E-2</v>
          </cell>
          <cell r="FG101">
            <v>2.2595194438076893E-2</v>
          </cell>
          <cell r="FH101">
            <v>2.2595194438076893E-2</v>
          </cell>
          <cell r="FI101">
            <v>2.2595194438076893E-2</v>
          </cell>
          <cell r="FJ101">
            <v>2.2595194438076893E-2</v>
          </cell>
          <cell r="FK101">
            <v>2.2595194438076893E-2</v>
          </cell>
          <cell r="FL101">
            <v>2.2595194438076893E-2</v>
          </cell>
          <cell r="FM101">
            <v>2.2595194438076893E-2</v>
          </cell>
          <cell r="FN101">
            <v>2.2595194438076893E-2</v>
          </cell>
          <cell r="FO101">
            <v>2.2595194438076893E-2</v>
          </cell>
          <cell r="FP101">
            <v>2.2595194438076893E-2</v>
          </cell>
          <cell r="FQ101">
            <v>2.2595194438076893E-2</v>
          </cell>
          <cell r="FR101">
            <v>2.2595194438076893E-2</v>
          </cell>
          <cell r="FS101">
            <v>2.2595194438076893E-2</v>
          </cell>
          <cell r="FT101">
            <v>2.2595194438076893E-2</v>
          </cell>
          <cell r="FU101">
            <v>2.2595194438076893E-2</v>
          </cell>
        </row>
        <row r="102">
          <cell r="A102" t="str">
            <v>12MoSystemUKHCg</v>
          </cell>
          <cell r="B102" t="str">
            <v>UK housing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 t="e">
            <v>#REF!</v>
          </cell>
          <cell r="R102" t="e">
            <v>#REF!</v>
          </cell>
          <cell r="S102" t="e">
            <v>#REF!</v>
          </cell>
          <cell r="T102" t="e">
            <v>#REF!</v>
          </cell>
          <cell r="U102" t="e">
            <v>#REF!</v>
          </cell>
          <cell r="V102" t="e">
            <v>#REF!</v>
          </cell>
          <cell r="W102" t="e">
            <v>#REF!</v>
          </cell>
          <cell r="X102" t="e">
            <v>#REF!</v>
          </cell>
          <cell r="Y102" t="e">
            <v>#REF!</v>
          </cell>
          <cell r="Z102" t="e">
            <v>#REF!</v>
          </cell>
          <cell r="AA102" t="e">
            <v>#REF!</v>
          </cell>
          <cell r="AB102" t="e">
            <v>#REF!</v>
          </cell>
          <cell r="AC102" t="e">
            <v>#REF!</v>
          </cell>
          <cell r="AD102" t="e">
            <v>#REF!</v>
          </cell>
          <cell r="AE102" t="e">
            <v>#REF!</v>
          </cell>
          <cell r="AF102" t="e">
            <v>#REF!</v>
          </cell>
          <cell r="AG102" t="e">
            <v>#REF!</v>
          </cell>
          <cell r="AH102" t="e">
            <v>#REF!</v>
          </cell>
          <cell r="AI102" t="e">
            <v>#REF!</v>
          </cell>
          <cell r="AJ102" t="e">
            <v>#REF!</v>
          </cell>
          <cell r="AK102" t="e">
            <v>#REF!</v>
          </cell>
          <cell r="AL102" t="e">
            <v>#REF!</v>
          </cell>
          <cell r="AM102" t="e">
            <v>#REF!</v>
          </cell>
          <cell r="AN102" t="e">
            <v>#REF!</v>
          </cell>
          <cell r="AO102" t="e">
            <v>#REF!</v>
          </cell>
          <cell r="AP102" t="e">
            <v>#REF!</v>
          </cell>
          <cell r="AQ102" t="e">
            <v>#REF!</v>
          </cell>
          <cell r="AR102" t="e">
            <v>#REF!</v>
          </cell>
          <cell r="AS102" t="e">
            <v>#REF!</v>
          </cell>
          <cell r="AT102" t="e">
            <v>#REF!</v>
          </cell>
          <cell r="AU102" t="e">
            <v>#REF!</v>
          </cell>
          <cell r="AV102" t="e">
            <v>#REF!</v>
          </cell>
          <cell r="AW102" t="e">
            <v>#REF!</v>
          </cell>
          <cell r="AX102" t="e">
            <v>#REF!</v>
          </cell>
          <cell r="AY102" t="e">
            <v>#REF!</v>
          </cell>
          <cell r="AZ102" t="e">
            <v>#REF!</v>
          </cell>
          <cell r="BA102" t="e">
            <v>#REF!</v>
          </cell>
          <cell r="BB102" t="e">
            <v>#REF!</v>
          </cell>
          <cell r="BC102" t="e">
            <v>#REF!</v>
          </cell>
          <cell r="BD102" t="e">
            <v>#REF!</v>
          </cell>
          <cell r="BE102" t="e">
            <v>#REF!</v>
          </cell>
          <cell r="BF102" t="e">
            <v>#REF!</v>
          </cell>
          <cell r="BG102" t="e">
            <v>#REF!</v>
          </cell>
          <cell r="BH102" t="e">
            <v>#REF!</v>
          </cell>
          <cell r="BI102" t="e">
            <v>#REF!</v>
          </cell>
          <cell r="BJ102" t="e">
            <v>#REF!</v>
          </cell>
          <cell r="BK102" t="e">
            <v>#REF!</v>
          </cell>
          <cell r="BL102" t="e">
            <v>#REF!</v>
          </cell>
          <cell r="BM102" t="e">
            <v>#REF!</v>
          </cell>
          <cell r="BN102" t="e">
            <v>#REF!</v>
          </cell>
          <cell r="BO102" t="e">
            <v>#REF!</v>
          </cell>
          <cell r="BP102" t="e">
            <v>#REF!</v>
          </cell>
          <cell r="BQ102" t="e">
            <v>#REF!</v>
          </cell>
          <cell r="BR102" t="e">
            <v>#REF!</v>
          </cell>
          <cell r="BS102" t="e">
            <v>#REF!</v>
          </cell>
          <cell r="BT102" t="e">
            <v>#REF!</v>
          </cell>
          <cell r="BU102" t="e">
            <v>#REF!</v>
          </cell>
          <cell r="BV102" t="e">
            <v>#REF!</v>
          </cell>
          <cell r="BW102" t="e">
            <v>#REF!</v>
          </cell>
          <cell r="BX102" t="e">
            <v>#REF!</v>
          </cell>
          <cell r="BY102" t="e">
            <v>#REF!</v>
          </cell>
          <cell r="BZ102" t="e">
            <v>#REF!</v>
          </cell>
          <cell r="CA102" t="e">
            <v>#REF!</v>
          </cell>
          <cell r="CB102" t="e">
            <v>#REF!</v>
          </cell>
          <cell r="CC102" t="e">
            <v>#REF!</v>
          </cell>
          <cell r="CD102" t="e">
            <v>#REF!</v>
          </cell>
          <cell r="CE102" t="e">
            <v>#REF!</v>
          </cell>
          <cell r="CF102" t="e">
            <v>#REF!</v>
          </cell>
          <cell r="CG102" t="e">
            <v>#REF!</v>
          </cell>
          <cell r="CH102" t="e">
            <v>#REF!</v>
          </cell>
          <cell r="CI102" t="e">
            <v>#REF!</v>
          </cell>
          <cell r="CJ102" t="e">
            <v>#REF!</v>
          </cell>
          <cell r="CK102" t="e">
            <v>#REF!</v>
          </cell>
          <cell r="CL102" t="e">
            <v>#REF!</v>
          </cell>
          <cell r="CM102" t="e">
            <v>#REF!</v>
          </cell>
          <cell r="CN102" t="e">
            <v>#REF!</v>
          </cell>
          <cell r="CO102" t="e">
            <v>#REF!</v>
          </cell>
          <cell r="CP102" t="e">
            <v>#REF!</v>
          </cell>
          <cell r="CQ102" t="e">
            <v>#REF!</v>
          </cell>
          <cell r="CR102" t="e">
            <v>#REF!</v>
          </cell>
          <cell r="CS102" t="e">
            <v>#REF!</v>
          </cell>
          <cell r="CT102" t="e">
            <v>#REF!</v>
          </cell>
          <cell r="CU102" t="e">
            <v>#REF!</v>
          </cell>
          <cell r="CV102" t="e">
            <v>#REF!</v>
          </cell>
          <cell r="CW102" t="e">
            <v>#REF!</v>
          </cell>
          <cell r="CX102"/>
          <cell r="CY102"/>
          <cell r="CZ102"/>
          <cell r="DA102"/>
          <cell r="DB102"/>
          <cell r="DC102"/>
          <cell r="DD102"/>
          <cell r="DE102"/>
          <cell r="DF102"/>
          <cell r="DG102"/>
          <cell r="DH102"/>
          <cell r="DI102"/>
          <cell r="DJ102"/>
          <cell r="DK102"/>
          <cell r="DL102"/>
          <cell r="DM102"/>
          <cell r="DN102"/>
          <cell r="DO102"/>
          <cell r="DP102"/>
          <cell r="DQ102"/>
          <cell r="DR102"/>
          <cell r="DS102"/>
          <cell r="DT102"/>
          <cell r="DU102"/>
          <cell r="DV102"/>
          <cell r="DW102"/>
          <cell r="DX102"/>
          <cell r="DY102"/>
          <cell r="DZ102"/>
          <cell r="EA102"/>
          <cell r="EB102"/>
          <cell r="EC102"/>
          <cell r="ED102"/>
          <cell r="EE102"/>
          <cell r="EF102"/>
          <cell r="EG102"/>
          <cell r="EH102"/>
          <cell r="EI102"/>
          <cell r="EJ102"/>
          <cell r="EK102"/>
          <cell r="EL102"/>
          <cell r="EM102"/>
          <cell r="EN102"/>
          <cell r="EO102"/>
          <cell r="EP102"/>
          <cell r="EQ102"/>
          <cell r="ER102"/>
          <cell r="ES102"/>
          <cell r="ET102"/>
          <cell r="EU102"/>
          <cell r="EV102"/>
          <cell r="EW102"/>
          <cell r="EX102"/>
          <cell r="EY102"/>
          <cell r="EZ102"/>
          <cell r="FA102"/>
          <cell r="FB102"/>
          <cell r="FC102"/>
          <cell r="FD102"/>
          <cell r="FE102"/>
          <cell r="FF102"/>
          <cell r="FG102"/>
          <cell r="FH102"/>
          <cell r="FI102"/>
          <cell r="FJ102"/>
          <cell r="FK102"/>
          <cell r="FL102"/>
          <cell r="FM102"/>
          <cell r="FN102"/>
          <cell r="FO102"/>
          <cell r="FP102"/>
          <cell r="FQ102"/>
          <cell r="FR102"/>
          <cell r="FS102"/>
          <cell r="FT102"/>
          <cell r="FU102"/>
        </row>
        <row r="103">
          <cell r="A103" t="str">
            <v>12MoSystemUKNHCg</v>
          </cell>
          <cell r="B103" t="str">
            <v>UK non-housing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 t="e">
            <v>#REF!</v>
          </cell>
          <cell r="AE103" t="e">
            <v>#REF!</v>
          </cell>
          <cell r="AF103" t="e">
            <v>#REF!</v>
          </cell>
          <cell r="AG103" t="e">
            <v>#REF!</v>
          </cell>
          <cell r="AH103" t="e">
            <v>#REF!</v>
          </cell>
          <cell r="AI103" t="e">
            <v>#REF!</v>
          </cell>
          <cell r="AJ103" t="e">
            <v>#REF!</v>
          </cell>
          <cell r="AK103" t="e">
            <v>#REF!</v>
          </cell>
          <cell r="AL103" t="e">
            <v>#REF!</v>
          </cell>
          <cell r="AM103" t="e">
            <v>#REF!</v>
          </cell>
          <cell r="AN103" t="e">
            <v>#REF!</v>
          </cell>
          <cell r="AO103" t="e">
            <v>#REF!</v>
          </cell>
          <cell r="AP103" t="e">
            <v>#REF!</v>
          </cell>
          <cell r="AQ103" t="e">
            <v>#REF!</v>
          </cell>
          <cell r="AR103" t="e">
            <v>#REF!</v>
          </cell>
          <cell r="AS103" t="e">
            <v>#REF!</v>
          </cell>
          <cell r="AT103" t="e">
            <v>#REF!</v>
          </cell>
          <cell r="AU103" t="e">
            <v>#REF!</v>
          </cell>
          <cell r="AV103" t="e">
            <v>#REF!</v>
          </cell>
          <cell r="AW103" t="e">
            <v>#REF!</v>
          </cell>
          <cell r="AX103" t="e">
            <v>#REF!</v>
          </cell>
          <cell r="AY103" t="e">
            <v>#REF!</v>
          </cell>
          <cell r="AZ103" t="e">
            <v>#REF!</v>
          </cell>
          <cell r="BA103" t="e">
            <v>#REF!</v>
          </cell>
          <cell r="BB103" t="e">
            <v>#REF!</v>
          </cell>
          <cell r="BC103" t="e">
            <v>#REF!</v>
          </cell>
          <cell r="BD103" t="e">
            <v>#REF!</v>
          </cell>
          <cell r="BE103" t="e">
            <v>#REF!</v>
          </cell>
          <cell r="BF103" t="e">
            <v>#REF!</v>
          </cell>
          <cell r="BG103" t="e">
            <v>#REF!</v>
          </cell>
          <cell r="BH103" t="e">
            <v>#REF!</v>
          </cell>
          <cell r="BI103" t="e">
            <v>#REF!</v>
          </cell>
          <cell r="BJ103" t="e">
            <v>#REF!</v>
          </cell>
          <cell r="BK103" t="e">
            <v>#REF!</v>
          </cell>
          <cell r="BL103" t="e">
            <v>#REF!</v>
          </cell>
          <cell r="BM103" t="e">
            <v>#REF!</v>
          </cell>
          <cell r="BN103" t="e">
            <v>#REF!</v>
          </cell>
          <cell r="BO103" t="e">
            <v>#REF!</v>
          </cell>
          <cell r="BP103" t="e">
            <v>#REF!</v>
          </cell>
          <cell r="BQ103" t="e">
            <v>#REF!</v>
          </cell>
          <cell r="BR103" t="e">
            <v>#REF!</v>
          </cell>
          <cell r="BS103" t="e">
            <v>#REF!</v>
          </cell>
          <cell r="BT103" t="e">
            <v>#REF!</v>
          </cell>
          <cell r="BU103" t="e">
            <v>#REF!</v>
          </cell>
          <cell r="BV103" t="e">
            <v>#REF!</v>
          </cell>
          <cell r="BW103" t="e">
            <v>#REF!</v>
          </cell>
          <cell r="BX103" t="e">
            <v>#REF!</v>
          </cell>
          <cell r="BY103" t="e">
            <v>#REF!</v>
          </cell>
          <cell r="BZ103" t="e">
            <v>#REF!</v>
          </cell>
          <cell r="CA103" t="e">
            <v>#REF!</v>
          </cell>
          <cell r="CB103" t="e">
            <v>#REF!</v>
          </cell>
          <cell r="CC103" t="e">
            <v>#REF!</v>
          </cell>
          <cell r="CD103" t="e">
            <v>#REF!</v>
          </cell>
          <cell r="CE103" t="e">
            <v>#REF!</v>
          </cell>
          <cell r="CF103" t="e">
            <v>#REF!</v>
          </cell>
          <cell r="CG103" t="e">
            <v>#REF!</v>
          </cell>
          <cell r="CH103" t="e">
            <v>#REF!</v>
          </cell>
          <cell r="CI103" t="e">
            <v>#REF!</v>
          </cell>
          <cell r="CJ103" t="e">
            <v>#REF!</v>
          </cell>
          <cell r="CK103" t="e">
            <v>#REF!</v>
          </cell>
          <cell r="CL103" t="e">
            <v>#REF!</v>
          </cell>
          <cell r="CM103" t="e">
            <v>#REF!</v>
          </cell>
          <cell r="CN103" t="e">
            <v>#REF!</v>
          </cell>
          <cell r="CO103" t="e">
            <v>#REF!</v>
          </cell>
          <cell r="CP103" t="e">
            <v>#REF!</v>
          </cell>
          <cell r="CQ103" t="e">
            <v>#REF!</v>
          </cell>
          <cell r="CR103" t="e">
            <v>#REF!</v>
          </cell>
          <cell r="CS103" t="e">
            <v>#REF!</v>
          </cell>
          <cell r="CT103" t="e">
            <v>#REF!</v>
          </cell>
          <cell r="CU103" t="e">
            <v>#REF!</v>
          </cell>
          <cell r="CV103" t="e">
            <v>#REF!</v>
          </cell>
          <cell r="CW103" t="e">
            <v>#REF!</v>
          </cell>
          <cell r="CX103"/>
          <cell r="CY103"/>
          <cell r="CZ103"/>
          <cell r="DA103"/>
          <cell r="DB103"/>
          <cell r="DC103"/>
          <cell r="DD103"/>
          <cell r="DE103"/>
          <cell r="DF103"/>
          <cell r="DG103"/>
          <cell r="DH103"/>
          <cell r="DI103"/>
          <cell r="DJ103"/>
          <cell r="DK103"/>
          <cell r="DL103"/>
          <cell r="DM103"/>
          <cell r="DN103"/>
          <cell r="DO103"/>
          <cell r="DP103"/>
          <cell r="DQ103"/>
          <cell r="DR103"/>
          <cell r="DS103"/>
          <cell r="DT103"/>
          <cell r="DU103"/>
          <cell r="DV103"/>
          <cell r="DW103"/>
          <cell r="DX103"/>
          <cell r="DY103"/>
          <cell r="DZ103"/>
          <cell r="EA103"/>
          <cell r="EB103"/>
          <cell r="EC103"/>
          <cell r="ED103"/>
          <cell r="EE103"/>
          <cell r="EF103"/>
          <cell r="EG103"/>
          <cell r="EH103"/>
          <cell r="EI103"/>
          <cell r="EJ103"/>
          <cell r="EK103"/>
          <cell r="EL103"/>
          <cell r="EM103"/>
          <cell r="EN103"/>
          <cell r="EO103"/>
          <cell r="EP103"/>
          <cell r="EQ103"/>
          <cell r="ER103"/>
          <cell r="ES103"/>
          <cell r="ET103"/>
          <cell r="EU103"/>
          <cell r="EV103"/>
          <cell r="EW103"/>
          <cell r="EX103"/>
          <cell r="EY103"/>
          <cell r="EZ103"/>
          <cell r="FA103"/>
          <cell r="FB103"/>
          <cell r="FC103"/>
          <cell r="FD103"/>
          <cell r="FE103"/>
          <cell r="FF103"/>
          <cell r="FG103"/>
          <cell r="FH103"/>
          <cell r="FI103"/>
          <cell r="FJ103"/>
          <cell r="FK103"/>
          <cell r="FL103"/>
          <cell r="FM103"/>
          <cell r="FN103"/>
          <cell r="FO103"/>
          <cell r="FP103"/>
          <cell r="FQ103"/>
          <cell r="FR103"/>
          <cell r="FS103"/>
          <cell r="FT103"/>
          <cell r="FU103"/>
        </row>
        <row r="104"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  <cell r="CE104"/>
          <cell r="CF104"/>
          <cell r="CG104"/>
          <cell r="CH104"/>
          <cell r="CI104"/>
          <cell r="CJ104"/>
          <cell r="CK104"/>
          <cell r="CL104"/>
          <cell r="CM104"/>
          <cell r="CN104"/>
          <cell r="CO104"/>
          <cell r="CP104"/>
          <cell r="CQ104"/>
          <cell r="CR104"/>
          <cell r="CS104"/>
          <cell r="CT104"/>
          <cell r="CU104"/>
          <cell r="CV104"/>
          <cell r="CW104"/>
          <cell r="CX104"/>
          <cell r="CY104"/>
          <cell r="CZ104"/>
          <cell r="DA104"/>
          <cell r="DB104"/>
          <cell r="DC104"/>
          <cell r="DD104"/>
          <cell r="DE104"/>
          <cell r="DF104"/>
          <cell r="DG104"/>
          <cell r="DH104"/>
          <cell r="DI104"/>
          <cell r="DJ104"/>
          <cell r="DK104"/>
          <cell r="DL104"/>
          <cell r="DM104"/>
          <cell r="DN104"/>
          <cell r="DO104"/>
          <cell r="DP104"/>
          <cell r="DQ104"/>
          <cell r="DR104"/>
          <cell r="DS104"/>
          <cell r="DT104"/>
          <cell r="DU104"/>
          <cell r="DV104"/>
          <cell r="DW104"/>
          <cell r="DX104"/>
          <cell r="DY104"/>
          <cell r="DZ104"/>
          <cell r="EA104"/>
          <cell r="EB104"/>
          <cell r="EC104"/>
          <cell r="ED104"/>
          <cell r="EE104"/>
        </row>
        <row r="105">
          <cell r="B105" t="str">
            <v>Net interest margins (6mo)</v>
          </cell>
          <cell r="C105"/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  <cell r="CE105"/>
          <cell r="CF105"/>
          <cell r="CG105"/>
          <cell r="CH105"/>
          <cell r="CI105"/>
          <cell r="CJ105"/>
          <cell r="CK105"/>
          <cell r="CL105"/>
          <cell r="CM105"/>
          <cell r="CN105"/>
          <cell r="CO105"/>
          <cell r="CP105"/>
          <cell r="CQ105"/>
          <cell r="CR105"/>
          <cell r="CS105"/>
          <cell r="CT105"/>
          <cell r="CU105"/>
          <cell r="CV105"/>
          <cell r="CW105"/>
          <cell r="CX105"/>
          <cell r="CY105"/>
          <cell r="CZ105"/>
          <cell r="DA105"/>
          <cell r="DB105"/>
          <cell r="DC105"/>
          <cell r="DD105"/>
          <cell r="DE105"/>
          <cell r="DF105"/>
          <cell r="DG105"/>
          <cell r="DH105"/>
          <cell r="DI105"/>
          <cell r="DJ105"/>
          <cell r="DK105"/>
          <cell r="DL105"/>
          <cell r="DM105"/>
          <cell r="DN105"/>
          <cell r="DO105"/>
          <cell r="DP105"/>
          <cell r="DQ105"/>
          <cell r="DR105"/>
          <cell r="DS105"/>
          <cell r="DT105"/>
          <cell r="DU105"/>
          <cell r="DV105"/>
          <cell r="DW105"/>
          <cell r="DX105"/>
          <cell r="DY105"/>
          <cell r="DZ105"/>
          <cell r="EA105"/>
          <cell r="EB105"/>
          <cell r="EC105"/>
          <cell r="ED105"/>
          <cell r="EE105"/>
          <cell r="EF105"/>
          <cell r="EG105"/>
          <cell r="EH105"/>
          <cell r="EI105"/>
          <cell r="EJ105"/>
          <cell r="EK105"/>
          <cell r="EL105"/>
          <cell r="EM105"/>
          <cell r="EN105"/>
          <cell r="EO105"/>
          <cell r="EP105"/>
          <cell r="EQ105"/>
          <cell r="ER105"/>
          <cell r="ES105"/>
          <cell r="ET105"/>
          <cell r="EU105"/>
          <cell r="EV105"/>
          <cell r="EW105"/>
          <cell r="EX105"/>
          <cell r="EY105"/>
          <cell r="EZ105"/>
          <cell r="FA105"/>
          <cell r="FB105"/>
          <cell r="FC105"/>
          <cell r="FD105"/>
          <cell r="FE105"/>
          <cell r="FF105"/>
          <cell r="FG105"/>
          <cell r="FH105"/>
          <cell r="FI105"/>
          <cell r="FJ105"/>
          <cell r="FK105"/>
          <cell r="FL105"/>
          <cell r="FM105"/>
          <cell r="FN105"/>
          <cell r="FO105"/>
          <cell r="FP105"/>
          <cell r="FQ105"/>
          <cell r="FR105"/>
          <cell r="FS105"/>
          <cell r="FT105"/>
          <cell r="FU105"/>
        </row>
        <row r="106">
          <cell r="A106" t="str">
            <v>ASS_NIMAUHousing</v>
          </cell>
          <cell r="B106" t="str">
            <v>Australian housing</v>
          </cell>
          <cell r="D106">
            <v>2.9873641666666624E-2</v>
          </cell>
          <cell r="E106">
            <v>3.05678083333333E-2</v>
          </cell>
          <cell r="F106">
            <v>3.2933641666666638E-2</v>
          </cell>
          <cell r="G106">
            <v>3.296197499999997E-2</v>
          </cell>
          <cell r="H106">
            <v>3.2579474999999969E-2</v>
          </cell>
          <cell r="I106">
            <v>3.3996141666666639E-2</v>
          </cell>
          <cell r="J106">
            <v>3.6222461111111062E-2</v>
          </cell>
          <cell r="K106">
            <v>3.7214058333333279E-2</v>
          </cell>
          <cell r="L106">
            <v>3.6586072222222168E-2</v>
          </cell>
          <cell r="M106">
            <v>3.6077252777777735E-2</v>
          </cell>
          <cell r="N106">
            <v>3.3820863888888858E-2</v>
          </cell>
          <cell r="O106">
            <v>2.8043572222222184E-2</v>
          </cell>
          <cell r="P106">
            <v>2.3878711111111051E-2</v>
          </cell>
          <cell r="Q106">
            <v>2.5078433333333278E-2</v>
          </cell>
          <cell r="R106">
            <v>2.7042877777777728E-2</v>
          </cell>
          <cell r="S106">
            <v>2.8020169444444371E-2</v>
          </cell>
          <cell r="T106">
            <v>2.7832530555555492E-2</v>
          </cell>
          <cell r="U106">
            <v>2.5865655555555523E-2</v>
          </cell>
          <cell r="V106">
            <v>2.3577183333333303E-2</v>
          </cell>
          <cell r="W106">
            <v>2.2234822222222183E-2</v>
          </cell>
          <cell r="X106">
            <v>1.9095516666666632E-2</v>
          </cell>
          <cell r="Y106">
            <v>1.6000655555555555E-2</v>
          </cell>
          <cell r="Z106">
            <v>1.6487947222222233E-2</v>
          </cell>
          <cell r="AA106">
            <v>1.5968224999999975E-2</v>
          </cell>
          <cell r="AB106">
            <v>1.4596766666666646E-2</v>
          </cell>
          <cell r="AC106">
            <v>1.4256627777777742E-2</v>
          </cell>
          <cell r="AD106">
            <v>1.3597391666666566E-2</v>
          </cell>
          <cell r="AE106">
            <v>1.4363224999999931E-2</v>
          </cell>
          <cell r="AF106">
            <v>1.473079444444449E-2</v>
          </cell>
          <cell r="AG106">
            <v>1.36834333333333E-2</v>
          </cell>
          <cell r="AH106">
            <v>1.3169752777777707E-2</v>
          </cell>
          <cell r="AI106">
            <v>1.1590169444444447E-2</v>
          </cell>
          <cell r="AJ106">
            <v>1.0612252777777765E-2</v>
          </cell>
          <cell r="AK106">
            <v>1.1646627777777679E-2</v>
          </cell>
          <cell r="AL106">
            <v>1.1979058333333275E-2</v>
          </cell>
          <cell r="AM106">
            <v>1.3072877777777776E-2</v>
          </cell>
          <cell r="AN106">
            <v>1.6153849999999956E-2</v>
          </cell>
          <cell r="AO106">
            <v>1.6435933333333326E-2</v>
          </cell>
          <cell r="AP106">
            <v>1.5428502777777704E-2</v>
          </cell>
          <cell r="AQ106">
            <v>1.5919752777777671E-2</v>
          </cell>
          <cell r="AR106">
            <v>1.4608225000000013E-2</v>
          </cell>
          <cell r="AS106">
            <v>1.2329127777777829E-2</v>
          </cell>
          <cell r="AT106">
            <v>1.2194058333333356E-2</v>
          </cell>
          <cell r="AU106">
            <v>1.339829444444442E-2</v>
          </cell>
          <cell r="AV106">
            <v>1.4038988888888788E-2</v>
          </cell>
          <cell r="AW106">
            <v>1.4326245833333247E-2</v>
          </cell>
          <cell r="AX106">
            <v>1.399159305555555E-2</v>
          </cell>
          <cell r="AY106">
            <v>1.2691176388888933E-2</v>
          </cell>
          <cell r="AZ106">
            <v>1.1687204166666708E-2</v>
          </cell>
          <cell r="BA106">
            <v>2.9787097222221982E-3</v>
          </cell>
          <cell r="BB106">
            <v>6.9794333333333056E-3</v>
          </cell>
          <cell r="BC106">
            <v>9.817905555555546E-3</v>
          </cell>
          <cell r="BD106">
            <v>8.8399819444444153E-3</v>
          </cell>
          <cell r="BE106">
            <v>8.4945652777777235E-3</v>
          </cell>
          <cell r="BF106">
            <v>9.0907319444444041E-3</v>
          </cell>
          <cell r="BG106">
            <v>8.8003430555555311E-3</v>
          </cell>
          <cell r="BH106">
            <v>8.6306555555555331E-3</v>
          </cell>
          <cell r="BI106">
            <v>8.1543013888888613E-3</v>
          </cell>
          <cell r="BJ106">
            <v>7.5932944444444227E-3</v>
          </cell>
          <cell r="BK106">
            <v>7.6080930555555218E-3</v>
          </cell>
          <cell r="BL106">
            <v>8.0042944444444104E-3</v>
          </cell>
          <cell r="BM106">
            <v>8.3322527777777416E-3</v>
          </cell>
          <cell r="BN106">
            <v>7.3717180555555161E-3</v>
          </cell>
          <cell r="BO106">
            <v>5.800669444444408E-3</v>
          </cell>
          <cell r="BP106">
            <v>5.07039166666662E-3</v>
          </cell>
          <cell r="BQ106">
            <v>6.5584333333332905E-3</v>
          </cell>
          <cell r="BR106">
            <v>1.043110694444443E-2</v>
          </cell>
          <cell r="BS106">
            <v>1.5186329166666658E-2</v>
          </cell>
          <cell r="BT106">
            <v>1.8490780555555524E-2</v>
          </cell>
          <cell r="BU106">
            <v>1.7912606944444413E-2</v>
          </cell>
          <cell r="BV106">
            <v>1.6079843055555511E-2</v>
          </cell>
          <cell r="BW106">
            <v>1.5119099999999958E-2</v>
          </cell>
          <cell r="BX106">
            <v>1.5407926388888854E-2</v>
          </cell>
          <cell r="BY106">
            <v>1.6638620833333319E-2</v>
          </cell>
          <cell r="BZ106">
            <v>1.7582634722222209E-2</v>
          </cell>
          <cell r="CA106">
            <v>1.8763197222222194E-2</v>
          </cell>
          <cell r="CB106">
            <v>2.0047843055555539E-2</v>
          </cell>
          <cell r="CC106">
            <v>2.0380273611111093E-2</v>
          </cell>
          <cell r="CD106">
            <v>2.0428197222222177E-2</v>
          </cell>
          <cell r="CE106">
            <v>2.0964238888888844E-2</v>
          </cell>
          <cell r="CF106">
            <v>2.1541308333333276E-2</v>
          </cell>
          <cell r="CG106">
            <v>2.3648926388888832E-2</v>
          </cell>
          <cell r="CH106">
            <v>2.4829683333333352E-2</v>
          </cell>
          <cell r="CI106">
            <v>2.4509891666666665E-2</v>
          </cell>
          <cell r="CJ106">
            <v>2.4725933333333248E-2</v>
          </cell>
          <cell r="CK106">
            <v>2.3896943749999969E-2</v>
          </cell>
          <cell r="CL106">
            <v>2.3864336111111082E-2</v>
          </cell>
          <cell r="CM106">
            <v>2.3450377777777733E-2</v>
          </cell>
          <cell r="CN106">
            <v>2.2945099999999958E-2</v>
          </cell>
          <cell r="CO106">
            <v>2.2563849999999955E-2</v>
          </cell>
          <cell r="CP106">
            <v>2.2476488888888837E-2</v>
          </cell>
          <cell r="CQ106">
            <v>2.2263086111111042E-2</v>
          </cell>
          <cell r="CR106">
            <v>2.275336388888885E-2</v>
          </cell>
          <cell r="CS106">
            <v>2.3435030555555517E-2</v>
          </cell>
          <cell r="CT106">
            <v>2.3239197222222171E-2</v>
          </cell>
          <cell r="CU106">
            <v>2.3350794444444423E-2</v>
          </cell>
          <cell r="CV106">
            <v>2.357780833333328E-2</v>
          </cell>
          <cell r="CW106">
            <v>2.3983711111111066E-2</v>
          </cell>
          <cell r="CX106">
            <v>2.4674405555555532E-2</v>
          </cell>
          <cell r="CY106">
            <v>2.491537777777773E-2</v>
          </cell>
          <cell r="CZ106">
            <v>2.4835863888888823E-2</v>
          </cell>
          <cell r="DA106">
            <v>2.5169683333333182E-2</v>
          </cell>
          <cell r="DB106">
            <v>2.5204822222222079E-2</v>
          </cell>
          <cell r="DC106">
            <v>2.4891072222222196E-2</v>
          </cell>
          <cell r="DD106">
            <v>2.4386349999999956E-2</v>
          </cell>
          <cell r="DE106">
            <v>2.3145447222222105E-2</v>
          </cell>
          <cell r="DF106">
            <v>2.2852599999999938E-2</v>
          </cell>
          <cell r="DG106">
            <v>2.3711488888888865E-2</v>
          </cell>
          <cell r="DH106">
            <v>2.4508349999999936E-2</v>
          </cell>
          <cell r="DI106">
            <v>2.677534444444445E-2</v>
          </cell>
          <cell r="DJ106">
            <v>2.8899999999999999E-2</v>
          </cell>
          <cell r="DK106">
            <v>2.8250269273151052E-2</v>
          </cell>
          <cell r="DL106">
            <v>2.8065393242717618E-2</v>
          </cell>
          <cell r="DM106">
            <v>2.9505419585783208E-2</v>
          </cell>
          <cell r="DN106">
            <v>3.0314753095374888E-2</v>
          </cell>
          <cell r="DO106">
            <v>2.9879089617949012E-2</v>
          </cell>
          <cell r="DP106">
            <v>2.926148050862834E-2</v>
          </cell>
          <cell r="DQ106">
            <v>2.8448043234391363E-2</v>
          </cell>
          <cell r="DR106">
            <v>2.7664337659002766E-2</v>
          </cell>
          <cell r="DS106">
            <v>2.6836724461759387E-2</v>
          </cell>
          <cell r="DT106">
            <v>2.605436888822828E-2</v>
          </cell>
          <cell r="DU106">
            <v>2.2974869087428487E-2</v>
          </cell>
          <cell r="DV106">
            <v>2.0068221160826214E-2</v>
          </cell>
          <cell r="DW106">
            <v>2.0719381799387596E-2</v>
          </cell>
          <cell r="DX106">
            <v>2.1328954863088116E-2</v>
          </cell>
          <cell r="DY106">
            <v>2.0952050218593823E-2</v>
          </cell>
          <cell r="DZ106">
            <v>2.0941275720756852E-2</v>
          </cell>
          <cell r="EA106">
            <v>2.0858823983164562E-2</v>
          </cell>
          <cell r="EB106">
            <v>2.0868098554208837E-2</v>
          </cell>
          <cell r="EC106">
            <v>2.0805326121862575E-2</v>
          </cell>
          <cell r="ED106">
            <v>2.0805326121862575E-2</v>
          </cell>
          <cell r="EE106">
            <v>2.0805326121862575E-2</v>
          </cell>
          <cell r="EF106"/>
          <cell r="EG106"/>
          <cell r="EH106"/>
          <cell r="EI106"/>
          <cell r="EJ106"/>
          <cell r="EK106"/>
          <cell r="EL106"/>
          <cell r="EM106"/>
          <cell r="EN106"/>
          <cell r="EO106"/>
          <cell r="EP106"/>
          <cell r="EQ106"/>
          <cell r="ER106"/>
          <cell r="ES106"/>
          <cell r="ET106"/>
          <cell r="EU106"/>
          <cell r="EV106"/>
          <cell r="EW106"/>
          <cell r="EX106"/>
          <cell r="EY106"/>
          <cell r="EZ106"/>
          <cell r="FA106"/>
          <cell r="FB106"/>
          <cell r="FC106"/>
          <cell r="FD106"/>
          <cell r="FE106"/>
          <cell r="FF106"/>
          <cell r="FG106"/>
          <cell r="FH106"/>
          <cell r="FI106"/>
          <cell r="FJ106"/>
          <cell r="FK106"/>
          <cell r="FL106"/>
          <cell r="FM106"/>
          <cell r="FN106"/>
          <cell r="FO106"/>
          <cell r="FP106"/>
          <cell r="FQ106"/>
          <cell r="FR106"/>
          <cell r="FS106"/>
          <cell r="FT106"/>
          <cell r="FU106"/>
        </row>
        <row r="107">
          <cell r="A107" t="str">
            <v>ASS_NIMAUSME</v>
          </cell>
          <cell r="B107" t="str">
            <v>Australian SME</v>
          </cell>
          <cell r="D107" t="e">
            <v>#N/A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>
            <v>1.2493572248074994E-2</v>
          </cell>
          <cell r="L107">
            <v>2.8154784951932903E-2</v>
          </cell>
          <cell r="M107">
            <v>2.7436075255752805E-2</v>
          </cell>
          <cell r="N107">
            <v>2.4953242247678871E-2</v>
          </cell>
          <cell r="O107">
            <v>1.8855555811574359E-2</v>
          </cell>
          <cell r="P107">
            <v>1.7883069443715746E-2</v>
          </cell>
          <cell r="Q107">
            <v>2.230756501304533E-2</v>
          </cell>
          <cell r="R107">
            <v>2.3176687153658851E-2</v>
          </cell>
          <cell r="S107">
            <v>2.2804066879256804E-2</v>
          </cell>
          <cell r="T107">
            <v>2.1979719480412524E-2</v>
          </cell>
          <cell r="U107">
            <v>2.1052610872657612E-2</v>
          </cell>
          <cell r="V107">
            <v>2.8417139575273337E-2</v>
          </cell>
          <cell r="W107">
            <v>3.6804373148386471E-2</v>
          </cell>
          <cell r="X107">
            <v>3.5606463972488595E-2</v>
          </cell>
          <cell r="Y107">
            <v>3.528072648721825E-2</v>
          </cell>
          <cell r="Z107">
            <v>3.5373163160989679E-2</v>
          </cell>
          <cell r="AA107">
            <v>3.3205536632767874E-2</v>
          </cell>
          <cell r="AB107">
            <v>3.2726332487140353E-2</v>
          </cell>
          <cell r="AC107">
            <v>3.2151400386331186E-2</v>
          </cell>
          <cell r="AD107">
            <v>3.1483297432153334E-2</v>
          </cell>
          <cell r="AE107">
            <v>3.1542806382124589E-2</v>
          </cell>
          <cell r="AF107">
            <v>3.1041885039925776E-2</v>
          </cell>
          <cell r="AG107">
            <v>3.0174814067284284E-2</v>
          </cell>
          <cell r="AH107">
            <v>2.867361648840222E-2</v>
          </cell>
          <cell r="AI107">
            <v>2.6702929290382926E-2</v>
          </cell>
          <cell r="AJ107">
            <v>2.5573899810224454E-2</v>
          </cell>
          <cell r="AK107">
            <v>2.5525672293044588E-2</v>
          </cell>
          <cell r="AL107">
            <v>2.4692790971263145E-2</v>
          </cell>
          <cell r="AM107">
            <v>2.483234891036884E-2</v>
          </cell>
          <cell r="AN107">
            <v>2.6952019230113478E-2</v>
          </cell>
          <cell r="AO107">
            <v>2.6515636183866487E-2</v>
          </cell>
          <cell r="AP107">
            <v>2.6197480827113595E-2</v>
          </cell>
          <cell r="AQ107">
            <v>2.6298422710389069E-2</v>
          </cell>
          <cell r="AR107">
            <v>2.3956810034853671E-2</v>
          </cell>
          <cell r="AS107">
            <v>2.2058940843833752E-2</v>
          </cell>
          <cell r="AT107">
            <v>2.1905802315802636E-2</v>
          </cell>
          <cell r="AU107">
            <v>2.254133001474401E-2</v>
          </cell>
          <cell r="AV107">
            <v>2.2440773840474493E-2</v>
          </cell>
          <cell r="AW107">
            <v>2.2587906391744017E-2</v>
          </cell>
          <cell r="AX107">
            <v>2.1877184802169825E-2</v>
          </cell>
          <cell r="AY107">
            <v>1.9929990342290704E-2</v>
          </cell>
          <cell r="AZ107">
            <v>1.9410123615064334E-2</v>
          </cell>
          <cell r="BA107">
            <v>1.9661709918541215E-2</v>
          </cell>
          <cell r="BB107">
            <v>1.9572953769419033E-2</v>
          </cell>
          <cell r="BC107">
            <v>1.9244571097848051E-2</v>
          </cell>
          <cell r="BD107">
            <v>1.7478928887580736E-2</v>
          </cell>
          <cell r="BE107">
            <v>1.6857532300595168E-2</v>
          </cell>
          <cell r="BF107">
            <v>1.7565141392041683E-2</v>
          </cell>
          <cell r="BG107">
            <v>1.7149227409423817E-2</v>
          </cell>
          <cell r="BH107">
            <v>1.687164535966923E-2</v>
          </cell>
          <cell r="BI107">
            <v>1.5897354058396207E-2</v>
          </cell>
          <cell r="BJ107">
            <v>1.4950871234944541E-2</v>
          </cell>
          <cell r="BK107">
            <v>1.4866969304818678E-2</v>
          </cell>
          <cell r="BL107">
            <v>1.4397025036505973E-2</v>
          </cell>
          <cell r="BM107">
            <v>1.4207438097186831E-2</v>
          </cell>
          <cell r="BN107">
            <v>1.3361674348231878E-2</v>
          </cell>
          <cell r="BO107">
            <v>1.2143238194871731E-2</v>
          </cell>
          <cell r="BP107">
            <v>1.1405160783031998E-2</v>
          </cell>
          <cell r="BQ107">
            <v>1.1687509333655033E-2</v>
          </cell>
          <cell r="BR107">
            <v>1.5099215944443412E-2</v>
          </cell>
          <cell r="BS107">
            <v>2.1997480030668592E-2</v>
          </cell>
          <cell r="BT107">
            <v>2.6671259436659489E-2</v>
          </cell>
          <cell r="BU107">
            <v>2.7080497684543237E-2</v>
          </cell>
          <cell r="BV107">
            <v>2.6726162840427059E-2</v>
          </cell>
          <cell r="BW107">
            <v>2.6171740771211427E-2</v>
          </cell>
          <cell r="BX107">
            <v>2.6313070915424119E-2</v>
          </cell>
          <cell r="BY107">
            <v>2.6545840605477822E-2</v>
          </cell>
          <cell r="BZ107">
            <v>2.6908276271163101E-2</v>
          </cell>
          <cell r="CA107">
            <v>2.8502241144599427E-2</v>
          </cell>
          <cell r="CB107">
            <v>3.0174631443157462E-2</v>
          </cell>
          <cell r="CC107">
            <v>3.0917115179291077E-2</v>
          </cell>
          <cell r="CD107">
            <v>3.1848487022388072E-2</v>
          </cell>
          <cell r="CE107">
            <v>3.23548112542974E-2</v>
          </cell>
          <cell r="CF107">
            <v>3.2633245474479433E-2</v>
          </cell>
          <cell r="CG107">
            <v>3.4073607247926296E-2</v>
          </cell>
          <cell r="CH107">
            <v>3.5312886781760033E-2</v>
          </cell>
          <cell r="CI107">
            <v>3.530143649481654E-2</v>
          </cell>
          <cell r="CJ107">
            <v>3.4819712298446825E-2</v>
          </cell>
          <cell r="CK107">
            <v>3.5320725378313433E-2</v>
          </cell>
          <cell r="CL107">
            <v>3.5718445803580634E-2</v>
          </cell>
          <cell r="CM107">
            <v>3.5629129458359943E-2</v>
          </cell>
          <cell r="CN107">
            <v>3.5222716312464986E-2</v>
          </cell>
          <cell r="CO107">
            <v>3.5403413111693149E-2</v>
          </cell>
          <cell r="CP107">
            <v>3.4965744055591941E-2</v>
          </cell>
          <cell r="CQ107">
            <v>3.4256548680391408E-2</v>
          </cell>
          <cell r="CR107">
            <v>3.476672874466824E-2</v>
          </cell>
          <cell r="CS107">
            <v>3.494003822147751E-2</v>
          </cell>
          <cell r="CT107">
            <v>3.3973478780346955E-2</v>
          </cell>
          <cell r="CU107">
            <v>3.2946400854567903E-2</v>
          </cell>
          <cell r="CV107">
            <v>3.2424799556296069E-2</v>
          </cell>
          <cell r="CW107">
            <v>3.3033057755038397E-2</v>
          </cell>
          <cell r="CX107">
            <v>3.3443217158303007E-2</v>
          </cell>
          <cell r="CY107">
            <v>3.3172997416979877E-2</v>
          </cell>
          <cell r="CZ107">
            <v>3.2738938233455986E-2</v>
          </cell>
          <cell r="DA107">
            <v>3.2888242512773447E-2</v>
          </cell>
          <cell r="DB107">
            <v>3.2837831902301939E-2</v>
          </cell>
          <cell r="DC107">
            <v>3.2556594473240219E-2</v>
          </cell>
          <cell r="DD107">
            <v>3.1513483474842729E-2</v>
          </cell>
          <cell r="DE107">
            <v>3.0373643242260773E-2</v>
          </cell>
          <cell r="DF107">
            <v>3.054692454897312E-2</v>
          </cell>
          <cell r="DG107">
            <v>3.0589779429510022E-2</v>
          </cell>
          <cell r="DH107">
            <v>3.1203907504882E-2</v>
          </cell>
          <cell r="DI107">
            <v>3.3323039406147892E-2</v>
          </cell>
          <cell r="DJ107">
            <v>3.4299999999999997E-2</v>
          </cell>
          <cell r="DK107">
            <v>3.3672120612451943E-2</v>
          </cell>
          <cell r="DL107">
            <v>3.3532435182180353E-2</v>
          </cell>
          <cell r="DM107">
            <v>3.4699984042093325E-2</v>
          </cell>
          <cell r="DN107">
            <v>3.4820726722394058E-2</v>
          </cell>
          <cell r="DO107">
            <v>3.4129720277799501E-2</v>
          </cell>
          <cell r="DP107">
            <v>3.3579290462787327E-2</v>
          </cell>
          <cell r="DQ107">
            <v>3.2712703587712798E-2</v>
          </cell>
          <cell r="DR107">
            <v>3.1926173758044803E-2</v>
          </cell>
          <cell r="DS107">
            <v>3.1015078852221999E-2</v>
          </cell>
          <cell r="DT107">
            <v>2.9990526851627366E-2</v>
          </cell>
          <cell r="DU107">
            <v>2.5428800563193955E-2</v>
          </cell>
          <cell r="DV107">
            <v>2.0490667115181705E-2</v>
          </cell>
          <cell r="DW107">
            <v>2.0634596626374107E-2</v>
          </cell>
          <cell r="DX107">
            <v>2.1599427785411147E-2</v>
          </cell>
          <cell r="DY107">
            <v>2.0650919426219706E-2</v>
          </cell>
          <cell r="DZ107">
            <v>2.0455563257273882E-2</v>
          </cell>
          <cell r="EA107">
            <v>2.0848663812578726E-2</v>
          </cell>
          <cell r="EB107">
            <v>2.1223941903063214E-2</v>
          </cell>
          <cell r="EC107">
            <v>2.1617185607577083E-2</v>
          </cell>
          <cell r="ED107">
            <v>2.1617185607577083E-2</v>
          </cell>
          <cell r="EE107">
            <v>2.1617185607577083E-2</v>
          </cell>
          <cell r="EF107"/>
          <cell r="EG107"/>
          <cell r="EH107"/>
          <cell r="EI107"/>
          <cell r="EJ107"/>
          <cell r="EK107"/>
          <cell r="EL107"/>
          <cell r="EM107"/>
          <cell r="EN107"/>
          <cell r="EO107"/>
          <cell r="EP107"/>
          <cell r="EQ107"/>
          <cell r="ER107"/>
          <cell r="ES107"/>
          <cell r="ET107"/>
          <cell r="EU107"/>
          <cell r="EV107"/>
          <cell r="EW107"/>
          <cell r="EX107"/>
          <cell r="EY107"/>
          <cell r="EZ107"/>
          <cell r="FA107"/>
          <cell r="FB107"/>
          <cell r="FC107"/>
          <cell r="FD107"/>
          <cell r="FE107"/>
          <cell r="FF107"/>
          <cell r="FG107"/>
          <cell r="FH107"/>
          <cell r="FI107"/>
          <cell r="FJ107"/>
          <cell r="FK107"/>
          <cell r="FL107"/>
          <cell r="FM107"/>
          <cell r="FN107"/>
          <cell r="FO107"/>
          <cell r="FP107"/>
          <cell r="FQ107"/>
          <cell r="FR107"/>
          <cell r="FS107"/>
          <cell r="FT107"/>
          <cell r="FU107"/>
        </row>
        <row r="108">
          <cell r="A108" t="str">
            <v>ASS_NIMAUInsto</v>
          </cell>
          <cell r="B108" t="str">
            <v>Australian institutional</v>
          </cell>
          <cell r="D108" t="e">
            <v>#N/A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>
            <v>6.1947525053628518E-3</v>
          </cell>
          <cell r="L108">
            <v>1.3366348018432912E-2</v>
          </cell>
          <cell r="M108">
            <v>1.1878857619488767E-2</v>
          </cell>
          <cell r="N108">
            <v>1.0285122970384995E-2</v>
          </cell>
          <cell r="O108">
            <v>5.9028977429936916E-3</v>
          </cell>
          <cell r="P108">
            <v>6.0636236950549725E-3</v>
          </cell>
          <cell r="Q108">
            <v>1.0149000554201662E-2</v>
          </cell>
          <cell r="R108">
            <v>1.0230528052764573E-2</v>
          </cell>
          <cell r="S108">
            <v>9.8668981137028586E-3</v>
          </cell>
          <cell r="T108">
            <v>9.3056366501240301E-3</v>
          </cell>
          <cell r="U108">
            <v>8.4141929877692839E-3</v>
          </cell>
          <cell r="V108">
            <v>1.1802670879211767E-2</v>
          </cell>
          <cell r="W108">
            <v>1.645856367850497E-2</v>
          </cell>
          <cell r="X108">
            <v>1.5645207191782723E-2</v>
          </cell>
          <cell r="Y108">
            <v>1.6141856341443106E-2</v>
          </cell>
          <cell r="Z108">
            <v>1.7422514738054382E-2</v>
          </cell>
          <cell r="AA108">
            <v>1.4817926843355519E-2</v>
          </cell>
          <cell r="AB108">
            <v>1.3443762068712686E-2</v>
          </cell>
          <cell r="AC108">
            <v>1.2796997498259577E-2</v>
          </cell>
          <cell r="AD108">
            <v>1.2711671723974083E-2</v>
          </cell>
          <cell r="AE108">
            <v>1.3409286617566296E-2</v>
          </cell>
          <cell r="AF108">
            <v>1.2570723636901704E-2</v>
          </cell>
          <cell r="AG108">
            <v>1.1641537577916972E-2</v>
          </cell>
          <cell r="AH108">
            <v>1.1163735296157579E-2</v>
          </cell>
          <cell r="AI108">
            <v>1.0130437798989617E-2</v>
          </cell>
          <cell r="AJ108">
            <v>8.7701042148945474E-3</v>
          </cell>
          <cell r="AK108">
            <v>8.630446115322904E-3</v>
          </cell>
          <cell r="AL108">
            <v>8.2316549052307564E-3</v>
          </cell>
          <cell r="AM108">
            <v>8.9830520076338571E-3</v>
          </cell>
          <cell r="AN108">
            <v>1.2244813596300447E-2</v>
          </cell>
          <cell r="AO108">
            <v>1.2785930428537179E-2</v>
          </cell>
          <cell r="AP108">
            <v>1.2891318543784225E-2</v>
          </cell>
          <cell r="AQ108">
            <v>1.3069962220898651E-2</v>
          </cell>
          <cell r="AR108">
            <v>1.0406769744372324E-2</v>
          </cell>
          <cell r="AS108">
            <v>8.1472331093421779E-3</v>
          </cell>
          <cell r="AT108">
            <v>8.5330757236089239E-3</v>
          </cell>
          <cell r="AU108">
            <v>9.5459754879739789E-3</v>
          </cell>
          <cell r="AV108">
            <v>9.5590420089419204E-3</v>
          </cell>
          <cell r="AW108">
            <v>1.0117477787032952E-2</v>
          </cell>
          <cell r="AX108">
            <v>9.9834116614997137E-3</v>
          </cell>
          <cell r="AY108">
            <v>7.990918332989122E-3</v>
          </cell>
          <cell r="AZ108">
            <v>6.7679449546556303E-3</v>
          </cell>
          <cell r="BA108">
            <v>6.9542673185478965E-3</v>
          </cell>
          <cell r="BB108">
            <v>6.8904179019461942E-3</v>
          </cell>
          <cell r="BC108">
            <v>6.3877366173136496E-3</v>
          </cell>
          <cell r="BD108">
            <v>5.0977988134979502E-3</v>
          </cell>
          <cell r="BE108">
            <v>5.0320088258416773E-3</v>
          </cell>
          <cell r="BF108">
            <v>5.9190109459399676E-3</v>
          </cell>
          <cell r="BG108">
            <v>5.721484703329921E-3</v>
          </cell>
          <cell r="BH108">
            <v>5.8370913427853999E-3</v>
          </cell>
          <cell r="BI108">
            <v>4.8352217142259846E-3</v>
          </cell>
          <cell r="BJ108">
            <v>4.079538466653404E-3</v>
          </cell>
          <cell r="BK108">
            <v>4.088018902026952E-3</v>
          </cell>
          <cell r="BL108">
            <v>3.4812327419857236E-3</v>
          </cell>
          <cell r="BM108">
            <v>3.6484902544386688E-3</v>
          </cell>
          <cell r="BN108">
            <v>3.2702832531529002E-3</v>
          </cell>
          <cell r="BO108">
            <v>2.4376684944776017E-3</v>
          </cell>
          <cell r="BP108">
            <v>1.035647210948204E-3</v>
          </cell>
          <cell r="BQ108">
            <v>7.8174943656597606E-4</v>
          </cell>
          <cell r="BR108">
            <v>4.5806903803943533E-3</v>
          </cell>
          <cell r="BS108">
            <v>1.1146655179982173E-2</v>
          </cell>
          <cell r="BT108">
            <v>1.5647569322055493E-2</v>
          </cell>
          <cell r="BU108">
            <v>1.6357971911311359E-2</v>
          </cell>
          <cell r="BV108">
            <v>1.6003753693033168E-2</v>
          </cell>
          <cell r="BW108">
            <v>1.5066703239595164E-2</v>
          </cell>
          <cell r="BX108">
            <v>1.3883636615989264E-2</v>
          </cell>
          <cell r="BY108">
            <v>1.32574403600422E-2</v>
          </cell>
          <cell r="BZ108">
            <v>1.340749215056572E-2</v>
          </cell>
          <cell r="CA108">
            <v>1.4322394226318397E-2</v>
          </cell>
          <cell r="CB108">
            <v>1.524140746501404E-2</v>
          </cell>
          <cell r="CC108">
            <v>1.5404766536497111E-2</v>
          </cell>
          <cell r="CD108">
            <v>1.5814605414257471E-2</v>
          </cell>
          <cell r="CE108">
            <v>1.6743964406536388E-2</v>
          </cell>
          <cell r="CF108">
            <v>1.7551547542313944E-2</v>
          </cell>
          <cell r="CG108">
            <v>1.8806992692877139E-2</v>
          </cell>
          <cell r="CH108">
            <v>1.9849287805589394E-2</v>
          </cell>
          <cell r="CI108">
            <v>2.0035148886554693E-2</v>
          </cell>
          <cell r="CJ108">
            <v>1.9597128383604806E-2</v>
          </cell>
          <cell r="CK108">
            <v>1.9314497220474486E-2</v>
          </cell>
          <cell r="CL108">
            <v>1.9501090736962962E-2</v>
          </cell>
          <cell r="CM108">
            <v>1.8964537568443324E-2</v>
          </cell>
          <cell r="CN108">
            <v>1.8201204849672387E-2</v>
          </cell>
          <cell r="CO108">
            <v>1.9196195951896505E-2</v>
          </cell>
          <cell r="CP108">
            <v>1.8595218424045906E-2</v>
          </cell>
          <cell r="CQ108">
            <v>1.7900611008851347E-2</v>
          </cell>
          <cell r="CR108">
            <v>1.8149705688012246E-2</v>
          </cell>
          <cell r="CS108">
            <v>1.8113541812741746E-2</v>
          </cell>
          <cell r="CT108">
            <v>1.7107429014213277E-2</v>
          </cell>
          <cell r="CU108">
            <v>1.6024126926331178E-2</v>
          </cell>
          <cell r="CV108">
            <v>1.5709162814582817E-2</v>
          </cell>
          <cell r="CW108">
            <v>1.6361201619021576E-2</v>
          </cell>
          <cell r="CX108">
            <v>1.6469369285923269E-2</v>
          </cell>
          <cell r="CY108">
            <v>1.5947586731394653E-2</v>
          </cell>
          <cell r="CZ108">
            <v>1.5522141841090159E-2</v>
          </cell>
          <cell r="DA108">
            <v>1.5582303735037134E-2</v>
          </cell>
          <cell r="DB108">
            <v>1.5374235079751802E-2</v>
          </cell>
          <cell r="DC108">
            <v>1.4990216924481131E-2</v>
          </cell>
          <cell r="DD108">
            <v>1.4107791718530743E-2</v>
          </cell>
          <cell r="DE108">
            <v>1.3769765216046587E-2</v>
          </cell>
          <cell r="DF108">
            <v>1.4739378947506127E-2</v>
          </cell>
          <cell r="DG108">
            <v>1.4926457217797978E-2</v>
          </cell>
          <cell r="DH108">
            <v>1.5627528183324829E-2</v>
          </cell>
          <cell r="DI108">
            <v>1.7472537335659372E-2</v>
          </cell>
          <cell r="DJ108">
            <v>1.7399999999999999E-2</v>
          </cell>
          <cell r="DK108">
            <v>1.6816333333333336E-2</v>
          </cell>
          <cell r="DL108">
            <v>1.6623833333333334E-2</v>
          </cell>
          <cell r="DM108">
            <v>1.7353166666666666E-2</v>
          </cell>
          <cell r="DN108">
            <v>1.6908666666666666E-2</v>
          </cell>
          <cell r="DO108">
            <v>1.6255333333333333E-2</v>
          </cell>
          <cell r="DP108">
            <v>1.6063666666666667E-2</v>
          </cell>
          <cell r="DQ108">
            <v>1.5614500000000003E-2</v>
          </cell>
          <cell r="DR108">
            <v>1.52525E-2</v>
          </cell>
          <cell r="DS108">
            <v>1.4737166666666668E-2</v>
          </cell>
          <cell r="DT108">
            <v>1.4163666666666666E-2</v>
          </cell>
          <cell r="DU108">
            <v>1.0803166666666668E-2</v>
          </cell>
          <cell r="DV108">
            <v>7.9461666666666656E-3</v>
          </cell>
          <cell r="DW108">
            <v>9.9333333333333339E-3</v>
          </cell>
          <cell r="DX108">
            <v>1.1899499999999999E-2</v>
          </cell>
          <cell r="DY108">
            <v>1.2264333333333334E-2</v>
          </cell>
          <cell r="DZ108">
            <v>1.3303500000000001E-2</v>
          </cell>
          <cell r="EA108">
            <v>1.3824333333333334E-2</v>
          </cell>
          <cell r="EB108">
            <v>1.4035861321966568E-2</v>
          </cell>
          <cell r="EC108">
            <v>1.4453485514408504E-2</v>
          </cell>
          <cell r="ED108">
            <v>1.4453485514408504E-2</v>
          </cell>
          <cell r="EE108">
            <v>1.4453485514408504E-2</v>
          </cell>
          <cell r="EF108"/>
          <cell r="EG108"/>
          <cell r="EH108"/>
          <cell r="EI108"/>
          <cell r="EJ108"/>
          <cell r="EK108"/>
          <cell r="EL108"/>
          <cell r="EM108"/>
          <cell r="EN108"/>
          <cell r="EO108"/>
          <cell r="EP108"/>
          <cell r="EQ108"/>
          <cell r="ER108"/>
          <cell r="ES108"/>
          <cell r="ET108"/>
          <cell r="EU108"/>
          <cell r="EV108"/>
          <cell r="EW108"/>
          <cell r="EX108"/>
          <cell r="EY108"/>
          <cell r="EZ108"/>
          <cell r="FA108"/>
          <cell r="FB108"/>
          <cell r="FC108"/>
          <cell r="FD108"/>
          <cell r="FE108"/>
          <cell r="FF108"/>
          <cell r="FG108"/>
          <cell r="FH108"/>
          <cell r="FI108"/>
          <cell r="FJ108"/>
          <cell r="FK108"/>
          <cell r="FL108"/>
          <cell r="FM108"/>
          <cell r="FN108"/>
          <cell r="FO108"/>
          <cell r="FP108"/>
          <cell r="FQ108"/>
          <cell r="FR108"/>
          <cell r="FS108"/>
          <cell r="FT108"/>
          <cell r="FU108"/>
        </row>
        <row r="109">
          <cell r="A109" t="str">
            <v>ASS_NIMAUPersonal</v>
          </cell>
          <cell r="B109" t="str">
            <v>Australian personal</v>
          </cell>
          <cell r="D109">
            <v>4.9896505725063683E-2</v>
          </cell>
          <cell r="E109">
            <v>5.0645544055657243E-2</v>
          </cell>
          <cell r="F109">
            <v>5.2829740652467816E-2</v>
          </cell>
          <cell r="G109">
            <v>5.2775710009410171E-2</v>
          </cell>
          <cell r="H109">
            <v>5.1933956911767082E-2</v>
          </cell>
          <cell r="I109">
            <v>5.2135341106150326E-2</v>
          </cell>
          <cell r="J109">
            <v>4.9004872993377552E-2</v>
          </cell>
          <cell r="K109">
            <v>4.3460129738482081E-2</v>
          </cell>
          <cell r="L109">
            <v>3.8877674699627912E-2</v>
          </cell>
          <cell r="M109">
            <v>3.4880678997188122E-2</v>
          </cell>
          <cell r="N109">
            <v>2.9959431317875179E-2</v>
          </cell>
          <cell r="O109">
            <v>1.9685032287483153E-2</v>
          </cell>
          <cell r="P109">
            <v>1.1999083499939271E-2</v>
          </cell>
          <cell r="Q109">
            <v>1.3897307181857922E-2</v>
          </cell>
          <cell r="R109">
            <v>1.6912246382950517E-2</v>
          </cell>
          <cell r="S109">
            <v>1.822255841123728E-2</v>
          </cell>
          <cell r="T109">
            <v>1.7429540249032531E-2</v>
          </cell>
          <cell r="U109">
            <v>1.4666523617908947E-2</v>
          </cell>
          <cell r="V109">
            <v>1.6368207651450188E-2</v>
          </cell>
          <cell r="W109">
            <v>2.1533232655971624E-2</v>
          </cell>
          <cell r="X109">
            <v>2.2237899204357703E-2</v>
          </cell>
          <cell r="Y109">
            <v>2.2883692151280347E-2</v>
          </cell>
          <cell r="Z109">
            <v>2.5444435381126354E-2</v>
          </cell>
          <cell r="AA109">
            <v>2.4085305949524585E-2</v>
          </cell>
          <cell r="AB109">
            <v>2.2181544602496509E-2</v>
          </cell>
          <cell r="AC109">
            <v>2.040628589746251E-2</v>
          </cell>
          <cell r="AD109">
            <v>1.7607193618867235E-2</v>
          </cell>
          <cell r="AE109">
            <v>1.8172045162823405E-2</v>
          </cell>
          <cell r="AF109">
            <v>1.8646231300562935E-2</v>
          </cell>
          <cell r="AG109">
            <v>1.6471887032980963E-2</v>
          </cell>
          <cell r="AH109">
            <v>1.5543819438844121E-2</v>
          </cell>
          <cell r="AI109">
            <v>1.3766328261544551E-2</v>
          </cell>
          <cell r="AJ109">
            <v>1.1665048506369693E-2</v>
          </cell>
          <cell r="AK109">
            <v>1.149211959175063E-2</v>
          </cell>
          <cell r="AL109">
            <v>1.0551065727938472E-2</v>
          </cell>
          <cell r="AM109">
            <v>1.1058168955816974E-2</v>
          </cell>
          <cell r="AN109">
            <v>1.573894388316343E-2</v>
          </cell>
          <cell r="AO109">
            <v>1.8635766098308963E-2</v>
          </cell>
          <cell r="AP109">
            <v>1.8730193848851322E-2</v>
          </cell>
          <cell r="AQ109">
            <v>2.095898584894347E-2</v>
          </cell>
          <cell r="AR109">
            <v>2.1581375229213023E-2</v>
          </cell>
          <cell r="AS109">
            <v>1.9173711396496998E-2</v>
          </cell>
          <cell r="AT109">
            <v>1.8717203925846228E-2</v>
          </cell>
          <cell r="AU109">
            <v>2.0128833264515748E-2</v>
          </cell>
          <cell r="AV109">
            <v>2.1694437593833563E-2</v>
          </cell>
          <cell r="AW109">
            <v>2.247326063061994E-2</v>
          </cell>
          <cell r="AX109">
            <v>2.1055072497303456E-2</v>
          </cell>
          <cell r="AY109">
            <v>1.7603788034111403E-2</v>
          </cell>
          <cell r="AZ109">
            <v>1.4999862262611366E-2</v>
          </cell>
          <cell r="BA109">
            <v>1.5193249894360321E-2</v>
          </cell>
          <cell r="BB109">
            <v>1.5766950521205317E-2</v>
          </cell>
          <cell r="BC109">
            <v>1.5666062258918416E-2</v>
          </cell>
          <cell r="BD109">
            <v>1.4347605755451902E-2</v>
          </cell>
          <cell r="BE109">
            <v>1.4007067780205176E-2</v>
          </cell>
          <cell r="BF109">
            <v>1.4931058796965616E-2</v>
          </cell>
          <cell r="BG109">
            <v>1.4801320878503013E-2</v>
          </cell>
          <cell r="BH109">
            <v>1.4859737964153887E-2</v>
          </cell>
          <cell r="BI109">
            <v>1.3926433757629177E-2</v>
          </cell>
          <cell r="BJ109">
            <v>1.2057686892376289E-2</v>
          </cell>
          <cell r="BK109">
            <v>1.1254514139820294E-2</v>
          </cell>
          <cell r="BL109">
            <v>1.0756606695925555E-2</v>
          </cell>
          <cell r="BM109">
            <v>9.7096577564007164E-3</v>
          </cell>
          <cell r="BN109">
            <v>8.6252253791488515E-3</v>
          </cell>
          <cell r="BO109">
            <v>8.0553150180827232E-3</v>
          </cell>
          <cell r="BP109">
            <v>7.9901286428591192E-3</v>
          </cell>
          <cell r="BQ109">
            <v>1.0201520200173654E-2</v>
          </cell>
          <cell r="BR109">
            <v>1.5817441263599179E-2</v>
          </cell>
          <cell r="BS109">
            <v>3.017232629464317E-2</v>
          </cell>
          <cell r="BT109">
            <v>4.6217900993245145E-2</v>
          </cell>
          <cell r="BU109">
            <v>5.0699940408169525E-2</v>
          </cell>
          <cell r="BV109">
            <v>4.9068265320456383E-2</v>
          </cell>
          <cell r="BW109">
            <v>4.6205490430322627E-2</v>
          </cell>
          <cell r="BX109">
            <v>4.4920333623463371E-2</v>
          </cell>
          <cell r="BY109">
            <v>4.5607568128101406E-2</v>
          </cell>
          <cell r="BZ109">
            <v>4.5912143564777935E-2</v>
          </cell>
          <cell r="CA109">
            <v>4.5919721677392111E-2</v>
          </cell>
          <cell r="CB109">
            <v>4.5818906078204741E-2</v>
          </cell>
          <cell r="CC109">
            <v>4.5852977655322924E-2</v>
          </cell>
          <cell r="CD109">
            <v>4.5951908405942099E-2</v>
          </cell>
          <cell r="CE109">
            <v>4.7479169678848201E-2</v>
          </cell>
          <cell r="CF109">
            <v>4.9110116765833503E-2</v>
          </cell>
          <cell r="CG109">
            <v>5.2863213445058982E-2</v>
          </cell>
          <cell r="CH109">
            <v>5.602576058690692E-2</v>
          </cell>
          <cell r="CI109">
            <v>5.719106706515209E-2</v>
          </cell>
          <cell r="CJ109">
            <v>5.949526133650658E-2</v>
          </cell>
          <cell r="CK109">
            <v>6.0971445207642042E-2</v>
          </cell>
          <cell r="CL109">
            <v>6.2473165828630009E-2</v>
          </cell>
          <cell r="CM109">
            <v>6.3403021973661502E-2</v>
          </cell>
          <cell r="CN109">
            <v>6.2953191456779869E-2</v>
          </cell>
          <cell r="CO109">
            <v>6.2475750323156554E-2</v>
          </cell>
          <cell r="CP109">
            <v>6.2076962662938634E-2</v>
          </cell>
          <cell r="CQ109">
            <v>6.0691182513120445E-2</v>
          </cell>
          <cell r="CR109">
            <v>6.1086688750458557E-2</v>
          </cell>
          <cell r="CS109">
            <v>6.3061193138813046E-2</v>
          </cell>
          <cell r="CT109">
            <v>6.3456004858359144E-2</v>
          </cell>
          <cell r="CU109">
            <v>6.2745247817979966E-2</v>
          </cell>
          <cell r="CV109">
            <v>6.1618824051398541E-2</v>
          </cell>
          <cell r="CW109">
            <v>6.2559540615919979E-2</v>
          </cell>
          <cell r="CX109">
            <v>6.472948790063851E-2</v>
          </cell>
          <cell r="CY109">
            <v>6.5622224154752523E-2</v>
          </cell>
          <cell r="CZ109">
            <v>6.6715858764929387E-2</v>
          </cell>
          <cell r="DA109">
            <v>6.6534907280107497E-2</v>
          </cell>
          <cell r="DB109">
            <v>6.4933720663044106E-2</v>
          </cell>
          <cell r="DC109">
            <v>6.3516017403794756E-2</v>
          </cell>
          <cell r="DD109">
            <v>6.2643651647930135E-2</v>
          </cell>
          <cell r="DE109">
            <v>6.0883479145981717E-2</v>
          </cell>
          <cell r="DF109">
            <v>6.0102091070292296E-2</v>
          </cell>
          <cell r="DG109">
            <v>5.991977299858231E-2</v>
          </cell>
          <cell r="DH109">
            <v>6.0771909715954614E-2</v>
          </cell>
          <cell r="DI109">
            <v>6.3927599172305755E-2</v>
          </cell>
          <cell r="DJ109">
            <v>6.7964945839474641E-2</v>
          </cell>
          <cell r="DK109">
            <v>6.5064945839474642E-2</v>
          </cell>
          <cell r="DL109">
            <v>6.4651928814098245E-2</v>
          </cell>
          <cell r="DM109">
            <v>6.7192655931039E-2</v>
          </cell>
          <cell r="DN109">
            <v>6.7364974378858841E-2</v>
          </cell>
          <cell r="DO109">
            <v>6.543315368452092E-2</v>
          </cell>
          <cell r="DP109">
            <v>6.4945367625723019E-2</v>
          </cell>
          <cell r="DQ109">
            <v>6.4049455243246622E-2</v>
          </cell>
          <cell r="DR109">
            <v>6.3182258410767342E-2</v>
          </cell>
          <cell r="DS109">
            <v>6.1699692125150675E-2</v>
          </cell>
          <cell r="DT109">
            <v>6.0273743392607299E-2</v>
          </cell>
          <cell r="DU109">
            <v>5.5344288326760784E-2</v>
          </cell>
          <cell r="DV109">
            <v>4.7778298419845988E-2</v>
          </cell>
          <cell r="DW109">
            <v>4.3797034590042229E-2</v>
          </cell>
          <cell r="DX109">
            <v>4.2396244113031729E-2</v>
          </cell>
          <cell r="DY109">
            <v>4.090926467368753E-2</v>
          </cell>
          <cell r="DZ109">
            <v>3.9998182793032432E-2</v>
          </cell>
          <cell r="EA109">
            <v>3.9797449907440212E-2</v>
          </cell>
          <cell r="EB109">
            <v>3.9969301790231088E-2</v>
          </cell>
          <cell r="EC109">
            <v>4.0862480625620173E-2</v>
          </cell>
          <cell r="ED109">
            <v>4.0862480625620173E-2</v>
          </cell>
          <cell r="EE109">
            <v>4.0862480625620173E-2</v>
          </cell>
          <cell r="EF109"/>
          <cell r="EG109"/>
          <cell r="EH109"/>
          <cell r="EI109"/>
          <cell r="EJ109"/>
          <cell r="EK109"/>
          <cell r="EL109"/>
          <cell r="EM109"/>
          <cell r="EN109"/>
          <cell r="EO109"/>
          <cell r="EP109"/>
          <cell r="EQ109"/>
          <cell r="ER109"/>
          <cell r="ES109"/>
          <cell r="ET109"/>
          <cell r="EU109"/>
          <cell r="EV109"/>
          <cell r="EW109"/>
          <cell r="EX109"/>
          <cell r="EY109"/>
          <cell r="EZ109"/>
          <cell r="FA109"/>
          <cell r="FB109"/>
          <cell r="FC109"/>
          <cell r="FD109"/>
          <cell r="FE109"/>
          <cell r="FF109"/>
          <cell r="FG109"/>
          <cell r="FH109"/>
          <cell r="FI109"/>
          <cell r="FJ109"/>
          <cell r="FK109"/>
          <cell r="FL109"/>
          <cell r="FM109"/>
          <cell r="FN109"/>
          <cell r="FO109"/>
          <cell r="FP109"/>
          <cell r="FQ109"/>
          <cell r="FR109"/>
          <cell r="FS109"/>
          <cell r="FT109"/>
          <cell r="FU109"/>
        </row>
        <row r="110">
          <cell r="C110"/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  <cell r="BZ110"/>
          <cell r="CA110"/>
          <cell r="CB110"/>
          <cell r="CC110"/>
          <cell r="CD110"/>
          <cell r="CE110"/>
          <cell r="CF110"/>
          <cell r="CG110"/>
          <cell r="CH110"/>
          <cell r="CI110"/>
          <cell r="CJ110"/>
          <cell r="CK110"/>
          <cell r="CL110"/>
          <cell r="CM110"/>
          <cell r="CN110"/>
          <cell r="CO110"/>
          <cell r="CP110"/>
          <cell r="CQ110"/>
          <cell r="CR110"/>
          <cell r="CS110"/>
          <cell r="CT110"/>
          <cell r="CU110"/>
          <cell r="CV110"/>
          <cell r="CW110"/>
          <cell r="CX110"/>
          <cell r="CY110"/>
          <cell r="CZ110"/>
          <cell r="DA110"/>
          <cell r="DB110"/>
          <cell r="DC110"/>
          <cell r="DD110"/>
          <cell r="DE110"/>
          <cell r="DF110"/>
          <cell r="DG110"/>
          <cell r="DH110"/>
          <cell r="DI110"/>
          <cell r="DJ110"/>
          <cell r="DK110"/>
          <cell r="DL110"/>
          <cell r="DM110"/>
          <cell r="DN110"/>
          <cell r="DO110"/>
          <cell r="DP110"/>
          <cell r="DQ110"/>
          <cell r="DR110"/>
          <cell r="DS110"/>
        </row>
        <row r="111">
          <cell r="K111"/>
          <cell r="M111"/>
          <cell r="O111"/>
          <cell r="Q111"/>
          <cell r="S111"/>
          <cell r="U111"/>
          <cell r="W111"/>
          <cell r="Y111"/>
          <cell r="AA111"/>
          <cell r="AC111"/>
          <cell r="AE111"/>
          <cell r="AG111"/>
          <cell r="AI111"/>
          <cell r="AK111"/>
          <cell r="AM111"/>
          <cell r="AO111"/>
          <cell r="AQ111"/>
          <cell r="AS111"/>
          <cell r="AU111"/>
          <cell r="AW111"/>
          <cell r="AY111"/>
          <cell r="BA111"/>
          <cell r="BC111"/>
          <cell r="BE111"/>
          <cell r="BG111"/>
          <cell r="BI111"/>
          <cell r="BK111"/>
          <cell r="BM111"/>
          <cell r="BO111"/>
          <cell r="BQ111"/>
          <cell r="BS111"/>
          <cell r="BU111"/>
          <cell r="BW111"/>
          <cell r="BY111"/>
          <cell r="BZ111"/>
          <cell r="CA111"/>
          <cell r="CB111"/>
          <cell r="CC111"/>
          <cell r="CD111"/>
          <cell r="CE111"/>
          <cell r="CF111"/>
          <cell r="CG111"/>
          <cell r="CH111"/>
          <cell r="CI111"/>
          <cell r="CJ111"/>
          <cell r="CQ111"/>
          <cell r="CR111"/>
          <cell r="CW111"/>
          <cell r="DC111"/>
        </row>
        <row r="112">
          <cell r="D112"/>
          <cell r="L112"/>
          <cell r="N112"/>
          <cell r="P112"/>
          <cell r="R112"/>
          <cell r="T112"/>
          <cell r="V112"/>
          <cell r="X112"/>
          <cell r="Z112"/>
          <cell r="AB112"/>
          <cell r="AD112"/>
          <cell r="AF112"/>
          <cell r="AH112"/>
          <cell r="AJ112"/>
          <cell r="AL112"/>
          <cell r="AN112"/>
          <cell r="AP112"/>
          <cell r="AR112"/>
          <cell r="AT112"/>
          <cell r="AV112"/>
          <cell r="AX112"/>
          <cell r="AZ112"/>
          <cell r="BB112"/>
          <cell r="BD112"/>
          <cell r="BF112"/>
          <cell r="BH112"/>
          <cell r="BJ112"/>
          <cell r="BL112"/>
          <cell r="BN112"/>
          <cell r="BP112"/>
          <cell r="BR112"/>
          <cell r="BT112"/>
          <cell r="BV112"/>
          <cell r="BX112"/>
          <cell r="BY112"/>
          <cell r="BZ112"/>
          <cell r="CB112"/>
          <cell r="CC112"/>
          <cell r="CD112"/>
          <cell r="CE112"/>
          <cell r="CF112"/>
          <cell r="CG112"/>
          <cell r="CH112"/>
          <cell r="CQ112"/>
          <cell r="CR112"/>
        </row>
        <row r="113">
          <cell r="BZ113"/>
          <cell r="CA113"/>
          <cell r="CQ113"/>
          <cell r="CR113"/>
        </row>
        <row r="114">
          <cell r="E114"/>
          <cell r="G114"/>
          <cell r="I114"/>
          <cell r="K114"/>
          <cell r="M114"/>
          <cell r="O114"/>
          <cell r="Q114"/>
          <cell r="S114"/>
          <cell r="U114"/>
          <cell r="W114"/>
          <cell r="Y114"/>
          <cell r="AA114"/>
          <cell r="AC114"/>
          <cell r="AE114"/>
          <cell r="AG114"/>
          <cell r="AI114"/>
          <cell r="AK114"/>
          <cell r="AM114"/>
          <cell r="AO114"/>
          <cell r="AQ114"/>
          <cell r="AS114"/>
          <cell r="AU114"/>
          <cell r="AW114"/>
          <cell r="AY114"/>
          <cell r="BA114"/>
          <cell r="BC114"/>
          <cell r="BE114"/>
          <cell r="BG114"/>
          <cell r="BI114"/>
          <cell r="BK114"/>
          <cell r="BM114"/>
          <cell r="BO114"/>
          <cell r="BQ114"/>
          <cell r="BS114"/>
          <cell r="BU114"/>
          <cell r="BW114"/>
          <cell r="BY114"/>
          <cell r="BZ114"/>
          <cell r="CA114"/>
          <cell r="CB114"/>
          <cell r="CC114"/>
          <cell r="CD114"/>
          <cell r="CE114"/>
          <cell r="CF114"/>
          <cell r="CG114"/>
          <cell r="CH114"/>
          <cell r="CI114"/>
          <cell r="CJ114"/>
          <cell r="CQ114"/>
          <cell r="CR114"/>
        </row>
        <row r="115">
          <cell r="D115"/>
          <cell r="F115"/>
          <cell r="H115"/>
          <cell r="J115"/>
          <cell r="L115"/>
          <cell r="N115"/>
          <cell r="P115"/>
          <cell r="R115"/>
          <cell r="T115"/>
          <cell r="V115"/>
          <cell r="X115"/>
          <cell r="Z115"/>
          <cell r="AB115"/>
          <cell r="AD115"/>
          <cell r="AF115"/>
          <cell r="AH115"/>
          <cell r="AJ115"/>
          <cell r="AL115"/>
          <cell r="AN115"/>
          <cell r="AP115"/>
          <cell r="AR115"/>
          <cell r="AT115"/>
          <cell r="AV115"/>
          <cell r="AX115"/>
          <cell r="AZ115"/>
          <cell r="BB115"/>
          <cell r="BD115"/>
          <cell r="BF115"/>
          <cell r="BH115"/>
          <cell r="BJ115"/>
          <cell r="BL115"/>
          <cell r="BN115"/>
          <cell r="BP115"/>
          <cell r="BR115"/>
          <cell r="BT115"/>
          <cell r="BV115"/>
          <cell r="BX115"/>
          <cell r="BY115"/>
          <cell r="BZ115"/>
          <cell r="CB115"/>
          <cell r="CC115"/>
          <cell r="CD115"/>
          <cell r="CE115"/>
          <cell r="CF115"/>
          <cell r="CG115"/>
          <cell r="CH115"/>
          <cell r="CQ115"/>
          <cell r="CR115"/>
        </row>
        <row r="116">
          <cell r="BZ116"/>
          <cell r="CA116"/>
          <cell r="CQ116"/>
          <cell r="CR116"/>
        </row>
        <row r="117">
          <cell r="BZ117"/>
          <cell r="CA117"/>
          <cell r="CQ117"/>
          <cell r="CR117"/>
        </row>
        <row r="118">
          <cell r="BZ118"/>
          <cell r="CA118"/>
          <cell r="CQ118"/>
          <cell r="CR118"/>
        </row>
        <row r="119">
          <cell r="BZ119"/>
          <cell r="CA119"/>
          <cell r="CQ119"/>
          <cell r="CR119"/>
        </row>
        <row r="120">
          <cell r="BZ120"/>
          <cell r="CA120"/>
          <cell r="CQ120"/>
          <cell r="CR120"/>
        </row>
        <row r="121">
          <cell r="BZ121"/>
          <cell r="CA121"/>
          <cell r="CQ121"/>
          <cell r="CR121"/>
        </row>
        <row r="122">
          <cell r="BZ122"/>
          <cell r="CA122"/>
          <cell r="CQ122"/>
          <cell r="CR122"/>
        </row>
        <row r="123">
          <cell r="BZ123"/>
          <cell r="CA123"/>
          <cell r="CQ123"/>
          <cell r="CR123"/>
        </row>
        <row r="124">
          <cell r="BZ124"/>
          <cell r="CA124"/>
          <cell r="CQ124"/>
          <cell r="CR124"/>
        </row>
        <row r="125">
          <cell r="BZ125"/>
          <cell r="CA125"/>
          <cell r="CQ125"/>
          <cell r="CR125"/>
        </row>
        <row r="126">
          <cell r="BZ126"/>
          <cell r="CA126"/>
          <cell r="CQ126"/>
          <cell r="CR126"/>
        </row>
        <row r="127">
          <cell r="BZ127"/>
          <cell r="CA127"/>
          <cell r="CQ127"/>
          <cell r="CR127"/>
        </row>
        <row r="128">
          <cell r="BZ128"/>
          <cell r="CA128"/>
          <cell r="CQ128"/>
          <cell r="CR128"/>
        </row>
        <row r="129">
          <cell r="BZ129"/>
          <cell r="CA129"/>
          <cell r="CQ129"/>
          <cell r="CR129"/>
        </row>
        <row r="130">
          <cell r="BZ130"/>
          <cell r="CA130"/>
          <cell r="CQ130"/>
          <cell r="CR130"/>
        </row>
        <row r="131">
          <cell r="BZ131"/>
          <cell r="CA131"/>
          <cell r="CQ131"/>
          <cell r="CR131"/>
        </row>
        <row r="132">
          <cell r="BZ132"/>
          <cell r="CA132"/>
          <cell r="CQ132"/>
          <cell r="CR132"/>
        </row>
        <row r="133">
          <cell r="BZ133"/>
          <cell r="CA133"/>
          <cell r="CQ133"/>
          <cell r="CR133"/>
        </row>
        <row r="134">
          <cell r="BZ134"/>
          <cell r="CA134"/>
        </row>
        <row r="135">
          <cell r="BZ135"/>
          <cell r="CA135"/>
        </row>
        <row r="136">
          <cell r="BZ136"/>
          <cell r="CA136"/>
        </row>
        <row r="137">
          <cell r="BZ137"/>
          <cell r="CA137"/>
        </row>
        <row r="138">
          <cell r="BZ138"/>
          <cell r="CA138"/>
        </row>
        <row r="139">
          <cell r="BZ139"/>
          <cell r="CA139"/>
        </row>
        <row r="140">
          <cell r="BZ140"/>
          <cell r="CA140"/>
        </row>
        <row r="141">
          <cell r="BZ141"/>
          <cell r="CA141"/>
        </row>
        <row r="142">
          <cell r="BZ142"/>
          <cell r="CA142"/>
        </row>
      </sheetData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des"/>
    </sheetNames>
    <definedNames>
      <definedName name="IRESSRtd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Z"/>
      <sheetName val="CBA"/>
      <sheetName val="NAB"/>
      <sheetName val="WBC"/>
      <sheetName val="BEN"/>
      <sheetName val="BOQ"/>
      <sheetName val="JDO"/>
      <sheetName val="MQG - Divisional ROE Reco"/>
      <sheetName val="MQG - Consolidation Analysis"/>
      <sheetName val="MQG - Sum-of-the-Parts "/>
      <sheetName val="CBA 3Q"/>
    </sheetNames>
    <sheetDataSet>
      <sheetData sheetId="0"/>
      <sheetData sheetId="1">
        <row r="9">
          <cell r="C9">
            <v>1.9182264344134139E-2</v>
          </cell>
        </row>
      </sheetData>
      <sheetData sheetId="2">
        <row r="9">
          <cell r="K9">
            <v>1.7392943500910488E-2</v>
          </cell>
        </row>
      </sheetData>
      <sheetData sheetId="3"/>
      <sheetData sheetId="4">
        <row r="9">
          <cell r="C9">
            <v>1.8011611404496534E-2</v>
          </cell>
        </row>
      </sheetData>
      <sheetData sheetId="5"/>
      <sheetData sheetId="6">
        <row r="9">
          <cell r="E9">
            <v>1.896236577380447E-2</v>
          </cell>
          <cell r="F9">
            <v>2.2347080851172044E-2</v>
          </cell>
          <cell r="G9">
            <v>3.2324541767904405E-2</v>
          </cell>
          <cell r="H9">
            <v>3.3437498294106464E-2</v>
          </cell>
          <cell r="I9">
            <v>3.0192710798566499E-2</v>
          </cell>
          <cell r="J9">
            <v>2.8508559573274639E-2</v>
          </cell>
          <cell r="K9">
            <v>2.8076654507888325E-2</v>
          </cell>
          <cell r="L9">
            <v>3.0422522611873112E-2</v>
          </cell>
          <cell r="M9">
            <v>3.0297705823137459E-2</v>
          </cell>
          <cell r="N9">
            <v>3.1497806064230457E-2</v>
          </cell>
          <cell r="O9">
            <v>3.1806587737525198E-2</v>
          </cell>
          <cell r="P9">
            <v>3.1853222364715168E-2</v>
          </cell>
          <cell r="Q9">
            <v>3.2050709772316929E-2</v>
          </cell>
          <cell r="R9">
            <v>3.2097217776893554E-2</v>
          </cell>
          <cell r="S9">
            <v>3.2012201161499713E-2</v>
          </cell>
          <cell r="T9">
            <v>3.1916492173235105E-2</v>
          </cell>
          <cell r="U9">
            <v>3.1799074929274335E-2</v>
          </cell>
          <cell r="V9">
            <v>3.1692275208065439E-2</v>
          </cell>
          <cell r="W9">
            <v>3.1560340051831642E-2</v>
          </cell>
          <cell r="X9">
            <v>3.1452018349830912E-2</v>
          </cell>
          <cell r="Y9">
            <v>3.132061581187888E-2</v>
          </cell>
          <cell r="Z9">
            <v>3.1207699375022598E-2</v>
          </cell>
          <cell r="AA9">
            <v>3.1075716599485964E-2</v>
          </cell>
          <cell r="AB9">
            <v>3.0958329429364898E-2</v>
          </cell>
          <cell r="AC9">
            <v>3.0827331707437598E-2</v>
          </cell>
          <cell r="AD9">
            <v>3.070716110005741E-2</v>
          </cell>
          <cell r="AH9">
            <v>2.0733866536418587E-2</v>
          </cell>
          <cell r="AI9">
            <v>3.2891748675246031E-2</v>
          </cell>
          <cell r="AJ9">
            <v>2.933242144458376E-2</v>
          </cell>
          <cell r="AK9">
            <v>2.9259006501203264E-2</v>
          </cell>
          <cell r="AL9">
            <v>3.0906833146576291E-2</v>
          </cell>
          <cell r="AM9">
            <v>3.1820960953146585E-2</v>
          </cell>
          <cell r="AN9">
            <v>3.2068547637801613E-2</v>
          </cell>
          <cell r="AO9">
            <v>3.1954546917360951E-2</v>
          </cell>
          <cell r="AP9">
            <v>3.1737316953600866E-2</v>
          </cell>
          <cell r="AQ9">
            <v>3.1499104331792559E-2</v>
          </cell>
          <cell r="AR9">
            <v>3.1259927776578544E-2</v>
          </cell>
          <cell r="AS9">
            <v>3.1011925215375994E-2</v>
          </cell>
          <cell r="AT9">
            <v>3.076216399037239E-2</v>
          </cell>
        </row>
        <row r="10">
          <cell r="M10">
            <v>235.5</v>
          </cell>
          <cell r="N10">
            <v>261.15588082654779</v>
          </cell>
          <cell r="O10">
            <v>285.68511339748295</v>
          </cell>
          <cell r="P10">
            <v>302.90146718208626</v>
          </cell>
          <cell r="Q10">
            <v>327.97696527638948</v>
          </cell>
          <cell r="R10">
            <v>348.30523061444802</v>
          </cell>
          <cell r="S10">
            <v>372.27063545708103</v>
          </cell>
          <cell r="T10">
            <v>389.88495374884923</v>
          </cell>
          <cell r="U10">
            <v>413.76685310335182</v>
          </cell>
          <cell r="V10">
            <v>429.01361966090542</v>
          </cell>
          <cell r="W10">
            <v>450.97987315771246</v>
          </cell>
          <cell r="X10">
            <v>463.86271535223307</v>
          </cell>
          <cell r="Y10">
            <v>482.29466512159985</v>
          </cell>
          <cell r="Z10">
            <v>494.70035176752748</v>
          </cell>
          <cell r="AA10">
            <v>511.91154659846455</v>
          </cell>
          <cell r="AB10">
            <v>519.83797550108784</v>
          </cell>
          <cell r="AC10">
            <v>539.26519432584428</v>
          </cell>
          <cell r="AD10">
            <v>547.57616969081505</v>
          </cell>
        </row>
        <row r="15">
          <cell r="N15">
            <v>-8.3732535226411277E-5</v>
          </cell>
          <cell r="O15">
            <v>2.366801141858632E-4</v>
          </cell>
          <cell r="P15">
            <v>1.0745514333336779E-4</v>
          </cell>
          <cell r="Q15">
            <v>0</v>
          </cell>
          <cell r="R15">
            <v>-1.0623123537953751E-4</v>
          </cell>
          <cell r="S15">
            <v>-1.9047749612085329E-4</v>
          </cell>
          <cell r="T15">
            <v>-1.7437783600470367E-4</v>
          </cell>
          <cell r="U15">
            <v>-1.8858364388035684E-4</v>
          </cell>
          <cell r="V15">
            <v>-1.690145023157484E-4</v>
          </cell>
          <cell r="W15">
            <v>-1.8352842544410884E-4</v>
          </cell>
          <cell r="X15">
            <v>-1.632594594684901E-4</v>
          </cell>
          <cell r="Y15">
            <v>-1.7825847178989167E-4</v>
          </cell>
          <cell r="Z15">
            <v>-1.5736572920211644E-4</v>
          </cell>
          <cell r="AA15">
            <v>-1.719331075866337E-4</v>
          </cell>
          <cell r="AB15">
            <v>-1.542231440753976E-4</v>
          </cell>
          <cell r="AC15">
            <v>-1.6822123722191941E-4</v>
          </cell>
          <cell r="AD15">
            <v>-1.5452357655529081E-4</v>
          </cell>
        </row>
        <row r="109">
          <cell r="N109">
            <v>6.6095036773366989</v>
          </cell>
          <cell r="O109">
            <v>7.3610062181883835</v>
          </cell>
          <cell r="P109">
            <v>7.9100651687033539</v>
          </cell>
          <cell r="Q109">
            <v>8.7414120075058719</v>
          </cell>
          <cell r="R109">
            <v>9.4140945600338899</v>
          </cell>
          <cell r="S109">
            <v>10.364424821896167</v>
          </cell>
          <cell r="T109">
            <v>11.05339351030104</v>
          </cell>
          <cell r="U109">
            <v>12.12508450007738</v>
          </cell>
          <cell r="V109">
            <v>12.822918890552057</v>
          </cell>
          <cell r="W109">
            <v>13.947840911626351</v>
          </cell>
          <cell r="X109">
            <v>14.626473123798441</v>
          </cell>
          <cell r="Y109">
            <v>14.96346666833648</v>
          </cell>
          <cell r="Z109">
            <v>14.878228726083956</v>
          </cell>
          <cell r="AA109">
            <v>15.123157590142599</v>
          </cell>
          <cell r="AB109">
            <v>14.88642562980192</v>
          </cell>
          <cell r="AC109">
            <v>15.140121863483822</v>
          </cell>
          <cell r="AD109">
            <v>14.903409242690133</v>
          </cell>
        </row>
        <row r="110">
          <cell r="N110">
            <v>4.2229999999999999</v>
          </cell>
          <cell r="O110">
            <v>4.3496899999999998</v>
          </cell>
          <cell r="P110">
            <v>4.4801807</v>
          </cell>
          <cell r="Q110">
            <v>4.6145861210000003</v>
          </cell>
          <cell r="R110">
            <v>4.7530237046300003</v>
          </cell>
          <cell r="S110">
            <v>4.8956144157689003</v>
          </cell>
          <cell r="T110">
            <v>5.0424828482419679</v>
          </cell>
          <cell r="U110">
            <v>5.1937573336892271</v>
          </cell>
          <cell r="V110">
            <v>5.349570053699904</v>
          </cell>
          <cell r="W110">
            <v>5.5100571553109017</v>
          </cell>
          <cell r="X110">
            <v>5.6753588699702293</v>
          </cell>
          <cell r="Y110">
            <v>5.845619636069336</v>
          </cell>
          <cell r="Z110">
            <v>6.0209882251514166</v>
          </cell>
          <cell r="AA110">
            <v>6.2016178719059596</v>
          </cell>
          <cell r="AB110">
            <v>6.3876664080631382</v>
          </cell>
          <cell r="AC110">
            <v>6.5792964003050329</v>
          </cell>
          <cell r="AD110">
            <v>6.7766752923141844</v>
          </cell>
        </row>
        <row r="113"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</row>
        <row r="114">
          <cell r="M114">
            <v>10.199999999999999</v>
          </cell>
          <cell r="N114">
            <v>10.8325036773367</v>
          </cell>
          <cell r="O114">
            <v>11.710696218188383</v>
          </cell>
          <cell r="P114">
            <v>12.390245868703353</v>
          </cell>
          <cell r="Q114">
            <v>13.355998128505872</v>
          </cell>
          <cell r="R114">
            <v>14.167118264663891</v>
          </cell>
          <cell r="S114">
            <v>15.260039237665067</v>
          </cell>
          <cell r="T114">
            <v>16.095876358543009</v>
          </cell>
          <cell r="U114">
            <v>17.318841833766605</v>
          </cell>
          <cell r="V114">
            <v>18.17248894425196</v>
          </cell>
          <cell r="W114">
            <v>19.457898066937254</v>
          </cell>
          <cell r="X114">
            <v>20.301831993768669</v>
          </cell>
          <cell r="Y114">
            <v>20.809086304405817</v>
          </cell>
          <cell r="Z114">
            <v>20.899216951235374</v>
          </cell>
          <cell r="AA114">
            <v>21.324775462048557</v>
          </cell>
          <cell r="AB114">
            <v>21.27409203786506</v>
          </cell>
          <cell r="AC114">
            <v>21.719418263788853</v>
          </cell>
          <cell r="AD114">
            <v>21.680084535004319</v>
          </cell>
        </row>
        <row r="134">
          <cell r="C134">
            <v>22.7</v>
          </cell>
          <cell r="D134">
            <v>28.3</v>
          </cell>
          <cell r="E134">
            <v>36.799999999999997</v>
          </cell>
          <cell r="F134">
            <v>42.7</v>
          </cell>
          <cell r="G134">
            <v>56.3</v>
          </cell>
          <cell r="H134">
            <v>63</v>
          </cell>
          <cell r="I134">
            <v>64.8</v>
          </cell>
          <cell r="J134">
            <v>64.400000000000006</v>
          </cell>
          <cell r="K134">
            <v>71</v>
          </cell>
          <cell r="L134">
            <v>61.8</v>
          </cell>
          <cell r="M134">
            <v>71.8</v>
          </cell>
          <cell r="N134">
            <v>74.414994260682263</v>
          </cell>
          <cell r="O134">
            <v>79.84763078883735</v>
          </cell>
          <cell r="P134">
            <v>82.420204117802626</v>
          </cell>
          <cell r="Q134">
            <v>87.324109060592647</v>
          </cell>
          <cell r="R134">
            <v>89.992995284146119</v>
          </cell>
          <cell r="S134">
            <v>95.212701637941933</v>
          </cell>
          <cell r="T134">
            <v>97.456626821560619</v>
          </cell>
          <cell r="U134">
            <v>103.26744849186105</v>
          </cell>
          <cell r="V134">
            <v>105.57706861741732</v>
          </cell>
          <cell r="W134">
            <v>111.74649475504994</v>
          </cell>
          <cell r="X134">
            <v>113.60996789028222</v>
          </cell>
          <cell r="Y134">
            <v>119.27962377885963</v>
          </cell>
          <cell r="Z134">
            <v>121.3307265555747</v>
          </cell>
          <cell r="AA134">
            <v>126.76475565099426</v>
          </cell>
          <cell r="AB134">
            <v>128.19505126336671</v>
          </cell>
          <cell r="AC134">
            <v>134.83261266105464</v>
          </cell>
          <cell r="AD134">
            <v>136.87109355791068</v>
          </cell>
          <cell r="AH134">
            <v>79.5</v>
          </cell>
          <cell r="AI134">
            <v>119.3</v>
          </cell>
          <cell r="AJ134">
            <v>129.19999999999999</v>
          </cell>
          <cell r="AK134">
            <v>132.80000000000001</v>
          </cell>
          <cell r="AL134">
            <v>146.21499426068226</v>
          </cell>
          <cell r="AM134">
            <v>162.26783490663996</v>
          </cell>
          <cell r="AN134">
            <v>177.31710434473877</v>
          </cell>
          <cell r="AO134">
            <v>192.66932845950254</v>
          </cell>
          <cell r="AP134">
            <v>208.84451710927837</v>
          </cell>
        </row>
        <row r="135">
          <cell r="C135">
            <v>4.4000000000000004</v>
          </cell>
          <cell r="D135">
            <v>8.3000000000000007</v>
          </cell>
          <cell r="E135">
            <v>8.5</v>
          </cell>
          <cell r="F135">
            <v>9.9</v>
          </cell>
          <cell r="G135">
            <v>10.4</v>
          </cell>
          <cell r="H135">
            <v>14.2</v>
          </cell>
          <cell r="I135">
            <v>14.1</v>
          </cell>
          <cell r="J135">
            <v>14.4</v>
          </cell>
          <cell r="K135">
            <v>17.399999999999999</v>
          </cell>
          <cell r="L135">
            <v>18.8</v>
          </cell>
          <cell r="M135">
            <v>18.3</v>
          </cell>
          <cell r="N135">
            <v>20.21</v>
          </cell>
          <cell r="O135">
            <v>19.3065</v>
          </cell>
          <cell r="P135">
            <v>21.018400000000003</v>
          </cell>
          <cell r="Q135">
            <v>19.982227499999997</v>
          </cell>
          <cell r="R135">
            <v>21.754044</v>
          </cell>
          <cell r="S135">
            <v>20.581694324999997</v>
          </cell>
          <cell r="T135">
            <v>22.406665320000002</v>
          </cell>
          <cell r="U135">
            <v>21.199145154749999</v>
          </cell>
          <cell r="V135">
            <v>23.078865279600002</v>
          </cell>
          <cell r="AH135">
            <v>18.399999999999999</v>
          </cell>
          <cell r="AI135">
            <v>24.6</v>
          </cell>
          <cell r="AJ135">
            <v>28.5</v>
          </cell>
          <cell r="AK135">
            <v>36.200000000000003</v>
          </cell>
          <cell r="AL135">
            <v>38.510000000000005</v>
          </cell>
          <cell r="AM135">
            <v>40.3249</v>
          </cell>
          <cell r="AN135">
            <v>41.736271500000001</v>
          </cell>
          <cell r="AO135">
            <v>42.988359645000003</v>
          </cell>
          <cell r="AP135">
            <v>44.278010434350001</v>
          </cell>
        </row>
        <row r="136">
          <cell r="C136">
            <v>1.5</v>
          </cell>
          <cell r="D136">
            <v>1.6</v>
          </cell>
          <cell r="E136">
            <v>2.2000000000000002</v>
          </cell>
          <cell r="F136">
            <v>2.4</v>
          </cell>
          <cell r="G136">
            <v>3.2</v>
          </cell>
          <cell r="H136">
            <v>4</v>
          </cell>
          <cell r="I136">
            <v>4.2</v>
          </cell>
          <cell r="J136">
            <v>3.9</v>
          </cell>
          <cell r="K136">
            <v>3.9</v>
          </cell>
          <cell r="L136">
            <v>4.0999999999999996</v>
          </cell>
          <cell r="M136">
            <v>4.4000000000000004</v>
          </cell>
          <cell r="N136">
            <v>4.1654344827586236</v>
          </cell>
          <cell r="O136">
            <v>4.5760000000000005</v>
          </cell>
          <cell r="P136">
            <v>4.2903975172413826</v>
          </cell>
          <cell r="Q136">
            <v>4.7132800000000001</v>
          </cell>
          <cell r="R136">
            <v>4.4191094427586233</v>
          </cell>
          <cell r="S136">
            <v>4.8546783999999992</v>
          </cell>
          <cell r="T136">
            <v>4.5516827260413812</v>
          </cell>
          <cell r="U136">
            <v>5.000318752000001</v>
          </cell>
          <cell r="V136">
            <v>4.6882332078226234</v>
          </cell>
          <cell r="AH136">
            <v>4.5999999999999996</v>
          </cell>
          <cell r="AI136">
            <v>7.2</v>
          </cell>
          <cell r="AJ136">
            <v>8.1</v>
          </cell>
          <cell r="AK136">
            <v>8</v>
          </cell>
          <cell r="AL136">
            <v>8.565434482758624</v>
          </cell>
          <cell r="AM136">
            <v>8.8663975172413831</v>
          </cell>
          <cell r="AN136">
            <v>9.1323894427586225</v>
          </cell>
          <cell r="AO136">
            <v>9.4063611260413804</v>
          </cell>
          <cell r="AP136">
            <v>9.6885519598226253</v>
          </cell>
        </row>
        <row r="137">
          <cell r="C137">
            <v>9.1999999999999993</v>
          </cell>
          <cell r="D137">
            <v>11.1</v>
          </cell>
          <cell r="E137">
            <v>13.8</v>
          </cell>
          <cell r="F137">
            <v>15.7</v>
          </cell>
          <cell r="G137">
            <v>19.8</v>
          </cell>
          <cell r="H137">
            <v>20</v>
          </cell>
          <cell r="I137">
            <v>22.7</v>
          </cell>
          <cell r="J137">
            <v>28</v>
          </cell>
          <cell r="K137">
            <v>23.1</v>
          </cell>
          <cell r="L137">
            <v>21.800000000000011</v>
          </cell>
          <cell r="M137">
            <v>24.6</v>
          </cell>
          <cell r="N137">
            <v>23.288565517241391</v>
          </cell>
          <cell r="O137">
            <v>25.584</v>
          </cell>
          <cell r="P137">
            <v>23.987222482758636</v>
          </cell>
          <cell r="Q137">
            <v>26.351520000000001</v>
          </cell>
          <cell r="R137">
            <v>24.706839157241397</v>
          </cell>
          <cell r="S137">
            <v>27.142065599999999</v>
          </cell>
          <cell r="T137">
            <v>25.448044331958634</v>
          </cell>
          <cell r="U137">
            <v>27.956327568000006</v>
          </cell>
          <cell r="V137">
            <v>26.211485661917397</v>
          </cell>
          <cell r="AH137">
            <v>29.5</v>
          </cell>
          <cell r="AI137">
            <v>39.799999999999997</v>
          </cell>
          <cell r="AJ137">
            <v>50.7</v>
          </cell>
          <cell r="AK137">
            <v>44.900000000000013</v>
          </cell>
          <cell r="AL137">
            <v>47.888565517241389</v>
          </cell>
          <cell r="AM137">
            <v>49.571222482758635</v>
          </cell>
          <cell r="AN137">
            <v>51.058359157241398</v>
          </cell>
          <cell r="AO137">
            <v>52.590109931958636</v>
          </cell>
          <cell r="AP137">
            <v>54.1678132299174</v>
          </cell>
        </row>
        <row r="140"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</row>
        <row r="141">
          <cell r="M141">
            <v>119.1</v>
          </cell>
          <cell r="N141">
            <v>122.07899426068228</v>
          </cell>
          <cell r="O141">
            <v>129.31413078883736</v>
          </cell>
          <cell r="P141">
            <v>131.71622411780265</v>
          </cell>
          <cell r="Q141">
            <v>138.37113656059265</v>
          </cell>
          <cell r="R141">
            <v>140.87298788414614</v>
          </cell>
          <cell r="S141">
            <v>147.79113996294194</v>
          </cell>
          <cell r="T141">
            <v>149.86301919956063</v>
          </cell>
          <cell r="U141">
            <v>157.42323996661105</v>
          </cell>
          <cell r="V141">
            <v>159.55565276675736</v>
          </cell>
          <cell r="W141">
            <v>167.52695997404243</v>
          </cell>
          <cell r="X141">
            <v>169.20790956410244</v>
          </cell>
          <cell r="Y141">
            <v>176.73350295442191</v>
          </cell>
          <cell r="Z141">
            <v>178.59660647960956</v>
          </cell>
          <cell r="AA141">
            <v>185.94225120182344</v>
          </cell>
          <cell r="AB141">
            <v>187.1789075851226</v>
          </cell>
          <cell r="AC141">
            <v>195.78543307840869</v>
          </cell>
          <cell r="AD141">
            <v>197.62446556931926</v>
          </cell>
        </row>
        <row r="148">
          <cell r="C148">
            <v>246</v>
          </cell>
          <cell r="D148">
            <v>320</v>
          </cell>
        </row>
        <row r="152">
          <cell r="E152">
            <v>339.5</v>
          </cell>
          <cell r="F152">
            <v>412</v>
          </cell>
          <cell r="G152">
            <v>491.5</v>
          </cell>
          <cell r="H152">
            <v>530.5</v>
          </cell>
          <cell r="I152">
            <v>550</v>
          </cell>
          <cell r="J152">
            <v>564</v>
          </cell>
          <cell r="K152">
            <v>544</v>
          </cell>
          <cell r="L152">
            <v>552</v>
          </cell>
          <cell r="M152">
            <v>563</v>
          </cell>
          <cell r="N152">
            <v>583.1</v>
          </cell>
          <cell r="O152">
            <v>605.44000000000005</v>
          </cell>
          <cell r="P152">
            <v>624.26</v>
          </cell>
          <cell r="Q152">
            <v>641.41000000000008</v>
          </cell>
          <cell r="R152">
            <v>656.6400000000001</v>
          </cell>
          <cell r="S152">
            <v>673.74</v>
          </cell>
          <cell r="T152">
            <v>688.82000000000016</v>
          </cell>
          <cell r="U152">
            <v>705.87000000000012</v>
          </cell>
          <cell r="V152">
            <v>720.80000000000018</v>
          </cell>
          <cell r="W152">
            <v>737.80000000000018</v>
          </cell>
          <cell r="X152">
            <v>749.19000000000017</v>
          </cell>
          <cell r="Y152">
            <v>762.75000000000023</v>
          </cell>
          <cell r="Z152">
            <v>770.64000000000033</v>
          </cell>
          <cell r="AA152">
            <v>780.78000000000031</v>
          </cell>
          <cell r="AB152">
            <v>788.58000000000038</v>
          </cell>
          <cell r="AC152">
            <v>802.06000000000029</v>
          </cell>
          <cell r="AD152">
            <v>813.12000000000035</v>
          </cell>
        </row>
        <row r="189">
          <cell r="K189">
            <v>22.8</v>
          </cell>
          <cell r="L189">
            <v>47.6</v>
          </cell>
          <cell r="M189">
            <v>38.6</v>
          </cell>
        </row>
        <row r="195">
          <cell r="M195">
            <v>40.1</v>
          </cell>
          <cell r="N195">
            <v>43.977375357122568</v>
          </cell>
          <cell r="O195">
            <v>53.104365810233844</v>
          </cell>
          <cell r="P195">
            <v>64.646156150107572</v>
          </cell>
          <cell r="Q195">
            <v>63.695814751189573</v>
          </cell>
          <cell r="R195">
            <v>69.851708397097724</v>
          </cell>
          <cell r="S195">
            <v>66.387341344430283</v>
          </cell>
          <cell r="T195">
            <v>67.404158651872066</v>
          </cell>
          <cell r="U195">
            <v>65.808117991112482</v>
          </cell>
          <cell r="V195">
            <v>71.305919900067693</v>
          </cell>
          <cell r="W195">
            <v>68.674854786599525</v>
          </cell>
          <cell r="X195">
            <v>74.083865489362211</v>
          </cell>
          <cell r="Y195">
            <v>70.366353175507001</v>
          </cell>
          <cell r="Z195">
            <v>75.401811632617324</v>
          </cell>
          <cell r="AA195">
            <v>71.770171036508145</v>
          </cell>
          <cell r="AB195">
            <v>76.654433943381676</v>
          </cell>
          <cell r="AC195">
            <v>73.751665274869993</v>
          </cell>
          <cell r="AD195">
            <v>78.817488083370279</v>
          </cell>
        </row>
        <row r="206">
          <cell r="N206">
            <v>367.97882320205781</v>
          </cell>
          <cell r="O206">
            <v>399.28741079065031</v>
          </cell>
          <cell r="P206">
            <v>438.55181194288082</v>
          </cell>
          <cell r="Q206">
            <v>473.93203019299591</v>
          </cell>
          <cell r="R206">
            <v>518.46857178162907</v>
          </cell>
          <cell r="S206">
            <v>537.53750895388544</v>
          </cell>
          <cell r="T206">
            <v>564.08508983455647</v>
          </cell>
          <cell r="U206">
            <v>579.51432281131952</v>
          </cell>
          <cell r="V206">
            <v>602.64902490722727</v>
          </cell>
          <cell r="W206">
            <v>613.3306817516708</v>
          </cell>
          <cell r="X206">
            <v>632.10062314094148</v>
          </cell>
          <cell r="Y206">
            <v>637.32708809963174</v>
          </cell>
          <cell r="Z206">
            <v>650.78885454795147</v>
          </cell>
          <cell r="AA206">
            <v>652.58420299533805</v>
          </cell>
          <cell r="AB206">
            <v>662.75165828637807</v>
          </cell>
          <cell r="AC206">
            <v>663.93172048481927</v>
          </cell>
          <cell r="AD206">
            <v>673.60539394532464</v>
          </cell>
        </row>
        <row r="224">
          <cell r="N224">
            <v>9.8587493357526826E-3</v>
          </cell>
          <cell r="O224">
            <v>1.0188599584473464E-2</v>
          </cell>
          <cell r="P224">
            <v>1.0870050223745542E-2</v>
          </cell>
          <cell r="Q224">
            <v>1.1297467053162636E-2</v>
          </cell>
          <cell r="R224">
            <v>1.1574836283593907E-2</v>
          </cell>
          <cell r="S224">
            <v>1.1631350746607691E-2</v>
          </cell>
          <cell r="T224">
            <v>1.1532318315823464E-2</v>
          </cell>
          <cell r="U224">
            <v>1.1466353807818096E-2</v>
          </cell>
          <cell r="V224">
            <v>1.1388060652673358E-2</v>
          </cell>
          <cell r="W224">
            <v>1.1339222208646178E-2</v>
          </cell>
          <cell r="X224">
            <v>1.1276949328985869E-2</v>
          </cell>
          <cell r="Y224">
            <v>1.1241487137484654E-2</v>
          </cell>
          <cell r="Z224">
            <v>1.1192699787868979E-2</v>
          </cell>
          <cell r="AA224">
            <v>1.1164394149438933E-2</v>
          </cell>
          <cell r="AB224">
            <v>1.1123183670753227E-2</v>
          </cell>
          <cell r="AC224">
            <v>1.1096512995098218E-2</v>
          </cell>
          <cell r="AD224">
            <v>1.1057640734849368E-2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70BB26-2889-47FB-A691-0D55F1A477CC}">
  <we:reference id="49825c50-e8d8-4c4a-9a2c-e6f24181e018" version="1.0.0.0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5" Type="http://schemas.openxmlformats.org/officeDocument/2006/relationships/customProperty" Target="../customProperty4.bin"/><Relationship Id="rId4" Type="http://schemas.openxmlformats.org/officeDocument/2006/relationships/customProperty" Target="../customProperty3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customProperty" Target="../customProperty1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7" Type="http://schemas.openxmlformats.org/officeDocument/2006/relationships/comments" Target="../comments2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6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customProperty" Target="../customProperty28.bin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477"/>
  <sheetViews>
    <sheetView showGridLines="0" workbookViewId="0"/>
  </sheetViews>
  <sheetFormatPr defaultRowHeight="12.75"/>
  <sheetData>
    <row r="1" spans="1:16">
      <c r="A1">
        <v>1374154</v>
      </c>
      <c r="F1">
        <v>2006</v>
      </c>
      <c r="G1">
        <v>2007</v>
      </c>
      <c r="H1">
        <v>2008</v>
      </c>
      <c r="I1">
        <v>2009</v>
      </c>
      <c r="J1">
        <v>2010</v>
      </c>
      <c r="K1">
        <v>2011</v>
      </c>
      <c r="L1">
        <v>2012</v>
      </c>
      <c r="M1">
        <v>2013</v>
      </c>
      <c r="N1">
        <v>2014</v>
      </c>
      <c r="O1">
        <v>2015</v>
      </c>
      <c r="P1">
        <v>2016</v>
      </c>
    </row>
    <row r="2" spans="1:16" ht="15">
      <c r="A2" s="149" t="s">
        <v>2094</v>
      </c>
    </row>
    <row r="4" spans="1:16">
      <c r="B4" t="s">
        <v>1140</v>
      </c>
      <c r="D4" t="s">
        <v>1134</v>
      </c>
      <c r="E4" t="s">
        <v>1073</v>
      </c>
    </row>
    <row r="5" spans="1:16">
      <c r="B5" t="s">
        <v>1142</v>
      </c>
      <c r="D5" t="s">
        <v>1134</v>
      </c>
      <c r="E5" t="s">
        <v>1073</v>
      </c>
    </row>
    <row r="6" spans="1:16">
      <c r="B6" t="s">
        <v>1144</v>
      </c>
      <c r="D6" t="s">
        <v>1134</v>
      </c>
    </row>
    <row r="7" spans="1:16">
      <c r="B7" t="s">
        <v>1146</v>
      </c>
      <c r="D7" t="s">
        <v>1134</v>
      </c>
      <c r="E7">
        <v>32.799413144265998</v>
      </c>
    </row>
    <row r="8" spans="1:16">
      <c r="B8" t="s">
        <v>1148</v>
      </c>
      <c r="D8" t="s">
        <v>1134</v>
      </c>
      <c r="E8" t="s">
        <v>1149</v>
      </c>
    </row>
    <row r="9" spans="1:16">
      <c r="B9" t="s">
        <v>1151</v>
      </c>
      <c r="D9" t="s">
        <v>1134</v>
      </c>
      <c r="E9">
        <v>2297.2469999999998</v>
      </c>
    </row>
    <row r="10" spans="1:16">
      <c r="B10" t="s">
        <v>1153</v>
      </c>
      <c r="D10" t="s">
        <v>1134</v>
      </c>
      <c r="E10">
        <v>1</v>
      </c>
    </row>
    <row r="11" spans="1:16">
      <c r="B11" t="s">
        <v>1155</v>
      </c>
      <c r="D11" t="s">
        <v>1134</v>
      </c>
    </row>
    <row r="12" spans="1:16">
      <c r="B12" t="s">
        <v>1157</v>
      </c>
      <c r="D12" t="s">
        <v>1134</v>
      </c>
    </row>
    <row r="13" spans="1:16">
      <c r="B13" t="s">
        <v>1159</v>
      </c>
      <c r="D13" t="s">
        <v>1134</v>
      </c>
    </row>
    <row r="14" spans="1:16">
      <c r="B14" t="s">
        <v>1161</v>
      </c>
      <c r="D14" t="s">
        <v>1134</v>
      </c>
    </row>
    <row r="15" spans="1:16">
      <c r="B15" t="s">
        <v>1163</v>
      </c>
      <c r="D15" t="s">
        <v>1134</v>
      </c>
    </row>
    <row r="16" spans="1:16">
      <c r="B16" t="s">
        <v>1165</v>
      </c>
      <c r="D16" t="s">
        <v>1134</v>
      </c>
    </row>
    <row r="17" spans="2:16">
      <c r="B17" t="s">
        <v>1167</v>
      </c>
      <c r="D17" t="s">
        <v>1134</v>
      </c>
    </row>
    <row r="18" spans="2:16">
      <c r="B18" t="s">
        <v>1169</v>
      </c>
      <c r="D18" t="s">
        <v>1134</v>
      </c>
    </row>
    <row r="19" spans="2:16">
      <c r="B19" t="s">
        <v>1171</v>
      </c>
      <c r="D19" t="s">
        <v>1134</v>
      </c>
    </row>
    <row r="20" spans="2:16">
      <c r="B20" t="s">
        <v>1173</v>
      </c>
      <c r="D20" t="s">
        <v>1134</v>
      </c>
    </row>
    <row r="21" spans="2:16">
      <c r="B21" t="s">
        <v>1175</v>
      </c>
      <c r="D21" t="s">
        <v>1134</v>
      </c>
    </row>
    <row r="22" spans="2:16">
      <c r="B22" t="s">
        <v>1177</v>
      </c>
      <c r="D22" t="s">
        <v>1134</v>
      </c>
    </row>
    <row r="23" spans="2:16">
      <c r="B23" t="s">
        <v>1179</v>
      </c>
      <c r="D23" t="s">
        <v>1134</v>
      </c>
    </row>
    <row r="24" spans="2:16">
      <c r="B24" t="s">
        <v>1182</v>
      </c>
      <c r="D24" t="s">
        <v>1134</v>
      </c>
      <c r="F24">
        <v>14.580426834495</v>
      </c>
      <c r="G24">
        <v>15.57000146817</v>
      </c>
      <c r="H24">
        <v>16.347553921776999</v>
      </c>
      <c r="I24">
        <v>15.700075634844</v>
      </c>
      <c r="J24">
        <v>15.949630181017</v>
      </c>
      <c r="K24">
        <v>16.924489446386001</v>
      </c>
      <c r="L24">
        <v>16.908064304796</v>
      </c>
      <c r="M24">
        <v>17.664927077929999</v>
      </c>
      <c r="N24">
        <v>18.732487806540998</v>
      </c>
      <c r="O24">
        <v>19.459289967343</v>
      </c>
      <c r="P24">
        <v>20.353464891285999</v>
      </c>
    </row>
    <row r="25" spans="2:16">
      <c r="B25" t="s">
        <v>1184</v>
      </c>
      <c r="D25" t="s">
        <v>1134</v>
      </c>
      <c r="F25">
        <v>1.67</v>
      </c>
      <c r="G25">
        <v>1.82</v>
      </c>
      <c r="H25">
        <v>1.94</v>
      </c>
      <c r="I25">
        <v>1.46</v>
      </c>
      <c r="J25">
        <v>1.52</v>
      </c>
      <c r="K25">
        <v>1.72</v>
      </c>
      <c r="L25">
        <v>1.8</v>
      </c>
      <c r="M25">
        <v>1.89</v>
      </c>
      <c r="N25">
        <v>2.0099999999999998</v>
      </c>
      <c r="O25">
        <v>2.1</v>
      </c>
      <c r="P25">
        <v>2.1800000000000002</v>
      </c>
    </row>
    <row r="26" spans="2:16">
      <c r="B26" t="s">
        <v>1186</v>
      </c>
      <c r="D26" t="s">
        <v>1134</v>
      </c>
    </row>
    <row r="27" spans="2:16">
      <c r="B27" t="s">
        <v>1188</v>
      </c>
      <c r="D27" t="s">
        <v>1134</v>
      </c>
      <c r="F27">
        <v>2.4120402428590002</v>
      </c>
      <c r="G27">
        <v>2.690312248528</v>
      </c>
      <c r="H27">
        <v>2.3669671733289999</v>
      </c>
      <c r="I27">
        <v>1.974536735412</v>
      </c>
      <c r="J27">
        <v>2.1277762342419999</v>
      </c>
      <c r="K27">
        <v>2.474915337159</v>
      </c>
      <c r="L27">
        <v>2.3880893715639999</v>
      </c>
      <c r="M27">
        <v>2.5162962783979999</v>
      </c>
      <c r="N27">
        <v>2.7048815008820002</v>
      </c>
      <c r="O27">
        <v>2.8304959095019999</v>
      </c>
      <c r="P27">
        <v>2.9021076592139998</v>
      </c>
    </row>
    <row r="28" spans="2:16">
      <c r="B28" t="s">
        <v>1190</v>
      </c>
      <c r="D28" t="s">
        <v>1134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2:16">
      <c r="B29" t="s">
        <v>1192</v>
      </c>
      <c r="D29" t="s">
        <v>1134</v>
      </c>
    </row>
    <row r="30" spans="2:16">
      <c r="B30" t="s">
        <v>1194</v>
      </c>
      <c r="D30" t="s">
        <v>1134</v>
      </c>
      <c r="F30">
        <v>3903</v>
      </c>
      <c r="G30">
        <v>4394</v>
      </c>
      <c r="H30">
        <v>3906</v>
      </c>
      <c r="I30">
        <v>3813</v>
      </c>
      <c r="J30">
        <v>4543</v>
      </c>
      <c r="K30">
        <v>5423</v>
      </c>
      <c r="L30">
        <v>5395</v>
      </c>
      <c r="M30">
        <v>5936.1147761723396</v>
      </c>
      <c r="N30">
        <v>6480.7673405691203</v>
      </c>
      <c r="O30">
        <v>6849.9899393401402</v>
      </c>
      <c r="P30">
        <v>7089.0179387430799</v>
      </c>
    </row>
    <row r="31" spans="2:16">
      <c r="B31" t="s">
        <v>1196</v>
      </c>
      <c r="D31" t="s">
        <v>1134</v>
      </c>
      <c r="F31">
        <v>6419.5714285714303</v>
      </c>
      <c r="G31">
        <v>7208.714285714289</v>
      </c>
      <c r="H31">
        <v>8122</v>
      </c>
      <c r="I31">
        <v>9363.1428571428605</v>
      </c>
      <c r="J31">
        <v>8863.1428571428605</v>
      </c>
      <c r="K31">
        <v>9662.8571428571395</v>
      </c>
      <c r="L31">
        <v>10450.285714285699</v>
      </c>
      <c r="M31">
        <v>10632.204677080101</v>
      </c>
      <c r="N31">
        <v>11152.1056727901</v>
      </c>
      <c r="O31">
        <v>11603.830383974901</v>
      </c>
      <c r="P31">
        <v>12039.3360266697</v>
      </c>
    </row>
    <row r="32" spans="2:16">
      <c r="B32" t="s">
        <v>1198</v>
      </c>
      <c r="D32" t="s">
        <v>1134</v>
      </c>
      <c r="F32">
        <v>5813.5714285714303</v>
      </c>
      <c r="G32">
        <v>6418.714285714289</v>
      </c>
      <c r="H32">
        <v>5633</v>
      </c>
      <c r="I32">
        <v>5548.1428571428596</v>
      </c>
      <c r="J32">
        <v>6600.1428571428596</v>
      </c>
      <c r="K32">
        <v>7840.8571428571404</v>
      </c>
      <c r="L32">
        <v>7835.2857142857101</v>
      </c>
      <c r="M32">
        <v>8566.8725079524302</v>
      </c>
      <c r="N32">
        <v>9323.0932995551302</v>
      </c>
      <c r="O32">
        <v>9835.7390193626998</v>
      </c>
      <c r="P32">
        <v>10167.616540446099</v>
      </c>
    </row>
    <row r="33" spans="2:16">
      <c r="B33" t="s">
        <v>1200</v>
      </c>
      <c r="D33" t="s">
        <v>1134</v>
      </c>
      <c r="F33">
        <v>14192.571428571398</v>
      </c>
      <c r="G33">
        <v>14702.714285714299</v>
      </c>
      <c r="H33">
        <v>15428</v>
      </c>
      <c r="I33">
        <v>16943.142857142899</v>
      </c>
      <c r="J33">
        <v>16725.142857142899</v>
      </c>
      <c r="K33">
        <v>17636.857142857101</v>
      </c>
      <c r="L33">
        <v>18278.285714285696</v>
      </c>
      <c r="M33">
        <v>18640.2726904103</v>
      </c>
      <c r="N33">
        <v>19413.900645678495</v>
      </c>
      <c r="O33">
        <v>20163.6100067195</v>
      </c>
      <c r="P33">
        <v>20893.5303709457</v>
      </c>
    </row>
    <row r="34" spans="2:16">
      <c r="B34" t="s">
        <v>1202</v>
      </c>
      <c r="D34" t="s">
        <v>1134</v>
      </c>
      <c r="F34">
        <v>27972</v>
      </c>
      <c r="G34">
        <v>29885</v>
      </c>
      <c r="H34">
        <v>32846</v>
      </c>
      <c r="I34">
        <v>37835</v>
      </c>
      <c r="J34">
        <v>38954</v>
      </c>
      <c r="K34">
        <v>42188</v>
      </c>
      <c r="L34">
        <v>43803</v>
      </c>
      <c r="M34">
        <v>46404.420267630798</v>
      </c>
      <c r="N34">
        <v>49379.359328658698</v>
      </c>
      <c r="O34">
        <v>51557.075045761398</v>
      </c>
      <c r="P34">
        <v>54145.221785810303</v>
      </c>
    </row>
    <row r="35" spans="2:16">
      <c r="B35" t="s">
        <v>1204</v>
      </c>
      <c r="D35" t="s">
        <v>1134</v>
      </c>
    </row>
    <row r="36" spans="2:16">
      <c r="B36" t="s">
        <v>1207</v>
      </c>
      <c r="D36" t="s">
        <v>1134</v>
      </c>
      <c r="E36">
        <v>0</v>
      </c>
    </row>
    <row r="37" spans="2:16">
      <c r="B37" t="s">
        <v>1208</v>
      </c>
      <c r="D37" t="s">
        <v>1134</v>
      </c>
      <c r="E37">
        <v>32.393937711143003</v>
      </c>
    </row>
    <row r="38" spans="2:16">
      <c r="B38" t="s">
        <v>1210</v>
      </c>
      <c r="D38" t="s">
        <v>1134</v>
      </c>
      <c r="E38">
        <v>0.122</v>
      </c>
    </row>
    <row r="39" spans="2:16">
      <c r="B39" t="s">
        <v>1212</v>
      </c>
      <c r="D39" t="s">
        <v>1134</v>
      </c>
    </row>
    <row r="40" spans="2:16">
      <c r="B40" t="s">
        <v>1214</v>
      </c>
      <c r="D40" t="s">
        <v>1134</v>
      </c>
      <c r="E40">
        <v>2.5000000000000001E-2</v>
      </c>
    </row>
    <row r="41" spans="2:16">
      <c r="B41" t="s">
        <v>1216</v>
      </c>
      <c r="D41" t="s">
        <v>1134</v>
      </c>
      <c r="J41">
        <v>0</v>
      </c>
      <c r="K41">
        <v>0</v>
      </c>
      <c r="L41">
        <v>0</v>
      </c>
      <c r="M41">
        <v>0.95952734997699995</v>
      </c>
      <c r="N41">
        <v>0.85519371655700005</v>
      </c>
      <c r="O41">
        <v>0.76220473846500003</v>
      </c>
      <c r="P41">
        <v>0.67983104965899999</v>
      </c>
    </row>
    <row r="42" spans="2:16">
      <c r="B42" t="s">
        <v>1218</v>
      </c>
      <c r="D42" t="s">
        <v>1134</v>
      </c>
      <c r="J42">
        <v>2262</v>
      </c>
      <c r="K42">
        <v>2170</v>
      </c>
      <c r="L42">
        <v>1747</v>
      </c>
      <c r="M42">
        <v>961.28011474956998</v>
      </c>
      <c r="N42">
        <v>3547.1140050009499</v>
      </c>
      <c r="O42">
        <v>3375.59389522431</v>
      </c>
      <c r="P42">
        <v>3157.38881314629</v>
      </c>
    </row>
    <row r="43" spans="2:16">
      <c r="B43" t="s">
        <v>1220</v>
      </c>
      <c r="D43" t="s">
        <v>1134</v>
      </c>
      <c r="E43">
        <v>11705.6325525621</v>
      </c>
    </row>
    <row r="44" spans="2:16">
      <c r="B44" t="s">
        <v>1222</v>
      </c>
      <c r="D44" t="s">
        <v>1134</v>
      </c>
      <c r="E44">
        <v>49862.668397718</v>
      </c>
    </row>
    <row r="45" spans="2:16">
      <c r="B45" t="s">
        <v>1224</v>
      </c>
      <c r="D45" t="s">
        <v>1134</v>
      </c>
    </row>
    <row r="46" spans="2:16">
      <c r="B46" t="s">
        <v>1226</v>
      </c>
      <c r="D46" t="s">
        <v>1134</v>
      </c>
    </row>
    <row r="47" spans="2:16">
      <c r="B47" t="s">
        <v>1228</v>
      </c>
      <c r="D47" t="s">
        <v>1134</v>
      </c>
      <c r="E47">
        <v>61568.300950279998</v>
      </c>
    </row>
    <row r="48" spans="2:16">
      <c r="B48" t="s">
        <v>1230</v>
      </c>
      <c r="D48" t="s">
        <v>1134</v>
      </c>
      <c r="E48">
        <v>6.5843130014059996</v>
      </c>
    </row>
    <row r="49" spans="2:16">
      <c r="B49" t="s">
        <v>1232</v>
      </c>
      <c r="D49" t="s">
        <v>1134</v>
      </c>
      <c r="E49">
        <v>32.393937711143003</v>
      </c>
    </row>
    <row r="50" spans="2:16">
      <c r="B50" t="s">
        <v>1234</v>
      </c>
      <c r="D50" t="s">
        <v>1134</v>
      </c>
    </row>
    <row r="51" spans="2:16">
      <c r="B51" t="s">
        <v>1236</v>
      </c>
      <c r="D51" t="s">
        <v>1134</v>
      </c>
      <c r="E51">
        <v>25.809624709737001</v>
      </c>
    </row>
    <row r="52" spans="2:16">
      <c r="B52" t="s">
        <v>1238</v>
      </c>
      <c r="D52" t="s">
        <v>1134</v>
      </c>
    </row>
    <row r="53" spans="2:16">
      <c r="B53" t="s">
        <v>1240</v>
      </c>
      <c r="D53" t="s">
        <v>1134</v>
      </c>
      <c r="F53">
        <v>4392</v>
      </c>
      <c r="G53">
        <v>4578</v>
      </c>
      <c r="H53">
        <v>4536</v>
      </c>
      <c r="I53">
        <v>2589</v>
      </c>
      <c r="J53">
        <v>4224</v>
      </c>
      <c r="K53">
        <v>5219</v>
      </c>
      <c r="L53">
        <v>4082</v>
      </c>
      <c r="M53">
        <v>5675.1147761723396</v>
      </c>
      <c r="N53">
        <v>6708.7673405691203</v>
      </c>
      <c r="O53">
        <v>7077.9899393401292</v>
      </c>
      <c r="P53">
        <v>7317.0179387430799</v>
      </c>
    </row>
    <row r="54" spans="2:16">
      <c r="B54" t="s">
        <v>1242</v>
      </c>
      <c r="D54" t="s">
        <v>1134</v>
      </c>
      <c r="F54">
        <v>11.781491746682001</v>
      </c>
      <c r="G54">
        <v>12.79343345675</v>
      </c>
      <c r="H54">
        <v>13.219983151173</v>
      </c>
      <c r="I54">
        <v>13.166666269007001</v>
      </c>
      <c r="J54">
        <v>13.100109171483</v>
      </c>
      <c r="K54">
        <v>14.194146890612</v>
      </c>
      <c r="L54">
        <v>14.455563550633</v>
      </c>
      <c r="M54">
        <v>15.299489547572</v>
      </c>
      <c r="N54">
        <v>16.390684251690999</v>
      </c>
      <c r="O54">
        <v>17.139407274737</v>
      </c>
      <c r="P54">
        <v>18.053695045341001</v>
      </c>
    </row>
    <row r="55" spans="2:16">
      <c r="B55" t="s">
        <v>1244</v>
      </c>
      <c r="D55" t="s">
        <v>1134</v>
      </c>
      <c r="F55">
        <v>0.85029940119799996</v>
      </c>
      <c r="G55">
        <v>0.95219780219799999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</row>
    <row r="56" spans="2:16">
      <c r="B56" t="s">
        <v>1246</v>
      </c>
      <c r="D56" t="s">
        <v>1134</v>
      </c>
    </row>
    <row r="57" spans="2:16">
      <c r="B57" t="s">
        <v>1248</v>
      </c>
      <c r="D57" t="s">
        <v>1134</v>
      </c>
      <c r="F57">
        <v>25553</v>
      </c>
      <c r="G57">
        <v>30958</v>
      </c>
      <c r="H57">
        <v>39385</v>
      </c>
      <c r="I57">
        <v>31102</v>
      </c>
      <c r="J57">
        <v>29824</v>
      </c>
      <c r="K57">
        <v>34270</v>
      </c>
      <c r="L57">
        <v>34542</v>
      </c>
      <c r="M57">
        <v>31478.075523254796</v>
      </c>
      <c r="N57">
        <v>31286.582616703596</v>
      </c>
      <c r="O57">
        <v>35783.925770620597</v>
      </c>
      <c r="P57">
        <v>44157.788574049002</v>
      </c>
    </row>
    <row r="58" spans="2:16">
      <c r="B58" t="s">
        <v>1249</v>
      </c>
      <c r="D58" t="s">
        <v>1134</v>
      </c>
      <c r="F58">
        <v>-16875</v>
      </c>
      <c r="G58">
        <v>-21214</v>
      </c>
      <c r="H58">
        <v>-28254</v>
      </c>
      <c r="I58">
        <v>-19030</v>
      </c>
      <c r="J58">
        <v>-17536</v>
      </c>
      <c r="K58">
        <v>-21178</v>
      </c>
      <c r="L58">
        <v>-21245</v>
      </c>
      <c r="M58">
        <v>-17991.1020946147</v>
      </c>
      <c r="N58">
        <v>-17116.208383807199</v>
      </c>
      <c r="O58">
        <v>-21159.001905287798</v>
      </c>
      <c r="P58">
        <v>-29111.079929707401</v>
      </c>
    </row>
    <row r="59" spans="2:16">
      <c r="B59" t="s">
        <v>1250</v>
      </c>
      <c r="D59" t="s">
        <v>1134</v>
      </c>
      <c r="F59">
        <v>8678</v>
      </c>
      <c r="G59">
        <v>9744</v>
      </c>
      <c r="H59">
        <v>11131</v>
      </c>
      <c r="I59">
        <v>12072</v>
      </c>
      <c r="J59">
        <v>12288</v>
      </c>
      <c r="K59">
        <v>13092</v>
      </c>
      <c r="L59">
        <v>13297</v>
      </c>
      <c r="M59">
        <v>13486.9734286402</v>
      </c>
      <c r="N59">
        <v>14170.3742328964</v>
      </c>
      <c r="O59">
        <v>14624.923865332799</v>
      </c>
      <c r="P59">
        <v>15046.708644341499</v>
      </c>
    </row>
    <row r="60" spans="2:16">
      <c r="B60" t="s">
        <v>1253</v>
      </c>
      <c r="D60" t="s">
        <v>1134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</row>
    <row r="61" spans="2:16">
      <c r="B61" t="s">
        <v>1255</v>
      </c>
      <c r="D61" t="s">
        <v>1134</v>
      </c>
    </row>
    <row r="62" spans="2:16">
      <c r="B62" t="s">
        <v>1257</v>
      </c>
      <c r="D62" t="s">
        <v>1134</v>
      </c>
    </row>
    <row r="63" spans="2:16">
      <c r="B63" t="s">
        <v>1259</v>
      </c>
      <c r="D63" t="s">
        <v>1134</v>
      </c>
      <c r="F63">
        <v>389</v>
      </c>
      <c r="G63">
        <v>373</v>
      </c>
      <c r="H63">
        <v>-148</v>
      </c>
      <c r="I63">
        <v>828</v>
      </c>
      <c r="J63">
        <v>100</v>
      </c>
      <c r="K63">
        <v>234</v>
      </c>
      <c r="L63">
        <v>626</v>
      </c>
      <c r="M63">
        <v>967.19228999335598</v>
      </c>
      <c r="N63">
        <v>751.63919390032504</v>
      </c>
      <c r="O63">
        <v>791.94083063855101</v>
      </c>
      <c r="P63">
        <v>835.85545026290697</v>
      </c>
    </row>
    <row r="64" spans="2:16">
      <c r="B64" t="s">
        <v>1261</v>
      </c>
      <c r="D64" t="s">
        <v>1134</v>
      </c>
      <c r="F64">
        <v>2767</v>
      </c>
      <c r="G64">
        <v>2845</v>
      </c>
      <c r="H64">
        <v>3132</v>
      </c>
      <c r="I64">
        <v>2888</v>
      </c>
      <c r="J64">
        <v>2587</v>
      </c>
      <c r="K64">
        <v>2507</v>
      </c>
      <c r="L64">
        <v>2468</v>
      </c>
      <c r="M64">
        <v>2487.5218854518098</v>
      </c>
      <c r="N64">
        <v>2623.03794643333</v>
      </c>
      <c r="O64">
        <v>2762.4286731469001</v>
      </c>
      <c r="P64">
        <v>2905.7793799927899</v>
      </c>
    </row>
    <row r="65" spans="2:16">
      <c r="B65" t="s">
        <v>1262</v>
      </c>
      <c r="D65" t="s">
        <v>1134</v>
      </c>
      <c r="F65">
        <v>2358.5714285714298</v>
      </c>
      <c r="G65">
        <v>1740.7142857142901</v>
      </c>
      <c r="H65">
        <v>1313</v>
      </c>
      <c r="I65">
        <v>1155.1428571428601</v>
      </c>
      <c r="J65">
        <v>1750.1428571428601</v>
      </c>
      <c r="K65">
        <v>1803.8571428571399</v>
      </c>
      <c r="L65">
        <v>1887.2857142857099</v>
      </c>
      <c r="M65">
        <v>1698.58508632499</v>
      </c>
      <c r="N65">
        <v>1868.8492724484099</v>
      </c>
      <c r="O65">
        <v>1984.31663760118</v>
      </c>
      <c r="P65">
        <v>2105.1868963484199</v>
      </c>
    </row>
    <row r="66" spans="2:16">
      <c r="B66" t="s">
        <v>1263</v>
      </c>
      <c r="D66" t="s">
        <v>1134</v>
      </c>
      <c r="F66">
        <v>5514.5714285714303</v>
      </c>
      <c r="G66">
        <v>4958.7142857142899</v>
      </c>
      <c r="H66">
        <v>4297</v>
      </c>
      <c r="I66">
        <v>4871.1428571428596</v>
      </c>
      <c r="J66">
        <v>4437.1428571428596</v>
      </c>
      <c r="K66">
        <v>4544.8571428571404</v>
      </c>
      <c r="L66">
        <v>4981.2857142857101</v>
      </c>
      <c r="M66">
        <v>5153.2992617701502</v>
      </c>
      <c r="N66">
        <v>5243.5264127820592</v>
      </c>
      <c r="O66">
        <v>5538.6861413866391</v>
      </c>
      <c r="P66">
        <v>5846.8217266041202</v>
      </c>
    </row>
    <row r="67" spans="2:16">
      <c r="B67" t="s">
        <v>1266</v>
      </c>
      <c r="D67" t="s">
        <v>1134</v>
      </c>
      <c r="F67">
        <v>14192.571428571398</v>
      </c>
      <c r="G67">
        <v>14702.714285714299</v>
      </c>
      <c r="H67">
        <v>15428</v>
      </c>
      <c r="I67">
        <v>16943.142857142899</v>
      </c>
      <c r="J67">
        <v>16725.142857142899</v>
      </c>
      <c r="K67">
        <v>17636.857142857101</v>
      </c>
      <c r="L67">
        <v>18278.285714285696</v>
      </c>
      <c r="M67">
        <v>18640.2726904103</v>
      </c>
      <c r="N67">
        <v>19413.900645678495</v>
      </c>
      <c r="O67">
        <v>20163.6100067195</v>
      </c>
      <c r="P67">
        <v>20893.5303709457</v>
      </c>
    </row>
    <row r="68" spans="2:16">
      <c r="B68" t="s">
        <v>1269</v>
      </c>
      <c r="D68" t="s">
        <v>1134</v>
      </c>
      <c r="F68">
        <v>-3591</v>
      </c>
      <c r="G68">
        <v>-3973</v>
      </c>
      <c r="H68">
        <v>-3835</v>
      </c>
      <c r="I68">
        <v>-3937</v>
      </c>
      <c r="J68">
        <v>-3996</v>
      </c>
      <c r="K68">
        <v>-4036</v>
      </c>
      <c r="L68">
        <v>-3915</v>
      </c>
      <c r="M68">
        <v>-3883.4095760943401</v>
      </c>
      <c r="N68">
        <v>-3940.5685142382299</v>
      </c>
      <c r="O68">
        <v>-4049.6730049762</v>
      </c>
      <c r="P68">
        <v>-4171.9892839017702</v>
      </c>
    </row>
    <row r="69" spans="2:16">
      <c r="B69" t="s">
        <v>1271</v>
      </c>
      <c r="D69" t="s">
        <v>1134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</row>
    <row r="70" spans="2:16">
      <c r="B70" t="s">
        <v>1273</v>
      </c>
      <c r="D70" t="s">
        <v>1134</v>
      </c>
      <c r="F70">
        <v>-7773</v>
      </c>
      <c r="G70">
        <v>-7494</v>
      </c>
      <c r="H70">
        <v>-7306</v>
      </c>
      <c r="I70">
        <v>-7580</v>
      </c>
      <c r="J70">
        <v>-7862</v>
      </c>
      <c r="K70">
        <v>-7974</v>
      </c>
      <c r="L70">
        <v>-7828</v>
      </c>
      <c r="M70">
        <v>-8008.0680133302203</v>
      </c>
      <c r="N70">
        <v>-8261.7949728884105</v>
      </c>
      <c r="O70">
        <v>-8559.7796227446306</v>
      </c>
      <c r="P70">
        <v>-8854.1943442759493</v>
      </c>
    </row>
    <row r="71" spans="2:16">
      <c r="B71" t="s">
        <v>1276</v>
      </c>
      <c r="D71" t="s">
        <v>1134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  <row r="72" spans="2:16">
      <c r="B72" t="s">
        <v>1278</v>
      </c>
      <c r="D72" t="s">
        <v>1134</v>
      </c>
      <c r="F72">
        <v>-183</v>
      </c>
      <c r="G72">
        <v>-211</v>
      </c>
      <c r="H72">
        <v>-237</v>
      </c>
      <c r="I72">
        <v>-262</v>
      </c>
      <c r="J72">
        <v>-266</v>
      </c>
      <c r="K72">
        <v>-258</v>
      </c>
      <c r="L72">
        <v>-241</v>
      </c>
      <c r="M72">
        <v>-280.77144354454498</v>
      </c>
      <c r="N72">
        <v>-352.28545341342999</v>
      </c>
      <c r="O72">
        <v>-415.69432233221403</v>
      </c>
      <c r="P72">
        <v>-455.331141610629</v>
      </c>
    </row>
    <row r="73" spans="2:16">
      <c r="B73" t="s">
        <v>1280</v>
      </c>
      <c r="D73" t="s">
        <v>1134</v>
      </c>
      <c r="F73">
        <v>-3999</v>
      </c>
      <c r="G73">
        <v>-3310</v>
      </c>
      <c r="H73">
        <v>-3234</v>
      </c>
      <c r="I73">
        <v>-3381</v>
      </c>
      <c r="J73">
        <v>-3600</v>
      </c>
      <c r="K73">
        <v>-3680</v>
      </c>
      <c r="L73">
        <v>-3672</v>
      </c>
      <c r="M73">
        <v>-3843.8869936913402</v>
      </c>
      <c r="N73">
        <v>-3968.9410052367489</v>
      </c>
      <c r="O73">
        <v>-4094.4122954362101</v>
      </c>
      <c r="P73">
        <v>-4226.8739187635401</v>
      </c>
    </row>
    <row r="74" spans="2:16">
      <c r="B74" t="s">
        <v>1282</v>
      </c>
      <c r="D74" t="s">
        <v>1134</v>
      </c>
      <c r="F74">
        <v>-606</v>
      </c>
      <c r="G74">
        <v>-790</v>
      </c>
      <c r="H74">
        <v>-2489</v>
      </c>
      <c r="I74">
        <v>-3815</v>
      </c>
      <c r="J74">
        <v>-2263</v>
      </c>
      <c r="K74">
        <v>-1822</v>
      </c>
      <c r="L74">
        <v>-2615</v>
      </c>
      <c r="M74">
        <v>-2065.3321691276501</v>
      </c>
      <c r="N74">
        <v>-1829.01237323493</v>
      </c>
      <c r="O74">
        <v>-1768.0913646121601</v>
      </c>
      <c r="P74">
        <v>-1871.7194862236499</v>
      </c>
    </row>
    <row r="75" spans="2:16">
      <c r="B75" t="s">
        <v>1284</v>
      </c>
      <c r="D75" t="s">
        <v>1134</v>
      </c>
    </row>
    <row r="76" spans="2:16">
      <c r="B76" t="s">
        <v>1286</v>
      </c>
      <c r="D76" t="s">
        <v>1134</v>
      </c>
    </row>
    <row r="77" spans="2:16">
      <c r="B77" t="s">
        <v>1288</v>
      </c>
      <c r="D77" t="s">
        <v>1134</v>
      </c>
      <c r="F77">
        <v>-606</v>
      </c>
      <c r="G77">
        <v>-790</v>
      </c>
      <c r="H77">
        <v>-2489</v>
      </c>
      <c r="I77">
        <v>-3815</v>
      </c>
      <c r="J77">
        <v>-2263</v>
      </c>
      <c r="K77">
        <v>-1822</v>
      </c>
      <c r="L77">
        <v>-2615</v>
      </c>
      <c r="M77">
        <v>-2065.3321691276501</v>
      </c>
      <c r="N77">
        <v>-1829.01237323493</v>
      </c>
      <c r="O77">
        <v>-1768.0913646121601</v>
      </c>
      <c r="P77">
        <v>-1871.7194862236499</v>
      </c>
    </row>
    <row r="78" spans="2:16">
      <c r="B78" t="s">
        <v>1291</v>
      </c>
      <c r="D78" t="s">
        <v>1134</v>
      </c>
      <c r="F78">
        <v>6419.5714285714303</v>
      </c>
      <c r="G78">
        <v>7208.714285714289</v>
      </c>
      <c r="H78">
        <v>8122</v>
      </c>
      <c r="I78">
        <v>9363.1428571428605</v>
      </c>
      <c r="J78">
        <v>8863.1428571428605</v>
      </c>
      <c r="K78">
        <v>9662.8571428571395</v>
      </c>
      <c r="L78">
        <v>10450.285714285699</v>
      </c>
      <c r="M78">
        <v>10632.204677080101</v>
      </c>
      <c r="N78">
        <v>11152.1056727901</v>
      </c>
      <c r="O78">
        <v>11603.830383974901</v>
      </c>
      <c r="P78">
        <v>12039.3360266697</v>
      </c>
    </row>
    <row r="79" spans="2:16">
      <c r="B79" t="s">
        <v>1294</v>
      </c>
      <c r="D79" t="s">
        <v>1134</v>
      </c>
      <c r="F79">
        <v>5813.5714285714303</v>
      </c>
      <c r="G79">
        <v>6418.714285714289</v>
      </c>
      <c r="H79">
        <v>5633</v>
      </c>
      <c r="I79">
        <v>5548.1428571428596</v>
      </c>
      <c r="J79">
        <v>6600.1428571428596</v>
      </c>
      <c r="K79">
        <v>7840.8571428571404</v>
      </c>
      <c r="L79">
        <v>7835.2857142857101</v>
      </c>
      <c r="M79">
        <v>8566.8725079524302</v>
      </c>
      <c r="N79">
        <v>9323.0932995551302</v>
      </c>
      <c r="O79">
        <v>9835.7390193626998</v>
      </c>
      <c r="P79">
        <v>10167.616540446099</v>
      </c>
    </row>
    <row r="80" spans="2:16">
      <c r="B80" t="s">
        <v>1297</v>
      </c>
      <c r="D80" t="s">
        <v>1134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2:16">
      <c r="B81" t="s">
        <v>1299</v>
      </c>
      <c r="D81" t="s">
        <v>1134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2:16">
      <c r="B82" t="s">
        <v>1300</v>
      </c>
      <c r="D82" t="s">
        <v>1134</v>
      </c>
    </row>
    <row r="83" spans="2:16">
      <c r="B83" t="s">
        <v>1302</v>
      </c>
      <c r="D83" t="s">
        <v>1134</v>
      </c>
    </row>
    <row r="84" spans="2:16">
      <c r="B84" t="s">
        <v>1304</v>
      </c>
      <c r="D84" t="s">
        <v>1134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</row>
    <row r="85" spans="2:16">
      <c r="B85" t="s">
        <v>1307</v>
      </c>
      <c r="D85" t="s">
        <v>1134</v>
      </c>
      <c r="F85">
        <v>5813.5714285714303</v>
      </c>
      <c r="G85">
        <v>6418.714285714289</v>
      </c>
      <c r="H85">
        <v>5633</v>
      </c>
      <c r="I85">
        <v>5548.1428571428596</v>
      </c>
      <c r="J85">
        <v>6600.1428571428596</v>
      </c>
      <c r="K85">
        <v>7840.8571428571404</v>
      </c>
      <c r="L85">
        <v>7835.2857142857101</v>
      </c>
      <c r="M85">
        <v>8566.8725079524302</v>
      </c>
      <c r="N85">
        <v>9323.0932995551302</v>
      </c>
      <c r="O85">
        <v>9835.7390193626998</v>
      </c>
      <c r="P85">
        <v>10167.616540446099</v>
      </c>
    </row>
    <row r="86" spans="2:16">
      <c r="B86" t="s">
        <v>1310</v>
      </c>
      <c r="D86" t="s">
        <v>1134</v>
      </c>
    </row>
    <row r="87" spans="2:16">
      <c r="B87" t="s">
        <v>1312</v>
      </c>
      <c r="D87" t="s">
        <v>1134</v>
      </c>
      <c r="F87">
        <v>5813.5714285714303</v>
      </c>
      <c r="G87">
        <v>6418.714285714289</v>
      </c>
      <c r="H87">
        <v>5633</v>
      </c>
      <c r="I87">
        <v>5548.1428571428596</v>
      </c>
      <c r="J87">
        <v>6600.1428571428596</v>
      </c>
      <c r="K87">
        <v>7840.8571428571404</v>
      </c>
      <c r="L87">
        <v>7835.2857142857101</v>
      </c>
      <c r="M87">
        <v>8566.8725079524302</v>
      </c>
      <c r="N87">
        <v>9323.0932995551302</v>
      </c>
      <c r="O87">
        <v>9835.7390193626998</v>
      </c>
      <c r="P87">
        <v>10167.616540446099</v>
      </c>
    </row>
    <row r="88" spans="2:16">
      <c r="B88" t="s">
        <v>1315</v>
      </c>
      <c r="D88" t="s">
        <v>1134</v>
      </c>
      <c r="F88">
        <v>-1627</v>
      </c>
      <c r="G88">
        <v>-1741.7142857142901</v>
      </c>
      <c r="H88">
        <v>-1403</v>
      </c>
      <c r="I88">
        <v>-1462.1428571428601</v>
      </c>
      <c r="J88">
        <v>-1803.1428571428601</v>
      </c>
      <c r="K88">
        <v>-2154.8571428571399</v>
      </c>
      <c r="L88">
        <v>-2194.2857142857101</v>
      </c>
      <c r="M88">
        <v>-2396.7577317800901</v>
      </c>
      <c r="N88">
        <v>-2608.3259589860099</v>
      </c>
      <c r="O88">
        <v>-2751.7490800225601</v>
      </c>
      <c r="P88">
        <v>-2844.59860170299</v>
      </c>
    </row>
    <row r="89" spans="2:16">
      <c r="B89" t="s">
        <v>1317</v>
      </c>
      <c r="D89" t="s">
        <v>1134</v>
      </c>
      <c r="F89">
        <v>4186.5714285714303</v>
      </c>
      <c r="G89">
        <v>4677</v>
      </c>
      <c r="H89">
        <v>4230</v>
      </c>
      <c r="I89">
        <v>4086</v>
      </c>
      <c r="J89">
        <v>4797</v>
      </c>
      <c r="K89">
        <v>5686</v>
      </c>
      <c r="L89">
        <v>5641</v>
      </c>
      <c r="M89">
        <v>6170.1147761723396</v>
      </c>
      <c r="N89">
        <v>6714.7673405691203</v>
      </c>
      <c r="O89">
        <v>7083.9899393401402</v>
      </c>
      <c r="P89">
        <v>7323.0179387430799</v>
      </c>
    </row>
    <row r="90" spans="2:16">
      <c r="B90" t="s">
        <v>1320</v>
      </c>
      <c r="D90" t="s">
        <v>1134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</row>
    <row r="91" spans="2:16">
      <c r="B91" t="s">
        <v>1322</v>
      </c>
      <c r="D91" t="s">
        <v>1134</v>
      </c>
      <c r="F91">
        <v>3903</v>
      </c>
      <c r="G91">
        <v>4394</v>
      </c>
      <c r="H91">
        <v>3906</v>
      </c>
      <c r="I91">
        <v>3813</v>
      </c>
      <c r="J91">
        <v>4543</v>
      </c>
      <c r="K91">
        <v>5423</v>
      </c>
      <c r="L91">
        <v>5395</v>
      </c>
      <c r="M91">
        <v>5936.1147761723396</v>
      </c>
      <c r="N91">
        <v>6480.7673405691203</v>
      </c>
      <c r="O91">
        <v>6849.9899393401402</v>
      </c>
      <c r="P91">
        <v>7089.0179387430799</v>
      </c>
    </row>
    <row r="92" spans="2:16">
      <c r="B92" t="s">
        <v>1324</v>
      </c>
      <c r="D92" t="s">
        <v>1134</v>
      </c>
      <c r="F92">
        <v>281</v>
      </c>
      <c r="G92">
        <v>-86</v>
      </c>
      <c r="H92">
        <v>-6</v>
      </c>
      <c r="I92">
        <v>-1152</v>
      </c>
      <c r="J92">
        <v>-286</v>
      </c>
      <c r="K92">
        <v>-268</v>
      </c>
      <c r="L92">
        <v>-1055</v>
      </c>
      <c r="M92">
        <v>-17</v>
      </c>
      <c r="N92">
        <v>0</v>
      </c>
      <c r="O92">
        <v>0</v>
      </c>
      <c r="P92">
        <v>0</v>
      </c>
    </row>
    <row r="93" spans="2:16">
      <c r="B93" t="s">
        <v>1326</v>
      </c>
      <c r="D93" t="s">
        <v>1134</v>
      </c>
      <c r="F93">
        <v>-46</v>
      </c>
      <c r="G93">
        <v>-13</v>
      </c>
      <c r="H93">
        <v>311</v>
      </c>
      <c r="I93">
        <v>-345</v>
      </c>
      <c r="J93">
        <v>-286</v>
      </c>
      <c r="K93">
        <v>-198</v>
      </c>
      <c r="L93">
        <v>-503</v>
      </c>
      <c r="M93">
        <v>-472</v>
      </c>
      <c r="N93">
        <v>0</v>
      </c>
      <c r="O93">
        <v>0</v>
      </c>
      <c r="P93">
        <v>0</v>
      </c>
    </row>
    <row r="94" spans="2:16">
      <c r="B94" t="s">
        <v>1327</v>
      </c>
      <c r="D94" t="s">
        <v>1134</v>
      </c>
      <c r="F94">
        <v>-29.571428571428999</v>
      </c>
      <c r="G94">
        <v>0</v>
      </c>
      <c r="H94">
        <v>1</v>
      </c>
      <c r="I94">
        <v>0</v>
      </c>
      <c r="J94">
        <v>-1</v>
      </c>
      <c r="K94">
        <v>-1</v>
      </c>
      <c r="L94">
        <v>-1</v>
      </c>
      <c r="M94">
        <v>-6</v>
      </c>
      <c r="N94">
        <v>-6</v>
      </c>
      <c r="O94">
        <v>-6</v>
      </c>
      <c r="P94">
        <v>-6</v>
      </c>
    </row>
    <row r="95" spans="2:16">
      <c r="B95" t="s">
        <v>1329</v>
      </c>
      <c r="D95" t="s">
        <v>1134</v>
      </c>
    </row>
    <row r="96" spans="2:16">
      <c r="B96" t="s">
        <v>1331</v>
      </c>
      <c r="D96" t="s">
        <v>1134</v>
      </c>
      <c r="F96">
        <v>4392</v>
      </c>
      <c r="G96">
        <v>4578</v>
      </c>
      <c r="H96">
        <v>4536</v>
      </c>
      <c r="I96">
        <v>2589</v>
      </c>
      <c r="J96">
        <v>4224</v>
      </c>
      <c r="K96">
        <v>5219</v>
      </c>
      <c r="L96">
        <v>4082</v>
      </c>
      <c r="M96">
        <v>5675.1147761723396</v>
      </c>
      <c r="N96">
        <v>6708.7673405691203</v>
      </c>
      <c r="O96">
        <v>7077.9899393401292</v>
      </c>
      <c r="P96">
        <v>7317.0179387430799</v>
      </c>
    </row>
    <row r="97" spans="2:16">
      <c r="B97" t="s">
        <v>1334</v>
      </c>
      <c r="D97" t="s">
        <v>1134</v>
      </c>
      <c r="F97">
        <v>2.4394984996120002</v>
      </c>
      <c r="G97">
        <v>2.7059016244029999</v>
      </c>
      <c r="H97">
        <v>2.3774525468140002</v>
      </c>
      <c r="I97">
        <v>1.983675902838</v>
      </c>
      <c r="J97">
        <v>2.1446159423850002</v>
      </c>
      <c r="K97">
        <v>2.4994054521420002</v>
      </c>
      <c r="L97">
        <v>2.408663867944</v>
      </c>
      <c r="M97">
        <v>2.5339453510780001</v>
      </c>
      <c r="N97">
        <v>2.7244687868650002</v>
      </c>
      <c r="O97">
        <v>2.851371334719</v>
      </c>
      <c r="P97">
        <v>2.9237409645589998</v>
      </c>
    </row>
    <row r="98" spans="2:16">
      <c r="B98" t="s">
        <v>1337</v>
      </c>
      <c r="D98" t="s">
        <v>1134</v>
      </c>
      <c r="F98">
        <v>2.4120402428590002</v>
      </c>
      <c r="G98">
        <v>2.690312248528</v>
      </c>
      <c r="H98">
        <v>2.3669671733289999</v>
      </c>
      <c r="I98">
        <v>1.974536735412</v>
      </c>
      <c r="J98">
        <v>2.1277762342419999</v>
      </c>
      <c r="K98">
        <v>2.474915337159</v>
      </c>
      <c r="L98">
        <v>2.3880893715639999</v>
      </c>
      <c r="M98">
        <v>2.5162962783979999</v>
      </c>
      <c r="N98">
        <v>2.7048815008820002</v>
      </c>
      <c r="O98">
        <v>2.8304959095019999</v>
      </c>
      <c r="P98">
        <v>2.9021076592139998</v>
      </c>
    </row>
    <row r="99" spans="2:16">
      <c r="B99" t="s">
        <v>1339</v>
      </c>
      <c r="D99" t="s">
        <v>1134</v>
      </c>
      <c r="F99">
        <v>-2682.9553799999999</v>
      </c>
      <c r="G99">
        <v>-2959.3802900000001</v>
      </c>
      <c r="H99">
        <v>-3248.91509</v>
      </c>
      <c r="I99">
        <v>-2930.1302099999998</v>
      </c>
      <c r="J99">
        <v>-3233.5955600000002</v>
      </c>
      <c r="K99">
        <v>-3759.5590400000001</v>
      </c>
      <c r="L99">
        <v>-4082.895</v>
      </c>
      <c r="M99">
        <v>-4451.2630155745892</v>
      </c>
      <c r="N99">
        <v>-4782.8981166560397</v>
      </c>
      <c r="O99">
        <v>-5045.7221244332904</v>
      </c>
      <c r="P99">
        <v>-5285.5572741513097</v>
      </c>
    </row>
    <row r="100" spans="2:16">
      <c r="B100" t="s">
        <v>621</v>
      </c>
      <c r="D100" t="s">
        <v>1134</v>
      </c>
      <c r="F100">
        <v>1.67</v>
      </c>
      <c r="G100">
        <v>1.82</v>
      </c>
      <c r="H100">
        <v>1.94</v>
      </c>
      <c r="I100">
        <v>1.46</v>
      </c>
      <c r="J100">
        <v>1.52</v>
      </c>
      <c r="K100">
        <v>1.72</v>
      </c>
      <c r="L100">
        <v>1.8</v>
      </c>
      <c r="M100">
        <v>1.89</v>
      </c>
      <c r="N100">
        <v>2.0099999999999998</v>
      </c>
      <c r="O100">
        <v>2.1</v>
      </c>
      <c r="P100">
        <v>2.1800000000000002</v>
      </c>
    </row>
    <row r="101" spans="2:16">
      <c r="B101" t="s">
        <v>1342</v>
      </c>
      <c r="D101" t="s">
        <v>1134</v>
      </c>
      <c r="F101">
        <v>1599.9190000000001</v>
      </c>
      <c r="G101">
        <v>1623.8579999999999</v>
      </c>
      <c r="H101">
        <v>1642.9349999999999</v>
      </c>
      <c r="I101">
        <v>1922.1890000000001</v>
      </c>
      <c r="J101">
        <v>2118.328</v>
      </c>
      <c r="K101">
        <v>2169.7159999999999</v>
      </c>
      <c r="L101">
        <v>2239.8310000000001</v>
      </c>
      <c r="M101">
        <v>2342.6372528699899</v>
      </c>
      <c r="N101">
        <v>2378.7269547051401</v>
      </c>
      <c r="O101">
        <v>2402.3493032747501</v>
      </c>
      <c r="P101">
        <v>2424.63953704303</v>
      </c>
    </row>
    <row r="102" spans="2:16">
      <c r="B102" t="s">
        <v>1344</v>
      </c>
      <c r="D102" t="s">
        <v>1134</v>
      </c>
      <c r="F102">
        <v>1643.422</v>
      </c>
      <c r="G102">
        <v>1636.6130000000001</v>
      </c>
      <c r="H102">
        <v>1650.213</v>
      </c>
      <c r="I102">
        <v>1949.318</v>
      </c>
      <c r="J102">
        <v>2170.3409999999999</v>
      </c>
      <c r="K102">
        <v>2227.9549999999999</v>
      </c>
      <c r="L102">
        <v>2293.884</v>
      </c>
      <c r="M102">
        <v>2365.426848686539</v>
      </c>
      <c r="N102">
        <v>2401.8676376210601</v>
      </c>
      <c r="O102">
        <v>2425.7197886389399</v>
      </c>
      <c r="P102">
        <v>2448.22686580354</v>
      </c>
    </row>
    <row r="103" spans="2:16">
      <c r="B103" t="s">
        <v>1346</v>
      </c>
      <c r="D103" t="s">
        <v>1134</v>
      </c>
      <c r="F103">
        <v>1609.8979999999999</v>
      </c>
      <c r="G103">
        <v>1621.066</v>
      </c>
      <c r="H103">
        <v>1717.627</v>
      </c>
      <c r="I103">
        <v>2095.5949999999998</v>
      </c>
      <c r="J103">
        <v>2133.3409999999999</v>
      </c>
      <c r="K103">
        <v>2201.1889999999999</v>
      </c>
      <c r="L103">
        <v>2297.2469999999998</v>
      </c>
      <c r="M103">
        <v>2367.4267141402001</v>
      </c>
      <c r="N103">
        <v>2391.3192839776898</v>
      </c>
      <c r="O103">
        <v>2413.91515952499</v>
      </c>
      <c r="P103">
        <v>2435.02627442211</v>
      </c>
    </row>
    <row r="104" spans="2:16">
      <c r="B104" t="s">
        <v>1349</v>
      </c>
      <c r="D104" t="s">
        <v>1134</v>
      </c>
      <c r="F104">
        <v>833</v>
      </c>
      <c r="G104">
        <v>887</v>
      </c>
      <c r="H104">
        <v>918</v>
      </c>
      <c r="I104">
        <v>1018</v>
      </c>
      <c r="J104">
        <v>930</v>
      </c>
      <c r="K104">
        <v>906</v>
      </c>
      <c r="L104">
        <v>936</v>
      </c>
      <c r="M104">
        <v>987.672169548586</v>
      </c>
      <c r="N104">
        <v>1025.81095530728</v>
      </c>
      <c r="O104">
        <v>1080.8132234412301</v>
      </c>
      <c r="P104">
        <v>1140.7463646004301</v>
      </c>
    </row>
    <row r="105" spans="2:16">
      <c r="B105" t="s">
        <v>1351</v>
      </c>
      <c r="D105" t="s">
        <v>1134</v>
      </c>
      <c r="F105">
        <v>1934</v>
      </c>
      <c r="G105">
        <v>1958</v>
      </c>
      <c r="H105">
        <v>2214</v>
      </c>
      <c r="I105">
        <v>1870</v>
      </c>
      <c r="J105">
        <v>1657</v>
      </c>
      <c r="K105">
        <v>1601</v>
      </c>
      <c r="L105">
        <v>1532</v>
      </c>
      <c r="M105">
        <v>1499.8497159032199</v>
      </c>
      <c r="N105">
        <v>1597.22699112604</v>
      </c>
      <c r="O105">
        <v>1681.61544970568</v>
      </c>
      <c r="P105">
        <v>1765.0330153923601</v>
      </c>
    </row>
    <row r="106" spans="2:16">
      <c r="B106" t="s">
        <v>1353</v>
      </c>
      <c r="D106" t="s">
        <v>1134</v>
      </c>
    </row>
    <row r="107" spans="2:16">
      <c r="B107" t="s">
        <v>1355</v>
      </c>
      <c r="D107" t="s">
        <v>1134</v>
      </c>
      <c r="F107">
        <v>1384.57142857143</v>
      </c>
      <c r="G107">
        <v>1341.7142857142901</v>
      </c>
      <c r="H107">
        <v>1237</v>
      </c>
      <c r="I107">
        <v>1105.1428571428601</v>
      </c>
      <c r="J107">
        <v>1599.1428571428601</v>
      </c>
      <c r="K107">
        <v>1528.8571428571399</v>
      </c>
      <c r="L107">
        <v>1569.2857142857099</v>
      </c>
      <c r="M107">
        <v>1448.8413531085</v>
      </c>
      <c r="N107">
        <v>1585.46600069192</v>
      </c>
      <c r="O107">
        <v>1685.89563917121</v>
      </c>
      <c r="P107">
        <v>1791.68088479432</v>
      </c>
    </row>
    <row r="108" spans="2:16">
      <c r="B108" t="s">
        <v>1357</v>
      </c>
      <c r="D108" t="s">
        <v>1134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2:16">
      <c r="B109" t="s">
        <v>1359</v>
      </c>
      <c r="D109" t="s">
        <v>1134</v>
      </c>
      <c r="F109">
        <v>389</v>
      </c>
      <c r="G109">
        <v>373</v>
      </c>
      <c r="H109">
        <v>-148</v>
      </c>
      <c r="I109">
        <v>828</v>
      </c>
      <c r="J109">
        <v>100</v>
      </c>
      <c r="K109">
        <v>234</v>
      </c>
      <c r="L109">
        <v>626</v>
      </c>
      <c r="M109">
        <v>967.19228999335598</v>
      </c>
      <c r="N109">
        <v>751.63919390032504</v>
      </c>
      <c r="O109">
        <v>791.94083063855101</v>
      </c>
      <c r="P109">
        <v>835.85545026290697</v>
      </c>
    </row>
    <row r="110" spans="2:16">
      <c r="B110" t="s">
        <v>1361</v>
      </c>
      <c r="D110" t="s">
        <v>1134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</row>
    <row r="111" spans="2:16">
      <c r="B111" t="s">
        <v>1363</v>
      </c>
      <c r="D111" t="s">
        <v>1134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2:16">
      <c r="B112" t="s">
        <v>1365</v>
      </c>
      <c r="D112" t="s">
        <v>1134</v>
      </c>
    </row>
    <row r="113" spans="2:16">
      <c r="B113" t="s">
        <v>1367</v>
      </c>
      <c r="D113" t="s">
        <v>1134</v>
      </c>
      <c r="F113">
        <v>974</v>
      </c>
      <c r="G113">
        <v>399</v>
      </c>
      <c r="H113">
        <v>76</v>
      </c>
      <c r="I113">
        <v>50</v>
      </c>
      <c r="J113">
        <v>151</v>
      </c>
      <c r="K113">
        <v>275</v>
      </c>
      <c r="L113">
        <v>318</v>
      </c>
      <c r="M113">
        <v>249.74373321648599</v>
      </c>
      <c r="N113">
        <v>283.38327175649903</v>
      </c>
      <c r="O113">
        <v>298.42099842996601</v>
      </c>
      <c r="P113">
        <v>313.506011554098</v>
      </c>
    </row>
    <row r="114" spans="2:16">
      <c r="B114" t="s">
        <v>1369</v>
      </c>
      <c r="D114" t="s">
        <v>1134</v>
      </c>
    </row>
    <row r="115" spans="2:16">
      <c r="B115" t="s">
        <v>1371</v>
      </c>
      <c r="D115" t="s">
        <v>1134</v>
      </c>
      <c r="F115">
        <v>-3086</v>
      </c>
      <c r="G115">
        <v>-3329</v>
      </c>
      <c r="H115">
        <v>-3270</v>
      </c>
      <c r="I115">
        <v>-3433</v>
      </c>
      <c r="J115">
        <v>-3580</v>
      </c>
      <c r="K115">
        <v>-3552</v>
      </c>
      <c r="L115">
        <v>-3492</v>
      </c>
      <c r="M115">
        <v>-3483.0580734042001</v>
      </c>
      <c r="N115">
        <v>-3534.3243375126399</v>
      </c>
      <c r="O115">
        <v>-3632.1809426075201</v>
      </c>
      <c r="P115">
        <v>-3741.8872958706602</v>
      </c>
    </row>
    <row r="116" spans="2:16">
      <c r="B116" t="s">
        <v>1373</v>
      </c>
      <c r="D116" t="s">
        <v>1134</v>
      </c>
      <c r="F116">
        <v>-362</v>
      </c>
      <c r="G116">
        <v>-427</v>
      </c>
      <c r="H116">
        <v>-359</v>
      </c>
      <c r="I116">
        <v>-274</v>
      </c>
      <c r="J116">
        <v>-208</v>
      </c>
      <c r="K116">
        <v>-406</v>
      </c>
      <c r="L116">
        <v>-209</v>
      </c>
      <c r="M116">
        <v>-218.45285192952801</v>
      </c>
      <c r="N116">
        <v>-218.400585564615</v>
      </c>
      <c r="O116">
        <v>-223.50566336022601</v>
      </c>
      <c r="P116">
        <v>-229.76819693524899</v>
      </c>
    </row>
    <row r="117" spans="2:16">
      <c r="B117" t="s">
        <v>1375</v>
      </c>
      <c r="D117" t="s">
        <v>1134</v>
      </c>
      <c r="F117">
        <v>-143</v>
      </c>
      <c r="G117">
        <v>-217</v>
      </c>
      <c r="H117">
        <v>-206</v>
      </c>
      <c r="I117">
        <v>-230</v>
      </c>
      <c r="J117">
        <v>-208</v>
      </c>
      <c r="K117">
        <v>-78</v>
      </c>
      <c r="L117">
        <v>-214</v>
      </c>
      <c r="M117">
        <v>-181.89865076061</v>
      </c>
      <c r="N117">
        <v>-187.843591160975</v>
      </c>
      <c r="O117">
        <v>-193.98639900845299</v>
      </c>
      <c r="P117">
        <v>-200.33379109586099</v>
      </c>
    </row>
    <row r="118" spans="2:16">
      <c r="B118" t="s">
        <v>1377</v>
      </c>
      <c r="D118" t="s">
        <v>1134</v>
      </c>
    </row>
    <row r="119" spans="2:16">
      <c r="B119" t="s">
        <v>1379</v>
      </c>
      <c r="D119" t="s">
        <v>1134</v>
      </c>
      <c r="F119">
        <v>-523</v>
      </c>
      <c r="G119">
        <v>-519</v>
      </c>
      <c r="H119">
        <v>-492</v>
      </c>
      <c r="I119">
        <v>-555</v>
      </c>
      <c r="J119">
        <v>-592</v>
      </c>
      <c r="K119">
        <v>-599</v>
      </c>
      <c r="L119">
        <v>-609</v>
      </c>
      <c r="M119">
        <v>-585.43601605603101</v>
      </c>
      <c r="N119">
        <v>-604.47498214432699</v>
      </c>
      <c r="O119">
        <v>-623.53065757141599</v>
      </c>
      <c r="P119">
        <v>-643.68417392006404</v>
      </c>
    </row>
    <row r="120" spans="2:16">
      <c r="B120" t="s">
        <v>1381</v>
      </c>
      <c r="D120" t="s">
        <v>1134</v>
      </c>
      <c r="F120">
        <v>-3476</v>
      </c>
      <c r="G120">
        <v>-2791</v>
      </c>
      <c r="H120">
        <v>-2742</v>
      </c>
      <c r="I120">
        <v>-2826</v>
      </c>
      <c r="J120">
        <v>-3008</v>
      </c>
      <c r="K120">
        <v>-3081</v>
      </c>
      <c r="L120">
        <v>-3063</v>
      </c>
      <c r="M120">
        <v>-3258.4509776353102</v>
      </c>
      <c r="N120">
        <v>-3364.4660230924301</v>
      </c>
      <c r="O120">
        <v>-3470.8816378647998</v>
      </c>
      <c r="P120">
        <v>-3583.1897448434802</v>
      </c>
    </row>
    <row r="121" spans="2:16">
      <c r="B121" t="s">
        <v>1383</v>
      </c>
      <c r="D121" t="s">
        <v>1134</v>
      </c>
      <c r="F121">
        <v>-183</v>
      </c>
      <c r="G121">
        <v>-211</v>
      </c>
      <c r="H121">
        <v>-237</v>
      </c>
      <c r="I121">
        <v>-262</v>
      </c>
      <c r="J121">
        <v>-266</v>
      </c>
      <c r="K121">
        <v>-258</v>
      </c>
      <c r="L121">
        <v>-241</v>
      </c>
      <c r="M121">
        <v>-280.77144354454498</v>
      </c>
      <c r="N121">
        <v>-352.28545341342999</v>
      </c>
      <c r="O121">
        <v>-415.69432233221403</v>
      </c>
      <c r="P121">
        <v>-455.331141610629</v>
      </c>
    </row>
    <row r="122" spans="2:16">
      <c r="B122" t="s">
        <v>1385</v>
      </c>
      <c r="D122" t="s">
        <v>1134</v>
      </c>
    </row>
    <row r="123" spans="2:16">
      <c r="B123" t="s">
        <v>1387</v>
      </c>
      <c r="D123" t="s">
        <v>1134</v>
      </c>
      <c r="F123">
        <v>-183</v>
      </c>
      <c r="G123">
        <v>-211</v>
      </c>
      <c r="H123">
        <v>-237</v>
      </c>
      <c r="I123">
        <v>-262</v>
      </c>
      <c r="J123">
        <v>-266</v>
      </c>
      <c r="K123">
        <v>-258</v>
      </c>
      <c r="L123">
        <v>-241</v>
      </c>
      <c r="M123">
        <v>-280.77144354454498</v>
      </c>
      <c r="N123">
        <v>-352.28545341342999</v>
      </c>
      <c r="O123">
        <v>-415.69432233221403</v>
      </c>
      <c r="P123">
        <v>-455.331141610629</v>
      </c>
    </row>
    <row r="124" spans="2:16">
      <c r="B124" t="s">
        <v>1389</v>
      </c>
      <c r="D124" t="s">
        <v>1134</v>
      </c>
      <c r="F124">
        <v>6419.5714285714303</v>
      </c>
      <c r="G124">
        <v>7208.714285714289</v>
      </c>
      <c r="H124">
        <v>8122</v>
      </c>
      <c r="I124">
        <v>9363.1428571428605</v>
      </c>
      <c r="J124">
        <v>8863.1428571428605</v>
      </c>
      <c r="K124">
        <v>9662.8571428571395</v>
      </c>
      <c r="L124">
        <v>10450.285714285699</v>
      </c>
      <c r="M124">
        <v>10632.204677080101</v>
      </c>
      <c r="N124">
        <v>11152.1056727901</v>
      </c>
      <c r="O124">
        <v>11603.830383974901</v>
      </c>
      <c r="P124">
        <v>12039.3360266697</v>
      </c>
    </row>
    <row r="125" spans="2:16">
      <c r="B125" t="s">
        <v>1391</v>
      </c>
      <c r="D125" t="s">
        <v>1134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2:16">
      <c r="B126" t="s">
        <v>1393</v>
      </c>
      <c r="D126" t="s">
        <v>1134</v>
      </c>
    </row>
    <row r="127" spans="2:16">
      <c r="B127" t="s">
        <v>1395</v>
      </c>
      <c r="D127" t="s">
        <v>1134</v>
      </c>
      <c r="F127">
        <v>-606</v>
      </c>
      <c r="G127">
        <v>-790</v>
      </c>
      <c r="H127">
        <v>-2489</v>
      </c>
      <c r="I127">
        <v>-3815</v>
      </c>
      <c r="J127">
        <v>-2263</v>
      </c>
      <c r="K127">
        <v>-1822</v>
      </c>
      <c r="L127">
        <v>-2615</v>
      </c>
      <c r="M127">
        <v>-2065.3321691276501</v>
      </c>
      <c r="N127">
        <v>-1829.01237323493</v>
      </c>
      <c r="O127">
        <v>-1768.0913646121601</v>
      </c>
      <c r="P127">
        <v>-1871.7194862236499</v>
      </c>
    </row>
    <row r="128" spans="2:16">
      <c r="B128" t="s">
        <v>1397</v>
      </c>
      <c r="D128" t="s">
        <v>1134</v>
      </c>
      <c r="F128">
        <v>401.42857142857099</v>
      </c>
      <c r="G128">
        <v>-122.857142857143</v>
      </c>
      <c r="H128">
        <v>-8.5714285714289993</v>
      </c>
      <c r="I128">
        <v>-1645.7142857142901</v>
      </c>
      <c r="J128">
        <v>-408.57142857142901</v>
      </c>
      <c r="K128">
        <v>-382.857142857143</v>
      </c>
      <c r="L128">
        <v>-1507.1428571428601</v>
      </c>
      <c r="M128">
        <v>-24.285714285714</v>
      </c>
      <c r="N128">
        <v>0</v>
      </c>
      <c r="O128">
        <v>0</v>
      </c>
      <c r="P128">
        <v>0</v>
      </c>
    </row>
    <row r="129" spans="2:16">
      <c r="B129" t="s">
        <v>1399</v>
      </c>
      <c r="D129" t="s">
        <v>1134</v>
      </c>
      <c r="F129">
        <v>-120.428571428571</v>
      </c>
      <c r="G129">
        <v>36.857142857143003</v>
      </c>
      <c r="H129">
        <v>2.5714285714290002</v>
      </c>
      <c r="I129">
        <v>493.71428571428601</v>
      </c>
      <c r="J129">
        <v>122.571428571429</v>
      </c>
      <c r="K129">
        <v>114.857142857143</v>
      </c>
      <c r="L129">
        <v>452.142857142857</v>
      </c>
      <c r="M129">
        <v>7.2857142857139996</v>
      </c>
      <c r="N129">
        <v>0</v>
      </c>
      <c r="O129">
        <v>0</v>
      </c>
      <c r="P129">
        <v>0</v>
      </c>
    </row>
    <row r="130" spans="2:16">
      <c r="B130" t="s">
        <v>1401</v>
      </c>
      <c r="D130" t="s">
        <v>1134</v>
      </c>
    </row>
    <row r="131" spans="2:16">
      <c r="B131" t="s">
        <v>1403</v>
      </c>
      <c r="D131" t="s">
        <v>1134</v>
      </c>
    </row>
    <row r="132" spans="2:16">
      <c r="B132" t="s">
        <v>1405</v>
      </c>
      <c r="D132" t="s">
        <v>1134</v>
      </c>
    </row>
    <row r="133" spans="2:16">
      <c r="B133" t="s">
        <v>1407</v>
      </c>
      <c r="D133" t="s">
        <v>1134</v>
      </c>
      <c r="F133">
        <v>-65.714285714286007</v>
      </c>
      <c r="G133">
        <v>-18.571428571428999</v>
      </c>
      <c r="H133">
        <v>444.28571428571399</v>
      </c>
      <c r="I133">
        <v>-492.857142857143</v>
      </c>
      <c r="J133">
        <v>-408.57142857142901</v>
      </c>
      <c r="K133">
        <v>-282.857142857143</v>
      </c>
      <c r="L133">
        <v>-718.57142857142901</v>
      </c>
      <c r="M133">
        <v>-674.28571428571399</v>
      </c>
      <c r="N133">
        <v>0</v>
      </c>
      <c r="O133">
        <v>0</v>
      </c>
      <c r="P133">
        <v>0</v>
      </c>
    </row>
    <row r="134" spans="2:16">
      <c r="B134" t="s">
        <v>1409</v>
      </c>
      <c r="D134" t="s">
        <v>1134</v>
      </c>
    </row>
    <row r="135" spans="2:16">
      <c r="B135" t="s">
        <v>1411</v>
      </c>
      <c r="D135" t="s">
        <v>1134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</row>
    <row r="136" spans="2:16">
      <c r="B136" t="s">
        <v>1413</v>
      </c>
      <c r="D136" t="s">
        <v>1134</v>
      </c>
      <c r="F136">
        <v>-65.714285714286007</v>
      </c>
      <c r="G136">
        <v>-18.571428571428999</v>
      </c>
      <c r="H136">
        <v>444.28571428571399</v>
      </c>
      <c r="I136">
        <v>-492.857142857143</v>
      </c>
      <c r="J136">
        <v>-408.57142857142901</v>
      </c>
      <c r="K136">
        <v>-282.857142857143</v>
      </c>
      <c r="L136">
        <v>-718.57142857142901</v>
      </c>
      <c r="M136">
        <v>-674.28571428571399</v>
      </c>
      <c r="N136">
        <v>0</v>
      </c>
      <c r="O136">
        <v>0</v>
      </c>
      <c r="P136">
        <v>0</v>
      </c>
    </row>
    <row r="137" spans="2:16">
      <c r="B137" t="s">
        <v>1415</v>
      </c>
      <c r="D137" t="s">
        <v>1134</v>
      </c>
    </row>
    <row r="138" spans="2:16">
      <c r="B138" t="s">
        <v>1417</v>
      </c>
      <c r="D138" t="s">
        <v>1134</v>
      </c>
    </row>
    <row r="139" spans="2:16">
      <c r="B139" t="s">
        <v>1419</v>
      </c>
      <c r="D139" t="s">
        <v>1134</v>
      </c>
    </row>
    <row r="140" spans="2:16">
      <c r="B140" t="s">
        <v>1421</v>
      </c>
      <c r="D140" t="s">
        <v>1134</v>
      </c>
      <c r="F140">
        <v>-46</v>
      </c>
      <c r="G140">
        <v>-13</v>
      </c>
      <c r="H140">
        <v>311</v>
      </c>
      <c r="I140">
        <v>-345</v>
      </c>
      <c r="J140">
        <v>-286</v>
      </c>
      <c r="K140">
        <v>-198</v>
      </c>
      <c r="L140">
        <v>-503</v>
      </c>
      <c r="M140">
        <v>-472</v>
      </c>
      <c r="N140">
        <v>0</v>
      </c>
      <c r="O140">
        <v>0</v>
      </c>
      <c r="P140">
        <v>0</v>
      </c>
    </row>
    <row r="141" spans="2:16">
      <c r="B141" t="s">
        <v>1423</v>
      </c>
      <c r="D141" t="s">
        <v>1134</v>
      </c>
    </row>
    <row r="142" spans="2:16">
      <c r="B142" t="s">
        <v>1425</v>
      </c>
      <c r="D142" t="s">
        <v>1134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2:16">
      <c r="B143" t="s">
        <v>1427</v>
      </c>
      <c r="D143" t="s">
        <v>1134</v>
      </c>
      <c r="F143">
        <v>-46</v>
      </c>
      <c r="G143">
        <v>-13</v>
      </c>
      <c r="H143">
        <v>311</v>
      </c>
      <c r="I143">
        <v>-345</v>
      </c>
      <c r="J143">
        <v>-286</v>
      </c>
      <c r="K143">
        <v>-198</v>
      </c>
      <c r="L143">
        <v>-503</v>
      </c>
      <c r="M143">
        <v>-472</v>
      </c>
      <c r="N143">
        <v>0</v>
      </c>
      <c r="O143">
        <v>0</v>
      </c>
      <c r="P143">
        <v>0</v>
      </c>
    </row>
    <row r="144" spans="2:16">
      <c r="B144" t="s">
        <v>1429</v>
      </c>
      <c r="D144" t="s">
        <v>1134</v>
      </c>
      <c r="F144">
        <v>6149.2857142857101</v>
      </c>
      <c r="G144">
        <v>6277.2857142857101</v>
      </c>
      <c r="H144">
        <v>6068.714285714289</v>
      </c>
      <c r="I144">
        <v>3409.5714285714289</v>
      </c>
      <c r="J144">
        <v>5783</v>
      </c>
      <c r="K144">
        <v>7175.1428571428587</v>
      </c>
      <c r="L144">
        <v>5609.5714285714303</v>
      </c>
      <c r="M144">
        <v>7868.301079380999</v>
      </c>
      <c r="N144">
        <v>9323.0932995551302</v>
      </c>
      <c r="O144">
        <v>9835.7390193626998</v>
      </c>
      <c r="P144">
        <v>10167.616540446099</v>
      </c>
    </row>
    <row r="145" spans="2:16">
      <c r="B145" t="s">
        <v>1431</v>
      </c>
      <c r="D145" t="s">
        <v>1134</v>
      </c>
      <c r="F145">
        <v>-1727.7142857142901</v>
      </c>
      <c r="G145">
        <v>-1699.2857142857099</v>
      </c>
      <c r="H145">
        <v>-1533.7142857142901</v>
      </c>
      <c r="I145">
        <v>-820.57142857142901</v>
      </c>
      <c r="J145">
        <v>-1558</v>
      </c>
      <c r="K145">
        <v>-1955.1428571428601</v>
      </c>
      <c r="L145">
        <v>-1526.57142857143</v>
      </c>
      <c r="M145">
        <v>-2187.186303208659</v>
      </c>
      <c r="N145">
        <v>-2608.3259589860099</v>
      </c>
      <c r="O145">
        <v>-2751.7490800225601</v>
      </c>
      <c r="P145">
        <v>-2844.59860170299</v>
      </c>
    </row>
    <row r="146" spans="2:16">
      <c r="B146" t="s">
        <v>1433</v>
      </c>
      <c r="D146" t="s">
        <v>1134</v>
      </c>
      <c r="F146">
        <v>4421.5714285714303</v>
      </c>
      <c r="G146">
        <v>4578</v>
      </c>
      <c r="H146">
        <v>4535</v>
      </c>
      <c r="I146">
        <v>2589</v>
      </c>
      <c r="J146">
        <v>4225</v>
      </c>
      <c r="K146">
        <v>5220</v>
      </c>
      <c r="L146">
        <v>4083</v>
      </c>
      <c r="M146">
        <v>5681.1147761723396</v>
      </c>
      <c r="N146">
        <v>6714.7673405691203</v>
      </c>
      <c r="O146">
        <v>7083.9899393401292</v>
      </c>
      <c r="P146">
        <v>7323.0179387430799</v>
      </c>
    </row>
    <row r="147" spans="2:16">
      <c r="B147" t="s">
        <v>1435</v>
      </c>
      <c r="D147" t="s">
        <v>1134</v>
      </c>
      <c r="F147">
        <v>3903</v>
      </c>
      <c r="G147">
        <v>4394</v>
      </c>
      <c r="H147">
        <v>3906</v>
      </c>
      <c r="I147">
        <v>3813</v>
      </c>
      <c r="J147">
        <v>4543</v>
      </c>
      <c r="K147">
        <v>5423</v>
      </c>
      <c r="L147">
        <v>5395</v>
      </c>
      <c r="M147">
        <v>5936.1147761723396</v>
      </c>
      <c r="N147">
        <v>6480.7673405691203</v>
      </c>
      <c r="O147">
        <v>6849.9899393401402</v>
      </c>
      <c r="P147">
        <v>7089.0179387430799</v>
      </c>
    </row>
    <row r="148" spans="2:16">
      <c r="B148" t="s">
        <v>1437</v>
      </c>
      <c r="D148" t="s">
        <v>1134</v>
      </c>
    </row>
    <row r="149" spans="2:16">
      <c r="B149" t="s">
        <v>1439</v>
      </c>
      <c r="D149" t="s">
        <v>1134</v>
      </c>
    </row>
    <row r="150" spans="2:16">
      <c r="B150" t="s">
        <v>1441</v>
      </c>
      <c r="D150" t="s">
        <v>1134</v>
      </c>
    </row>
    <row r="151" spans="2:16">
      <c r="B151" t="s">
        <v>1443</v>
      </c>
      <c r="D151" t="s">
        <v>1134</v>
      </c>
    </row>
    <row r="152" spans="2:16">
      <c r="B152" t="s">
        <v>1445</v>
      </c>
      <c r="D152" t="s">
        <v>1134</v>
      </c>
      <c r="F152">
        <v>61</v>
      </c>
      <c r="G152">
        <v>9</v>
      </c>
      <c r="H152">
        <v>0</v>
      </c>
      <c r="I152">
        <v>36</v>
      </c>
      <c r="J152">
        <v>75</v>
      </c>
      <c r="K152">
        <v>91</v>
      </c>
      <c r="L152">
        <v>83</v>
      </c>
      <c r="M152">
        <v>16</v>
      </c>
      <c r="N152">
        <v>16</v>
      </c>
      <c r="O152">
        <v>16</v>
      </c>
      <c r="P152">
        <v>16</v>
      </c>
    </row>
    <row r="153" spans="2:16">
      <c r="B153" t="s">
        <v>1447</v>
      </c>
      <c r="D153" t="s">
        <v>1134</v>
      </c>
      <c r="F153">
        <v>2.4120402428590002</v>
      </c>
      <c r="G153">
        <v>2.690312248528</v>
      </c>
      <c r="H153">
        <v>2.3669671733289999</v>
      </c>
      <c r="I153">
        <v>1.974536735412</v>
      </c>
      <c r="J153">
        <v>2.1277762342419999</v>
      </c>
      <c r="K153">
        <v>2.474915337159</v>
      </c>
      <c r="L153">
        <v>2.3880893715639999</v>
      </c>
      <c r="M153">
        <v>2.5162962783979999</v>
      </c>
      <c r="N153">
        <v>2.7048815008820002</v>
      </c>
      <c r="O153">
        <v>2.8304959095019999</v>
      </c>
      <c r="P153">
        <v>2.9021076592139998</v>
      </c>
    </row>
    <row r="154" spans="2:16">
      <c r="B154" t="s">
        <v>1449</v>
      </c>
      <c r="D154" t="s">
        <v>1134</v>
      </c>
      <c r="F154">
        <v>2.5550345559449998</v>
      </c>
      <c r="G154">
        <v>2.6298214666509998</v>
      </c>
      <c r="H154">
        <v>2.5517917989979999</v>
      </c>
      <c r="I154">
        <v>1.2065758383189999</v>
      </c>
      <c r="J154">
        <v>1.864223179675</v>
      </c>
      <c r="K154">
        <v>2.2657549187480002</v>
      </c>
      <c r="L154">
        <v>1.7088919927949999</v>
      </c>
      <c r="M154">
        <v>2.3095682621539999</v>
      </c>
      <c r="N154">
        <v>2.7048815008820002</v>
      </c>
      <c r="O154">
        <v>2.8304959095019999</v>
      </c>
      <c r="P154">
        <v>2.9021076592139998</v>
      </c>
    </row>
    <row r="155" spans="2:16">
      <c r="B155" t="s">
        <v>1451</v>
      </c>
      <c r="D155" t="s">
        <v>1134</v>
      </c>
      <c r="F155">
        <v>0.85029940119799996</v>
      </c>
      <c r="G155">
        <v>0.95219780219799999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</row>
    <row r="156" spans="2:16">
      <c r="B156" t="s">
        <v>1453</v>
      </c>
      <c r="D156" t="s">
        <v>1134</v>
      </c>
      <c r="F156">
        <v>0.3</v>
      </c>
      <c r="G156">
        <v>0.3</v>
      </c>
      <c r="H156">
        <v>0.3</v>
      </c>
      <c r="I156">
        <v>0.3</v>
      </c>
      <c r="J156">
        <v>0.3</v>
      </c>
      <c r="K156">
        <v>0.3</v>
      </c>
      <c r="L156">
        <v>0.3</v>
      </c>
      <c r="M156">
        <v>0.3</v>
      </c>
      <c r="N156">
        <v>0.3</v>
      </c>
      <c r="O156">
        <v>0.3</v>
      </c>
      <c r="P156">
        <v>0.3</v>
      </c>
    </row>
    <row r="157" spans="2:16">
      <c r="B157" t="s">
        <v>1455</v>
      </c>
      <c r="D157" t="s">
        <v>1134</v>
      </c>
      <c r="E157">
        <v>0.99</v>
      </c>
    </row>
    <row r="158" spans="2:16">
      <c r="B158" t="s">
        <v>1457</v>
      </c>
      <c r="D158" t="s">
        <v>1134</v>
      </c>
      <c r="E158" s="150">
        <v>41772</v>
      </c>
    </row>
    <row r="159" spans="2:16">
      <c r="B159" t="s">
        <v>1459</v>
      </c>
      <c r="D159" t="s">
        <v>1134</v>
      </c>
      <c r="E159">
        <v>1</v>
      </c>
    </row>
    <row r="160" spans="2:16">
      <c r="B160" t="s">
        <v>1461</v>
      </c>
      <c r="D160" t="s">
        <v>1134</v>
      </c>
      <c r="E160">
        <v>0.3</v>
      </c>
    </row>
    <row r="161" spans="2:16">
      <c r="B161" t="s">
        <v>1463</v>
      </c>
      <c r="D161" t="s">
        <v>1134</v>
      </c>
      <c r="E161" s="150">
        <v>0.96</v>
      </c>
    </row>
    <row r="162" spans="2:16">
      <c r="B162" t="s">
        <v>1465</v>
      </c>
      <c r="D162" t="s">
        <v>1134</v>
      </c>
      <c r="E162" s="150">
        <v>41586</v>
      </c>
    </row>
    <row r="163" spans="2:16">
      <c r="B163" t="s">
        <v>1467</v>
      </c>
      <c r="D163" t="s">
        <v>1134</v>
      </c>
      <c r="E163">
        <v>1</v>
      </c>
    </row>
    <row r="164" spans="2:16">
      <c r="B164" t="s">
        <v>1469</v>
      </c>
      <c r="D164" t="s">
        <v>1134</v>
      </c>
      <c r="E164">
        <v>0.3</v>
      </c>
    </row>
    <row r="165" spans="2:16">
      <c r="B165" t="s">
        <v>1471</v>
      </c>
      <c r="D165" t="s">
        <v>1134</v>
      </c>
      <c r="E165" s="150"/>
      <c r="F165">
        <v>1.67</v>
      </c>
      <c r="G165">
        <v>1.82</v>
      </c>
      <c r="H165">
        <v>1.94</v>
      </c>
      <c r="I165">
        <v>1.46</v>
      </c>
      <c r="J165">
        <v>1.52</v>
      </c>
      <c r="K165">
        <v>1.72</v>
      </c>
      <c r="L165">
        <v>1.8</v>
      </c>
      <c r="M165">
        <v>1.89</v>
      </c>
      <c r="N165">
        <v>2.0099999999999998</v>
      </c>
      <c r="O165">
        <v>2.1</v>
      </c>
      <c r="P165">
        <v>2.1800000000000002</v>
      </c>
    </row>
    <row r="166" spans="2:16">
      <c r="B166" t="s">
        <v>1473</v>
      </c>
      <c r="D166" t="s">
        <v>1134</v>
      </c>
      <c r="F166">
        <v>4.1697147036999997E-2</v>
      </c>
      <c r="G166">
        <v>0.111688311688</v>
      </c>
      <c r="H166">
        <v>0.41017964071899998</v>
      </c>
      <c r="I166">
        <v>0.29960835509099998</v>
      </c>
      <c r="J166">
        <v>0.349759615385</v>
      </c>
      <c r="K166">
        <v>0.41300980898299999</v>
      </c>
      <c r="L166">
        <v>0.20029027576200001</v>
      </c>
      <c r="M166">
        <v>9.6421438824999997E-2</v>
      </c>
      <c r="N166">
        <v>0.10211616961800001</v>
      </c>
      <c r="O166">
        <v>9.8461538461999995E-2</v>
      </c>
      <c r="P166">
        <v>0.101994464869</v>
      </c>
    </row>
    <row r="167" spans="2:16">
      <c r="B167" t="s">
        <v>1475</v>
      </c>
      <c r="D167" t="s">
        <v>1134</v>
      </c>
    </row>
    <row r="168" spans="2:16">
      <c r="B168" t="s">
        <v>1477</v>
      </c>
      <c r="D168" t="s">
        <v>1134</v>
      </c>
      <c r="F168">
        <v>34.673000000000002</v>
      </c>
      <c r="G168">
        <v>0.28599999999999998</v>
      </c>
      <c r="H168">
        <v>0</v>
      </c>
      <c r="I168">
        <v>25.131</v>
      </c>
      <c r="J168">
        <v>42.561</v>
      </c>
      <c r="K168">
        <v>47.518999999999998</v>
      </c>
      <c r="L168">
        <v>42.755000000000003</v>
      </c>
      <c r="M168">
        <v>10.407</v>
      </c>
      <c r="N168">
        <v>10.407</v>
      </c>
      <c r="O168">
        <v>10.407</v>
      </c>
      <c r="P168">
        <v>10.407</v>
      </c>
    </row>
    <row r="169" spans="2:16">
      <c r="B169" t="s">
        <v>1479</v>
      </c>
      <c r="D169" t="s">
        <v>1134</v>
      </c>
    </row>
    <row r="170" spans="2:16">
      <c r="B170" t="s">
        <v>1481</v>
      </c>
      <c r="D170" t="s">
        <v>1134</v>
      </c>
    </row>
    <row r="171" spans="2:16">
      <c r="B171" t="s">
        <v>1483</v>
      </c>
      <c r="D171" t="s">
        <v>1134</v>
      </c>
      <c r="F171">
        <v>5.7649999999999997</v>
      </c>
      <c r="G171">
        <v>3.4289999999999998</v>
      </c>
      <c r="H171">
        <v>6.8659999999999997</v>
      </c>
      <c r="I171">
        <v>5.2709999999999999</v>
      </c>
      <c r="J171">
        <v>10.250999999999999</v>
      </c>
      <c r="K171">
        <v>10.221</v>
      </c>
      <c r="L171">
        <v>10.722099999999999</v>
      </c>
      <c r="M171">
        <v>10.722099999999999</v>
      </c>
      <c r="N171">
        <v>10.722099999999999</v>
      </c>
      <c r="O171">
        <v>10.722099999999999</v>
      </c>
      <c r="P171">
        <v>10.722099999999999</v>
      </c>
    </row>
    <row r="172" spans="2:16">
      <c r="B172" t="s">
        <v>1485</v>
      </c>
      <c r="D172" t="s">
        <v>1134</v>
      </c>
    </row>
    <row r="173" spans="2:16">
      <c r="B173" t="s">
        <v>1487</v>
      </c>
      <c r="D173" t="s">
        <v>1134</v>
      </c>
      <c r="F173">
        <v>1609.8979999999999</v>
      </c>
      <c r="G173">
        <v>1621.066</v>
      </c>
      <c r="H173">
        <v>1717.627</v>
      </c>
      <c r="I173">
        <v>2095.5949999999998</v>
      </c>
      <c r="J173">
        <v>2133.3409999999999</v>
      </c>
      <c r="K173">
        <v>2201.1889999999999</v>
      </c>
      <c r="L173">
        <v>2297.2469999999998</v>
      </c>
      <c r="M173">
        <v>2367.4267141402001</v>
      </c>
      <c r="N173">
        <v>2391.3192839776898</v>
      </c>
      <c r="O173">
        <v>2413.91515952499</v>
      </c>
      <c r="P173">
        <v>2435.02627442211</v>
      </c>
    </row>
    <row r="174" spans="2:16">
      <c r="B174" t="s">
        <v>1489</v>
      </c>
      <c r="D174" t="s">
        <v>1134</v>
      </c>
      <c r="F174">
        <v>1643.422</v>
      </c>
      <c r="G174">
        <v>1636.6130000000001</v>
      </c>
      <c r="H174">
        <v>1650.213</v>
      </c>
      <c r="I174">
        <v>1949.318</v>
      </c>
      <c r="J174">
        <v>2170.3409999999999</v>
      </c>
      <c r="K174">
        <v>2227.9549999999999</v>
      </c>
      <c r="L174">
        <v>2293.884</v>
      </c>
      <c r="M174">
        <v>2365.426848686539</v>
      </c>
      <c r="N174">
        <v>2401.8676376210601</v>
      </c>
      <c r="O174">
        <v>2425.7197886389399</v>
      </c>
      <c r="P174">
        <v>2448.22686580354</v>
      </c>
    </row>
    <row r="175" spans="2:16">
      <c r="B175" t="s">
        <v>1491</v>
      </c>
      <c r="D175" t="s">
        <v>1134</v>
      </c>
      <c r="F175">
        <v>1622.8779999999999</v>
      </c>
      <c r="G175">
        <v>1625.0337</v>
      </c>
      <c r="H175">
        <v>1724.6827000000001</v>
      </c>
      <c r="I175">
        <v>2126.1210000000001</v>
      </c>
      <c r="J175">
        <v>2186.2779999999998</v>
      </c>
      <c r="K175">
        <v>2259.0540000000001</v>
      </c>
      <c r="L175">
        <v>2350.8490999999999</v>
      </c>
      <c r="M175">
        <v>2421.0288141402002</v>
      </c>
      <c r="N175">
        <v>2444.9213839776899</v>
      </c>
      <c r="O175">
        <v>2467.5172595249901</v>
      </c>
      <c r="P175">
        <v>2488.62837442211</v>
      </c>
    </row>
    <row r="176" spans="2:16">
      <c r="B176" t="s">
        <v>1493</v>
      </c>
      <c r="D176" t="s">
        <v>1134</v>
      </c>
      <c r="F176">
        <v>1643.422</v>
      </c>
      <c r="G176">
        <v>1636.6130000000001</v>
      </c>
      <c r="H176">
        <v>1650.213</v>
      </c>
      <c r="I176">
        <v>1949.318</v>
      </c>
      <c r="J176">
        <v>2170.3409999999999</v>
      </c>
      <c r="K176">
        <v>2227.9549999999999</v>
      </c>
      <c r="L176">
        <v>2293.884</v>
      </c>
      <c r="M176">
        <v>2365.426848686539</v>
      </c>
      <c r="N176">
        <v>2401.8676376210601</v>
      </c>
      <c r="O176">
        <v>2425.7197886389399</v>
      </c>
      <c r="P176">
        <v>2448.22686580354</v>
      </c>
    </row>
    <row r="177" spans="2:16">
      <c r="B177" t="s">
        <v>1495</v>
      </c>
      <c r="D177" t="s">
        <v>1134</v>
      </c>
      <c r="F177">
        <v>318323</v>
      </c>
      <c r="G177">
        <v>355266</v>
      </c>
      <c r="H177">
        <v>343511</v>
      </c>
      <c r="I177">
        <v>342522</v>
      </c>
      <c r="J177">
        <v>344658</v>
      </c>
      <c r="K177">
        <v>341069</v>
      </c>
      <c r="L177">
        <v>331336</v>
      </c>
      <c r="M177">
        <v>355391.84457149298</v>
      </c>
      <c r="N177">
        <v>371816.40724302502</v>
      </c>
      <c r="O177">
        <v>386070.75372856593</v>
      </c>
      <c r="P177">
        <v>408155.46627262601</v>
      </c>
    </row>
    <row r="178" spans="2:16">
      <c r="B178" t="s">
        <v>1498</v>
      </c>
      <c r="D178" t="s">
        <v>1134</v>
      </c>
      <c r="F178">
        <v>61</v>
      </c>
      <c r="G178">
        <v>9</v>
      </c>
      <c r="H178">
        <v>0</v>
      </c>
      <c r="I178">
        <v>36</v>
      </c>
      <c r="J178">
        <v>75</v>
      </c>
      <c r="K178">
        <v>91</v>
      </c>
      <c r="L178">
        <v>83</v>
      </c>
      <c r="M178">
        <v>16</v>
      </c>
      <c r="N178">
        <v>16</v>
      </c>
      <c r="O178">
        <v>16</v>
      </c>
      <c r="P178">
        <v>16</v>
      </c>
    </row>
    <row r="179" spans="2:16">
      <c r="B179" t="s">
        <v>1500</v>
      </c>
      <c r="D179" t="s">
        <v>1134</v>
      </c>
      <c r="F179">
        <v>2.4120402428590002</v>
      </c>
      <c r="G179">
        <v>2.690312248528</v>
      </c>
      <c r="H179">
        <v>2.3669671733289999</v>
      </c>
      <c r="I179">
        <v>1.974536735412</v>
      </c>
      <c r="J179">
        <v>2.1277762342419999</v>
      </c>
      <c r="K179">
        <v>2.474915337159</v>
      </c>
      <c r="L179">
        <v>2.3880893715639999</v>
      </c>
      <c r="M179">
        <v>2.5162962783979999</v>
      </c>
      <c r="N179">
        <v>2.7048815008820002</v>
      </c>
      <c r="O179">
        <v>2.8304959095019999</v>
      </c>
      <c r="P179">
        <v>2.9021076592139998</v>
      </c>
    </row>
    <row r="180" spans="2:16">
      <c r="B180" t="s">
        <v>1502</v>
      </c>
      <c r="D180" t="s">
        <v>1134</v>
      </c>
      <c r="F180">
        <v>3903</v>
      </c>
      <c r="G180">
        <v>4394</v>
      </c>
      <c r="H180">
        <v>3906</v>
      </c>
      <c r="I180">
        <v>3813</v>
      </c>
      <c r="J180">
        <v>4543</v>
      </c>
      <c r="K180">
        <v>5423</v>
      </c>
      <c r="L180">
        <v>5395</v>
      </c>
      <c r="M180">
        <v>5936.1147761723396</v>
      </c>
      <c r="N180">
        <v>6480.7673405691203</v>
      </c>
      <c r="O180">
        <v>6849.9899393401402</v>
      </c>
      <c r="P180">
        <v>7089.0179387430799</v>
      </c>
    </row>
    <row r="181" spans="2:16">
      <c r="B181" t="s">
        <v>1504</v>
      </c>
      <c r="D181" t="s">
        <v>1134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</row>
    <row r="182" spans="2:16">
      <c r="B182" t="s">
        <v>1506</v>
      </c>
      <c r="D182" t="s">
        <v>1134</v>
      </c>
      <c r="F182">
        <v>0.279862390957</v>
      </c>
      <c r="G182">
        <v>0.27134940241700001</v>
      </c>
      <c r="H182">
        <v>0.249067992189</v>
      </c>
      <c r="I182">
        <v>0.26353734840499998</v>
      </c>
      <c r="J182">
        <v>0.27319754983700001</v>
      </c>
      <c r="K182">
        <v>0.27482418103</v>
      </c>
      <c r="L182">
        <v>0.28005178040700002</v>
      </c>
      <c r="M182">
        <v>0.279770444763</v>
      </c>
      <c r="N182">
        <v>0.279770444763</v>
      </c>
      <c r="O182">
        <v>0.279770444763</v>
      </c>
      <c r="P182">
        <v>0.279770444763</v>
      </c>
    </row>
    <row r="183" spans="2:16">
      <c r="B183" t="s">
        <v>1508</v>
      </c>
      <c r="D183" t="s">
        <v>1134</v>
      </c>
    </row>
    <row r="184" spans="2:16">
      <c r="B184" t="s">
        <v>1511</v>
      </c>
      <c r="D184" t="s">
        <v>1134</v>
      </c>
      <c r="F184">
        <v>12768</v>
      </c>
      <c r="G184">
        <v>12796</v>
      </c>
      <c r="H184">
        <v>18209</v>
      </c>
      <c r="I184">
        <v>25834</v>
      </c>
      <c r="J184">
        <v>26072</v>
      </c>
      <c r="K184">
        <v>27093</v>
      </c>
      <c r="L184">
        <v>19464</v>
      </c>
      <c r="M184">
        <v>30961.546432853498</v>
      </c>
      <c r="N184">
        <v>32884.980891270301</v>
      </c>
      <c r="O184">
        <v>34526.502782995594</v>
      </c>
      <c r="P184">
        <v>36440.878786833302</v>
      </c>
    </row>
    <row r="185" spans="2:16">
      <c r="B185" t="s">
        <v>1513</v>
      </c>
      <c r="D185" t="s">
        <v>1134</v>
      </c>
      <c r="F185">
        <v>24372</v>
      </c>
      <c r="G185">
        <v>25144</v>
      </c>
      <c r="H185">
        <v>46996</v>
      </c>
      <c r="I185">
        <v>33265</v>
      </c>
      <c r="J185">
        <v>37679</v>
      </c>
      <c r="K185">
        <v>47106</v>
      </c>
      <c r="L185">
        <v>47410</v>
      </c>
      <c r="M185">
        <v>43177.638832248194</v>
      </c>
      <c r="N185">
        <v>45859.977666425395</v>
      </c>
      <c r="O185">
        <v>48149.173379884196</v>
      </c>
      <c r="P185">
        <v>50818.879683543302</v>
      </c>
    </row>
    <row r="186" spans="2:16">
      <c r="B186" t="s">
        <v>1515</v>
      </c>
      <c r="D186" t="s">
        <v>1134</v>
      </c>
      <c r="F186">
        <v>300550</v>
      </c>
      <c r="G186">
        <v>337448</v>
      </c>
      <c r="H186">
        <v>378807</v>
      </c>
      <c r="I186">
        <v>374341</v>
      </c>
      <c r="J186">
        <v>391535</v>
      </c>
      <c r="K186">
        <v>432841</v>
      </c>
      <c r="L186">
        <v>457762</v>
      </c>
      <c r="M186">
        <v>475487.86276452098</v>
      </c>
      <c r="N186">
        <v>506332.45491578599</v>
      </c>
      <c r="O186">
        <v>531022.08111827797</v>
      </c>
      <c r="P186">
        <v>560276.63745740789</v>
      </c>
    </row>
    <row r="187" spans="2:16">
      <c r="B187" t="s">
        <v>1517</v>
      </c>
      <c r="D187" t="s">
        <v>1134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</row>
    <row r="188" spans="2:16">
      <c r="B188" t="s">
        <v>1519</v>
      </c>
      <c r="D188" t="s">
        <v>1134</v>
      </c>
      <c r="F188">
        <v>34965</v>
      </c>
      <c r="G188">
        <v>45018</v>
      </c>
      <c r="H188">
        <v>49757</v>
      </c>
      <c r="I188">
        <v>58889</v>
      </c>
      <c r="J188">
        <v>75308</v>
      </c>
      <c r="K188">
        <v>102142</v>
      </c>
      <c r="L188">
        <v>119709</v>
      </c>
      <c r="M188">
        <v>129090.02149134899</v>
      </c>
      <c r="N188">
        <v>137109.523879988</v>
      </c>
      <c r="O188">
        <v>143953.62957544799</v>
      </c>
      <c r="P188">
        <v>151935.36395082501</v>
      </c>
    </row>
    <row r="189" spans="2:16">
      <c r="B189" t="s">
        <v>1520</v>
      </c>
      <c r="D189" t="s">
        <v>1134</v>
      </c>
      <c r="F189">
        <v>359887</v>
      </c>
      <c r="G189">
        <v>407610</v>
      </c>
      <c r="H189">
        <v>475560</v>
      </c>
      <c r="I189">
        <v>466495</v>
      </c>
      <c r="J189">
        <v>504522</v>
      </c>
      <c r="K189">
        <v>582089</v>
      </c>
      <c r="L189">
        <v>624881</v>
      </c>
      <c r="M189">
        <v>647755.52308811899</v>
      </c>
      <c r="N189">
        <v>689301.95646220003</v>
      </c>
      <c r="O189">
        <v>723124.88407361088</v>
      </c>
      <c r="P189">
        <v>763030.88109177689</v>
      </c>
    </row>
    <row r="190" spans="2:16">
      <c r="B190" t="s">
        <v>1523</v>
      </c>
      <c r="D190" t="s">
        <v>1134</v>
      </c>
      <c r="F190">
        <v>1877</v>
      </c>
      <c r="G190">
        <v>1958</v>
      </c>
      <c r="H190">
        <v>1661</v>
      </c>
      <c r="I190">
        <v>1716</v>
      </c>
      <c r="J190">
        <v>1778</v>
      </c>
      <c r="K190">
        <v>1919</v>
      </c>
      <c r="L190">
        <v>1901</v>
      </c>
      <c r="M190">
        <v>1960.65816773596</v>
      </c>
      <c r="N190">
        <v>2082.4607879370701</v>
      </c>
      <c r="O190">
        <v>2186.4111287738401</v>
      </c>
      <c r="P190">
        <v>2307.64011700225</v>
      </c>
    </row>
    <row r="191" spans="2:16">
      <c r="B191" t="s">
        <v>1525</v>
      </c>
      <c r="D191" t="s">
        <v>1134</v>
      </c>
      <c r="F191">
        <v>4506</v>
      </c>
      <c r="G191">
        <v>4501</v>
      </c>
      <c r="H191">
        <v>5372</v>
      </c>
      <c r="I191">
        <v>5309</v>
      </c>
      <c r="J191">
        <v>6079</v>
      </c>
      <c r="K191">
        <v>6010</v>
      </c>
      <c r="L191">
        <v>5634</v>
      </c>
      <c r="M191">
        <v>5600</v>
      </c>
      <c r="N191">
        <v>5600</v>
      </c>
      <c r="O191">
        <v>5600</v>
      </c>
      <c r="P191">
        <v>5600</v>
      </c>
    </row>
    <row r="192" spans="2:16">
      <c r="B192" t="s">
        <v>1527</v>
      </c>
      <c r="D192" t="s">
        <v>1134</v>
      </c>
    </row>
    <row r="193" spans="2:16">
      <c r="B193" t="s">
        <v>1529</v>
      </c>
      <c r="D193" t="s">
        <v>1134</v>
      </c>
      <c r="F193">
        <v>4506</v>
      </c>
      <c r="G193">
        <v>4501</v>
      </c>
      <c r="H193">
        <v>5372</v>
      </c>
      <c r="I193">
        <v>5309</v>
      </c>
      <c r="J193">
        <v>6079</v>
      </c>
      <c r="K193">
        <v>6010</v>
      </c>
      <c r="L193">
        <v>5634</v>
      </c>
      <c r="M193">
        <v>5600</v>
      </c>
      <c r="N193">
        <v>5600</v>
      </c>
      <c r="O193">
        <v>5600</v>
      </c>
      <c r="P193">
        <v>5600</v>
      </c>
    </row>
    <row r="194" spans="2:16">
      <c r="B194" t="s">
        <v>1532</v>
      </c>
      <c r="D194" t="s">
        <v>1134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</row>
    <row r="195" spans="2:16">
      <c r="B195" t="s">
        <v>1534</v>
      </c>
      <c r="D195" t="s">
        <v>1134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</row>
    <row r="196" spans="2:16">
      <c r="B196" t="s">
        <v>1536</v>
      </c>
      <c r="D196" t="s">
        <v>1134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2:16">
      <c r="B197" t="s">
        <v>1538</v>
      </c>
      <c r="D197" t="s">
        <v>1134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</row>
    <row r="198" spans="2:16">
      <c r="B198" t="s">
        <v>1540</v>
      </c>
      <c r="D198" t="s">
        <v>1134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</row>
    <row r="199" spans="2:16">
      <c r="B199" t="s">
        <v>1542</v>
      </c>
      <c r="D199" t="s">
        <v>1134</v>
      </c>
      <c r="F199">
        <v>105747</v>
      </c>
      <c r="G199">
        <v>147355</v>
      </c>
      <c r="H199">
        <v>155997</v>
      </c>
      <c r="I199">
        <v>154766</v>
      </c>
      <c r="J199">
        <v>147501</v>
      </c>
      <c r="K199">
        <v>136646</v>
      </c>
      <c r="L199">
        <v>111210</v>
      </c>
      <c r="M199">
        <v>97157.294917627281</v>
      </c>
      <c r="N199">
        <v>102235.21923725599</v>
      </c>
      <c r="O199">
        <v>108203.043791559</v>
      </c>
      <c r="P199">
        <v>114701.826085004</v>
      </c>
    </row>
    <row r="200" spans="2:16">
      <c r="B200" t="s">
        <v>1543</v>
      </c>
      <c r="D200" t="s">
        <v>1134</v>
      </c>
      <c r="F200">
        <v>484785</v>
      </c>
      <c r="G200">
        <v>574220</v>
      </c>
      <c r="H200">
        <v>656799</v>
      </c>
      <c r="I200">
        <v>654120</v>
      </c>
      <c r="J200">
        <v>685952</v>
      </c>
      <c r="K200">
        <v>753757</v>
      </c>
      <c r="L200">
        <v>763090</v>
      </c>
      <c r="M200">
        <v>783435.02260633605</v>
      </c>
      <c r="N200">
        <v>832104.61737866385</v>
      </c>
      <c r="O200">
        <v>873640.84177693888</v>
      </c>
      <c r="P200">
        <v>922081.22608061589</v>
      </c>
    </row>
    <row r="201" spans="2:16">
      <c r="B201" t="s">
        <v>1545</v>
      </c>
      <c r="D201" t="s">
        <v>1134</v>
      </c>
      <c r="F201">
        <v>37489</v>
      </c>
      <c r="G201">
        <v>42566</v>
      </c>
      <c r="H201">
        <v>52423</v>
      </c>
      <c r="I201">
        <v>36148</v>
      </c>
      <c r="J201">
        <v>37612</v>
      </c>
      <c r="K201">
        <v>40162</v>
      </c>
      <c r="L201">
        <v>28691</v>
      </c>
      <c r="M201">
        <v>28885.8840515138</v>
      </c>
      <c r="N201">
        <v>30676.760200295299</v>
      </c>
      <c r="O201">
        <v>32219.308521351799</v>
      </c>
      <c r="P201">
        <v>34016.360656721299</v>
      </c>
    </row>
    <row r="202" spans="2:16">
      <c r="B202" t="s">
        <v>1547</v>
      </c>
      <c r="D202" t="s">
        <v>1134</v>
      </c>
      <c r="F202">
        <v>207745</v>
      </c>
      <c r="G202">
        <v>244822</v>
      </c>
      <c r="H202">
        <v>305881</v>
      </c>
      <c r="I202">
        <v>324871</v>
      </c>
      <c r="J202">
        <v>343341</v>
      </c>
      <c r="K202">
        <v>388634</v>
      </c>
      <c r="L202">
        <v>408426</v>
      </c>
      <c r="M202">
        <v>423602.55076235102</v>
      </c>
      <c r="N202">
        <v>453018.50055405701</v>
      </c>
      <c r="O202">
        <v>473713.98548580392</v>
      </c>
      <c r="P202">
        <v>500277.66754611902</v>
      </c>
    </row>
    <row r="203" spans="2:16">
      <c r="B203" t="s">
        <v>1549</v>
      </c>
      <c r="D203" t="s">
        <v>1134</v>
      </c>
      <c r="F203">
        <v>67280</v>
      </c>
      <c r="G203">
        <v>81909</v>
      </c>
      <c r="H203">
        <v>99861</v>
      </c>
      <c r="I203">
        <v>93419</v>
      </c>
      <c r="J203">
        <v>95705</v>
      </c>
      <c r="K203">
        <v>102262</v>
      </c>
      <c r="L203">
        <v>105155</v>
      </c>
      <c r="M203">
        <v>104494.35904363799</v>
      </c>
      <c r="N203">
        <v>107703.583544926</v>
      </c>
      <c r="O203">
        <v>115280.04289714199</v>
      </c>
      <c r="P203">
        <v>121562.65132506398</v>
      </c>
    </row>
    <row r="204" spans="2:16">
      <c r="B204" t="s">
        <v>1551</v>
      </c>
      <c r="D204" t="s">
        <v>1134</v>
      </c>
      <c r="F204">
        <v>14532</v>
      </c>
      <c r="G204">
        <v>18920</v>
      </c>
      <c r="H204">
        <v>21585</v>
      </c>
      <c r="I204">
        <v>11317</v>
      </c>
      <c r="J204">
        <v>9891</v>
      </c>
      <c r="K204">
        <v>14330</v>
      </c>
      <c r="L204">
        <v>11495</v>
      </c>
      <c r="M204">
        <v>15575.519941728799</v>
      </c>
      <c r="N204">
        <v>16657.120398952298</v>
      </c>
      <c r="O204">
        <v>17418.0764830884</v>
      </c>
      <c r="P204">
        <v>18394.801384559298</v>
      </c>
    </row>
    <row r="205" spans="2:16">
      <c r="B205" t="s">
        <v>1553</v>
      </c>
      <c r="D205" t="s">
        <v>1134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</row>
    <row r="206" spans="2:16">
      <c r="B206" t="s">
        <v>1555</v>
      </c>
      <c r="D206" t="s">
        <v>1134</v>
      </c>
      <c r="F206">
        <v>327046</v>
      </c>
      <c r="G206">
        <v>388217</v>
      </c>
      <c r="H206">
        <v>479750</v>
      </c>
      <c r="I206">
        <v>465755</v>
      </c>
      <c r="J206">
        <v>486549</v>
      </c>
      <c r="K206">
        <v>545388</v>
      </c>
      <c r="L206">
        <v>553767</v>
      </c>
      <c r="M206">
        <v>572558.31379923201</v>
      </c>
      <c r="N206">
        <v>608055.96469823096</v>
      </c>
      <c r="O206">
        <v>638631.41338738694</v>
      </c>
      <c r="P206">
        <v>674251.48091246397</v>
      </c>
    </row>
    <row r="207" spans="2:16">
      <c r="B207" t="s">
        <v>1558</v>
      </c>
      <c r="D207" t="s">
        <v>1134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</row>
    <row r="208" spans="2:16">
      <c r="B208" t="s">
        <v>1560</v>
      </c>
      <c r="D208" t="s">
        <v>1134</v>
      </c>
      <c r="F208">
        <v>1618</v>
      </c>
      <c r="G208">
        <v>1359</v>
      </c>
      <c r="H208">
        <v>1359</v>
      </c>
      <c r="I208">
        <v>1555</v>
      </c>
      <c r="J208">
        <v>1445</v>
      </c>
      <c r="K208">
        <v>1596</v>
      </c>
      <c r="L208">
        <v>1820</v>
      </c>
      <c r="M208">
        <v>1157.36601699574</v>
      </c>
      <c r="N208">
        <v>1229.12076030051</v>
      </c>
      <c r="O208">
        <v>1290.9257929310099</v>
      </c>
      <c r="P208">
        <v>1362.9279884856701</v>
      </c>
    </row>
    <row r="209" spans="2:16">
      <c r="B209" t="s">
        <v>1562</v>
      </c>
      <c r="D209" t="s">
        <v>1134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2:16">
      <c r="B210" t="s">
        <v>1564</v>
      </c>
      <c r="D210" t="s">
        <v>1134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2:16">
      <c r="B211" t="s">
        <v>1566</v>
      </c>
      <c r="D211" t="s">
        <v>1134</v>
      </c>
      <c r="F211">
        <v>128149</v>
      </c>
      <c r="G211">
        <v>154759</v>
      </c>
      <c r="H211">
        <v>142844</v>
      </c>
      <c r="I211">
        <v>148975</v>
      </c>
      <c r="J211">
        <v>159004</v>
      </c>
      <c r="K211">
        <v>164585</v>
      </c>
      <c r="L211">
        <v>163700</v>
      </c>
      <c r="M211">
        <v>163314.92252247699</v>
      </c>
      <c r="N211">
        <v>173440.17259147298</v>
      </c>
      <c r="O211">
        <v>182161.42755086001</v>
      </c>
      <c r="P211">
        <v>192321.59539385597</v>
      </c>
    </row>
    <row r="212" spans="2:16">
      <c r="B212" t="s">
        <v>1567</v>
      </c>
      <c r="D212" t="s">
        <v>1134</v>
      </c>
      <c r="F212">
        <v>456813</v>
      </c>
      <c r="G212">
        <v>544335</v>
      </c>
      <c r="H212">
        <v>623953</v>
      </c>
      <c r="I212">
        <v>616285</v>
      </c>
      <c r="J212">
        <v>646998</v>
      </c>
      <c r="K212">
        <v>711569</v>
      </c>
      <c r="L212">
        <v>719287</v>
      </c>
      <c r="M212">
        <v>737030.60233870498</v>
      </c>
      <c r="N212">
        <v>782725.25805000495</v>
      </c>
      <c r="O212">
        <v>822083.76673117792</v>
      </c>
      <c r="P212">
        <v>867936.004294805</v>
      </c>
    </row>
    <row r="213" spans="2:16">
      <c r="B213" t="s">
        <v>1570</v>
      </c>
      <c r="D213" t="s">
        <v>1134</v>
      </c>
      <c r="F213">
        <v>4331</v>
      </c>
      <c r="G213">
        <v>4331</v>
      </c>
      <c r="H213">
        <v>4711</v>
      </c>
      <c r="I213">
        <v>4914</v>
      </c>
      <c r="J213">
        <v>4914</v>
      </c>
      <c r="K213">
        <v>4914</v>
      </c>
      <c r="L213">
        <v>4914</v>
      </c>
      <c r="M213">
        <v>4534</v>
      </c>
      <c r="N213">
        <v>4534</v>
      </c>
      <c r="O213">
        <v>4534</v>
      </c>
      <c r="P213">
        <v>4534</v>
      </c>
    </row>
    <row r="214" spans="2:16">
      <c r="B214" t="s">
        <v>1572</v>
      </c>
      <c r="D214" t="s">
        <v>1134</v>
      </c>
      <c r="F214">
        <v>23473</v>
      </c>
      <c r="G214">
        <v>25240</v>
      </c>
      <c r="H214">
        <v>28079</v>
      </c>
      <c r="I214">
        <v>32901</v>
      </c>
      <c r="J214">
        <v>34026</v>
      </c>
      <c r="K214">
        <v>37254</v>
      </c>
      <c r="L214">
        <v>38842</v>
      </c>
      <c r="M214">
        <v>41820.420267630798</v>
      </c>
      <c r="N214">
        <v>44795.359328658698</v>
      </c>
      <c r="O214">
        <v>46973.075045761398</v>
      </c>
      <c r="P214">
        <v>49561.221785810303</v>
      </c>
    </row>
    <row r="215" spans="2:16">
      <c r="B215" t="s">
        <v>1573</v>
      </c>
      <c r="D215" t="s">
        <v>1134</v>
      </c>
    </row>
    <row r="216" spans="2:16">
      <c r="B216" t="s">
        <v>1574</v>
      </c>
      <c r="D216" t="s">
        <v>1134</v>
      </c>
      <c r="F216">
        <v>168</v>
      </c>
      <c r="G216">
        <v>314</v>
      </c>
      <c r="H216">
        <v>56</v>
      </c>
      <c r="I216">
        <v>20</v>
      </c>
      <c r="J216">
        <v>14</v>
      </c>
      <c r="K216">
        <v>20</v>
      </c>
      <c r="L216">
        <v>47</v>
      </c>
      <c r="M216">
        <v>50</v>
      </c>
      <c r="N216">
        <v>50</v>
      </c>
      <c r="O216">
        <v>50</v>
      </c>
      <c r="P216">
        <v>50</v>
      </c>
    </row>
    <row r="217" spans="2:16">
      <c r="B217" t="s">
        <v>1576</v>
      </c>
      <c r="D217" t="s">
        <v>1134</v>
      </c>
      <c r="F217">
        <v>27972</v>
      </c>
      <c r="G217">
        <v>29885</v>
      </c>
      <c r="H217">
        <v>32846</v>
      </c>
      <c r="I217">
        <v>37835</v>
      </c>
      <c r="J217">
        <v>38954</v>
      </c>
      <c r="K217">
        <v>42188</v>
      </c>
      <c r="L217">
        <v>43803</v>
      </c>
      <c r="M217">
        <v>46404.420267630798</v>
      </c>
      <c r="N217">
        <v>49379.359328658698</v>
      </c>
      <c r="O217">
        <v>51557.075045761398</v>
      </c>
      <c r="P217">
        <v>54145.221785810303</v>
      </c>
    </row>
    <row r="218" spans="2:16">
      <c r="B218" t="s">
        <v>1579</v>
      </c>
      <c r="D218" t="s">
        <v>1134</v>
      </c>
      <c r="F218">
        <v>484785</v>
      </c>
      <c r="G218">
        <v>574220</v>
      </c>
      <c r="H218">
        <v>656799</v>
      </c>
      <c r="I218">
        <v>654120</v>
      </c>
      <c r="J218">
        <v>685952</v>
      </c>
      <c r="K218">
        <v>753757</v>
      </c>
      <c r="L218">
        <v>763090</v>
      </c>
      <c r="M218">
        <v>783435.02260633605</v>
      </c>
      <c r="N218">
        <v>832104.61737866385</v>
      </c>
      <c r="O218">
        <v>873640.84177693888</v>
      </c>
      <c r="P218">
        <v>922081.22608061589</v>
      </c>
    </row>
    <row r="219" spans="2:16">
      <c r="B219" t="s">
        <v>1582</v>
      </c>
      <c r="D219" t="s">
        <v>1134</v>
      </c>
      <c r="F219">
        <v>14.580426834495</v>
      </c>
      <c r="G219">
        <v>15.57000146817</v>
      </c>
      <c r="H219">
        <v>16.347553921776999</v>
      </c>
      <c r="I219">
        <v>15.700075634844</v>
      </c>
      <c r="J219">
        <v>15.949630181017</v>
      </c>
      <c r="K219">
        <v>16.924489446386001</v>
      </c>
      <c r="L219">
        <v>16.908064304796</v>
      </c>
      <c r="M219">
        <v>17.664927077929999</v>
      </c>
      <c r="N219">
        <v>18.732487806540998</v>
      </c>
      <c r="O219">
        <v>19.459289967343</v>
      </c>
      <c r="P219">
        <v>20.353464891285999</v>
      </c>
    </row>
    <row r="220" spans="2:16">
      <c r="B220" t="s">
        <v>1585</v>
      </c>
      <c r="D220" t="s">
        <v>1134</v>
      </c>
      <c r="F220">
        <v>14.580426834495</v>
      </c>
      <c r="G220">
        <v>15.57000146817</v>
      </c>
      <c r="H220">
        <v>16.347553921776999</v>
      </c>
      <c r="I220">
        <v>15.700075634844</v>
      </c>
      <c r="J220">
        <v>15.949630181017</v>
      </c>
      <c r="K220">
        <v>16.924489446386001</v>
      </c>
      <c r="L220">
        <v>16.908064304796</v>
      </c>
      <c r="M220">
        <v>17.664927077929999</v>
      </c>
      <c r="N220">
        <v>18.732487806540998</v>
      </c>
      <c r="O220">
        <v>19.459289967343</v>
      </c>
      <c r="P220">
        <v>20.353464891285999</v>
      </c>
    </row>
    <row r="221" spans="2:16">
      <c r="B221" t="s">
        <v>1588</v>
      </c>
      <c r="D221" t="s">
        <v>1134</v>
      </c>
      <c r="F221">
        <v>11.781491746682001</v>
      </c>
      <c r="G221">
        <v>12.79343345675</v>
      </c>
      <c r="H221">
        <v>13.219983151173</v>
      </c>
      <c r="I221">
        <v>13.166666269007001</v>
      </c>
      <c r="J221">
        <v>13.100109171483</v>
      </c>
      <c r="K221">
        <v>14.194146890612</v>
      </c>
      <c r="L221">
        <v>14.455563550633</v>
      </c>
      <c r="M221">
        <v>15.299489547572</v>
      </c>
      <c r="N221">
        <v>16.390684251690999</v>
      </c>
      <c r="O221">
        <v>17.139407274737</v>
      </c>
      <c r="P221">
        <v>18.053695045341001</v>
      </c>
    </row>
    <row r="222" spans="2:16">
      <c r="B222" t="s">
        <v>1590</v>
      </c>
      <c r="D222" t="s">
        <v>1134</v>
      </c>
      <c r="E222">
        <v>14.735055446959</v>
      </c>
    </row>
    <row r="223" spans="2:16">
      <c r="B223" t="s">
        <v>1593</v>
      </c>
      <c r="D223" t="s">
        <v>1134</v>
      </c>
      <c r="F223">
        <v>318583.46575342497</v>
      </c>
      <c r="G223">
        <v>368631.97260273999</v>
      </c>
      <c r="H223">
        <v>413410</v>
      </c>
      <c r="I223">
        <v>440991.35890410998</v>
      </c>
      <c r="J223">
        <v>438262.44657534303</v>
      </c>
      <c r="K223">
        <v>459520</v>
      </c>
      <c r="L223">
        <v>487595</v>
      </c>
      <c r="M223">
        <v>503556.25340241694</v>
      </c>
      <c r="N223">
        <v>532796.21293624002</v>
      </c>
      <c r="O223">
        <v>561484.014622004</v>
      </c>
      <c r="P223">
        <v>590409.50590576092</v>
      </c>
    </row>
    <row r="224" spans="2:16">
      <c r="B224" t="s">
        <v>1595</v>
      </c>
      <c r="D224" t="s">
        <v>1134</v>
      </c>
      <c r="F224">
        <v>56655.534246575298</v>
      </c>
      <c r="G224">
        <v>59444.027397260201</v>
      </c>
      <c r="H224">
        <v>91476.5</v>
      </c>
      <c r="I224">
        <v>114733.14109588999</v>
      </c>
      <c r="J224">
        <v>102859.05342465699</v>
      </c>
      <c r="K224">
        <v>115139</v>
      </c>
      <c r="L224">
        <v>136137</v>
      </c>
      <c r="M224">
        <v>148930.69675985799</v>
      </c>
      <c r="N224">
        <v>158333.336157073</v>
      </c>
      <c r="O224">
        <v>167342.38012043099</v>
      </c>
      <c r="P224">
        <v>176078.26832772899</v>
      </c>
    </row>
    <row r="225" spans="2:16">
      <c r="B225" t="s">
        <v>1597</v>
      </c>
      <c r="D225" t="s">
        <v>1134</v>
      </c>
      <c r="F225">
        <v>375239</v>
      </c>
      <c r="G225">
        <v>428076</v>
      </c>
      <c r="H225">
        <v>504886.5</v>
      </c>
      <c r="I225">
        <v>555724.5</v>
      </c>
      <c r="J225">
        <v>541121.5</v>
      </c>
      <c r="K225">
        <v>574659</v>
      </c>
      <c r="L225">
        <v>623732</v>
      </c>
      <c r="M225">
        <v>652486.950162275</v>
      </c>
      <c r="N225">
        <v>691129.54909331398</v>
      </c>
      <c r="O225">
        <v>728826.39474243496</v>
      </c>
      <c r="P225">
        <v>766487.77423349</v>
      </c>
    </row>
    <row r="226" spans="2:16">
      <c r="B226" t="s">
        <v>1599</v>
      </c>
      <c r="D226" t="s">
        <v>1134</v>
      </c>
      <c r="F226">
        <v>452</v>
      </c>
      <c r="G226">
        <v>999</v>
      </c>
      <c r="H226">
        <v>1621.5</v>
      </c>
      <c r="I226">
        <v>3632.5</v>
      </c>
      <c r="J226">
        <v>5462.5</v>
      </c>
      <c r="K226">
        <v>5980</v>
      </c>
      <c r="L226">
        <v>6240</v>
      </c>
      <c r="M226">
        <v>6097.344189277389</v>
      </c>
      <c r="N226">
        <v>5696.7052901828092</v>
      </c>
      <c r="O226">
        <v>5519.6709869791403</v>
      </c>
      <c r="P226">
        <v>5688.9690759752202</v>
      </c>
    </row>
    <row r="227" spans="2:16">
      <c r="B227" t="s">
        <v>1601</v>
      </c>
      <c r="D227" t="s">
        <v>1134</v>
      </c>
      <c r="F227">
        <v>375691</v>
      </c>
      <c r="G227">
        <v>429075</v>
      </c>
      <c r="H227">
        <v>506508</v>
      </c>
      <c r="I227">
        <v>559357</v>
      </c>
      <c r="J227">
        <v>546584</v>
      </c>
      <c r="K227">
        <v>580639</v>
      </c>
      <c r="L227">
        <v>629972</v>
      </c>
      <c r="M227">
        <v>658584.29435155191</v>
      </c>
      <c r="N227">
        <v>696826.25438349589</v>
      </c>
      <c r="O227">
        <v>734346.06572941504</v>
      </c>
      <c r="P227">
        <v>772176.74330946489</v>
      </c>
    </row>
    <row r="228" spans="2:16">
      <c r="B228" t="s">
        <v>1603</v>
      </c>
      <c r="D228" t="s">
        <v>1134</v>
      </c>
      <c r="F228">
        <v>-2222</v>
      </c>
      <c r="G228">
        <v>-2064.5</v>
      </c>
      <c r="H228">
        <v>-2700.5</v>
      </c>
      <c r="I228">
        <v>-4199</v>
      </c>
      <c r="J228">
        <v>-5099</v>
      </c>
      <c r="K228">
        <v>-5019</v>
      </c>
      <c r="L228">
        <v>-5034.5</v>
      </c>
      <c r="M228">
        <v>-5088.7349537970194</v>
      </c>
      <c r="N228">
        <v>-5070.5825435789802</v>
      </c>
      <c r="O228">
        <v>-5145.3434954680197</v>
      </c>
      <c r="P228">
        <v>-5357.8117432039298</v>
      </c>
    </row>
    <row r="229" spans="2:16">
      <c r="B229" t="s">
        <v>1605</v>
      </c>
      <c r="D229" t="s">
        <v>1134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2:16">
      <c r="B230" t="s">
        <v>1607</v>
      </c>
      <c r="D230" t="s">
        <v>1134</v>
      </c>
      <c r="F230">
        <v>89931</v>
      </c>
      <c r="G230">
        <v>95336</v>
      </c>
      <c r="H230">
        <v>105215</v>
      </c>
      <c r="I230">
        <v>134437</v>
      </c>
      <c r="J230">
        <v>124572</v>
      </c>
      <c r="K230">
        <v>124995</v>
      </c>
      <c r="L230">
        <v>133514</v>
      </c>
      <c r="M230">
        <v>136124.37530767699</v>
      </c>
      <c r="N230">
        <v>143771.54212594699</v>
      </c>
      <c r="O230">
        <v>151352.057769109</v>
      </c>
      <c r="P230">
        <v>159192.785458767</v>
      </c>
    </row>
    <row r="231" spans="2:16">
      <c r="B231" t="s">
        <v>1609</v>
      </c>
      <c r="D231" t="s">
        <v>1134</v>
      </c>
      <c r="F231">
        <v>463600</v>
      </c>
      <c r="G231">
        <v>522304</v>
      </c>
      <c r="H231">
        <v>608429</v>
      </c>
      <c r="I231">
        <v>688690</v>
      </c>
      <c r="J231">
        <v>666062</v>
      </c>
      <c r="K231">
        <v>700690</v>
      </c>
      <c r="L231">
        <v>758361</v>
      </c>
      <c r="M231">
        <v>789656.19975163497</v>
      </c>
      <c r="N231">
        <v>835509.10132987902</v>
      </c>
      <c r="O231">
        <v>880496.13168715197</v>
      </c>
      <c r="P231">
        <v>925855.89709319698</v>
      </c>
    </row>
    <row r="232" spans="2:16">
      <c r="B232" t="s">
        <v>1611</v>
      </c>
      <c r="D232" t="s">
        <v>1134</v>
      </c>
      <c r="F232">
        <v>342849.75342465792</v>
      </c>
      <c r="G232">
        <v>388788.26575342496</v>
      </c>
      <c r="H232">
        <v>464978</v>
      </c>
      <c r="I232">
        <v>525567.15890410997</v>
      </c>
      <c r="J232">
        <v>497485.364383562</v>
      </c>
      <c r="K232">
        <v>518254.87123287702</v>
      </c>
      <c r="L232">
        <v>564595</v>
      </c>
      <c r="M232">
        <v>586183.99291770102</v>
      </c>
      <c r="N232">
        <v>620501.345820282</v>
      </c>
      <c r="O232">
        <v>654841.48039968801</v>
      </c>
      <c r="P232">
        <v>688887.42073893605</v>
      </c>
    </row>
    <row r="233" spans="2:16">
      <c r="B233" t="s">
        <v>1613</v>
      </c>
      <c r="D233" t="s">
        <v>1134</v>
      </c>
      <c r="F233">
        <v>11045.1835616438</v>
      </c>
      <c r="G233">
        <v>10765.002739726</v>
      </c>
      <c r="H233">
        <v>11885</v>
      </c>
      <c r="I233">
        <v>13278.695890410998</v>
      </c>
      <c r="J233">
        <v>15248.599999999999</v>
      </c>
      <c r="K233">
        <v>19230.123287671198</v>
      </c>
      <c r="L233">
        <v>22494.5</v>
      </c>
      <c r="M233">
        <v>25872.828645052901</v>
      </c>
      <c r="N233">
        <v>27195.971733226801</v>
      </c>
      <c r="O233">
        <v>28534.397323373498</v>
      </c>
      <c r="P233">
        <v>29993.002515078701</v>
      </c>
    </row>
    <row r="234" spans="2:16">
      <c r="B234" t="s">
        <v>1615</v>
      </c>
      <c r="D234" t="s">
        <v>1134</v>
      </c>
      <c r="F234">
        <v>83689.063013698586</v>
      </c>
      <c r="G234">
        <v>93668.731506849304</v>
      </c>
      <c r="H234">
        <v>100463</v>
      </c>
      <c r="I234">
        <v>113350.145205479</v>
      </c>
      <c r="J234">
        <v>114771.03561643799</v>
      </c>
      <c r="K234">
        <v>123371.005479452</v>
      </c>
      <c r="L234">
        <v>128927.5</v>
      </c>
      <c r="M234">
        <v>132727.610949122</v>
      </c>
      <c r="N234">
        <v>139515.334991454</v>
      </c>
      <c r="O234">
        <v>146381.45826890596</v>
      </c>
      <c r="P234">
        <v>153864.102902354</v>
      </c>
    </row>
    <row r="235" spans="2:16">
      <c r="B235" t="s">
        <v>1617</v>
      </c>
      <c r="D235" t="s">
        <v>1134</v>
      </c>
      <c r="F235">
        <v>4132.5</v>
      </c>
      <c r="G235">
        <v>4331</v>
      </c>
      <c r="H235">
        <v>4521</v>
      </c>
      <c r="I235">
        <v>4812.5</v>
      </c>
      <c r="J235">
        <v>4914</v>
      </c>
      <c r="K235">
        <v>4914</v>
      </c>
      <c r="L235">
        <v>4914</v>
      </c>
      <c r="M235">
        <v>4724</v>
      </c>
      <c r="N235">
        <v>4534</v>
      </c>
      <c r="O235">
        <v>4534</v>
      </c>
      <c r="P235">
        <v>4534</v>
      </c>
    </row>
    <row r="236" spans="2:16">
      <c r="B236" t="s">
        <v>1619</v>
      </c>
      <c r="D236" t="s">
        <v>1134</v>
      </c>
      <c r="F236">
        <v>22019</v>
      </c>
      <c r="G236">
        <v>24443</v>
      </c>
      <c r="H236">
        <v>27450</v>
      </c>
      <c r="I236">
        <v>32634</v>
      </c>
      <c r="J236">
        <v>34669</v>
      </c>
      <c r="K236">
        <v>35945</v>
      </c>
      <c r="L236">
        <v>38263</v>
      </c>
      <c r="M236">
        <v>40628.060390444691</v>
      </c>
      <c r="N236">
        <v>43762.448784916902</v>
      </c>
      <c r="O236">
        <v>46204.795695183297</v>
      </c>
      <c r="P236">
        <v>48577.3709368282</v>
      </c>
    </row>
    <row r="237" spans="2:16">
      <c r="B237" t="s">
        <v>1621</v>
      </c>
      <c r="D237" t="s">
        <v>1134</v>
      </c>
      <c r="F237">
        <v>21796.0630136986</v>
      </c>
      <c r="G237">
        <v>29521.731506849301</v>
      </c>
      <c r="H237">
        <v>29645</v>
      </c>
      <c r="I237">
        <v>20511.145205479497</v>
      </c>
      <c r="J237">
        <v>33850.035616438399</v>
      </c>
      <c r="K237">
        <v>43154.005479452091</v>
      </c>
      <c r="L237">
        <v>42882.5</v>
      </c>
      <c r="M237">
        <v>46527.472788798092</v>
      </c>
      <c r="N237">
        <v>49128.936829987491</v>
      </c>
      <c r="O237">
        <v>50970.188006352495</v>
      </c>
      <c r="P237">
        <v>53296.3200554504</v>
      </c>
    </row>
    <row r="238" spans="2:16">
      <c r="B238" t="s">
        <v>1623</v>
      </c>
      <c r="D238" t="s">
        <v>1134</v>
      </c>
      <c r="F238">
        <v>304963</v>
      </c>
      <c r="G238">
        <v>341662</v>
      </c>
      <c r="H238">
        <v>384922</v>
      </c>
      <c r="I238">
        <v>381535</v>
      </c>
      <c r="J238">
        <v>398303</v>
      </c>
      <c r="K238">
        <v>439108</v>
      </c>
      <c r="L238">
        <v>463900</v>
      </c>
      <c r="M238">
        <v>481231.32288645703</v>
      </c>
      <c r="N238">
        <v>512082.042740473</v>
      </c>
      <c r="O238">
        <v>536855.79442278901</v>
      </c>
      <c r="P238">
        <v>566366.65103517601</v>
      </c>
    </row>
    <row r="239" spans="2:16">
      <c r="B239" t="s">
        <v>1625</v>
      </c>
      <c r="D239" t="s">
        <v>1134</v>
      </c>
      <c r="F239">
        <v>184</v>
      </c>
      <c r="G239">
        <v>307</v>
      </c>
      <c r="H239">
        <v>645</v>
      </c>
      <c r="I239">
        <v>1453</v>
      </c>
      <c r="J239">
        <v>1409</v>
      </c>
      <c r="K239">
        <v>1475</v>
      </c>
      <c r="L239">
        <v>1875</v>
      </c>
      <c r="M239">
        <v>1845.51718523668</v>
      </c>
      <c r="N239">
        <v>1739.1831376438899</v>
      </c>
      <c r="O239">
        <v>1734.1168421385801</v>
      </c>
      <c r="P239">
        <v>1845.71540206226</v>
      </c>
    </row>
    <row r="240" spans="2:16">
      <c r="B240" t="s">
        <v>1627</v>
      </c>
      <c r="D240" t="s">
        <v>1134</v>
      </c>
      <c r="F240">
        <v>1838</v>
      </c>
      <c r="G240">
        <v>1800</v>
      </c>
      <c r="H240">
        <v>2318</v>
      </c>
      <c r="I240">
        <v>2948</v>
      </c>
      <c r="J240">
        <v>2865</v>
      </c>
      <c r="K240">
        <v>2505</v>
      </c>
      <c r="L240">
        <v>2346</v>
      </c>
      <c r="M240">
        <v>2316.9429366986701</v>
      </c>
      <c r="N240">
        <v>2429.40468704262</v>
      </c>
      <c r="O240">
        <v>2518.5964623728401</v>
      </c>
      <c r="P240">
        <v>2663.2981757048901</v>
      </c>
    </row>
    <row r="241" spans="2:16">
      <c r="B241" t="s">
        <v>1629</v>
      </c>
      <c r="D241" t="s">
        <v>1134</v>
      </c>
      <c r="F241">
        <v>2391</v>
      </c>
      <c r="G241">
        <v>2107</v>
      </c>
      <c r="H241">
        <v>3152</v>
      </c>
      <c r="I241">
        <v>2793</v>
      </c>
      <c r="J241">
        <v>2494</v>
      </c>
      <c r="K241">
        <v>2287</v>
      </c>
      <c r="L241">
        <v>1917</v>
      </c>
      <c r="M241">
        <v>1581</v>
      </c>
      <c r="N241">
        <v>1581</v>
      </c>
      <c r="O241">
        <v>1581</v>
      </c>
      <c r="P241">
        <v>1581</v>
      </c>
    </row>
    <row r="242" spans="2:16">
      <c r="B242" t="s">
        <v>1630</v>
      </c>
      <c r="D242" t="s">
        <v>1134</v>
      </c>
      <c r="F242">
        <v>41726</v>
      </c>
      <c r="G242">
        <v>49322</v>
      </c>
      <c r="H242">
        <v>53381</v>
      </c>
      <c r="I242">
        <v>55035</v>
      </c>
      <c r="J242">
        <v>49678</v>
      </c>
      <c r="K242">
        <v>43017</v>
      </c>
      <c r="L242">
        <v>36957</v>
      </c>
      <c r="M242">
        <v>33157.828925000002</v>
      </c>
      <c r="N242">
        <v>34262.677626826997</v>
      </c>
      <c r="O242">
        <v>36760.853572406391</v>
      </c>
      <c r="P242">
        <v>39055.0701012422</v>
      </c>
    </row>
    <row r="243" spans="2:16">
      <c r="B243" t="s">
        <v>1632</v>
      </c>
      <c r="D243" t="s">
        <v>1134</v>
      </c>
    </row>
    <row r="244" spans="2:16">
      <c r="B244" t="s">
        <v>1634</v>
      </c>
      <c r="D244" t="s">
        <v>1134</v>
      </c>
    </row>
    <row r="245" spans="2:16">
      <c r="B245" t="s">
        <v>1636</v>
      </c>
      <c r="D245" t="s">
        <v>1134</v>
      </c>
    </row>
    <row r="246" spans="2:16">
      <c r="B246" t="s">
        <v>1638</v>
      </c>
      <c r="D246" t="s">
        <v>1134</v>
      </c>
    </row>
    <row r="247" spans="2:16">
      <c r="B247" t="s">
        <v>1640</v>
      </c>
      <c r="D247" t="s">
        <v>1134</v>
      </c>
    </row>
    <row r="248" spans="2:16">
      <c r="B248" t="s">
        <v>1643</v>
      </c>
      <c r="D248" t="s">
        <v>1134</v>
      </c>
    </row>
    <row r="249" spans="2:16">
      <c r="B249" t="s">
        <v>1645</v>
      </c>
      <c r="D249" t="s">
        <v>1134</v>
      </c>
    </row>
    <row r="250" spans="2:16">
      <c r="B250" t="s">
        <v>1646</v>
      </c>
      <c r="D250" t="s">
        <v>1134</v>
      </c>
      <c r="F250">
        <v>32114</v>
      </c>
      <c r="G250">
        <v>30443</v>
      </c>
      <c r="H250">
        <v>16075</v>
      </c>
      <c r="I250">
        <v>16891</v>
      </c>
      <c r="J250">
        <v>12549</v>
      </c>
      <c r="K250">
        <v>10633</v>
      </c>
      <c r="L250">
        <v>7801</v>
      </c>
      <c r="M250">
        <v>6273</v>
      </c>
      <c r="N250">
        <v>6273</v>
      </c>
      <c r="O250">
        <v>6273</v>
      </c>
      <c r="P250">
        <v>6273</v>
      </c>
    </row>
    <row r="251" spans="2:16">
      <c r="B251" t="s">
        <v>1648</v>
      </c>
      <c r="D251" t="s">
        <v>1134</v>
      </c>
    </row>
    <row r="252" spans="2:16">
      <c r="B252" t="s">
        <v>1650</v>
      </c>
      <c r="D252" t="s">
        <v>1134</v>
      </c>
    </row>
    <row r="253" spans="2:16">
      <c r="B253" t="s">
        <v>1652</v>
      </c>
      <c r="D253" t="s">
        <v>1134</v>
      </c>
    </row>
    <row r="254" spans="2:16">
      <c r="B254" t="s">
        <v>1654</v>
      </c>
      <c r="D254" t="s">
        <v>1134</v>
      </c>
    </row>
    <row r="255" spans="2:16">
      <c r="B255" t="s">
        <v>1656</v>
      </c>
      <c r="D255" t="s">
        <v>1134</v>
      </c>
      <c r="F255">
        <v>7948</v>
      </c>
      <c r="G255">
        <v>8110</v>
      </c>
      <c r="H255">
        <v>10020</v>
      </c>
      <c r="I255">
        <v>17867</v>
      </c>
      <c r="J255">
        <v>18637</v>
      </c>
      <c r="K255">
        <v>20360</v>
      </c>
      <c r="L255">
        <v>22459</v>
      </c>
      <c r="M255">
        <v>24109.706673999997</v>
      </c>
      <c r="N255">
        <v>24578.457163399798</v>
      </c>
      <c r="O255">
        <v>25075.851574467099</v>
      </c>
      <c r="P255">
        <v>25597.257248924499</v>
      </c>
    </row>
    <row r="256" spans="2:16">
      <c r="B256" t="s">
        <v>1658</v>
      </c>
      <c r="D256" t="s">
        <v>1134</v>
      </c>
      <c r="F256">
        <v>1064</v>
      </c>
      <c r="G256">
        <v>1071</v>
      </c>
      <c r="H256">
        <v>549</v>
      </c>
      <c r="I256">
        <v>-976</v>
      </c>
      <c r="J256">
        <v>-639</v>
      </c>
      <c r="K256">
        <v>-773</v>
      </c>
      <c r="L256">
        <v>-2319</v>
      </c>
      <c r="M256">
        <v>-2444.8678125415599</v>
      </c>
      <c r="N256">
        <v>-1802.9644889091301</v>
      </c>
      <c r="O256">
        <v>-2046.51539721993</v>
      </c>
      <c r="P256">
        <v>-1903.0138289879601</v>
      </c>
    </row>
    <row r="257" spans="2:16">
      <c r="B257" t="s">
        <v>1660</v>
      </c>
      <c r="D257" t="s">
        <v>1134</v>
      </c>
      <c r="F257">
        <v>14461</v>
      </c>
      <c r="G257">
        <v>16059</v>
      </c>
      <c r="H257">
        <v>17510</v>
      </c>
      <c r="I257">
        <v>16010</v>
      </c>
      <c r="J257">
        <v>16028</v>
      </c>
      <c r="K257">
        <v>17667</v>
      </c>
      <c r="L257">
        <v>18702</v>
      </c>
      <c r="M257">
        <v>20155.581406172296</v>
      </c>
      <c r="N257">
        <v>22019.866654168101</v>
      </c>
      <c r="O257">
        <v>23943.738868514196</v>
      </c>
      <c r="P257">
        <v>25866.978365873802</v>
      </c>
    </row>
    <row r="258" spans="2:16">
      <c r="B258" t="s">
        <v>1662</v>
      </c>
      <c r="D258" t="s">
        <v>1134</v>
      </c>
      <c r="F258">
        <v>23473</v>
      </c>
      <c r="G258">
        <v>25240</v>
      </c>
      <c r="H258">
        <v>28079</v>
      </c>
      <c r="I258">
        <v>32901</v>
      </c>
      <c r="J258">
        <v>34026</v>
      </c>
      <c r="K258">
        <v>37254</v>
      </c>
      <c r="L258">
        <v>38842</v>
      </c>
      <c r="M258">
        <v>41820.420267630798</v>
      </c>
      <c r="N258">
        <v>44795.359328658698</v>
      </c>
      <c r="O258">
        <v>46973.075045761398</v>
      </c>
      <c r="P258">
        <v>49561.221785810303</v>
      </c>
    </row>
    <row r="259" spans="2:16">
      <c r="B259" t="s">
        <v>1664</v>
      </c>
      <c r="D259" t="s">
        <v>1134</v>
      </c>
      <c r="F259">
        <v>27972</v>
      </c>
      <c r="G259">
        <v>29885</v>
      </c>
      <c r="H259">
        <v>32846</v>
      </c>
      <c r="I259">
        <v>37835</v>
      </c>
      <c r="J259">
        <v>38954</v>
      </c>
      <c r="K259">
        <v>42188</v>
      </c>
      <c r="L259">
        <v>43803</v>
      </c>
      <c r="M259">
        <v>46404.420267630798</v>
      </c>
      <c r="N259">
        <v>49379.359328658698</v>
      </c>
      <c r="O259">
        <v>51557.075045761398</v>
      </c>
      <c r="P259">
        <v>54145.221785810303</v>
      </c>
    </row>
    <row r="260" spans="2:16">
      <c r="B260" t="s">
        <v>1666</v>
      </c>
      <c r="D260" t="s">
        <v>1134</v>
      </c>
      <c r="F260">
        <v>22769</v>
      </c>
      <c r="G260">
        <v>24517</v>
      </c>
      <c r="H260">
        <v>26511</v>
      </c>
      <c r="I260">
        <v>31592</v>
      </c>
      <c r="J260">
        <v>31877</v>
      </c>
      <c r="K260">
        <v>34926</v>
      </c>
      <c r="L260">
        <v>36715</v>
      </c>
      <c r="M260">
        <v>39054.751711175297</v>
      </c>
      <c r="N260">
        <v>41854.858000174499</v>
      </c>
      <c r="O260">
        <v>43901.177854404501</v>
      </c>
      <c r="P260">
        <v>46595.949183066601</v>
      </c>
    </row>
    <row r="261" spans="2:16">
      <c r="B261" t="s">
        <v>1668</v>
      </c>
      <c r="D261" t="s">
        <v>1134</v>
      </c>
      <c r="F261">
        <v>904</v>
      </c>
      <c r="G261">
        <v>1094</v>
      </c>
      <c r="H261">
        <v>2149</v>
      </c>
      <c r="I261">
        <v>5116</v>
      </c>
      <c r="J261">
        <v>5809</v>
      </c>
      <c r="K261">
        <v>6151</v>
      </c>
      <c r="L261">
        <v>6329</v>
      </c>
      <c r="M261">
        <v>5865.6883785547798</v>
      </c>
      <c r="N261">
        <v>5527.7222018108396</v>
      </c>
      <c r="O261">
        <v>5511.61977214745</v>
      </c>
      <c r="P261">
        <v>5866.3183798029904</v>
      </c>
    </row>
    <row r="262" spans="2:16">
      <c r="B262" t="s">
        <v>1670</v>
      </c>
      <c r="D262" t="s">
        <v>1134</v>
      </c>
      <c r="F262">
        <v>18270</v>
      </c>
      <c r="G262">
        <v>19872</v>
      </c>
      <c r="H262">
        <v>21744</v>
      </c>
      <c r="I262">
        <v>26658</v>
      </c>
      <c r="J262">
        <v>26949</v>
      </c>
      <c r="K262">
        <v>29992</v>
      </c>
      <c r="L262">
        <v>31754</v>
      </c>
      <c r="M262">
        <v>34470.751711175297</v>
      </c>
      <c r="N262">
        <v>37270.858000174499</v>
      </c>
      <c r="O262">
        <v>39317.177854404501</v>
      </c>
      <c r="P262">
        <v>42011.949183066601</v>
      </c>
    </row>
    <row r="263" spans="2:16">
      <c r="B263" t="s">
        <v>1672</v>
      </c>
      <c r="D263" t="s">
        <v>1134</v>
      </c>
      <c r="E263">
        <v>0.122</v>
      </c>
    </row>
    <row r="264" spans="2:16">
      <c r="B264" t="s">
        <v>2090</v>
      </c>
      <c r="D264" t="s">
        <v>1134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2:16">
      <c r="B265" t="s">
        <v>1674</v>
      </c>
      <c r="D265" t="s">
        <v>1134</v>
      </c>
      <c r="F265">
        <v>23473</v>
      </c>
      <c r="G265">
        <v>25240</v>
      </c>
      <c r="H265">
        <v>28079</v>
      </c>
      <c r="I265">
        <v>32901</v>
      </c>
      <c r="J265">
        <v>34026</v>
      </c>
      <c r="K265">
        <v>37254</v>
      </c>
      <c r="L265">
        <v>38842</v>
      </c>
      <c r="M265">
        <v>41820.420267630798</v>
      </c>
      <c r="N265">
        <v>44795.359328658698</v>
      </c>
      <c r="O265">
        <v>46973.075045761398</v>
      </c>
      <c r="P265">
        <v>49561.221785810303</v>
      </c>
    </row>
    <row r="266" spans="2:16">
      <c r="B266" t="s">
        <v>1676</v>
      </c>
      <c r="D266" t="s">
        <v>1134</v>
      </c>
      <c r="F266">
        <v>18967</v>
      </c>
      <c r="G266">
        <v>20739</v>
      </c>
      <c r="H266">
        <v>22707</v>
      </c>
      <c r="I266">
        <v>27592</v>
      </c>
      <c r="J266">
        <v>27947</v>
      </c>
      <c r="K266">
        <v>31244</v>
      </c>
      <c r="L266">
        <v>33208</v>
      </c>
      <c r="M266">
        <v>36220.420267630798</v>
      </c>
      <c r="N266">
        <v>39195.359328658698</v>
      </c>
      <c r="O266">
        <v>41373.075045761398</v>
      </c>
      <c r="P266">
        <v>43961.221785810303</v>
      </c>
    </row>
    <row r="267" spans="2:16">
      <c r="B267" t="s">
        <v>1678</v>
      </c>
      <c r="D267" t="s">
        <v>1134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2:16">
      <c r="B268" t="s">
        <v>1680</v>
      </c>
      <c r="D268" t="s">
        <v>1134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2:16">
      <c r="B269" t="s">
        <v>1682</v>
      </c>
      <c r="D269" t="s">
        <v>1134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</row>
    <row r="270" spans="2:16">
      <c r="B270" t="s">
        <v>1684</v>
      </c>
      <c r="D270" t="s">
        <v>1134</v>
      </c>
    </row>
    <row r="271" spans="2:16">
      <c r="B271" t="s">
        <v>1686</v>
      </c>
      <c r="D271" t="s">
        <v>1134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</row>
    <row r="272" spans="2:16">
      <c r="B272" t="s">
        <v>1688</v>
      </c>
      <c r="D272" t="s">
        <v>1134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</row>
    <row r="273" spans="2:16">
      <c r="B273" t="s">
        <v>1689</v>
      </c>
      <c r="D273" t="s">
        <v>1134</v>
      </c>
      <c r="F273">
        <v>168</v>
      </c>
      <c r="G273">
        <v>314</v>
      </c>
      <c r="H273">
        <v>56</v>
      </c>
      <c r="I273">
        <v>20</v>
      </c>
      <c r="J273">
        <v>14</v>
      </c>
      <c r="K273">
        <v>20</v>
      </c>
      <c r="L273">
        <v>47</v>
      </c>
      <c r="M273">
        <v>50</v>
      </c>
      <c r="N273">
        <v>50</v>
      </c>
      <c r="O273">
        <v>50</v>
      </c>
      <c r="P273">
        <v>50</v>
      </c>
    </row>
    <row r="274" spans="2:16">
      <c r="B274" t="s">
        <v>1692</v>
      </c>
      <c r="D274" t="s">
        <v>1134</v>
      </c>
      <c r="F274">
        <v>-1330.6410599999999</v>
      </c>
      <c r="G274">
        <v>-2771.6819099999998</v>
      </c>
      <c r="H274">
        <v>-3122.8296</v>
      </c>
      <c r="I274">
        <v>-3066.4440500000001</v>
      </c>
      <c r="J274">
        <v>-3099.3739300000002</v>
      </c>
      <c r="K274">
        <v>-3486.5187000000001</v>
      </c>
      <c r="L274">
        <v>-3952.4190199999998</v>
      </c>
      <c r="M274">
        <v>-4246.0556699999997</v>
      </c>
      <c r="N274">
        <v>-4616.4820925733902</v>
      </c>
      <c r="O274">
        <v>-4926.1177249940401</v>
      </c>
      <c r="P274">
        <v>-5165.7784413834797</v>
      </c>
    </row>
    <row r="275" spans="2:16">
      <c r="B275" t="s">
        <v>1695</v>
      </c>
      <c r="D275" t="s">
        <v>1134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</row>
    <row r="276" spans="2:16">
      <c r="B276" t="s">
        <v>1698</v>
      </c>
      <c r="D276" t="s">
        <v>1134</v>
      </c>
      <c r="F276">
        <v>38.418999999999997</v>
      </c>
      <c r="G276">
        <v>38.822000000000003</v>
      </c>
      <c r="H276">
        <v>39.728999999999999</v>
      </c>
      <c r="I276">
        <v>38.953000000000003</v>
      </c>
      <c r="J276">
        <v>45.198</v>
      </c>
      <c r="K276">
        <v>44.645000000000003</v>
      </c>
      <c r="L276">
        <v>43.335999999999999</v>
      </c>
      <c r="M276">
        <v>42.167999999999999</v>
      </c>
      <c r="N276">
        <v>42.167999999999999</v>
      </c>
      <c r="O276">
        <v>42.167999999999999</v>
      </c>
      <c r="P276">
        <v>42.167999999999999</v>
      </c>
    </row>
    <row r="277" spans="2:16">
      <c r="B277" t="s">
        <v>1700</v>
      </c>
      <c r="D277" t="s">
        <v>1134</v>
      </c>
      <c r="E277">
        <v>0.95</v>
      </c>
    </row>
    <row r="278" spans="2:16">
      <c r="B278" t="s">
        <v>1702</v>
      </c>
      <c r="D278" t="s">
        <v>1134</v>
      </c>
    </row>
    <row r="279" spans="2:16">
      <c r="B279" t="s">
        <v>1704</v>
      </c>
      <c r="D279" t="s">
        <v>1134</v>
      </c>
      <c r="E279">
        <v>0.06</v>
      </c>
    </row>
    <row r="280" spans="2:16">
      <c r="B280" t="s">
        <v>1706</v>
      </c>
      <c r="D280" t="s">
        <v>1134</v>
      </c>
      <c r="E280">
        <v>6.5000000000000002E-2</v>
      </c>
    </row>
    <row r="281" spans="2:16">
      <c r="B281" t="s">
        <v>2095</v>
      </c>
      <c r="D281" t="s">
        <v>1134</v>
      </c>
      <c r="E281" t="s">
        <v>1134</v>
      </c>
    </row>
    <row r="282" spans="2:16">
      <c r="B282" t="s">
        <v>2096</v>
      </c>
      <c r="D282" t="s">
        <v>1134</v>
      </c>
      <c r="E282" t="s">
        <v>1134</v>
      </c>
    </row>
    <row r="283" spans="2:16">
      <c r="B283" t="s">
        <v>2097</v>
      </c>
      <c r="D283" t="s">
        <v>1134</v>
      </c>
      <c r="E283" t="s">
        <v>1134</v>
      </c>
    </row>
    <row r="284" spans="2:16">
      <c r="B284" t="s">
        <v>1709</v>
      </c>
      <c r="D284" t="s">
        <v>1134</v>
      </c>
      <c r="F284">
        <v>0</v>
      </c>
      <c r="G284">
        <v>0</v>
      </c>
      <c r="H284">
        <v>0</v>
      </c>
      <c r="I284">
        <v>0</v>
      </c>
      <c r="J284">
        <v>-44</v>
      </c>
      <c r="K284">
        <v>16</v>
      </c>
      <c r="L284">
        <v>149</v>
      </c>
      <c r="M284">
        <v>1089.0446583703399</v>
      </c>
      <c r="N284">
        <v>1122.33669943411</v>
      </c>
      <c r="O284">
        <v>1180.78355081113</v>
      </c>
      <c r="P284">
        <v>1218.1514885306301</v>
      </c>
    </row>
    <row r="285" spans="2:16">
      <c r="B285" t="s">
        <v>1711</v>
      </c>
      <c r="D285" t="s">
        <v>1134</v>
      </c>
    </row>
    <row r="286" spans="2:16">
      <c r="B286" t="s">
        <v>1712</v>
      </c>
      <c r="D286" t="s">
        <v>1134</v>
      </c>
    </row>
    <row r="287" spans="2:16">
      <c r="B287" t="s">
        <v>1714</v>
      </c>
      <c r="D287" t="s">
        <v>1134</v>
      </c>
      <c r="F287">
        <v>4088</v>
      </c>
      <c r="G287">
        <v>4638</v>
      </c>
      <c r="H287">
        <v>4258</v>
      </c>
      <c r="I287">
        <v>4088</v>
      </c>
      <c r="J287">
        <v>4773</v>
      </c>
      <c r="K287">
        <v>5692</v>
      </c>
      <c r="L287">
        <v>5640</v>
      </c>
      <c r="M287">
        <v>6204.1320241723388</v>
      </c>
      <c r="N287">
        <v>6748.8050033019199</v>
      </c>
      <c r="O287">
        <v>7118.03225718671</v>
      </c>
      <c r="P287">
        <v>7357.0654870754897</v>
      </c>
    </row>
    <row r="288" spans="2:16">
      <c r="B288" t="s">
        <v>1716</v>
      </c>
      <c r="D288" t="s">
        <v>1134</v>
      </c>
      <c r="F288">
        <v>-362.857142857143</v>
      </c>
      <c r="G288">
        <v>-404.28571428571399</v>
      </c>
      <c r="H288">
        <v>-464.28571428571399</v>
      </c>
      <c r="I288">
        <v>-390</v>
      </c>
      <c r="J288">
        <v>-361.42857142857099</v>
      </c>
      <c r="K288">
        <v>-374.28571428571399</v>
      </c>
      <c r="L288">
        <v>-350</v>
      </c>
      <c r="M288">
        <v>-325.71428571428601</v>
      </c>
      <c r="N288">
        <v>-325.71428571428601</v>
      </c>
      <c r="O288">
        <v>-325.71428571428601</v>
      </c>
      <c r="P288">
        <v>-325.71428571428601</v>
      </c>
    </row>
    <row r="289" spans="2:16">
      <c r="B289" t="s">
        <v>1718</v>
      </c>
      <c r="D289" t="s">
        <v>1134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</row>
    <row r="290" spans="2:16">
      <c r="B290" t="s">
        <v>1720</v>
      </c>
      <c r="D290" t="s">
        <v>1134</v>
      </c>
    </row>
    <row r="291" spans="2:16">
      <c r="B291" t="s">
        <v>1722</v>
      </c>
      <c r="D291" t="s">
        <v>1134</v>
      </c>
    </row>
    <row r="292" spans="2:16">
      <c r="B292" t="s">
        <v>1724</v>
      </c>
      <c r="D292" t="s">
        <v>1134</v>
      </c>
    </row>
    <row r="293" spans="2:16">
      <c r="B293" t="s">
        <v>1726</v>
      </c>
      <c r="D293" t="s">
        <v>1134</v>
      </c>
    </row>
    <row r="294" spans="2:16">
      <c r="B294" t="s">
        <v>1728</v>
      </c>
      <c r="D294" t="s">
        <v>1134</v>
      </c>
    </row>
    <row r="295" spans="2:16">
      <c r="B295" t="s">
        <v>1730</v>
      </c>
      <c r="D295" t="s">
        <v>1134</v>
      </c>
    </row>
    <row r="296" spans="2:16">
      <c r="B296" t="s">
        <v>1732</v>
      </c>
      <c r="D296" t="s">
        <v>1134</v>
      </c>
    </row>
    <row r="297" spans="2:16">
      <c r="B297" t="s">
        <v>1734</v>
      </c>
      <c r="D297" t="s">
        <v>1134</v>
      </c>
    </row>
    <row r="298" spans="2:16">
      <c r="B298" t="s">
        <v>1736</v>
      </c>
      <c r="D298" t="s">
        <v>1134</v>
      </c>
    </row>
    <row r="299" spans="2:16">
      <c r="B299" t="s">
        <v>1739</v>
      </c>
      <c r="D299" t="s">
        <v>1134</v>
      </c>
    </row>
    <row r="300" spans="2:16">
      <c r="B300" t="s">
        <v>1741</v>
      </c>
      <c r="D300" t="s">
        <v>1134</v>
      </c>
    </row>
    <row r="301" spans="2:16">
      <c r="B301" t="s">
        <v>1743</v>
      </c>
      <c r="D301" t="s">
        <v>1134</v>
      </c>
    </row>
    <row r="302" spans="2:16">
      <c r="B302" t="s">
        <v>1745</v>
      </c>
      <c r="D302" t="s">
        <v>1134</v>
      </c>
    </row>
    <row r="303" spans="2:16">
      <c r="B303" t="s">
        <v>1747</v>
      </c>
      <c r="D303" t="s">
        <v>1134</v>
      </c>
    </row>
    <row r="304" spans="2:16">
      <c r="B304" t="s">
        <v>1749</v>
      </c>
      <c r="D304" t="s">
        <v>1134</v>
      </c>
    </row>
    <row r="305" spans="2:16">
      <c r="B305" t="s">
        <v>1752</v>
      </c>
      <c r="D305" t="s">
        <v>1134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2:16">
      <c r="B306" t="s">
        <v>1754</v>
      </c>
      <c r="D306" t="s">
        <v>1134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</row>
    <row r="307" spans="2:16">
      <c r="B307" t="s">
        <v>1757</v>
      </c>
      <c r="D307" t="s">
        <v>1134</v>
      </c>
      <c r="F307">
        <v>23404</v>
      </c>
      <c r="G307">
        <v>23684</v>
      </c>
      <c r="H307">
        <v>25243</v>
      </c>
      <c r="I307">
        <v>30674</v>
      </c>
      <c r="J307">
        <v>30693</v>
      </c>
      <c r="K307">
        <v>33075</v>
      </c>
      <c r="L307">
        <v>34020</v>
      </c>
      <c r="M307">
        <v>37397.991522937802</v>
      </c>
      <c r="N307">
        <v>39609.747975579499</v>
      </c>
      <c r="O307">
        <v>41111.804461525899</v>
      </c>
      <c r="P307">
        <v>43308.187957928101</v>
      </c>
    </row>
    <row r="308" spans="2:16">
      <c r="B308" t="s">
        <v>1759</v>
      </c>
      <c r="D308" t="s">
        <v>1134</v>
      </c>
      <c r="F308">
        <v>18394</v>
      </c>
      <c r="G308">
        <v>18711</v>
      </c>
      <c r="H308">
        <v>19221</v>
      </c>
      <c r="I308">
        <v>23322</v>
      </c>
      <c r="J308">
        <v>23449</v>
      </c>
      <c r="K308">
        <v>25839</v>
      </c>
      <c r="L308">
        <v>27483</v>
      </c>
      <c r="M308">
        <v>30447.991522937795</v>
      </c>
      <c r="N308">
        <v>33204.747975579499</v>
      </c>
      <c r="O308">
        <v>35197.304461525899</v>
      </c>
      <c r="P308">
        <v>37835.137957928098</v>
      </c>
    </row>
    <row r="309" spans="2:16">
      <c r="B309" t="s">
        <v>1761</v>
      </c>
      <c r="D309" t="s">
        <v>1134</v>
      </c>
    </row>
    <row r="310" spans="2:16">
      <c r="B310" t="s">
        <v>1763</v>
      </c>
      <c r="D310" t="s">
        <v>1134</v>
      </c>
      <c r="F310">
        <v>7.3522805452000004E-2</v>
      </c>
      <c r="G310">
        <v>6.6665540750000002E-2</v>
      </c>
      <c r="H310">
        <v>7.3485274125E-2</v>
      </c>
      <c r="I310">
        <v>8.9553371753999994E-2</v>
      </c>
      <c r="J310">
        <v>8.9053479158999999E-2</v>
      </c>
      <c r="K310">
        <v>9.6974512489000006E-2</v>
      </c>
      <c r="L310">
        <v>0.10267522997799999</v>
      </c>
      <c r="M310">
        <v>0.10523030309799999</v>
      </c>
      <c r="N310">
        <v>0.106530392968</v>
      </c>
      <c r="O310">
        <v>0.10648774626</v>
      </c>
      <c r="P310">
        <v>0.106107087952</v>
      </c>
    </row>
    <row r="311" spans="2:16">
      <c r="B311" t="s">
        <v>1764</v>
      </c>
      <c r="D311" t="s">
        <v>1134</v>
      </c>
      <c r="F311">
        <v>12354</v>
      </c>
      <c r="G311">
        <v>13121</v>
      </c>
      <c r="H311">
        <v>12319</v>
      </c>
      <c r="I311">
        <v>8643</v>
      </c>
      <c r="J311">
        <v>8477</v>
      </c>
      <c r="K311">
        <v>5333</v>
      </c>
      <c r="L311">
        <v>4636</v>
      </c>
      <c r="M311">
        <v>5349.9223727164599</v>
      </c>
      <c r="N311">
        <v>4888.3956574959802</v>
      </c>
      <c r="O311">
        <v>4470.2767655264097</v>
      </c>
      <c r="P311">
        <v>4108.6779370989298</v>
      </c>
    </row>
    <row r="312" spans="2:16">
      <c r="B312" t="s">
        <v>1766</v>
      </c>
      <c r="D312" t="s">
        <v>1134</v>
      </c>
      <c r="F312">
        <v>3.8809636752999997E-2</v>
      </c>
      <c r="G312">
        <v>3.6932889721999998E-2</v>
      </c>
      <c r="H312">
        <v>3.5862024797E-2</v>
      </c>
      <c r="I312">
        <v>2.5233415663999999E-2</v>
      </c>
      <c r="J312">
        <v>2.4595396015999998E-2</v>
      </c>
      <c r="K312">
        <v>1.5636132277999999E-2</v>
      </c>
      <c r="L312">
        <v>1.39918391E-2</v>
      </c>
      <c r="M312">
        <v>1.5053587904E-2</v>
      </c>
      <c r="N312">
        <v>1.3147337133E-2</v>
      </c>
      <c r="O312">
        <v>1.1578905479E-2</v>
      </c>
      <c r="P312">
        <v>1.0066453292E-2</v>
      </c>
    </row>
    <row r="313" spans="2:16">
      <c r="B313" t="s">
        <v>1768</v>
      </c>
      <c r="D313" t="s">
        <v>1134</v>
      </c>
      <c r="F313">
        <v>35758</v>
      </c>
      <c r="G313">
        <v>36805</v>
      </c>
      <c r="H313">
        <v>37562</v>
      </c>
      <c r="I313">
        <v>39317</v>
      </c>
      <c r="J313">
        <v>39170</v>
      </c>
      <c r="K313">
        <v>38408</v>
      </c>
      <c r="L313">
        <v>38656</v>
      </c>
      <c r="M313">
        <v>42747.913895654194</v>
      </c>
      <c r="N313">
        <v>44498.143633075495</v>
      </c>
      <c r="O313">
        <v>45582.081227052295</v>
      </c>
      <c r="P313">
        <v>47416.865895026989</v>
      </c>
    </row>
    <row r="314" spans="2:16">
      <c r="B314" t="s">
        <v>1770</v>
      </c>
      <c r="D314" t="s">
        <v>1134</v>
      </c>
      <c r="F314">
        <v>0.11233244220499999</v>
      </c>
      <c r="G314">
        <v>0.103598430472</v>
      </c>
      <c r="H314">
        <v>0.109347298922</v>
      </c>
      <c r="I314">
        <v>0.114786787418</v>
      </c>
      <c r="J314">
        <v>0.113648875175</v>
      </c>
      <c r="K314">
        <v>0.112610508959</v>
      </c>
      <c r="L314">
        <v>0.11666706907799999</v>
      </c>
      <c r="M314">
        <v>0.12028389100300001</v>
      </c>
      <c r="N314">
        <v>0.119677730101</v>
      </c>
      <c r="O314">
        <v>0.11806665173899999</v>
      </c>
      <c r="P314">
        <v>0.11617354124400001</v>
      </c>
    </row>
    <row r="315" spans="2:16">
      <c r="B315" t="s">
        <v>1772</v>
      </c>
      <c r="D315" t="s">
        <v>1134</v>
      </c>
      <c r="F315">
        <v>318323</v>
      </c>
      <c r="G315">
        <v>355266</v>
      </c>
      <c r="H315">
        <v>343511</v>
      </c>
      <c r="I315">
        <v>342522</v>
      </c>
      <c r="J315">
        <v>344658</v>
      </c>
      <c r="K315">
        <v>341069</v>
      </c>
      <c r="L315">
        <v>331336</v>
      </c>
      <c r="M315">
        <v>355391.84457149298</v>
      </c>
      <c r="N315">
        <v>371816.40724302502</v>
      </c>
      <c r="O315">
        <v>386070.75372856593</v>
      </c>
      <c r="P315">
        <v>408155.46627262601</v>
      </c>
    </row>
    <row r="316" spans="2:16">
      <c r="B316" t="s">
        <v>1775</v>
      </c>
      <c r="D316" t="s">
        <v>1134</v>
      </c>
      <c r="F316">
        <v>171762</v>
      </c>
      <c r="G316">
        <v>185809</v>
      </c>
      <c r="H316">
        <v>199749</v>
      </c>
      <c r="I316">
        <v>202538</v>
      </c>
      <c r="J316">
        <v>224900</v>
      </c>
      <c r="K316">
        <v>253064</v>
      </c>
      <c r="L316">
        <v>268729</v>
      </c>
      <c r="M316">
        <v>285005.43297648092</v>
      </c>
      <c r="N316">
        <v>304276.17922398995</v>
      </c>
      <c r="O316">
        <v>318408.20197431999</v>
      </c>
      <c r="P316">
        <v>335140.81800652202</v>
      </c>
    </row>
    <row r="317" spans="2:16">
      <c r="B317" t="s">
        <v>1777</v>
      </c>
      <c r="D317" t="s">
        <v>1134</v>
      </c>
    </row>
    <row r="318" spans="2:16">
      <c r="B318" t="s">
        <v>1779</v>
      </c>
      <c r="D318" t="s">
        <v>1134</v>
      </c>
    </row>
    <row r="319" spans="2:16">
      <c r="B319" t="s">
        <v>1781</v>
      </c>
      <c r="D319" t="s">
        <v>1134</v>
      </c>
    </row>
    <row r="320" spans="2:16">
      <c r="B320" t="s">
        <v>1783</v>
      </c>
      <c r="D320" t="s">
        <v>1134</v>
      </c>
    </row>
    <row r="321" spans="2:16">
      <c r="B321" t="s">
        <v>1785</v>
      </c>
      <c r="D321" t="s">
        <v>1134</v>
      </c>
    </row>
    <row r="322" spans="2:16">
      <c r="B322" t="s">
        <v>1787</v>
      </c>
      <c r="D322" t="s">
        <v>1134</v>
      </c>
    </row>
    <row r="323" spans="2:16">
      <c r="B323" t="s">
        <v>1789</v>
      </c>
      <c r="D323" t="s">
        <v>1134</v>
      </c>
    </row>
    <row r="324" spans="2:16">
      <c r="B324" t="s">
        <v>1791</v>
      </c>
      <c r="D324" t="s">
        <v>1134</v>
      </c>
    </row>
    <row r="325" spans="2:16">
      <c r="B325" t="s">
        <v>1793</v>
      </c>
      <c r="D325" t="s">
        <v>1134</v>
      </c>
    </row>
    <row r="326" spans="2:16">
      <c r="B326" t="s">
        <v>1795</v>
      </c>
      <c r="D326" t="s">
        <v>1134</v>
      </c>
    </row>
    <row r="327" spans="2:16">
      <c r="B327" t="s">
        <v>1797</v>
      </c>
      <c r="D327" t="s">
        <v>1134</v>
      </c>
      <c r="F327">
        <v>133201</v>
      </c>
      <c r="G327">
        <v>155853</v>
      </c>
      <c r="H327">
        <v>185173</v>
      </c>
      <c r="I327">
        <v>178997</v>
      </c>
      <c r="J327">
        <v>173403</v>
      </c>
      <c r="K327">
        <v>186044</v>
      </c>
      <c r="L327">
        <v>195171</v>
      </c>
      <c r="M327">
        <v>196225.88990997599</v>
      </c>
      <c r="N327">
        <v>207805.86351648299</v>
      </c>
      <c r="O327">
        <v>218447.59244846998</v>
      </c>
      <c r="P327">
        <v>231225.83302865399</v>
      </c>
    </row>
    <row r="328" spans="2:16">
      <c r="B328" t="s">
        <v>1799</v>
      </c>
      <c r="D328" t="s">
        <v>1134</v>
      </c>
      <c r="F328">
        <v>304963</v>
      </c>
      <c r="G328">
        <v>341662</v>
      </c>
      <c r="H328">
        <v>384922</v>
      </c>
      <c r="I328">
        <v>381535</v>
      </c>
      <c r="J328">
        <v>398303</v>
      </c>
      <c r="K328">
        <v>439108</v>
      </c>
      <c r="L328">
        <v>463900</v>
      </c>
      <c r="M328">
        <v>481231.32288645703</v>
      </c>
      <c r="N328">
        <v>512082.042740473</v>
      </c>
      <c r="O328">
        <v>536855.79442278901</v>
      </c>
      <c r="P328">
        <v>566366.65103517601</v>
      </c>
    </row>
    <row r="329" spans="2:16">
      <c r="B329" t="s">
        <v>1801</v>
      </c>
      <c r="D329" t="s">
        <v>1134</v>
      </c>
      <c r="F329">
        <v>111086</v>
      </c>
      <c r="G329">
        <v>121749</v>
      </c>
      <c r="H329">
        <v>141134</v>
      </c>
      <c r="I329">
        <v>127345</v>
      </c>
      <c r="J329">
        <v>113340</v>
      </c>
      <c r="K329">
        <v>116120</v>
      </c>
      <c r="L329">
        <v>116806</v>
      </c>
      <c r="M329">
        <v>119895.589884068</v>
      </c>
      <c r="N329">
        <v>132232.48555285</v>
      </c>
      <c r="O329">
        <v>134528.949390111</v>
      </c>
      <c r="P329">
        <v>141791.00346946999</v>
      </c>
    </row>
    <row r="330" spans="2:16">
      <c r="B330" t="s">
        <v>1803</v>
      </c>
      <c r="D330" t="s">
        <v>1134</v>
      </c>
    </row>
    <row r="331" spans="2:16">
      <c r="B331" t="s">
        <v>1805</v>
      </c>
      <c r="D331" t="s">
        <v>1134</v>
      </c>
    </row>
    <row r="332" spans="2:16">
      <c r="B332" t="s">
        <v>1808</v>
      </c>
      <c r="D332" t="s">
        <v>1134</v>
      </c>
      <c r="F332">
        <v>184</v>
      </c>
      <c r="G332">
        <v>307</v>
      </c>
      <c r="H332">
        <v>645</v>
      </c>
      <c r="I332">
        <v>1551</v>
      </c>
      <c r="J332">
        <v>1524</v>
      </c>
      <c r="K332">
        <v>1546</v>
      </c>
      <c r="L332">
        <v>1983</v>
      </c>
      <c r="M332">
        <v>1968.9434938034599</v>
      </c>
      <c r="N332">
        <v>1855.4979334735799</v>
      </c>
      <c r="O332">
        <v>1850.0928092879701</v>
      </c>
      <c r="P332">
        <v>1969.1549671683399</v>
      </c>
    </row>
    <row r="333" spans="2:16">
      <c r="B333" t="s">
        <v>1810</v>
      </c>
      <c r="D333" t="s">
        <v>1134</v>
      </c>
      <c r="F333">
        <v>1838</v>
      </c>
      <c r="G333">
        <v>1800</v>
      </c>
      <c r="H333">
        <v>2649</v>
      </c>
      <c r="I333">
        <v>3553</v>
      </c>
      <c r="J333">
        <v>3570</v>
      </c>
      <c r="K333">
        <v>3398</v>
      </c>
      <c r="L333">
        <v>3142</v>
      </c>
      <c r="M333">
        <v>3083.5264137905901</v>
      </c>
      <c r="N333">
        <v>3233.1972460903289</v>
      </c>
      <c r="O333">
        <v>3351.8990020841602</v>
      </c>
      <c r="P333">
        <v>3544.4767078673899</v>
      </c>
    </row>
    <row r="334" spans="2:16">
      <c r="B334" t="s">
        <v>1812</v>
      </c>
      <c r="D334" t="s">
        <v>1134</v>
      </c>
      <c r="F334">
        <v>2022</v>
      </c>
      <c r="G334">
        <v>2107</v>
      </c>
      <c r="H334">
        <v>3294</v>
      </c>
      <c r="I334">
        <v>5104</v>
      </c>
      <c r="J334">
        <v>5094</v>
      </c>
      <c r="K334">
        <v>4944</v>
      </c>
      <c r="L334">
        <v>5125</v>
      </c>
      <c r="M334">
        <v>5052.4699075940489</v>
      </c>
      <c r="N334">
        <v>5088.6951795639097</v>
      </c>
      <c r="O334">
        <v>5201.9918113721296</v>
      </c>
      <c r="P334">
        <v>5513.63167503573</v>
      </c>
    </row>
    <row r="335" spans="2:16">
      <c r="B335" t="s">
        <v>1814</v>
      </c>
      <c r="D335" t="s">
        <v>1134</v>
      </c>
      <c r="F335">
        <v>-4.5970260929000001E-2</v>
      </c>
      <c r="G335">
        <v>-0.13379798379999999</v>
      </c>
      <c r="H335">
        <v>-7.5049203568000003E-2</v>
      </c>
      <c r="I335">
        <v>-0.20206685834900001</v>
      </c>
      <c r="J335">
        <v>4.8613071027999999E-2</v>
      </c>
      <c r="K335">
        <v>-1.3810799404E-2</v>
      </c>
      <c r="L335">
        <v>-8.6246198344999997E-2</v>
      </c>
      <c r="M335">
        <v>0</v>
      </c>
      <c r="N335">
        <v>0</v>
      </c>
      <c r="O335">
        <v>0</v>
      </c>
      <c r="P335">
        <v>0</v>
      </c>
    </row>
    <row r="336" spans="2:16">
      <c r="B336" t="s">
        <v>1816</v>
      </c>
      <c r="D336" t="s">
        <v>1134</v>
      </c>
      <c r="F336">
        <v>-524.95402973907096</v>
      </c>
      <c r="G336">
        <v>-582.86620201619996</v>
      </c>
      <c r="H336">
        <v>-859.92495079643197</v>
      </c>
      <c r="I336">
        <v>-2116.79793314165</v>
      </c>
      <c r="J336">
        <v>-2247.0486130710301</v>
      </c>
      <c r="K336">
        <v>-1987.9861892005999</v>
      </c>
      <c r="L336">
        <v>-2252.9137538016498</v>
      </c>
      <c r="M336">
        <v>-1955.8622615336001</v>
      </c>
      <c r="N336">
        <v>-1792.7871012650701</v>
      </c>
      <c r="O336">
        <v>-1654.79473280394</v>
      </c>
      <c r="P336">
        <v>-1560.07962256004</v>
      </c>
    </row>
    <row r="337" spans="2:16">
      <c r="B337" t="s">
        <v>1818</v>
      </c>
      <c r="D337" t="s">
        <v>1134</v>
      </c>
      <c r="F337">
        <v>-525</v>
      </c>
      <c r="G337">
        <v>-583</v>
      </c>
      <c r="H337">
        <v>-860</v>
      </c>
      <c r="I337">
        <v>-2117</v>
      </c>
      <c r="J337">
        <v>-2247</v>
      </c>
      <c r="K337">
        <v>-1988</v>
      </c>
      <c r="L337">
        <v>-2253</v>
      </c>
      <c r="M337">
        <v>-1955.8622615336001</v>
      </c>
      <c r="N337">
        <v>-1792.7871012650701</v>
      </c>
      <c r="O337">
        <v>-1654.79473280394</v>
      </c>
      <c r="P337">
        <v>-1560.07962256004</v>
      </c>
    </row>
    <row r="338" spans="2:16">
      <c r="B338" t="s">
        <v>1821</v>
      </c>
      <c r="D338" t="s">
        <v>1134</v>
      </c>
      <c r="F338">
        <v>375691</v>
      </c>
      <c r="G338">
        <v>429075</v>
      </c>
      <c r="H338">
        <v>506508</v>
      </c>
      <c r="I338">
        <v>559357</v>
      </c>
      <c r="J338">
        <v>546584</v>
      </c>
      <c r="K338">
        <v>580639</v>
      </c>
      <c r="L338">
        <v>629972</v>
      </c>
      <c r="M338">
        <v>658584.29435155191</v>
      </c>
      <c r="N338">
        <v>696826.25438349589</v>
      </c>
      <c r="O338">
        <v>734346.06572941504</v>
      </c>
      <c r="P338">
        <v>772176.74330946489</v>
      </c>
    </row>
    <row r="339" spans="2:16">
      <c r="B339" t="s">
        <v>1823</v>
      </c>
      <c r="D339" t="s">
        <v>1134</v>
      </c>
      <c r="F339">
        <v>6.8016002512999996E-2</v>
      </c>
      <c r="G339">
        <v>7.2150556429999999E-2</v>
      </c>
      <c r="H339">
        <v>7.7757903133000003E-2</v>
      </c>
      <c r="I339">
        <v>5.5603130022999998E-2</v>
      </c>
      <c r="J339">
        <v>5.4564348754999999E-2</v>
      </c>
      <c r="K339">
        <v>5.9021181835999997E-2</v>
      </c>
      <c r="L339">
        <v>5.4831008362E-2</v>
      </c>
      <c r="M339">
        <v>4.7796577892000001E-2</v>
      </c>
      <c r="N339">
        <v>4.4898685174000003E-2</v>
      </c>
      <c r="O339">
        <v>4.8728967771999997E-2</v>
      </c>
      <c r="P339">
        <v>5.7186115687000001E-2</v>
      </c>
    </row>
    <row r="340" spans="2:16">
      <c r="B340" t="s">
        <v>1825</v>
      </c>
      <c r="D340" t="s">
        <v>1134</v>
      </c>
      <c r="F340">
        <v>353894.93698630092</v>
      </c>
      <c r="G340">
        <v>399553.268493151</v>
      </c>
      <c r="H340">
        <v>476863</v>
      </c>
      <c r="I340">
        <v>538845.854794521</v>
      </c>
      <c r="J340">
        <v>512733.96438356192</v>
      </c>
      <c r="K340">
        <v>537484.99452054803</v>
      </c>
      <c r="L340">
        <v>587089.5</v>
      </c>
      <c r="M340">
        <v>612056.82156275399</v>
      </c>
      <c r="N340">
        <v>647697.31755350903</v>
      </c>
      <c r="O340">
        <v>683375.87772306183</v>
      </c>
      <c r="P340">
        <v>718880.42325401492</v>
      </c>
    </row>
    <row r="341" spans="2:16">
      <c r="B341" t="s">
        <v>1827</v>
      </c>
      <c r="D341" t="s">
        <v>1134</v>
      </c>
      <c r="F341">
        <v>4.7683643466999999E-2</v>
      </c>
      <c r="G341">
        <v>5.3094297238999999E-2</v>
      </c>
      <c r="H341">
        <v>5.9249721617999997E-2</v>
      </c>
      <c r="I341">
        <v>3.5316222311999997E-2</v>
      </c>
      <c r="J341">
        <v>3.4200972078999997E-2</v>
      </c>
      <c r="K341">
        <v>3.9402030226000001E-2</v>
      </c>
      <c r="L341">
        <v>3.6186986822E-2</v>
      </c>
      <c r="M341">
        <v>2.9394496491999999E-2</v>
      </c>
      <c r="N341">
        <v>2.6426245593000001E-2</v>
      </c>
      <c r="O341">
        <v>3.0962465306000001E-2</v>
      </c>
      <c r="P341">
        <v>4.0495023912000001E-2</v>
      </c>
    </row>
    <row r="342" spans="2:16">
      <c r="B342" t="s">
        <v>1830</v>
      </c>
      <c r="D342" t="s">
        <v>1134</v>
      </c>
      <c r="F342">
        <v>2.0332359046E-2</v>
      </c>
      <c r="G342">
        <v>1.9056259191E-2</v>
      </c>
      <c r="H342">
        <v>1.8508181515E-2</v>
      </c>
      <c r="I342">
        <v>2.028690771E-2</v>
      </c>
      <c r="J342">
        <v>2.0363376676000002E-2</v>
      </c>
      <c r="K342">
        <v>1.961915161E-2</v>
      </c>
      <c r="L342">
        <v>1.8643978020999999E-2</v>
      </c>
      <c r="M342">
        <v>1.8402081399E-2</v>
      </c>
      <c r="N342">
        <v>1.8472439580999998E-2</v>
      </c>
      <c r="O342">
        <v>1.7766502465999999E-2</v>
      </c>
      <c r="P342">
        <v>1.6691091775E-2</v>
      </c>
    </row>
    <row r="343" spans="2:16">
      <c r="B343" t="s">
        <v>1832</v>
      </c>
      <c r="D343" t="s">
        <v>1134</v>
      </c>
      <c r="F343">
        <v>2.3098770000000001E-2</v>
      </c>
      <c r="G343">
        <v>2.2709316553E-2</v>
      </c>
      <c r="H343">
        <v>2.1975960893E-2</v>
      </c>
      <c r="I343">
        <v>2.1581923530000002E-2</v>
      </c>
      <c r="J343">
        <v>2.2481448413999999E-2</v>
      </c>
      <c r="K343">
        <v>2.2547572588000001E-2</v>
      </c>
      <c r="L343">
        <v>2.1107270555000002E-2</v>
      </c>
      <c r="M343">
        <v>2.0478735288E-2</v>
      </c>
      <c r="N343">
        <v>2.0335591754000001E-2</v>
      </c>
      <c r="O343">
        <v>1.9915574615000001E-2</v>
      </c>
      <c r="P343">
        <v>1.9486094050999998E-2</v>
      </c>
    </row>
    <row r="344" spans="2:16">
      <c r="B344" t="s">
        <v>1835</v>
      </c>
      <c r="D344" t="s">
        <v>1134</v>
      </c>
      <c r="F344">
        <v>114230</v>
      </c>
      <c r="G344">
        <v>130477</v>
      </c>
      <c r="H344">
        <v>128848</v>
      </c>
      <c r="I344">
        <v>140397</v>
      </c>
      <c r="J344">
        <v>151643</v>
      </c>
      <c r="K344">
        <v>167271</v>
      </c>
      <c r="L344">
        <v>176907</v>
      </c>
      <c r="M344">
        <v>182461.10250651097</v>
      </c>
      <c r="N344">
        <v>195131.62731947898</v>
      </c>
      <c r="O344">
        <v>204045.92915915797</v>
      </c>
      <c r="P344">
        <v>215487.87800161599</v>
      </c>
    </row>
    <row r="345" spans="2:16">
      <c r="B345" t="s">
        <v>1837</v>
      </c>
      <c r="D345" t="s">
        <v>1134</v>
      </c>
      <c r="F345">
        <v>93515</v>
      </c>
      <c r="G345">
        <v>114345</v>
      </c>
      <c r="H345">
        <v>177033</v>
      </c>
      <c r="I345">
        <v>184474</v>
      </c>
      <c r="J345">
        <v>191698</v>
      </c>
      <c r="K345">
        <v>221363</v>
      </c>
      <c r="L345">
        <v>231519</v>
      </c>
      <c r="M345">
        <v>241141.44825583999</v>
      </c>
      <c r="N345">
        <v>257886.873234578</v>
      </c>
      <c r="O345">
        <v>269668.05632664601</v>
      </c>
      <c r="P345">
        <v>284789.78954450297</v>
      </c>
    </row>
    <row r="346" spans="2:16">
      <c r="B346" t="s">
        <v>1839</v>
      </c>
      <c r="D346" t="s">
        <v>1134</v>
      </c>
    </row>
    <row r="347" spans="2:16">
      <c r="B347" t="s">
        <v>1841</v>
      </c>
      <c r="D347" t="s">
        <v>1134</v>
      </c>
      <c r="F347">
        <v>207745</v>
      </c>
      <c r="G347">
        <v>244822</v>
      </c>
      <c r="H347">
        <v>305881</v>
      </c>
      <c r="I347">
        <v>324871</v>
      </c>
      <c r="J347">
        <v>343341</v>
      </c>
      <c r="K347">
        <v>388634</v>
      </c>
      <c r="L347">
        <v>408426</v>
      </c>
      <c r="M347">
        <v>423602.55076235102</v>
      </c>
      <c r="N347">
        <v>453018.50055405701</v>
      </c>
      <c r="O347">
        <v>473713.98548580392</v>
      </c>
      <c r="P347">
        <v>500277.66754611902</v>
      </c>
    </row>
    <row r="348" spans="2:16">
      <c r="B348" t="s">
        <v>1844</v>
      </c>
      <c r="D348" t="s">
        <v>1134</v>
      </c>
    </row>
    <row r="349" spans="2:16">
      <c r="B349" t="s">
        <v>1846</v>
      </c>
      <c r="D349" t="s">
        <v>1134</v>
      </c>
    </row>
    <row r="350" spans="2:16">
      <c r="B350" t="s">
        <v>1848</v>
      </c>
      <c r="D350" t="s">
        <v>1134</v>
      </c>
    </row>
    <row r="351" spans="2:16">
      <c r="B351" t="s">
        <v>1850</v>
      </c>
      <c r="D351" t="s">
        <v>1134</v>
      </c>
    </row>
    <row r="352" spans="2:16">
      <c r="B352" t="s">
        <v>1852</v>
      </c>
      <c r="D352" t="s">
        <v>1134</v>
      </c>
    </row>
    <row r="353" spans="2:16">
      <c r="B353" t="s">
        <v>1855</v>
      </c>
      <c r="D353" t="s">
        <v>1134</v>
      </c>
    </row>
    <row r="354" spans="2:16">
      <c r="B354" t="s">
        <v>1857</v>
      </c>
      <c r="D354" t="s">
        <v>1134</v>
      </c>
    </row>
    <row r="355" spans="2:16">
      <c r="B355" t="s">
        <v>1859</v>
      </c>
      <c r="D355" t="s">
        <v>1134</v>
      </c>
    </row>
    <row r="356" spans="2:16">
      <c r="B356" t="s">
        <v>1861</v>
      </c>
      <c r="D356" t="s">
        <v>1134</v>
      </c>
    </row>
    <row r="357" spans="2:16">
      <c r="B357" t="s">
        <v>1863</v>
      </c>
      <c r="D357" t="s">
        <v>1134</v>
      </c>
    </row>
    <row r="358" spans="2:16">
      <c r="B358" t="s">
        <v>1865</v>
      </c>
      <c r="D358" t="s">
        <v>1134</v>
      </c>
    </row>
    <row r="359" spans="2:16">
      <c r="B359" t="s">
        <v>1867</v>
      </c>
      <c r="D359" t="s">
        <v>1134</v>
      </c>
    </row>
    <row r="360" spans="2:16">
      <c r="B360" t="s">
        <v>1868</v>
      </c>
      <c r="D360" t="s">
        <v>1134</v>
      </c>
      <c r="F360">
        <v>14192.571428571398</v>
      </c>
      <c r="G360">
        <v>14702.714285714299</v>
      </c>
      <c r="H360">
        <v>15428</v>
      </c>
      <c r="I360">
        <v>16943.142857142899</v>
      </c>
      <c r="J360">
        <v>16725.142857142899</v>
      </c>
      <c r="K360">
        <v>17636.857142857101</v>
      </c>
      <c r="L360">
        <v>18278.285714285696</v>
      </c>
      <c r="M360">
        <v>18640.2726904103</v>
      </c>
      <c r="N360">
        <v>19413.900645678495</v>
      </c>
      <c r="O360">
        <v>20163.6100067195</v>
      </c>
      <c r="P360">
        <v>20893.5303709457</v>
      </c>
    </row>
    <row r="361" spans="2:16">
      <c r="B361" t="s">
        <v>1870</v>
      </c>
      <c r="D361" t="s">
        <v>1134</v>
      </c>
    </row>
    <row r="362" spans="2:16">
      <c r="B362" t="s">
        <v>1872</v>
      </c>
      <c r="D362" t="s">
        <v>1134</v>
      </c>
    </row>
    <row r="363" spans="2:16">
      <c r="B363" t="s">
        <v>1874</v>
      </c>
      <c r="D363" t="s">
        <v>1134</v>
      </c>
    </row>
    <row r="364" spans="2:16">
      <c r="B364" t="s">
        <v>1876</v>
      </c>
      <c r="D364" t="s">
        <v>1134</v>
      </c>
    </row>
    <row r="365" spans="2:16">
      <c r="B365" t="s">
        <v>1878</v>
      </c>
      <c r="D365" t="s">
        <v>1134</v>
      </c>
    </row>
    <row r="366" spans="2:16">
      <c r="B366" t="s">
        <v>1880</v>
      </c>
      <c r="D366" t="s">
        <v>1134</v>
      </c>
    </row>
    <row r="367" spans="2:16">
      <c r="B367" t="s">
        <v>1882</v>
      </c>
      <c r="D367" t="s">
        <v>1134</v>
      </c>
    </row>
    <row r="368" spans="2:16">
      <c r="B368" t="s">
        <v>1885</v>
      </c>
      <c r="D368" t="s">
        <v>1134</v>
      </c>
    </row>
    <row r="369" spans="2:16">
      <c r="B369" t="s">
        <v>1887</v>
      </c>
      <c r="D369" t="s">
        <v>1134</v>
      </c>
    </row>
    <row r="370" spans="2:16">
      <c r="B370" t="s">
        <v>1889</v>
      </c>
      <c r="D370" t="s">
        <v>1134</v>
      </c>
    </row>
    <row r="371" spans="2:16">
      <c r="B371" t="s">
        <v>1891</v>
      </c>
      <c r="D371" t="s">
        <v>1134</v>
      </c>
    </row>
    <row r="372" spans="2:16">
      <c r="B372" t="s">
        <v>1893</v>
      </c>
      <c r="D372" t="s">
        <v>1134</v>
      </c>
    </row>
    <row r="373" spans="2:16">
      <c r="B373" t="s">
        <v>1895</v>
      </c>
      <c r="D373" t="s">
        <v>1134</v>
      </c>
    </row>
    <row r="374" spans="2:16">
      <c r="B374" t="s">
        <v>1897</v>
      </c>
      <c r="D374" t="s">
        <v>1134</v>
      </c>
    </row>
    <row r="375" spans="2:16">
      <c r="B375" t="s">
        <v>1899</v>
      </c>
      <c r="D375" t="s">
        <v>1134</v>
      </c>
      <c r="F375">
        <v>5813.5714285714303</v>
      </c>
      <c r="G375">
        <v>6418.714285714289</v>
      </c>
      <c r="H375">
        <v>5633</v>
      </c>
      <c r="I375">
        <v>5548.1428571428596</v>
      </c>
      <c r="J375">
        <v>6600.1428571428596</v>
      </c>
      <c r="K375">
        <v>7840.8571428571404</v>
      </c>
      <c r="L375">
        <v>7835.2857142857101</v>
      </c>
      <c r="M375">
        <v>8566.8725079524302</v>
      </c>
      <c r="N375">
        <v>9323.0932995551302</v>
      </c>
      <c r="O375">
        <v>9835.7390193626998</v>
      </c>
      <c r="P375">
        <v>10167.616540446099</v>
      </c>
    </row>
    <row r="376" spans="2:16">
      <c r="B376" t="s">
        <v>1901</v>
      </c>
      <c r="D376" t="s">
        <v>1134</v>
      </c>
    </row>
    <row r="377" spans="2:16">
      <c r="B377" t="s">
        <v>1903</v>
      </c>
      <c r="D377" t="s">
        <v>1134</v>
      </c>
    </row>
    <row r="378" spans="2:16">
      <c r="B378" t="s">
        <v>1905</v>
      </c>
      <c r="D378" t="s">
        <v>1134</v>
      </c>
    </row>
    <row r="379" spans="2:16">
      <c r="B379" t="s">
        <v>1907</v>
      </c>
      <c r="D379" t="s">
        <v>1134</v>
      </c>
    </row>
    <row r="380" spans="2:16">
      <c r="B380" t="s">
        <v>1909</v>
      </c>
      <c r="D380" t="s">
        <v>1134</v>
      </c>
    </row>
    <row r="381" spans="2:16">
      <c r="B381" t="s">
        <v>1911</v>
      </c>
      <c r="D381" t="s">
        <v>1134</v>
      </c>
    </row>
    <row r="382" spans="2:16">
      <c r="B382" t="s">
        <v>1913</v>
      </c>
      <c r="D382" t="s">
        <v>1134</v>
      </c>
    </row>
    <row r="383" spans="2:16">
      <c r="B383" t="s">
        <v>1916</v>
      </c>
      <c r="D383" t="s">
        <v>1134</v>
      </c>
      <c r="F383">
        <v>484785</v>
      </c>
      <c r="G383">
        <v>574220</v>
      </c>
      <c r="H383">
        <v>656799</v>
      </c>
      <c r="I383">
        <v>654120</v>
      </c>
      <c r="J383">
        <v>685952</v>
      </c>
      <c r="K383">
        <v>753757</v>
      </c>
      <c r="L383">
        <v>763090</v>
      </c>
      <c r="M383">
        <v>783435.02260633605</v>
      </c>
      <c r="N383">
        <v>832104.61737866385</v>
      </c>
      <c r="O383">
        <v>873640.84177693888</v>
      </c>
      <c r="P383">
        <v>922081.22608061589</v>
      </c>
    </row>
    <row r="384" spans="2:16">
      <c r="B384" t="s">
        <v>1918</v>
      </c>
      <c r="D384" t="s">
        <v>1134</v>
      </c>
    </row>
    <row r="385" spans="2:16">
      <c r="B385" t="s">
        <v>1920</v>
      </c>
      <c r="D385" t="s">
        <v>1134</v>
      </c>
    </row>
    <row r="386" spans="2:16">
      <c r="B386" t="s">
        <v>1922</v>
      </c>
      <c r="D386" t="s">
        <v>1134</v>
      </c>
    </row>
    <row r="387" spans="2:16">
      <c r="B387" t="s">
        <v>1924</v>
      </c>
      <c r="D387" t="s">
        <v>1134</v>
      </c>
    </row>
    <row r="388" spans="2:16">
      <c r="B388" t="s">
        <v>1926</v>
      </c>
      <c r="D388" t="s">
        <v>1134</v>
      </c>
    </row>
    <row r="389" spans="2:16">
      <c r="B389" t="s">
        <v>1928</v>
      </c>
      <c r="D389" t="s">
        <v>1134</v>
      </c>
    </row>
    <row r="390" spans="2:16">
      <c r="B390" t="s">
        <v>1929</v>
      </c>
      <c r="D390" t="s">
        <v>1134</v>
      </c>
      <c r="F390">
        <v>484785</v>
      </c>
      <c r="G390">
        <v>574220</v>
      </c>
      <c r="H390">
        <v>656799</v>
      </c>
      <c r="I390">
        <v>654120</v>
      </c>
      <c r="J390">
        <v>685952</v>
      </c>
      <c r="K390">
        <v>753757</v>
      </c>
      <c r="L390">
        <v>763090</v>
      </c>
      <c r="M390">
        <v>783435.02260633605</v>
      </c>
      <c r="N390">
        <v>832104.61737866385</v>
      </c>
      <c r="O390">
        <v>873640.84177693888</v>
      </c>
      <c r="P390">
        <v>922081.22608061589</v>
      </c>
    </row>
    <row r="391" spans="2:16">
      <c r="B391" t="s">
        <v>1931</v>
      </c>
      <c r="D391" t="s">
        <v>1134</v>
      </c>
    </row>
    <row r="392" spans="2:16">
      <c r="B392" t="s">
        <v>1933</v>
      </c>
      <c r="D392" t="s">
        <v>1134</v>
      </c>
    </row>
    <row r="393" spans="2:16">
      <c r="B393" t="s">
        <v>1935</v>
      </c>
      <c r="D393" t="s">
        <v>1134</v>
      </c>
    </row>
    <row r="394" spans="2:16">
      <c r="B394" t="s">
        <v>1937</v>
      </c>
      <c r="D394" t="s">
        <v>1134</v>
      </c>
    </row>
    <row r="395" spans="2:16">
      <c r="B395" t="s">
        <v>1939</v>
      </c>
      <c r="D395" t="s">
        <v>1134</v>
      </c>
    </row>
    <row r="396" spans="2:16">
      <c r="B396" t="s">
        <v>1941</v>
      </c>
      <c r="D396" t="s">
        <v>1134</v>
      </c>
    </row>
    <row r="397" spans="2:16">
      <c r="B397" t="s">
        <v>1943</v>
      </c>
      <c r="D397" t="s">
        <v>1134</v>
      </c>
    </row>
    <row r="398" spans="2:16">
      <c r="B398" t="s">
        <v>1946</v>
      </c>
      <c r="D398" t="s">
        <v>1134</v>
      </c>
    </row>
    <row r="399" spans="2:16">
      <c r="B399" t="s">
        <v>1948</v>
      </c>
      <c r="D399" t="s">
        <v>1134</v>
      </c>
    </row>
    <row r="400" spans="2:16">
      <c r="B400" t="s">
        <v>1950</v>
      </c>
      <c r="D400" t="s">
        <v>1134</v>
      </c>
    </row>
    <row r="401" spans="2:4">
      <c r="B401" t="s">
        <v>1952</v>
      </c>
      <c r="D401" t="s">
        <v>1134</v>
      </c>
    </row>
    <row r="402" spans="2:4">
      <c r="B402" t="s">
        <v>1954</v>
      </c>
      <c r="D402" t="s">
        <v>1134</v>
      </c>
    </row>
    <row r="403" spans="2:4">
      <c r="B403" t="s">
        <v>1956</v>
      </c>
      <c r="D403" t="s">
        <v>1134</v>
      </c>
    </row>
    <row r="404" spans="2:4">
      <c r="B404" t="s">
        <v>1958</v>
      </c>
      <c r="D404" t="s">
        <v>1134</v>
      </c>
    </row>
    <row r="405" spans="2:4">
      <c r="B405" t="s">
        <v>1960</v>
      </c>
      <c r="D405" t="s">
        <v>1134</v>
      </c>
    </row>
    <row r="406" spans="2:4">
      <c r="B406" t="s">
        <v>1962</v>
      </c>
      <c r="D406" t="s">
        <v>1134</v>
      </c>
    </row>
    <row r="407" spans="2:4">
      <c r="B407" t="s">
        <v>1964</v>
      </c>
      <c r="D407" t="s">
        <v>1134</v>
      </c>
    </row>
    <row r="408" spans="2:4">
      <c r="B408" t="s">
        <v>1966</v>
      </c>
      <c r="D408" t="s">
        <v>1134</v>
      </c>
    </row>
    <row r="409" spans="2:4">
      <c r="B409" t="s">
        <v>1968</v>
      </c>
      <c r="D409" t="s">
        <v>1134</v>
      </c>
    </row>
    <row r="410" spans="2:4">
      <c r="B410" t="s">
        <v>1970</v>
      </c>
      <c r="D410" t="s">
        <v>1134</v>
      </c>
    </row>
    <row r="411" spans="2:4">
      <c r="B411" t="s">
        <v>1972</v>
      </c>
      <c r="D411" t="s">
        <v>1134</v>
      </c>
    </row>
    <row r="412" spans="2:4">
      <c r="B412" t="s">
        <v>1974</v>
      </c>
      <c r="D412" t="s">
        <v>1134</v>
      </c>
    </row>
    <row r="413" spans="2:4">
      <c r="B413" t="s">
        <v>1976</v>
      </c>
      <c r="D413" t="s">
        <v>1134</v>
      </c>
    </row>
    <row r="414" spans="2:4">
      <c r="B414" t="s">
        <v>1978</v>
      </c>
      <c r="D414" t="s">
        <v>1134</v>
      </c>
    </row>
    <row r="415" spans="2:4">
      <c r="B415" t="s">
        <v>1980</v>
      </c>
      <c r="D415" t="s">
        <v>1134</v>
      </c>
    </row>
    <row r="416" spans="2:4">
      <c r="B416" t="s">
        <v>1982</v>
      </c>
      <c r="D416" t="s">
        <v>1134</v>
      </c>
    </row>
    <row r="417" spans="2:4">
      <c r="B417" t="s">
        <v>1984</v>
      </c>
      <c r="D417" t="s">
        <v>1134</v>
      </c>
    </row>
    <row r="418" spans="2:4">
      <c r="B418" t="s">
        <v>1986</v>
      </c>
      <c r="D418" t="s">
        <v>1134</v>
      </c>
    </row>
    <row r="419" spans="2:4">
      <c r="B419" t="s">
        <v>1988</v>
      </c>
      <c r="D419" t="s">
        <v>1134</v>
      </c>
    </row>
    <row r="420" spans="2:4">
      <c r="B420" t="s">
        <v>1990</v>
      </c>
      <c r="D420" t="s">
        <v>1134</v>
      </c>
    </row>
    <row r="421" spans="2:4">
      <c r="B421" t="s">
        <v>1992</v>
      </c>
      <c r="D421" t="s">
        <v>1134</v>
      </c>
    </row>
    <row r="422" spans="2:4">
      <c r="B422" t="s">
        <v>1994</v>
      </c>
      <c r="D422" t="s">
        <v>1134</v>
      </c>
    </row>
    <row r="423" spans="2:4">
      <c r="B423" t="s">
        <v>1996</v>
      </c>
      <c r="D423" t="s">
        <v>1134</v>
      </c>
    </row>
    <row r="424" spans="2:4">
      <c r="B424" t="s">
        <v>1998</v>
      </c>
      <c r="D424" t="s">
        <v>1134</v>
      </c>
    </row>
    <row r="425" spans="2:4">
      <c r="B425" t="s">
        <v>2000</v>
      </c>
      <c r="D425" t="s">
        <v>1134</v>
      </c>
    </row>
    <row r="426" spans="2:4">
      <c r="B426" t="s">
        <v>2002</v>
      </c>
      <c r="D426" t="s">
        <v>1134</v>
      </c>
    </row>
    <row r="427" spans="2:4">
      <c r="B427" t="s">
        <v>2004</v>
      </c>
      <c r="D427" t="s">
        <v>1134</v>
      </c>
    </row>
    <row r="428" spans="2:4">
      <c r="B428" t="s">
        <v>2006</v>
      </c>
      <c r="D428" t="s">
        <v>1134</v>
      </c>
    </row>
    <row r="429" spans="2:4">
      <c r="B429" t="s">
        <v>2008</v>
      </c>
      <c r="D429" t="s">
        <v>1134</v>
      </c>
    </row>
    <row r="430" spans="2:4">
      <c r="B430" t="s">
        <v>2010</v>
      </c>
      <c r="D430" t="s">
        <v>1134</v>
      </c>
    </row>
    <row r="431" spans="2:4">
      <c r="B431" t="s">
        <v>2012</v>
      </c>
      <c r="D431" t="s">
        <v>1134</v>
      </c>
    </row>
    <row r="432" spans="2:4">
      <c r="B432" t="s">
        <v>2014</v>
      </c>
      <c r="D432" t="s">
        <v>1134</v>
      </c>
    </row>
    <row r="433" spans="2:4">
      <c r="B433" t="s">
        <v>2016</v>
      </c>
      <c r="D433" t="s">
        <v>1134</v>
      </c>
    </row>
    <row r="434" spans="2:4">
      <c r="B434" t="s">
        <v>2018</v>
      </c>
      <c r="D434" t="s">
        <v>1134</v>
      </c>
    </row>
    <row r="435" spans="2:4">
      <c r="B435" t="s">
        <v>2020</v>
      </c>
      <c r="D435" t="s">
        <v>1134</v>
      </c>
    </row>
    <row r="436" spans="2:4">
      <c r="B436" t="s">
        <v>2022</v>
      </c>
      <c r="D436" t="s">
        <v>1134</v>
      </c>
    </row>
    <row r="437" spans="2:4">
      <c r="B437" t="s">
        <v>2024</v>
      </c>
      <c r="D437" t="s">
        <v>1134</v>
      </c>
    </row>
    <row r="438" spans="2:4">
      <c r="B438" t="s">
        <v>2026</v>
      </c>
      <c r="D438" t="s">
        <v>1134</v>
      </c>
    </row>
    <row r="439" spans="2:4">
      <c r="B439" t="s">
        <v>2028</v>
      </c>
      <c r="D439" t="s">
        <v>1134</v>
      </c>
    </row>
    <row r="440" spans="2:4">
      <c r="B440" t="s">
        <v>2030</v>
      </c>
      <c r="D440" t="s">
        <v>1134</v>
      </c>
    </row>
    <row r="441" spans="2:4">
      <c r="B441" t="s">
        <v>2032</v>
      </c>
      <c r="D441" t="s">
        <v>1134</v>
      </c>
    </row>
    <row r="442" spans="2:4">
      <c r="B442" t="s">
        <v>2034</v>
      </c>
      <c r="D442" t="s">
        <v>1134</v>
      </c>
    </row>
    <row r="443" spans="2:4">
      <c r="B443" t="s">
        <v>2035</v>
      </c>
      <c r="D443" t="s">
        <v>1134</v>
      </c>
    </row>
    <row r="444" spans="2:4">
      <c r="B444" t="s">
        <v>2036</v>
      </c>
      <c r="D444" t="s">
        <v>1134</v>
      </c>
    </row>
    <row r="445" spans="2:4">
      <c r="B445" t="s">
        <v>2037</v>
      </c>
      <c r="D445" t="s">
        <v>1134</v>
      </c>
    </row>
    <row r="446" spans="2:4">
      <c r="B446" t="s">
        <v>2038</v>
      </c>
      <c r="D446" t="s">
        <v>1134</v>
      </c>
    </row>
    <row r="447" spans="2:4">
      <c r="B447" t="s">
        <v>2039</v>
      </c>
      <c r="D447" t="s">
        <v>1134</v>
      </c>
    </row>
    <row r="448" spans="2:4">
      <c r="B448" t="s">
        <v>2040</v>
      </c>
      <c r="D448" t="s">
        <v>1134</v>
      </c>
    </row>
    <row r="449" spans="2:4">
      <c r="B449" t="s">
        <v>2041</v>
      </c>
      <c r="D449" t="s">
        <v>1134</v>
      </c>
    </row>
    <row r="450" spans="2:4">
      <c r="B450" t="s">
        <v>2042</v>
      </c>
      <c r="D450" t="s">
        <v>1134</v>
      </c>
    </row>
    <row r="451" spans="2:4">
      <c r="B451" t="s">
        <v>2043</v>
      </c>
      <c r="D451" t="s">
        <v>1134</v>
      </c>
    </row>
    <row r="452" spans="2:4">
      <c r="B452" t="s">
        <v>2044</v>
      </c>
      <c r="D452" t="s">
        <v>1134</v>
      </c>
    </row>
    <row r="453" spans="2:4">
      <c r="B453" t="s">
        <v>2045</v>
      </c>
      <c r="D453" t="s">
        <v>1134</v>
      </c>
    </row>
    <row r="454" spans="2:4">
      <c r="B454" t="s">
        <v>2046</v>
      </c>
      <c r="D454" t="s">
        <v>1134</v>
      </c>
    </row>
    <row r="455" spans="2:4">
      <c r="B455" t="s">
        <v>2047</v>
      </c>
      <c r="D455" t="s">
        <v>1134</v>
      </c>
    </row>
    <row r="456" spans="2:4">
      <c r="B456" t="s">
        <v>2048</v>
      </c>
      <c r="D456" t="s">
        <v>1134</v>
      </c>
    </row>
    <row r="457" spans="2:4">
      <c r="B457" t="s">
        <v>2049</v>
      </c>
      <c r="D457" t="s">
        <v>1134</v>
      </c>
    </row>
    <row r="458" spans="2:4">
      <c r="B458" t="s">
        <v>2050</v>
      </c>
      <c r="D458" t="s">
        <v>1134</v>
      </c>
    </row>
    <row r="459" spans="2:4">
      <c r="B459" t="s">
        <v>2052</v>
      </c>
      <c r="D459" t="s">
        <v>1134</v>
      </c>
    </row>
    <row r="460" spans="2:4">
      <c r="B460" t="s">
        <v>2054</v>
      </c>
      <c r="D460" t="s">
        <v>1134</v>
      </c>
    </row>
    <row r="461" spans="2:4">
      <c r="B461" t="s">
        <v>2056</v>
      </c>
      <c r="D461" t="s">
        <v>1134</v>
      </c>
    </row>
    <row r="462" spans="2:4">
      <c r="B462" t="s">
        <v>2058</v>
      </c>
      <c r="D462" t="s">
        <v>1134</v>
      </c>
    </row>
    <row r="463" spans="2:4">
      <c r="B463" t="s">
        <v>2060</v>
      </c>
      <c r="D463" t="s">
        <v>1134</v>
      </c>
    </row>
    <row r="464" spans="2:4">
      <c r="B464" t="s">
        <v>2062</v>
      </c>
      <c r="D464" t="s">
        <v>1134</v>
      </c>
    </row>
    <row r="465" spans="2:4">
      <c r="B465" t="s">
        <v>2064</v>
      </c>
      <c r="D465" t="s">
        <v>1134</v>
      </c>
    </row>
    <row r="466" spans="2:4">
      <c r="B466" t="s">
        <v>2066</v>
      </c>
      <c r="D466" t="s">
        <v>1134</v>
      </c>
    </row>
    <row r="467" spans="2:4">
      <c r="B467" t="s">
        <v>2068</v>
      </c>
      <c r="D467" t="s">
        <v>1134</v>
      </c>
    </row>
    <row r="468" spans="2:4">
      <c r="B468" t="s">
        <v>2070</v>
      </c>
      <c r="D468" t="s">
        <v>1134</v>
      </c>
    </row>
    <row r="469" spans="2:4">
      <c r="B469" t="s">
        <v>2072</v>
      </c>
      <c r="D469" t="s">
        <v>1134</v>
      </c>
    </row>
    <row r="470" spans="2:4">
      <c r="B470" t="s">
        <v>2074</v>
      </c>
      <c r="D470" t="s">
        <v>1134</v>
      </c>
    </row>
    <row r="471" spans="2:4">
      <c r="B471" t="s">
        <v>2076</v>
      </c>
      <c r="D471" t="s">
        <v>1134</v>
      </c>
    </row>
    <row r="472" spans="2:4">
      <c r="B472" t="s">
        <v>2078</v>
      </c>
      <c r="D472" t="s">
        <v>1134</v>
      </c>
    </row>
    <row r="473" spans="2:4">
      <c r="B473" t="s">
        <v>2080</v>
      </c>
      <c r="D473" t="s">
        <v>1134</v>
      </c>
    </row>
    <row r="474" spans="2:4">
      <c r="B474" t="s">
        <v>2082</v>
      </c>
      <c r="D474" t="s">
        <v>1134</v>
      </c>
    </row>
    <row r="475" spans="2:4">
      <c r="B475" t="s">
        <v>2084</v>
      </c>
      <c r="D475" t="s">
        <v>1134</v>
      </c>
    </row>
    <row r="476" spans="2:4">
      <c r="B476" t="s">
        <v>2086</v>
      </c>
      <c r="D476" t="s">
        <v>1134</v>
      </c>
    </row>
    <row r="477" spans="2:4">
      <c r="B477" t="s">
        <v>2088</v>
      </c>
      <c r="D477" t="s">
        <v>1134</v>
      </c>
    </row>
  </sheetData>
  <pageMargins left="0.7" right="0.7" top="0.75" bottom="0.75" header="0.3" footer="0.3"/>
  <pageSetup paperSize="9" orientation="portrait" horizontalDpi="300" verticalDpi="300" r:id="rId1"/>
  <customProperties>
    <customPr name="LIVENUMBERS" r:id="rId2"/>
    <customPr name="Password" r:id="rId3"/>
    <customPr name="Qube.Worksheet.Visibility" r:id="rId4"/>
    <customPr name="REORDER" r:id="rId5"/>
    <customPr name="SHEET_UNIQUE_ID" r:id="rId6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"/>
  <sheetViews>
    <sheetView workbookViewId="0"/>
  </sheetViews>
  <sheetFormatPr defaultRowHeight="12.75"/>
  <sheetData/>
  <pageMargins left="0.7" right="0.7" top="0.75" bottom="0.75" header="0.3" footer="0.3"/>
  <pageSetup paperSize="9" orientation="portrait" horizontalDpi="300" verticalDpi="300" r:id="rId1"/>
  <customProperties>
    <customPr name="Qube.Worksheet.Visibility" r:id="rId2"/>
    <customPr name="SHEET_UNIQUE_ID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F1:P1"/>
  <sheetViews>
    <sheetView workbookViewId="0"/>
  </sheetViews>
  <sheetFormatPr defaultRowHeight="12.75"/>
  <cols>
    <col min="6" max="6" width="10" style="152" bestFit="1" customWidth="1"/>
    <col min="7" max="8" width="9.5" style="152" bestFit="1" customWidth="1"/>
    <col min="9" max="9" width="8.875" style="152" customWidth="1"/>
    <col min="10" max="12" width="9.625" style="152" bestFit="1" customWidth="1"/>
    <col min="13" max="16" width="9.5" style="152" bestFit="1" customWidth="1"/>
  </cols>
  <sheetData/>
  <dataValidations count="3">
    <dataValidation type="list" allowBlank="1" showInputMessage="1" showErrorMessage="1" sqref="F983051:I983052 F917515:I917516 F851979:I851980 F786443:I786444 F720907:I720908 F655371:I655372 F589835:I589836 F524299:I524300 F458763:I458764 F393227:I393228 F327691:I327692 F262155:I262156 F196619:I196620 F131083:I131084 F65547:I65548" xr:uid="{00000000-0002-0000-0200-000000000000}">
      <formula1>"Buy,Sell,(remove)"</formula1>
    </dataValidation>
    <dataValidation type="list" allowBlank="1" showInputMessage="1" showErrorMessage="1" sqref="F983053:I983053 F917517:I917517 F851981:I851981 F786445:I786445 F720909:I720909 F655373:I655373 F589837:I589837 F524301:I524301 F458765:I458765 F393229:I393229 F327693:I327693 F262157:I262157 F196621:I196621 F131085:I131085 F65549:I65549" xr:uid="{00000000-0002-0000-0200-000001000000}">
      <formula1>"Not Rated,Coverage Suspended,Rating Suspended,(remove)"</formula1>
    </dataValidation>
    <dataValidation type="list" allowBlank="1" showInputMessage="1" showErrorMessage="1" sqref="F983055:I983055 F917519:I917519 F851983:I851983 F786447:I786447 F720911:I720911 F655375:I655375 F589839:I589839 F524303:I524303 F458767:I458767 F393231:I393231 F327695:I327695 F262159:I262159 F196623:I196623 F131087:I131087 F65551:I65551" xr:uid="{00000000-0002-0000-0200-000002000000}">
      <formula1>"6 months,12 months,18 months,2 years,1 month,3 months,9 months,3 years,(remove)"</formula1>
    </dataValidation>
  </dataValidations>
  <pageMargins left="0.7" right="0.7" top="0.75" bottom="0.75" header="0.3" footer="0.3"/>
  <pageSetup paperSize="9" orientation="portrait" horizontalDpi="300" verticalDpi="300" r:id="rId1"/>
  <customProperties>
    <customPr name="Qube.Worksheet.Visibility" r:id="rId2"/>
    <customPr name="SHEET_UNIQUE_ID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2:S7"/>
  <sheetViews>
    <sheetView showGridLines="0" workbookViewId="0">
      <pane xSplit="3" ySplit="3" topLeftCell="D4" activePane="bottomRight" state="frozenSplit"/>
      <selection pane="topRight" activeCell="D1" sqref="D1"/>
      <selection pane="bottomLeft" activeCell="A4" sqref="A4"/>
      <selection pane="bottomRight" activeCell="D4" sqref="D4"/>
    </sheetView>
  </sheetViews>
  <sheetFormatPr defaultColWidth="9" defaultRowHeight="15"/>
  <cols>
    <col min="1" max="1" width="22.875" style="287" customWidth="1"/>
    <col min="2" max="2" width="14" style="287" customWidth="1"/>
    <col min="3" max="3" width="23.375" style="287" customWidth="1"/>
    <col min="4" max="4" width="9.25" style="287" customWidth="1"/>
    <col min="5" max="5" width="55.5" style="287" customWidth="1"/>
    <col min="6" max="6" width="35.75" style="287" customWidth="1"/>
    <col min="7" max="7" width="26.125" style="287" customWidth="1"/>
    <col min="8" max="8" width="22.875" style="287" customWidth="1"/>
    <col min="9" max="16384" width="9" style="287"/>
  </cols>
  <sheetData>
    <row r="2" spans="1:19" ht="26.25">
      <c r="B2" s="788" t="s">
        <v>2457</v>
      </c>
      <c r="C2" s="788"/>
      <c r="D2" s="788"/>
      <c r="E2" s="788"/>
      <c r="F2" s="292" t="str">
        <f>HYPERLINK("[NAB_model.xlsm]NAB.AX_Exchange_Sheet!$A$1","NAB.AX_Exchange_Sheet")</f>
        <v>NAB.AX_Exchange_Sheet</v>
      </c>
    </row>
    <row r="3" spans="1:19" ht="23.25">
      <c r="B3" s="288" t="s">
        <v>2462</v>
      </c>
      <c r="C3" s="288"/>
      <c r="D3" s="288"/>
      <c r="E3" s="288"/>
      <c r="F3" s="293" t="str">
        <f>HYPERLINK("[NAB_model.xlsm]QP_NAB.AX_migrated!$A$1","QP_NAB.AX_migrated")</f>
        <v>QP_NAB.AX_migrated</v>
      </c>
    </row>
    <row r="5" spans="1:19" ht="26.25">
      <c r="A5" s="289"/>
      <c r="B5" s="789" t="s">
        <v>2458</v>
      </c>
      <c r="C5" s="790"/>
      <c r="D5" s="790"/>
      <c r="E5" s="790"/>
      <c r="F5" s="790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</row>
    <row r="6" spans="1:19">
      <c r="B6" s="290" t="s">
        <v>2459</v>
      </c>
      <c r="C6" s="791" t="s">
        <v>2460</v>
      </c>
      <c r="D6" s="792"/>
      <c r="E6" s="793" t="s">
        <v>2461</v>
      </c>
      <c r="F6" s="792"/>
    </row>
    <row r="7" spans="1:19">
      <c r="C7" s="291"/>
      <c r="D7" s="291"/>
    </row>
  </sheetData>
  <mergeCells count="4">
    <mergeCell ref="B2:E2"/>
    <mergeCell ref="B5:F5"/>
    <mergeCell ref="C6:D6"/>
    <mergeCell ref="E6:F6"/>
  </mergeCells>
  <conditionalFormatting sqref="B2:E2">
    <cfRule type="containsText" dxfId="0" priority="1" operator="containsText" text="error">
      <formula>NOT(ISERROR(SEARCH("error",B2)))</formula>
    </cfRule>
  </conditionalFormatting>
  <pageMargins left="0.7" right="0.7" top="0.75" bottom="0.75" header="0.3" footer="0.3"/>
  <pageSetup orientation="portrait" r:id="rId1"/>
  <customProperties>
    <customPr name="Qube.Worksheet.Visibility" r:id="rId2"/>
    <customPr name="SHEET_UNIQUE_ID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AD538"/>
  <sheetViews>
    <sheetView showGridLines="0" zoomScale="85" zoomScaleNormal="85"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ColWidth="8" defaultRowHeight="12.75"/>
  <cols>
    <col min="1" max="1" width="3.25" style="152" customWidth="1"/>
    <col min="2" max="2" width="22.5" style="152" customWidth="1"/>
    <col min="3" max="3" width="34.25" style="152" bestFit="1" customWidth="1"/>
    <col min="4" max="4" width="8" style="152" customWidth="1"/>
    <col min="5" max="5" width="15.5" style="152" bestFit="1" customWidth="1"/>
    <col min="17" max="26" width="8.75" style="152" customWidth="1"/>
    <col min="27" max="27" width="8" style="152" customWidth="1"/>
    <col min="28" max="30" width="8.875" style="152" customWidth="1"/>
    <col min="31" max="259" width="8" style="152"/>
    <col min="260" max="260" width="3.25" style="152" customWidth="1"/>
    <col min="261" max="261" width="22.5" style="152" customWidth="1"/>
    <col min="262" max="262" width="34.25" style="152" bestFit="1" customWidth="1"/>
    <col min="263" max="263" width="8" style="152" customWidth="1"/>
    <col min="264" max="264" width="15.5" style="152" bestFit="1" customWidth="1"/>
    <col min="265" max="267" width="8.875" style="152" bestFit="1" customWidth="1"/>
    <col min="268" max="268" width="8.875" style="152" customWidth="1"/>
    <col min="269" max="274" width="8.875" style="152" bestFit="1" customWidth="1"/>
    <col min="275" max="284" width="8.75" style="152" customWidth="1"/>
    <col min="285" max="285" width="8" style="152" customWidth="1"/>
    <col min="286" max="286" width="8.875" style="152" customWidth="1"/>
    <col min="287" max="515" width="8" style="152"/>
    <col min="516" max="516" width="3.25" style="152" customWidth="1"/>
    <col min="517" max="517" width="22.5" style="152" customWidth="1"/>
    <col min="518" max="518" width="34.25" style="152" bestFit="1" customWidth="1"/>
    <col min="519" max="519" width="8" style="152" customWidth="1"/>
    <col min="520" max="520" width="15.5" style="152" bestFit="1" customWidth="1"/>
    <col min="521" max="523" width="8.875" style="152" bestFit="1" customWidth="1"/>
    <col min="524" max="524" width="8.875" style="152" customWidth="1"/>
    <col min="525" max="530" width="8.875" style="152" bestFit="1" customWidth="1"/>
    <col min="531" max="540" width="8.75" style="152" customWidth="1"/>
    <col min="541" max="541" width="8" style="152" customWidth="1"/>
    <col min="542" max="542" width="8.875" style="152" customWidth="1"/>
    <col min="543" max="771" width="8" style="152"/>
    <col min="772" max="772" width="3.25" style="152" customWidth="1"/>
    <col min="773" max="773" width="22.5" style="152" customWidth="1"/>
    <col min="774" max="774" width="34.25" style="152" bestFit="1" customWidth="1"/>
    <col min="775" max="775" width="8" style="152" customWidth="1"/>
    <col min="776" max="776" width="15.5" style="152" bestFit="1" customWidth="1"/>
    <col min="777" max="779" width="8.875" style="152" bestFit="1" customWidth="1"/>
    <col min="780" max="780" width="8.875" style="152" customWidth="1"/>
    <col min="781" max="786" width="8.875" style="152" bestFit="1" customWidth="1"/>
    <col min="787" max="796" width="8.75" style="152" customWidth="1"/>
    <col min="797" max="797" width="8" style="152" customWidth="1"/>
    <col min="798" max="798" width="8.875" style="152" customWidth="1"/>
    <col min="799" max="1027" width="8" style="152"/>
    <col min="1028" max="1028" width="3.25" style="152" customWidth="1"/>
    <col min="1029" max="1029" width="22.5" style="152" customWidth="1"/>
    <col min="1030" max="1030" width="34.25" style="152" bestFit="1" customWidth="1"/>
    <col min="1031" max="1031" width="8" style="152" customWidth="1"/>
    <col min="1032" max="1032" width="15.5" style="152" bestFit="1" customWidth="1"/>
    <col min="1033" max="1035" width="8.875" style="152" bestFit="1" customWidth="1"/>
    <col min="1036" max="1036" width="8.875" style="152" customWidth="1"/>
    <col min="1037" max="1042" width="8.875" style="152" bestFit="1" customWidth="1"/>
    <col min="1043" max="1052" width="8.75" style="152" customWidth="1"/>
    <col min="1053" max="1053" width="8" style="152" customWidth="1"/>
    <col min="1054" max="1054" width="8.875" style="152" customWidth="1"/>
    <col min="1055" max="1283" width="8" style="152"/>
    <col min="1284" max="1284" width="3.25" style="152" customWidth="1"/>
    <col min="1285" max="1285" width="22.5" style="152" customWidth="1"/>
    <col min="1286" max="1286" width="34.25" style="152" bestFit="1" customWidth="1"/>
    <col min="1287" max="1287" width="8" style="152" customWidth="1"/>
    <col min="1288" max="1288" width="15.5" style="152" bestFit="1" customWidth="1"/>
    <col min="1289" max="1291" width="8.875" style="152" bestFit="1" customWidth="1"/>
    <col min="1292" max="1292" width="8.875" style="152" customWidth="1"/>
    <col min="1293" max="1298" width="8.875" style="152" bestFit="1" customWidth="1"/>
    <col min="1299" max="1308" width="8.75" style="152" customWidth="1"/>
    <col min="1309" max="1309" width="8" style="152" customWidth="1"/>
    <col min="1310" max="1310" width="8.875" style="152" customWidth="1"/>
    <col min="1311" max="1539" width="8" style="152"/>
    <col min="1540" max="1540" width="3.25" style="152" customWidth="1"/>
    <col min="1541" max="1541" width="22.5" style="152" customWidth="1"/>
    <col min="1542" max="1542" width="34.25" style="152" bestFit="1" customWidth="1"/>
    <col min="1543" max="1543" width="8" style="152" customWidth="1"/>
    <col min="1544" max="1544" width="15.5" style="152" bestFit="1" customWidth="1"/>
    <col min="1545" max="1547" width="8.875" style="152" bestFit="1" customWidth="1"/>
    <col min="1548" max="1548" width="8.875" style="152" customWidth="1"/>
    <col min="1549" max="1554" width="8.875" style="152" bestFit="1" customWidth="1"/>
    <col min="1555" max="1564" width="8.75" style="152" customWidth="1"/>
    <col min="1565" max="1565" width="8" style="152" customWidth="1"/>
    <col min="1566" max="1566" width="8.875" style="152" customWidth="1"/>
    <col min="1567" max="1795" width="8" style="152"/>
    <col min="1796" max="1796" width="3.25" style="152" customWidth="1"/>
    <col min="1797" max="1797" width="22.5" style="152" customWidth="1"/>
    <col min="1798" max="1798" width="34.25" style="152" bestFit="1" customWidth="1"/>
    <col min="1799" max="1799" width="8" style="152" customWidth="1"/>
    <col min="1800" max="1800" width="15.5" style="152" bestFit="1" customWidth="1"/>
    <col min="1801" max="1803" width="8.875" style="152" bestFit="1" customWidth="1"/>
    <col min="1804" max="1804" width="8.875" style="152" customWidth="1"/>
    <col min="1805" max="1810" width="8.875" style="152" bestFit="1" customWidth="1"/>
    <col min="1811" max="1820" width="8.75" style="152" customWidth="1"/>
    <col min="1821" max="1821" width="8" style="152" customWidth="1"/>
    <col min="1822" max="1822" width="8.875" style="152" customWidth="1"/>
    <col min="1823" max="2051" width="8" style="152"/>
    <col min="2052" max="2052" width="3.25" style="152" customWidth="1"/>
    <col min="2053" max="2053" width="22.5" style="152" customWidth="1"/>
    <col min="2054" max="2054" width="34.25" style="152" bestFit="1" customWidth="1"/>
    <col min="2055" max="2055" width="8" style="152" customWidth="1"/>
    <col min="2056" max="2056" width="15.5" style="152" bestFit="1" customWidth="1"/>
    <col min="2057" max="2059" width="8.875" style="152" bestFit="1" customWidth="1"/>
    <col min="2060" max="2060" width="8.875" style="152" customWidth="1"/>
    <col min="2061" max="2066" width="8.875" style="152" bestFit="1" customWidth="1"/>
    <col min="2067" max="2076" width="8.75" style="152" customWidth="1"/>
    <col min="2077" max="2077" width="8" style="152" customWidth="1"/>
    <col min="2078" max="2078" width="8.875" style="152" customWidth="1"/>
    <col min="2079" max="2307" width="8" style="152"/>
    <col min="2308" max="2308" width="3.25" style="152" customWidth="1"/>
    <col min="2309" max="2309" width="22.5" style="152" customWidth="1"/>
    <col min="2310" max="2310" width="34.25" style="152" bestFit="1" customWidth="1"/>
    <col min="2311" max="2311" width="8" style="152" customWidth="1"/>
    <col min="2312" max="2312" width="15.5" style="152" bestFit="1" customWidth="1"/>
    <col min="2313" max="2315" width="8.875" style="152" bestFit="1" customWidth="1"/>
    <col min="2316" max="2316" width="8.875" style="152" customWidth="1"/>
    <col min="2317" max="2322" width="8.875" style="152" bestFit="1" customWidth="1"/>
    <col min="2323" max="2332" width="8.75" style="152" customWidth="1"/>
    <col min="2333" max="2333" width="8" style="152" customWidth="1"/>
    <col min="2334" max="2334" width="8.875" style="152" customWidth="1"/>
    <col min="2335" max="2563" width="8" style="152"/>
    <col min="2564" max="2564" width="3.25" style="152" customWidth="1"/>
    <col min="2565" max="2565" width="22.5" style="152" customWidth="1"/>
    <col min="2566" max="2566" width="34.25" style="152" bestFit="1" customWidth="1"/>
    <col min="2567" max="2567" width="8" style="152" customWidth="1"/>
    <col min="2568" max="2568" width="15.5" style="152" bestFit="1" customWidth="1"/>
    <col min="2569" max="2571" width="8.875" style="152" bestFit="1" customWidth="1"/>
    <col min="2572" max="2572" width="8.875" style="152" customWidth="1"/>
    <col min="2573" max="2578" width="8.875" style="152" bestFit="1" customWidth="1"/>
    <col min="2579" max="2588" width="8.75" style="152" customWidth="1"/>
    <col min="2589" max="2589" width="8" style="152" customWidth="1"/>
    <col min="2590" max="2590" width="8.875" style="152" customWidth="1"/>
    <col min="2591" max="2819" width="8" style="152"/>
    <col min="2820" max="2820" width="3.25" style="152" customWidth="1"/>
    <col min="2821" max="2821" width="22.5" style="152" customWidth="1"/>
    <col min="2822" max="2822" width="34.25" style="152" bestFit="1" customWidth="1"/>
    <col min="2823" max="2823" width="8" style="152" customWidth="1"/>
    <col min="2824" max="2824" width="15.5" style="152" bestFit="1" customWidth="1"/>
    <col min="2825" max="2827" width="8.875" style="152" bestFit="1" customWidth="1"/>
    <col min="2828" max="2828" width="8.875" style="152" customWidth="1"/>
    <col min="2829" max="2834" width="8.875" style="152" bestFit="1" customWidth="1"/>
    <col min="2835" max="2844" width="8.75" style="152" customWidth="1"/>
    <col min="2845" max="2845" width="8" style="152" customWidth="1"/>
    <col min="2846" max="2846" width="8.875" style="152" customWidth="1"/>
    <col min="2847" max="3075" width="8" style="152"/>
    <col min="3076" max="3076" width="3.25" style="152" customWidth="1"/>
    <col min="3077" max="3077" width="22.5" style="152" customWidth="1"/>
    <col min="3078" max="3078" width="34.25" style="152" bestFit="1" customWidth="1"/>
    <col min="3079" max="3079" width="8" style="152" customWidth="1"/>
    <col min="3080" max="3080" width="15.5" style="152" bestFit="1" customWidth="1"/>
    <col min="3081" max="3083" width="8.875" style="152" bestFit="1" customWidth="1"/>
    <col min="3084" max="3084" width="8.875" style="152" customWidth="1"/>
    <col min="3085" max="3090" width="8.875" style="152" bestFit="1" customWidth="1"/>
    <col min="3091" max="3100" width="8.75" style="152" customWidth="1"/>
    <col min="3101" max="3101" width="8" style="152" customWidth="1"/>
    <col min="3102" max="3102" width="8.875" style="152" customWidth="1"/>
    <col min="3103" max="3331" width="8" style="152"/>
    <col min="3332" max="3332" width="3.25" style="152" customWidth="1"/>
    <col min="3333" max="3333" width="22.5" style="152" customWidth="1"/>
    <col min="3334" max="3334" width="34.25" style="152" bestFit="1" customWidth="1"/>
    <col min="3335" max="3335" width="8" style="152" customWidth="1"/>
    <col min="3336" max="3336" width="15.5" style="152" bestFit="1" customWidth="1"/>
    <col min="3337" max="3339" width="8.875" style="152" bestFit="1" customWidth="1"/>
    <col min="3340" max="3340" width="8.875" style="152" customWidth="1"/>
    <col min="3341" max="3346" width="8.875" style="152" bestFit="1" customWidth="1"/>
    <col min="3347" max="3356" width="8.75" style="152" customWidth="1"/>
    <col min="3357" max="3357" width="8" style="152" customWidth="1"/>
    <col min="3358" max="3358" width="8.875" style="152" customWidth="1"/>
    <col min="3359" max="3587" width="8" style="152"/>
    <col min="3588" max="3588" width="3.25" style="152" customWidth="1"/>
    <col min="3589" max="3589" width="22.5" style="152" customWidth="1"/>
    <col min="3590" max="3590" width="34.25" style="152" bestFit="1" customWidth="1"/>
    <col min="3591" max="3591" width="8" style="152" customWidth="1"/>
    <col min="3592" max="3592" width="15.5" style="152" bestFit="1" customWidth="1"/>
    <col min="3593" max="3595" width="8.875" style="152" bestFit="1" customWidth="1"/>
    <col min="3596" max="3596" width="8.875" style="152" customWidth="1"/>
    <col min="3597" max="3602" width="8.875" style="152" bestFit="1" customWidth="1"/>
    <col min="3603" max="3612" width="8.75" style="152" customWidth="1"/>
    <col min="3613" max="3613" width="8" style="152" customWidth="1"/>
    <col min="3614" max="3614" width="8.875" style="152" customWidth="1"/>
    <col min="3615" max="3843" width="8" style="152"/>
    <col min="3844" max="3844" width="3.25" style="152" customWidth="1"/>
    <col min="3845" max="3845" width="22.5" style="152" customWidth="1"/>
    <col min="3846" max="3846" width="34.25" style="152" bestFit="1" customWidth="1"/>
    <col min="3847" max="3847" width="8" style="152" customWidth="1"/>
    <col min="3848" max="3848" width="15.5" style="152" bestFit="1" customWidth="1"/>
    <col min="3849" max="3851" width="8.875" style="152" bestFit="1" customWidth="1"/>
    <col min="3852" max="3852" width="8.875" style="152" customWidth="1"/>
    <col min="3853" max="3858" width="8.875" style="152" bestFit="1" customWidth="1"/>
    <col min="3859" max="3868" width="8.75" style="152" customWidth="1"/>
    <col min="3869" max="3869" width="8" style="152" customWidth="1"/>
    <col min="3870" max="3870" width="8.875" style="152" customWidth="1"/>
    <col min="3871" max="4099" width="8" style="152"/>
    <col min="4100" max="4100" width="3.25" style="152" customWidth="1"/>
    <col min="4101" max="4101" width="22.5" style="152" customWidth="1"/>
    <col min="4102" max="4102" width="34.25" style="152" bestFit="1" customWidth="1"/>
    <col min="4103" max="4103" width="8" style="152" customWidth="1"/>
    <col min="4104" max="4104" width="15.5" style="152" bestFit="1" customWidth="1"/>
    <col min="4105" max="4107" width="8.875" style="152" bestFit="1" customWidth="1"/>
    <col min="4108" max="4108" width="8.875" style="152" customWidth="1"/>
    <col min="4109" max="4114" width="8.875" style="152" bestFit="1" customWidth="1"/>
    <col min="4115" max="4124" width="8.75" style="152" customWidth="1"/>
    <col min="4125" max="4125" width="8" style="152" customWidth="1"/>
    <col min="4126" max="4126" width="8.875" style="152" customWidth="1"/>
    <col min="4127" max="4355" width="8" style="152"/>
    <col min="4356" max="4356" width="3.25" style="152" customWidth="1"/>
    <col min="4357" max="4357" width="22.5" style="152" customWidth="1"/>
    <col min="4358" max="4358" width="34.25" style="152" bestFit="1" customWidth="1"/>
    <col min="4359" max="4359" width="8" style="152" customWidth="1"/>
    <col min="4360" max="4360" width="15.5" style="152" bestFit="1" customWidth="1"/>
    <col min="4361" max="4363" width="8.875" style="152" bestFit="1" customWidth="1"/>
    <col min="4364" max="4364" width="8.875" style="152" customWidth="1"/>
    <col min="4365" max="4370" width="8.875" style="152" bestFit="1" customWidth="1"/>
    <col min="4371" max="4380" width="8.75" style="152" customWidth="1"/>
    <col min="4381" max="4381" width="8" style="152" customWidth="1"/>
    <col min="4382" max="4382" width="8.875" style="152" customWidth="1"/>
    <col min="4383" max="4611" width="8" style="152"/>
    <col min="4612" max="4612" width="3.25" style="152" customWidth="1"/>
    <col min="4613" max="4613" width="22.5" style="152" customWidth="1"/>
    <col min="4614" max="4614" width="34.25" style="152" bestFit="1" customWidth="1"/>
    <col min="4615" max="4615" width="8" style="152" customWidth="1"/>
    <col min="4616" max="4616" width="15.5" style="152" bestFit="1" customWidth="1"/>
    <col min="4617" max="4619" width="8.875" style="152" bestFit="1" customWidth="1"/>
    <col min="4620" max="4620" width="8.875" style="152" customWidth="1"/>
    <col min="4621" max="4626" width="8.875" style="152" bestFit="1" customWidth="1"/>
    <col min="4627" max="4636" width="8.75" style="152" customWidth="1"/>
    <col min="4637" max="4637" width="8" style="152" customWidth="1"/>
    <col min="4638" max="4638" width="8.875" style="152" customWidth="1"/>
    <col min="4639" max="4867" width="8" style="152"/>
    <col min="4868" max="4868" width="3.25" style="152" customWidth="1"/>
    <col min="4869" max="4869" width="22.5" style="152" customWidth="1"/>
    <col min="4870" max="4870" width="34.25" style="152" bestFit="1" customWidth="1"/>
    <col min="4871" max="4871" width="8" style="152" customWidth="1"/>
    <col min="4872" max="4872" width="15.5" style="152" bestFit="1" customWidth="1"/>
    <col min="4873" max="4875" width="8.875" style="152" bestFit="1" customWidth="1"/>
    <col min="4876" max="4876" width="8.875" style="152" customWidth="1"/>
    <col min="4877" max="4882" width="8.875" style="152" bestFit="1" customWidth="1"/>
    <col min="4883" max="4892" width="8.75" style="152" customWidth="1"/>
    <col min="4893" max="4893" width="8" style="152" customWidth="1"/>
    <col min="4894" max="4894" width="8.875" style="152" customWidth="1"/>
    <col min="4895" max="5123" width="8" style="152"/>
    <col min="5124" max="5124" width="3.25" style="152" customWidth="1"/>
    <col min="5125" max="5125" width="22.5" style="152" customWidth="1"/>
    <col min="5126" max="5126" width="34.25" style="152" bestFit="1" customWidth="1"/>
    <col min="5127" max="5127" width="8" style="152" customWidth="1"/>
    <col min="5128" max="5128" width="15.5" style="152" bestFit="1" customWidth="1"/>
    <col min="5129" max="5131" width="8.875" style="152" bestFit="1" customWidth="1"/>
    <col min="5132" max="5132" width="8.875" style="152" customWidth="1"/>
    <col min="5133" max="5138" width="8.875" style="152" bestFit="1" customWidth="1"/>
    <col min="5139" max="5148" width="8.75" style="152" customWidth="1"/>
    <col min="5149" max="5149" width="8" style="152" customWidth="1"/>
    <col min="5150" max="5150" width="8.875" style="152" customWidth="1"/>
    <col min="5151" max="5379" width="8" style="152"/>
    <col min="5380" max="5380" width="3.25" style="152" customWidth="1"/>
    <col min="5381" max="5381" width="22.5" style="152" customWidth="1"/>
    <col min="5382" max="5382" width="34.25" style="152" bestFit="1" customWidth="1"/>
    <col min="5383" max="5383" width="8" style="152" customWidth="1"/>
    <col min="5384" max="5384" width="15.5" style="152" bestFit="1" customWidth="1"/>
    <col min="5385" max="5387" width="8.875" style="152" bestFit="1" customWidth="1"/>
    <col min="5388" max="5388" width="8.875" style="152" customWidth="1"/>
    <col min="5389" max="5394" width="8.875" style="152" bestFit="1" customWidth="1"/>
    <col min="5395" max="5404" width="8.75" style="152" customWidth="1"/>
    <col min="5405" max="5405" width="8" style="152" customWidth="1"/>
    <col min="5406" max="5406" width="8.875" style="152" customWidth="1"/>
    <col min="5407" max="5635" width="8" style="152"/>
    <col min="5636" max="5636" width="3.25" style="152" customWidth="1"/>
    <col min="5637" max="5637" width="22.5" style="152" customWidth="1"/>
    <col min="5638" max="5638" width="34.25" style="152" bestFit="1" customWidth="1"/>
    <col min="5639" max="5639" width="8" style="152" customWidth="1"/>
    <col min="5640" max="5640" width="15.5" style="152" bestFit="1" customWidth="1"/>
    <col min="5641" max="5643" width="8.875" style="152" bestFit="1" customWidth="1"/>
    <col min="5644" max="5644" width="8.875" style="152" customWidth="1"/>
    <col min="5645" max="5650" width="8.875" style="152" bestFit="1" customWidth="1"/>
    <col min="5651" max="5660" width="8.75" style="152" customWidth="1"/>
    <col min="5661" max="5661" width="8" style="152" customWidth="1"/>
    <col min="5662" max="5662" width="8.875" style="152" customWidth="1"/>
    <col min="5663" max="5891" width="8" style="152"/>
    <col min="5892" max="5892" width="3.25" style="152" customWidth="1"/>
    <col min="5893" max="5893" width="22.5" style="152" customWidth="1"/>
    <col min="5894" max="5894" width="34.25" style="152" bestFit="1" customWidth="1"/>
    <col min="5895" max="5895" width="8" style="152" customWidth="1"/>
    <col min="5896" max="5896" width="15.5" style="152" bestFit="1" customWidth="1"/>
    <col min="5897" max="5899" width="8.875" style="152" bestFit="1" customWidth="1"/>
    <col min="5900" max="5900" width="8.875" style="152" customWidth="1"/>
    <col min="5901" max="5906" width="8.875" style="152" bestFit="1" customWidth="1"/>
    <col min="5907" max="5916" width="8.75" style="152" customWidth="1"/>
    <col min="5917" max="5917" width="8" style="152" customWidth="1"/>
    <col min="5918" max="5918" width="8.875" style="152" customWidth="1"/>
    <col min="5919" max="6147" width="8" style="152"/>
    <col min="6148" max="6148" width="3.25" style="152" customWidth="1"/>
    <col min="6149" max="6149" width="22.5" style="152" customWidth="1"/>
    <col min="6150" max="6150" width="34.25" style="152" bestFit="1" customWidth="1"/>
    <col min="6151" max="6151" width="8" style="152" customWidth="1"/>
    <col min="6152" max="6152" width="15.5" style="152" bestFit="1" customWidth="1"/>
    <col min="6153" max="6155" width="8.875" style="152" bestFit="1" customWidth="1"/>
    <col min="6156" max="6156" width="8.875" style="152" customWidth="1"/>
    <col min="6157" max="6162" width="8.875" style="152" bestFit="1" customWidth="1"/>
    <col min="6163" max="6172" width="8.75" style="152" customWidth="1"/>
    <col min="6173" max="6173" width="8" style="152" customWidth="1"/>
    <col min="6174" max="6174" width="8.875" style="152" customWidth="1"/>
    <col min="6175" max="6403" width="8" style="152"/>
    <col min="6404" max="6404" width="3.25" style="152" customWidth="1"/>
    <col min="6405" max="6405" width="22.5" style="152" customWidth="1"/>
    <col min="6406" max="6406" width="34.25" style="152" bestFit="1" customWidth="1"/>
    <col min="6407" max="6407" width="8" style="152" customWidth="1"/>
    <col min="6408" max="6408" width="15.5" style="152" bestFit="1" customWidth="1"/>
    <col min="6409" max="6411" width="8.875" style="152" bestFit="1" customWidth="1"/>
    <col min="6412" max="6412" width="8.875" style="152" customWidth="1"/>
    <col min="6413" max="6418" width="8.875" style="152" bestFit="1" customWidth="1"/>
    <col min="6419" max="6428" width="8.75" style="152" customWidth="1"/>
    <col min="6429" max="6429" width="8" style="152" customWidth="1"/>
    <col min="6430" max="6430" width="8.875" style="152" customWidth="1"/>
    <col min="6431" max="6659" width="8" style="152"/>
    <col min="6660" max="6660" width="3.25" style="152" customWidth="1"/>
    <col min="6661" max="6661" width="22.5" style="152" customWidth="1"/>
    <col min="6662" max="6662" width="34.25" style="152" bestFit="1" customWidth="1"/>
    <col min="6663" max="6663" width="8" style="152" customWidth="1"/>
    <col min="6664" max="6664" width="15.5" style="152" bestFit="1" customWidth="1"/>
    <col min="6665" max="6667" width="8.875" style="152" bestFit="1" customWidth="1"/>
    <col min="6668" max="6668" width="8.875" style="152" customWidth="1"/>
    <col min="6669" max="6674" width="8.875" style="152" bestFit="1" customWidth="1"/>
    <col min="6675" max="6684" width="8.75" style="152" customWidth="1"/>
    <col min="6685" max="6685" width="8" style="152" customWidth="1"/>
    <col min="6686" max="6686" width="8.875" style="152" customWidth="1"/>
    <col min="6687" max="6915" width="8" style="152"/>
    <col min="6916" max="6916" width="3.25" style="152" customWidth="1"/>
    <col min="6917" max="6917" width="22.5" style="152" customWidth="1"/>
    <col min="6918" max="6918" width="34.25" style="152" bestFit="1" customWidth="1"/>
    <col min="6919" max="6919" width="8" style="152" customWidth="1"/>
    <col min="6920" max="6920" width="15.5" style="152" bestFit="1" customWidth="1"/>
    <col min="6921" max="6923" width="8.875" style="152" bestFit="1" customWidth="1"/>
    <col min="6924" max="6924" width="8.875" style="152" customWidth="1"/>
    <col min="6925" max="6930" width="8.875" style="152" bestFit="1" customWidth="1"/>
    <col min="6931" max="6940" width="8.75" style="152" customWidth="1"/>
    <col min="6941" max="6941" width="8" style="152" customWidth="1"/>
    <col min="6942" max="6942" width="8.875" style="152" customWidth="1"/>
    <col min="6943" max="7171" width="8" style="152"/>
    <col min="7172" max="7172" width="3.25" style="152" customWidth="1"/>
    <col min="7173" max="7173" width="22.5" style="152" customWidth="1"/>
    <col min="7174" max="7174" width="34.25" style="152" bestFit="1" customWidth="1"/>
    <col min="7175" max="7175" width="8" style="152" customWidth="1"/>
    <col min="7176" max="7176" width="15.5" style="152" bestFit="1" customWidth="1"/>
    <col min="7177" max="7179" width="8.875" style="152" bestFit="1" customWidth="1"/>
    <col min="7180" max="7180" width="8.875" style="152" customWidth="1"/>
    <col min="7181" max="7186" width="8.875" style="152" bestFit="1" customWidth="1"/>
    <col min="7187" max="7196" width="8.75" style="152" customWidth="1"/>
    <col min="7197" max="7197" width="8" style="152" customWidth="1"/>
    <col min="7198" max="7198" width="8.875" style="152" customWidth="1"/>
    <col min="7199" max="7427" width="8" style="152"/>
    <col min="7428" max="7428" width="3.25" style="152" customWidth="1"/>
    <col min="7429" max="7429" width="22.5" style="152" customWidth="1"/>
    <col min="7430" max="7430" width="34.25" style="152" bestFit="1" customWidth="1"/>
    <col min="7431" max="7431" width="8" style="152" customWidth="1"/>
    <col min="7432" max="7432" width="15.5" style="152" bestFit="1" customWidth="1"/>
    <col min="7433" max="7435" width="8.875" style="152" bestFit="1" customWidth="1"/>
    <col min="7436" max="7436" width="8.875" style="152" customWidth="1"/>
    <col min="7437" max="7442" width="8.875" style="152" bestFit="1" customWidth="1"/>
    <col min="7443" max="7452" width="8.75" style="152" customWidth="1"/>
    <col min="7453" max="7453" width="8" style="152" customWidth="1"/>
    <col min="7454" max="7454" width="8.875" style="152" customWidth="1"/>
    <col min="7455" max="7683" width="8" style="152"/>
    <col min="7684" max="7684" width="3.25" style="152" customWidth="1"/>
    <col min="7685" max="7685" width="22.5" style="152" customWidth="1"/>
    <col min="7686" max="7686" width="34.25" style="152" bestFit="1" customWidth="1"/>
    <col min="7687" max="7687" width="8" style="152" customWidth="1"/>
    <col min="7688" max="7688" width="15.5" style="152" bestFit="1" customWidth="1"/>
    <col min="7689" max="7691" width="8.875" style="152" bestFit="1" customWidth="1"/>
    <col min="7692" max="7692" width="8.875" style="152" customWidth="1"/>
    <col min="7693" max="7698" width="8.875" style="152" bestFit="1" customWidth="1"/>
    <col min="7699" max="7708" width="8.75" style="152" customWidth="1"/>
    <col min="7709" max="7709" width="8" style="152" customWidth="1"/>
    <col min="7710" max="7710" width="8.875" style="152" customWidth="1"/>
    <col min="7711" max="7939" width="8" style="152"/>
    <col min="7940" max="7940" width="3.25" style="152" customWidth="1"/>
    <col min="7941" max="7941" width="22.5" style="152" customWidth="1"/>
    <col min="7942" max="7942" width="34.25" style="152" bestFit="1" customWidth="1"/>
    <col min="7943" max="7943" width="8" style="152" customWidth="1"/>
    <col min="7944" max="7944" width="15.5" style="152" bestFit="1" customWidth="1"/>
    <col min="7945" max="7947" width="8.875" style="152" bestFit="1" customWidth="1"/>
    <col min="7948" max="7948" width="8.875" style="152" customWidth="1"/>
    <col min="7949" max="7954" width="8.875" style="152" bestFit="1" customWidth="1"/>
    <col min="7955" max="7964" width="8.75" style="152" customWidth="1"/>
    <col min="7965" max="7965" width="8" style="152" customWidth="1"/>
    <col min="7966" max="7966" width="8.875" style="152" customWidth="1"/>
    <col min="7967" max="8195" width="8" style="152"/>
    <col min="8196" max="8196" width="3.25" style="152" customWidth="1"/>
    <col min="8197" max="8197" width="22.5" style="152" customWidth="1"/>
    <col min="8198" max="8198" width="34.25" style="152" bestFit="1" customWidth="1"/>
    <col min="8199" max="8199" width="8" style="152" customWidth="1"/>
    <col min="8200" max="8200" width="15.5" style="152" bestFit="1" customWidth="1"/>
    <col min="8201" max="8203" width="8.875" style="152" bestFit="1" customWidth="1"/>
    <col min="8204" max="8204" width="8.875" style="152" customWidth="1"/>
    <col min="8205" max="8210" width="8.875" style="152" bestFit="1" customWidth="1"/>
    <col min="8211" max="8220" width="8.75" style="152" customWidth="1"/>
    <col min="8221" max="8221" width="8" style="152" customWidth="1"/>
    <col min="8222" max="8222" width="8.875" style="152" customWidth="1"/>
    <col min="8223" max="8451" width="8" style="152"/>
    <col min="8452" max="8452" width="3.25" style="152" customWidth="1"/>
    <col min="8453" max="8453" width="22.5" style="152" customWidth="1"/>
    <col min="8454" max="8454" width="34.25" style="152" bestFit="1" customWidth="1"/>
    <col min="8455" max="8455" width="8" style="152" customWidth="1"/>
    <col min="8456" max="8456" width="15.5" style="152" bestFit="1" customWidth="1"/>
    <col min="8457" max="8459" width="8.875" style="152" bestFit="1" customWidth="1"/>
    <col min="8460" max="8460" width="8.875" style="152" customWidth="1"/>
    <col min="8461" max="8466" width="8.875" style="152" bestFit="1" customWidth="1"/>
    <col min="8467" max="8476" width="8.75" style="152" customWidth="1"/>
    <col min="8477" max="8477" width="8" style="152" customWidth="1"/>
    <col min="8478" max="8478" width="8.875" style="152" customWidth="1"/>
    <col min="8479" max="8707" width="8" style="152"/>
    <col min="8708" max="8708" width="3.25" style="152" customWidth="1"/>
    <col min="8709" max="8709" width="22.5" style="152" customWidth="1"/>
    <col min="8710" max="8710" width="34.25" style="152" bestFit="1" customWidth="1"/>
    <col min="8711" max="8711" width="8" style="152" customWidth="1"/>
    <col min="8712" max="8712" width="15.5" style="152" bestFit="1" customWidth="1"/>
    <col min="8713" max="8715" width="8.875" style="152" bestFit="1" customWidth="1"/>
    <col min="8716" max="8716" width="8.875" style="152" customWidth="1"/>
    <col min="8717" max="8722" width="8.875" style="152" bestFit="1" customWidth="1"/>
    <col min="8723" max="8732" width="8.75" style="152" customWidth="1"/>
    <col min="8733" max="8733" width="8" style="152" customWidth="1"/>
    <col min="8734" max="8734" width="8.875" style="152" customWidth="1"/>
    <col min="8735" max="8963" width="8" style="152"/>
    <col min="8964" max="8964" width="3.25" style="152" customWidth="1"/>
    <col min="8965" max="8965" width="22.5" style="152" customWidth="1"/>
    <col min="8966" max="8966" width="34.25" style="152" bestFit="1" customWidth="1"/>
    <col min="8967" max="8967" width="8" style="152" customWidth="1"/>
    <col min="8968" max="8968" width="15.5" style="152" bestFit="1" customWidth="1"/>
    <col min="8969" max="8971" width="8.875" style="152" bestFit="1" customWidth="1"/>
    <col min="8972" max="8972" width="8.875" style="152" customWidth="1"/>
    <col min="8973" max="8978" width="8.875" style="152" bestFit="1" customWidth="1"/>
    <col min="8979" max="8988" width="8.75" style="152" customWidth="1"/>
    <col min="8989" max="8989" width="8" style="152" customWidth="1"/>
    <col min="8990" max="8990" width="8.875" style="152" customWidth="1"/>
    <col min="8991" max="9219" width="8" style="152"/>
    <col min="9220" max="9220" width="3.25" style="152" customWidth="1"/>
    <col min="9221" max="9221" width="22.5" style="152" customWidth="1"/>
    <col min="9222" max="9222" width="34.25" style="152" bestFit="1" customWidth="1"/>
    <col min="9223" max="9223" width="8" style="152" customWidth="1"/>
    <col min="9224" max="9224" width="15.5" style="152" bestFit="1" customWidth="1"/>
    <col min="9225" max="9227" width="8.875" style="152" bestFit="1" customWidth="1"/>
    <col min="9228" max="9228" width="8.875" style="152" customWidth="1"/>
    <col min="9229" max="9234" width="8.875" style="152" bestFit="1" customWidth="1"/>
    <col min="9235" max="9244" width="8.75" style="152" customWidth="1"/>
    <col min="9245" max="9245" width="8" style="152" customWidth="1"/>
    <col min="9246" max="9246" width="8.875" style="152" customWidth="1"/>
    <col min="9247" max="9475" width="8" style="152"/>
    <col min="9476" max="9476" width="3.25" style="152" customWidth="1"/>
    <col min="9477" max="9477" width="22.5" style="152" customWidth="1"/>
    <col min="9478" max="9478" width="34.25" style="152" bestFit="1" customWidth="1"/>
    <col min="9479" max="9479" width="8" style="152" customWidth="1"/>
    <col min="9480" max="9480" width="15.5" style="152" bestFit="1" customWidth="1"/>
    <col min="9481" max="9483" width="8.875" style="152" bestFit="1" customWidth="1"/>
    <col min="9484" max="9484" width="8.875" style="152" customWidth="1"/>
    <col min="9485" max="9490" width="8.875" style="152" bestFit="1" customWidth="1"/>
    <col min="9491" max="9500" width="8.75" style="152" customWidth="1"/>
    <col min="9501" max="9501" width="8" style="152" customWidth="1"/>
    <col min="9502" max="9502" width="8.875" style="152" customWidth="1"/>
    <col min="9503" max="9731" width="8" style="152"/>
    <col min="9732" max="9732" width="3.25" style="152" customWidth="1"/>
    <col min="9733" max="9733" width="22.5" style="152" customWidth="1"/>
    <col min="9734" max="9734" width="34.25" style="152" bestFit="1" customWidth="1"/>
    <col min="9735" max="9735" width="8" style="152" customWidth="1"/>
    <col min="9736" max="9736" width="15.5" style="152" bestFit="1" customWidth="1"/>
    <col min="9737" max="9739" width="8.875" style="152" bestFit="1" customWidth="1"/>
    <col min="9740" max="9740" width="8.875" style="152" customWidth="1"/>
    <col min="9741" max="9746" width="8.875" style="152" bestFit="1" customWidth="1"/>
    <col min="9747" max="9756" width="8.75" style="152" customWidth="1"/>
    <col min="9757" max="9757" width="8" style="152" customWidth="1"/>
    <col min="9758" max="9758" width="8.875" style="152" customWidth="1"/>
    <col min="9759" max="9987" width="8" style="152"/>
    <col min="9988" max="9988" width="3.25" style="152" customWidth="1"/>
    <col min="9989" max="9989" width="22.5" style="152" customWidth="1"/>
    <col min="9990" max="9990" width="34.25" style="152" bestFit="1" customWidth="1"/>
    <col min="9991" max="9991" width="8" style="152" customWidth="1"/>
    <col min="9992" max="9992" width="15.5" style="152" bestFit="1" customWidth="1"/>
    <col min="9993" max="9995" width="8.875" style="152" bestFit="1" customWidth="1"/>
    <col min="9996" max="9996" width="8.875" style="152" customWidth="1"/>
    <col min="9997" max="10002" width="8.875" style="152" bestFit="1" customWidth="1"/>
    <col min="10003" max="10012" width="8.75" style="152" customWidth="1"/>
    <col min="10013" max="10013" width="8" style="152" customWidth="1"/>
    <col min="10014" max="10014" width="8.875" style="152" customWidth="1"/>
    <col min="10015" max="10243" width="8" style="152"/>
    <col min="10244" max="10244" width="3.25" style="152" customWidth="1"/>
    <col min="10245" max="10245" width="22.5" style="152" customWidth="1"/>
    <col min="10246" max="10246" width="34.25" style="152" bestFit="1" customWidth="1"/>
    <col min="10247" max="10247" width="8" style="152" customWidth="1"/>
    <col min="10248" max="10248" width="15.5" style="152" bestFit="1" customWidth="1"/>
    <col min="10249" max="10251" width="8.875" style="152" bestFit="1" customWidth="1"/>
    <col min="10252" max="10252" width="8.875" style="152" customWidth="1"/>
    <col min="10253" max="10258" width="8.875" style="152" bestFit="1" customWidth="1"/>
    <col min="10259" max="10268" width="8.75" style="152" customWidth="1"/>
    <col min="10269" max="10269" width="8" style="152" customWidth="1"/>
    <col min="10270" max="10270" width="8.875" style="152" customWidth="1"/>
    <col min="10271" max="10499" width="8" style="152"/>
    <col min="10500" max="10500" width="3.25" style="152" customWidth="1"/>
    <col min="10501" max="10501" width="22.5" style="152" customWidth="1"/>
    <col min="10502" max="10502" width="34.25" style="152" bestFit="1" customWidth="1"/>
    <col min="10503" max="10503" width="8" style="152" customWidth="1"/>
    <col min="10504" max="10504" width="15.5" style="152" bestFit="1" customWidth="1"/>
    <col min="10505" max="10507" width="8.875" style="152" bestFit="1" customWidth="1"/>
    <col min="10508" max="10508" width="8.875" style="152" customWidth="1"/>
    <col min="10509" max="10514" width="8.875" style="152" bestFit="1" customWidth="1"/>
    <col min="10515" max="10524" width="8.75" style="152" customWidth="1"/>
    <col min="10525" max="10525" width="8" style="152" customWidth="1"/>
    <col min="10526" max="10526" width="8.875" style="152" customWidth="1"/>
    <col min="10527" max="10755" width="8" style="152"/>
    <col min="10756" max="10756" width="3.25" style="152" customWidth="1"/>
    <col min="10757" max="10757" width="22.5" style="152" customWidth="1"/>
    <col min="10758" max="10758" width="34.25" style="152" bestFit="1" customWidth="1"/>
    <col min="10759" max="10759" width="8" style="152" customWidth="1"/>
    <col min="10760" max="10760" width="15.5" style="152" bestFit="1" customWidth="1"/>
    <col min="10761" max="10763" width="8.875" style="152" bestFit="1" customWidth="1"/>
    <col min="10764" max="10764" width="8.875" style="152" customWidth="1"/>
    <col min="10765" max="10770" width="8.875" style="152" bestFit="1" customWidth="1"/>
    <col min="10771" max="10780" width="8.75" style="152" customWidth="1"/>
    <col min="10781" max="10781" width="8" style="152" customWidth="1"/>
    <col min="10782" max="10782" width="8.875" style="152" customWidth="1"/>
    <col min="10783" max="11011" width="8" style="152"/>
    <col min="11012" max="11012" width="3.25" style="152" customWidth="1"/>
    <col min="11013" max="11013" width="22.5" style="152" customWidth="1"/>
    <col min="11014" max="11014" width="34.25" style="152" bestFit="1" customWidth="1"/>
    <col min="11015" max="11015" width="8" style="152" customWidth="1"/>
    <col min="11016" max="11016" width="15.5" style="152" bestFit="1" customWidth="1"/>
    <col min="11017" max="11019" width="8.875" style="152" bestFit="1" customWidth="1"/>
    <col min="11020" max="11020" width="8.875" style="152" customWidth="1"/>
    <col min="11021" max="11026" width="8.875" style="152" bestFit="1" customWidth="1"/>
    <col min="11027" max="11036" width="8.75" style="152" customWidth="1"/>
    <col min="11037" max="11037" width="8" style="152" customWidth="1"/>
    <col min="11038" max="11038" width="8.875" style="152" customWidth="1"/>
    <col min="11039" max="11267" width="8" style="152"/>
    <col min="11268" max="11268" width="3.25" style="152" customWidth="1"/>
    <col min="11269" max="11269" width="22.5" style="152" customWidth="1"/>
    <col min="11270" max="11270" width="34.25" style="152" bestFit="1" customWidth="1"/>
    <col min="11271" max="11271" width="8" style="152" customWidth="1"/>
    <col min="11272" max="11272" width="15.5" style="152" bestFit="1" customWidth="1"/>
    <col min="11273" max="11275" width="8.875" style="152" bestFit="1" customWidth="1"/>
    <col min="11276" max="11276" width="8.875" style="152" customWidth="1"/>
    <col min="11277" max="11282" width="8.875" style="152" bestFit="1" customWidth="1"/>
    <col min="11283" max="11292" width="8.75" style="152" customWidth="1"/>
    <col min="11293" max="11293" width="8" style="152" customWidth="1"/>
    <col min="11294" max="11294" width="8.875" style="152" customWidth="1"/>
    <col min="11295" max="11523" width="8" style="152"/>
    <col min="11524" max="11524" width="3.25" style="152" customWidth="1"/>
    <col min="11525" max="11525" width="22.5" style="152" customWidth="1"/>
    <col min="11526" max="11526" width="34.25" style="152" bestFit="1" customWidth="1"/>
    <col min="11527" max="11527" width="8" style="152" customWidth="1"/>
    <col min="11528" max="11528" width="15.5" style="152" bestFit="1" customWidth="1"/>
    <col min="11529" max="11531" width="8.875" style="152" bestFit="1" customWidth="1"/>
    <col min="11532" max="11532" width="8.875" style="152" customWidth="1"/>
    <col min="11533" max="11538" width="8.875" style="152" bestFit="1" customWidth="1"/>
    <col min="11539" max="11548" width="8.75" style="152" customWidth="1"/>
    <col min="11549" max="11549" width="8" style="152" customWidth="1"/>
    <col min="11550" max="11550" width="8.875" style="152" customWidth="1"/>
    <col min="11551" max="11779" width="8" style="152"/>
    <col min="11780" max="11780" width="3.25" style="152" customWidth="1"/>
    <col min="11781" max="11781" width="22.5" style="152" customWidth="1"/>
    <col min="11782" max="11782" width="34.25" style="152" bestFit="1" customWidth="1"/>
    <col min="11783" max="11783" width="8" style="152" customWidth="1"/>
    <col min="11784" max="11784" width="15.5" style="152" bestFit="1" customWidth="1"/>
    <col min="11785" max="11787" width="8.875" style="152" bestFit="1" customWidth="1"/>
    <col min="11788" max="11788" width="8.875" style="152" customWidth="1"/>
    <col min="11789" max="11794" width="8.875" style="152" bestFit="1" customWidth="1"/>
    <col min="11795" max="11804" width="8.75" style="152" customWidth="1"/>
    <col min="11805" max="11805" width="8" style="152" customWidth="1"/>
    <col min="11806" max="11806" width="8.875" style="152" customWidth="1"/>
    <col min="11807" max="12035" width="8" style="152"/>
    <col min="12036" max="12036" width="3.25" style="152" customWidth="1"/>
    <col min="12037" max="12037" width="22.5" style="152" customWidth="1"/>
    <col min="12038" max="12038" width="34.25" style="152" bestFit="1" customWidth="1"/>
    <col min="12039" max="12039" width="8" style="152" customWidth="1"/>
    <col min="12040" max="12040" width="15.5" style="152" bestFit="1" customWidth="1"/>
    <col min="12041" max="12043" width="8.875" style="152" bestFit="1" customWidth="1"/>
    <col min="12044" max="12044" width="8.875" style="152" customWidth="1"/>
    <col min="12045" max="12050" width="8.875" style="152" bestFit="1" customWidth="1"/>
    <col min="12051" max="12060" width="8.75" style="152" customWidth="1"/>
    <col min="12061" max="12061" width="8" style="152" customWidth="1"/>
    <col min="12062" max="12062" width="8.875" style="152" customWidth="1"/>
    <col min="12063" max="12291" width="8" style="152"/>
    <col min="12292" max="12292" width="3.25" style="152" customWidth="1"/>
    <col min="12293" max="12293" width="22.5" style="152" customWidth="1"/>
    <col min="12294" max="12294" width="34.25" style="152" bestFit="1" customWidth="1"/>
    <col min="12295" max="12295" width="8" style="152" customWidth="1"/>
    <col min="12296" max="12296" width="15.5" style="152" bestFit="1" customWidth="1"/>
    <col min="12297" max="12299" width="8.875" style="152" bestFit="1" customWidth="1"/>
    <col min="12300" max="12300" width="8.875" style="152" customWidth="1"/>
    <col min="12301" max="12306" width="8.875" style="152" bestFit="1" customWidth="1"/>
    <col min="12307" max="12316" width="8.75" style="152" customWidth="1"/>
    <col min="12317" max="12317" width="8" style="152" customWidth="1"/>
    <col min="12318" max="12318" width="8.875" style="152" customWidth="1"/>
    <col min="12319" max="12547" width="8" style="152"/>
    <col min="12548" max="12548" width="3.25" style="152" customWidth="1"/>
    <col min="12549" max="12549" width="22.5" style="152" customWidth="1"/>
    <col min="12550" max="12550" width="34.25" style="152" bestFit="1" customWidth="1"/>
    <col min="12551" max="12551" width="8" style="152" customWidth="1"/>
    <col min="12552" max="12552" width="15.5" style="152" bestFit="1" customWidth="1"/>
    <col min="12553" max="12555" width="8.875" style="152" bestFit="1" customWidth="1"/>
    <col min="12556" max="12556" width="8.875" style="152" customWidth="1"/>
    <col min="12557" max="12562" width="8.875" style="152" bestFit="1" customWidth="1"/>
    <col min="12563" max="12572" width="8.75" style="152" customWidth="1"/>
    <col min="12573" max="12573" width="8" style="152" customWidth="1"/>
    <col min="12574" max="12574" width="8.875" style="152" customWidth="1"/>
    <col min="12575" max="12803" width="8" style="152"/>
    <col min="12804" max="12804" width="3.25" style="152" customWidth="1"/>
    <col min="12805" max="12805" width="22.5" style="152" customWidth="1"/>
    <col min="12806" max="12806" width="34.25" style="152" bestFit="1" customWidth="1"/>
    <col min="12807" max="12807" width="8" style="152" customWidth="1"/>
    <col min="12808" max="12808" width="15.5" style="152" bestFit="1" customWidth="1"/>
    <col min="12809" max="12811" width="8.875" style="152" bestFit="1" customWidth="1"/>
    <col min="12812" max="12812" width="8.875" style="152" customWidth="1"/>
    <col min="12813" max="12818" width="8.875" style="152" bestFit="1" customWidth="1"/>
    <col min="12819" max="12828" width="8.75" style="152" customWidth="1"/>
    <col min="12829" max="12829" width="8" style="152" customWidth="1"/>
    <col min="12830" max="12830" width="8.875" style="152" customWidth="1"/>
    <col min="12831" max="13059" width="8" style="152"/>
    <col min="13060" max="13060" width="3.25" style="152" customWidth="1"/>
    <col min="13061" max="13061" width="22.5" style="152" customWidth="1"/>
    <col min="13062" max="13062" width="34.25" style="152" bestFit="1" customWidth="1"/>
    <col min="13063" max="13063" width="8" style="152" customWidth="1"/>
    <col min="13064" max="13064" width="15.5" style="152" bestFit="1" customWidth="1"/>
    <col min="13065" max="13067" width="8.875" style="152" bestFit="1" customWidth="1"/>
    <col min="13068" max="13068" width="8.875" style="152" customWidth="1"/>
    <col min="13069" max="13074" width="8.875" style="152" bestFit="1" customWidth="1"/>
    <col min="13075" max="13084" width="8.75" style="152" customWidth="1"/>
    <col min="13085" max="13085" width="8" style="152" customWidth="1"/>
    <col min="13086" max="13086" width="8.875" style="152" customWidth="1"/>
    <col min="13087" max="13315" width="8" style="152"/>
    <col min="13316" max="13316" width="3.25" style="152" customWidth="1"/>
    <col min="13317" max="13317" width="22.5" style="152" customWidth="1"/>
    <col min="13318" max="13318" width="34.25" style="152" bestFit="1" customWidth="1"/>
    <col min="13319" max="13319" width="8" style="152" customWidth="1"/>
    <col min="13320" max="13320" width="15.5" style="152" bestFit="1" customWidth="1"/>
    <col min="13321" max="13323" width="8.875" style="152" bestFit="1" customWidth="1"/>
    <col min="13324" max="13324" width="8.875" style="152" customWidth="1"/>
    <col min="13325" max="13330" width="8.875" style="152" bestFit="1" customWidth="1"/>
    <col min="13331" max="13340" width="8.75" style="152" customWidth="1"/>
    <col min="13341" max="13341" width="8" style="152" customWidth="1"/>
    <col min="13342" max="13342" width="8.875" style="152" customWidth="1"/>
    <col min="13343" max="13571" width="8" style="152"/>
    <col min="13572" max="13572" width="3.25" style="152" customWidth="1"/>
    <col min="13573" max="13573" width="22.5" style="152" customWidth="1"/>
    <col min="13574" max="13574" width="34.25" style="152" bestFit="1" customWidth="1"/>
    <col min="13575" max="13575" width="8" style="152" customWidth="1"/>
    <col min="13576" max="13576" width="15.5" style="152" bestFit="1" customWidth="1"/>
    <col min="13577" max="13579" width="8.875" style="152" bestFit="1" customWidth="1"/>
    <col min="13580" max="13580" width="8.875" style="152" customWidth="1"/>
    <col min="13581" max="13586" width="8.875" style="152" bestFit="1" customWidth="1"/>
    <col min="13587" max="13596" width="8.75" style="152" customWidth="1"/>
    <col min="13597" max="13597" width="8" style="152" customWidth="1"/>
    <col min="13598" max="13598" width="8.875" style="152" customWidth="1"/>
    <col min="13599" max="13827" width="8" style="152"/>
    <col min="13828" max="13828" width="3.25" style="152" customWidth="1"/>
    <col min="13829" max="13829" width="22.5" style="152" customWidth="1"/>
    <col min="13830" max="13830" width="34.25" style="152" bestFit="1" customWidth="1"/>
    <col min="13831" max="13831" width="8" style="152" customWidth="1"/>
    <col min="13832" max="13832" width="15.5" style="152" bestFit="1" customWidth="1"/>
    <col min="13833" max="13835" width="8.875" style="152" bestFit="1" customWidth="1"/>
    <col min="13836" max="13836" width="8.875" style="152" customWidth="1"/>
    <col min="13837" max="13842" width="8.875" style="152" bestFit="1" customWidth="1"/>
    <col min="13843" max="13852" width="8.75" style="152" customWidth="1"/>
    <col min="13853" max="13853" width="8" style="152" customWidth="1"/>
    <col min="13854" max="13854" width="8.875" style="152" customWidth="1"/>
    <col min="13855" max="14083" width="8" style="152"/>
    <col min="14084" max="14084" width="3.25" style="152" customWidth="1"/>
    <col min="14085" max="14085" width="22.5" style="152" customWidth="1"/>
    <col min="14086" max="14086" width="34.25" style="152" bestFit="1" customWidth="1"/>
    <col min="14087" max="14087" width="8" style="152" customWidth="1"/>
    <col min="14088" max="14088" width="15.5" style="152" bestFit="1" customWidth="1"/>
    <col min="14089" max="14091" width="8.875" style="152" bestFit="1" customWidth="1"/>
    <col min="14092" max="14092" width="8.875" style="152" customWidth="1"/>
    <col min="14093" max="14098" width="8.875" style="152" bestFit="1" customWidth="1"/>
    <col min="14099" max="14108" width="8.75" style="152" customWidth="1"/>
    <col min="14109" max="14109" width="8" style="152" customWidth="1"/>
    <col min="14110" max="14110" width="8.875" style="152" customWidth="1"/>
    <col min="14111" max="14339" width="8" style="152"/>
    <col min="14340" max="14340" width="3.25" style="152" customWidth="1"/>
    <col min="14341" max="14341" width="22.5" style="152" customWidth="1"/>
    <col min="14342" max="14342" width="34.25" style="152" bestFit="1" customWidth="1"/>
    <col min="14343" max="14343" width="8" style="152" customWidth="1"/>
    <col min="14344" max="14344" width="15.5" style="152" bestFit="1" customWidth="1"/>
    <col min="14345" max="14347" width="8.875" style="152" bestFit="1" customWidth="1"/>
    <col min="14348" max="14348" width="8.875" style="152" customWidth="1"/>
    <col min="14349" max="14354" width="8.875" style="152" bestFit="1" customWidth="1"/>
    <col min="14355" max="14364" width="8.75" style="152" customWidth="1"/>
    <col min="14365" max="14365" width="8" style="152" customWidth="1"/>
    <col min="14366" max="14366" width="8.875" style="152" customWidth="1"/>
    <col min="14367" max="14595" width="8" style="152"/>
    <col min="14596" max="14596" width="3.25" style="152" customWidth="1"/>
    <col min="14597" max="14597" width="22.5" style="152" customWidth="1"/>
    <col min="14598" max="14598" width="34.25" style="152" bestFit="1" customWidth="1"/>
    <col min="14599" max="14599" width="8" style="152" customWidth="1"/>
    <col min="14600" max="14600" width="15.5" style="152" bestFit="1" customWidth="1"/>
    <col min="14601" max="14603" width="8.875" style="152" bestFit="1" customWidth="1"/>
    <col min="14604" max="14604" width="8.875" style="152" customWidth="1"/>
    <col min="14605" max="14610" width="8.875" style="152" bestFit="1" customWidth="1"/>
    <col min="14611" max="14620" width="8.75" style="152" customWidth="1"/>
    <col min="14621" max="14621" width="8" style="152" customWidth="1"/>
    <col min="14622" max="14622" width="8.875" style="152" customWidth="1"/>
    <col min="14623" max="14851" width="8" style="152"/>
    <col min="14852" max="14852" width="3.25" style="152" customWidth="1"/>
    <col min="14853" max="14853" width="22.5" style="152" customWidth="1"/>
    <col min="14854" max="14854" width="34.25" style="152" bestFit="1" customWidth="1"/>
    <col min="14855" max="14855" width="8" style="152" customWidth="1"/>
    <col min="14856" max="14856" width="15.5" style="152" bestFit="1" customWidth="1"/>
    <col min="14857" max="14859" width="8.875" style="152" bestFit="1" customWidth="1"/>
    <col min="14860" max="14860" width="8.875" style="152" customWidth="1"/>
    <col min="14861" max="14866" width="8.875" style="152" bestFit="1" customWidth="1"/>
    <col min="14867" max="14876" width="8.75" style="152" customWidth="1"/>
    <col min="14877" max="14877" width="8" style="152" customWidth="1"/>
    <col min="14878" max="14878" width="8.875" style="152" customWidth="1"/>
    <col min="14879" max="15107" width="8" style="152"/>
    <col min="15108" max="15108" width="3.25" style="152" customWidth="1"/>
    <col min="15109" max="15109" width="22.5" style="152" customWidth="1"/>
    <col min="15110" max="15110" width="34.25" style="152" bestFit="1" customWidth="1"/>
    <col min="15111" max="15111" width="8" style="152" customWidth="1"/>
    <col min="15112" max="15112" width="15.5" style="152" bestFit="1" customWidth="1"/>
    <col min="15113" max="15115" width="8.875" style="152" bestFit="1" customWidth="1"/>
    <col min="15116" max="15116" width="8.875" style="152" customWidth="1"/>
    <col min="15117" max="15122" width="8.875" style="152" bestFit="1" customWidth="1"/>
    <col min="15123" max="15132" width="8.75" style="152" customWidth="1"/>
    <col min="15133" max="15133" width="8" style="152" customWidth="1"/>
    <col min="15134" max="15134" width="8.875" style="152" customWidth="1"/>
    <col min="15135" max="15363" width="8" style="152"/>
    <col min="15364" max="15364" width="3.25" style="152" customWidth="1"/>
    <col min="15365" max="15365" width="22.5" style="152" customWidth="1"/>
    <col min="15366" max="15366" width="34.25" style="152" bestFit="1" customWidth="1"/>
    <col min="15367" max="15367" width="8" style="152" customWidth="1"/>
    <col min="15368" max="15368" width="15.5" style="152" bestFit="1" customWidth="1"/>
    <col min="15369" max="15371" width="8.875" style="152" bestFit="1" customWidth="1"/>
    <col min="15372" max="15372" width="8.875" style="152" customWidth="1"/>
    <col min="15373" max="15378" width="8.875" style="152" bestFit="1" customWidth="1"/>
    <col min="15379" max="15388" width="8.75" style="152" customWidth="1"/>
    <col min="15389" max="15389" width="8" style="152" customWidth="1"/>
    <col min="15390" max="15390" width="8.875" style="152" customWidth="1"/>
    <col min="15391" max="15619" width="8" style="152"/>
    <col min="15620" max="15620" width="3.25" style="152" customWidth="1"/>
    <col min="15621" max="15621" width="22.5" style="152" customWidth="1"/>
    <col min="15622" max="15622" width="34.25" style="152" bestFit="1" customWidth="1"/>
    <col min="15623" max="15623" width="8" style="152" customWidth="1"/>
    <col min="15624" max="15624" width="15.5" style="152" bestFit="1" customWidth="1"/>
    <col min="15625" max="15627" width="8.875" style="152" bestFit="1" customWidth="1"/>
    <col min="15628" max="15628" width="8.875" style="152" customWidth="1"/>
    <col min="15629" max="15634" width="8.875" style="152" bestFit="1" customWidth="1"/>
    <col min="15635" max="15644" width="8.75" style="152" customWidth="1"/>
    <col min="15645" max="15645" width="8" style="152" customWidth="1"/>
    <col min="15646" max="15646" width="8.875" style="152" customWidth="1"/>
    <col min="15647" max="15875" width="8" style="152"/>
    <col min="15876" max="15876" width="3.25" style="152" customWidth="1"/>
    <col min="15877" max="15877" width="22.5" style="152" customWidth="1"/>
    <col min="15878" max="15878" width="34.25" style="152" bestFit="1" customWidth="1"/>
    <col min="15879" max="15879" width="8" style="152" customWidth="1"/>
    <col min="15880" max="15880" width="15.5" style="152" bestFit="1" customWidth="1"/>
    <col min="15881" max="15883" width="8.875" style="152" bestFit="1" customWidth="1"/>
    <col min="15884" max="15884" width="8.875" style="152" customWidth="1"/>
    <col min="15885" max="15890" width="8.875" style="152" bestFit="1" customWidth="1"/>
    <col min="15891" max="15900" width="8.75" style="152" customWidth="1"/>
    <col min="15901" max="15901" width="8" style="152" customWidth="1"/>
    <col min="15902" max="15902" width="8.875" style="152" customWidth="1"/>
    <col min="15903" max="16131" width="8" style="152"/>
    <col min="16132" max="16132" width="3.25" style="152" customWidth="1"/>
    <col min="16133" max="16133" width="22.5" style="152" customWidth="1"/>
    <col min="16134" max="16134" width="34.25" style="152" bestFit="1" customWidth="1"/>
    <col min="16135" max="16135" width="8" style="152" customWidth="1"/>
    <col min="16136" max="16136" width="15.5" style="152" bestFit="1" customWidth="1"/>
    <col min="16137" max="16139" width="8.875" style="152" bestFit="1" customWidth="1"/>
    <col min="16140" max="16140" width="8.875" style="152" customWidth="1"/>
    <col min="16141" max="16146" width="8.875" style="152" bestFit="1" customWidth="1"/>
    <col min="16147" max="16156" width="8.75" style="152" customWidth="1"/>
    <col min="16157" max="16157" width="8" style="152" customWidth="1"/>
    <col min="16158" max="16158" width="8.875" style="152" customWidth="1"/>
    <col min="16159" max="16384" width="8" style="152"/>
  </cols>
  <sheetData>
    <row r="1" spans="1:30" s="122" customFormat="1" ht="15.75">
      <c r="A1" s="151" t="s">
        <v>2093</v>
      </c>
      <c r="F1" s="122">
        <v>2006</v>
      </c>
      <c r="G1" s="122">
        <v>2007</v>
      </c>
      <c r="H1" s="122">
        <v>2008</v>
      </c>
      <c r="I1" s="122">
        <v>2009</v>
      </c>
      <c r="J1" s="122">
        <v>2010</v>
      </c>
      <c r="K1" s="122">
        <v>2011</v>
      </c>
      <c r="L1" s="122">
        <v>2012</v>
      </c>
      <c r="M1" s="122">
        <v>2013</v>
      </c>
      <c r="N1" s="122">
        <v>2014</v>
      </c>
      <c r="O1" s="122">
        <v>2015</v>
      </c>
      <c r="P1" s="122">
        <v>2016</v>
      </c>
      <c r="AB1" s="123"/>
      <c r="AC1" s="123"/>
      <c r="AD1" s="123"/>
    </row>
    <row r="2" spans="1:30" s="124" customFormat="1">
      <c r="F2" s="124" t="s">
        <v>1125</v>
      </c>
      <c r="G2" s="124" t="s">
        <v>1125</v>
      </c>
      <c r="H2" s="124" t="s">
        <v>1125</v>
      </c>
      <c r="I2" s="124" t="s">
        <v>1125</v>
      </c>
      <c r="J2" s="124" t="s">
        <v>1125</v>
      </c>
      <c r="K2" s="124" t="s">
        <v>1125</v>
      </c>
      <c r="L2" s="124" t="s">
        <v>1125</v>
      </c>
      <c r="M2" s="124" t="s">
        <v>1125</v>
      </c>
      <c r="N2" s="124" t="s">
        <v>1126</v>
      </c>
      <c r="O2" s="124" t="s">
        <v>1126</v>
      </c>
      <c r="P2" s="124" t="s">
        <v>1126</v>
      </c>
      <c r="AB2" s="125"/>
      <c r="AC2" s="125"/>
      <c r="AD2" s="125"/>
    </row>
    <row r="3" spans="1:30" s="126" customFormat="1">
      <c r="F3" s="126">
        <v>38990</v>
      </c>
      <c r="G3" s="126">
        <v>39355</v>
      </c>
      <c r="H3" s="126">
        <v>39721</v>
      </c>
      <c r="I3" s="126">
        <v>40086</v>
      </c>
      <c r="J3" s="126">
        <v>40451</v>
      </c>
      <c r="K3" s="126">
        <v>40816</v>
      </c>
      <c r="L3" s="126">
        <v>41182</v>
      </c>
      <c r="M3" s="126">
        <v>41547</v>
      </c>
      <c r="N3" s="126">
        <v>41912</v>
      </c>
      <c r="O3" s="126">
        <v>42277</v>
      </c>
      <c r="P3" s="126">
        <v>42643</v>
      </c>
      <c r="AB3" s="127"/>
      <c r="AC3" s="127"/>
      <c r="AD3" s="127"/>
    </row>
    <row r="4" spans="1:30"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</row>
    <row r="5" spans="1:30" s="128" customFormat="1" ht="15.75">
      <c r="A5" s="128" t="s">
        <v>1127</v>
      </c>
      <c r="D5" s="129"/>
      <c r="AB5" s="130"/>
      <c r="AC5" s="130"/>
      <c r="AD5" s="130"/>
    </row>
    <row r="6" spans="1:30">
      <c r="B6" s="152" t="s">
        <v>1128</v>
      </c>
      <c r="C6" s="152" t="s">
        <v>1129</v>
      </c>
      <c r="E6" s="153" t="s">
        <v>2091</v>
      </c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</row>
    <row r="7" spans="1:30">
      <c r="B7" s="152" t="s">
        <v>1130</v>
      </c>
      <c r="C7" s="152" t="s">
        <v>1130</v>
      </c>
      <c r="E7" s="153" t="s">
        <v>2092</v>
      </c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</row>
    <row r="8" spans="1:30">
      <c r="B8" s="152" t="s">
        <v>1131</v>
      </c>
      <c r="C8" s="152" t="s">
        <v>1131</v>
      </c>
      <c r="E8" s="153" t="s">
        <v>1132</v>
      </c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</row>
    <row r="9" spans="1:30">
      <c r="B9" s="152" t="s">
        <v>1133</v>
      </c>
      <c r="C9" s="152" t="s">
        <v>1133</v>
      </c>
      <c r="E9" s="153" t="s">
        <v>1134</v>
      </c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</row>
    <row r="10" spans="1:30">
      <c r="B10" s="152" t="s">
        <v>1135</v>
      </c>
      <c r="C10" s="152" t="s">
        <v>1135</v>
      </c>
      <c r="E10" s="153" t="s">
        <v>1134</v>
      </c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</row>
    <row r="11" spans="1:30">
      <c r="B11" s="152" t="s">
        <v>1136</v>
      </c>
      <c r="C11" s="152" t="s">
        <v>1137</v>
      </c>
      <c r="E11" s="153" t="s">
        <v>1134</v>
      </c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</row>
    <row r="12" spans="1:30"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</row>
    <row r="13" spans="1:30" s="128" customFormat="1" ht="15.75">
      <c r="A13" s="128" t="s">
        <v>1138</v>
      </c>
      <c r="D13" s="129"/>
      <c r="AB13" s="130"/>
      <c r="AC13" s="130"/>
      <c r="AD13" s="130"/>
    </row>
    <row r="14" spans="1:30">
      <c r="B14" s="152" t="s">
        <v>1139</v>
      </c>
      <c r="C14" s="152" t="s">
        <v>1140</v>
      </c>
    </row>
    <row r="15" spans="1:30">
      <c r="B15" s="152" t="s">
        <v>1141</v>
      </c>
      <c r="C15" s="152" t="s">
        <v>1142</v>
      </c>
    </row>
    <row r="16" spans="1:30">
      <c r="B16" s="152" t="s">
        <v>1143</v>
      </c>
      <c r="C16" s="152" t="s">
        <v>1144</v>
      </c>
    </row>
    <row r="17" spans="2:30">
      <c r="B17" s="152" t="s">
        <v>1145</v>
      </c>
      <c r="C17" s="152" t="s">
        <v>1146</v>
      </c>
      <c r="D17" s="152" t="s">
        <v>1134</v>
      </c>
    </row>
    <row r="18" spans="2:30">
      <c r="B18" s="152" t="s">
        <v>1147</v>
      </c>
      <c r="C18" s="152" t="s">
        <v>1148</v>
      </c>
    </row>
    <row r="19" spans="2:30">
      <c r="B19" s="152" t="s">
        <v>1150</v>
      </c>
      <c r="C19" s="152" t="s">
        <v>1151</v>
      </c>
      <c r="AB19" s="131" t="s">
        <v>1007</v>
      </c>
      <c r="AC19" s="131"/>
      <c r="AD19" s="131"/>
    </row>
    <row r="20" spans="2:30">
      <c r="B20" s="152" t="s">
        <v>1152</v>
      </c>
      <c r="C20" s="152" t="s">
        <v>1153</v>
      </c>
    </row>
    <row r="21" spans="2:30">
      <c r="B21" s="152" t="s">
        <v>1154</v>
      </c>
      <c r="C21" s="152" t="s">
        <v>1155</v>
      </c>
    </row>
    <row r="22" spans="2:30">
      <c r="B22" s="152" t="s">
        <v>1156</v>
      </c>
      <c r="C22" s="152" t="s">
        <v>1157</v>
      </c>
    </row>
    <row r="23" spans="2:30">
      <c r="B23" s="152" t="s">
        <v>1158</v>
      </c>
      <c r="C23" s="152" t="s">
        <v>1159</v>
      </c>
    </row>
    <row r="24" spans="2:30">
      <c r="B24" s="152" t="s">
        <v>1160</v>
      </c>
      <c r="C24" s="152" t="s">
        <v>1161</v>
      </c>
    </row>
    <row r="25" spans="2:30">
      <c r="B25" s="152" t="s">
        <v>1162</v>
      </c>
      <c r="C25" s="152" t="s">
        <v>1163</v>
      </c>
    </row>
    <row r="26" spans="2:30">
      <c r="B26" s="152" t="s">
        <v>1164</v>
      </c>
      <c r="C26" s="152" t="s">
        <v>1165</v>
      </c>
    </row>
    <row r="27" spans="2:30">
      <c r="B27" s="152" t="s">
        <v>1166</v>
      </c>
      <c r="C27" s="152" t="s">
        <v>1167</v>
      </c>
    </row>
    <row r="28" spans="2:30">
      <c r="B28" s="152" t="s">
        <v>1168</v>
      </c>
      <c r="C28" s="152" t="s">
        <v>1169</v>
      </c>
    </row>
    <row r="29" spans="2:30">
      <c r="B29" s="152" t="s">
        <v>1170</v>
      </c>
      <c r="C29" s="152" t="s">
        <v>1171</v>
      </c>
    </row>
    <row r="30" spans="2:30">
      <c r="B30" s="152" t="s">
        <v>1172</v>
      </c>
      <c r="C30" s="152" t="s">
        <v>1173</v>
      </c>
    </row>
    <row r="31" spans="2:30">
      <c r="B31" s="152" t="s">
        <v>1174</v>
      </c>
      <c r="C31" s="152" t="s">
        <v>1175</v>
      </c>
    </row>
    <row r="32" spans="2:30">
      <c r="B32" s="152" t="s">
        <v>1176</v>
      </c>
      <c r="C32" s="152" t="s">
        <v>1177</v>
      </c>
    </row>
    <row r="33" spans="1:30">
      <c r="B33" s="152" t="s">
        <v>1178</v>
      </c>
      <c r="C33" s="152" t="s">
        <v>1179</v>
      </c>
    </row>
    <row r="34" spans="1:30"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</row>
    <row r="35" spans="1:30" s="128" customFormat="1" ht="15.75">
      <c r="A35" s="128" t="s">
        <v>1180</v>
      </c>
      <c r="D35" s="129"/>
      <c r="AB35" s="130"/>
      <c r="AC35" s="130"/>
      <c r="AD35" s="130"/>
    </row>
    <row r="36" spans="1:30">
      <c r="A36" s="131"/>
      <c r="B36" s="152" t="s">
        <v>1181</v>
      </c>
      <c r="C36" s="152" t="s">
        <v>1182</v>
      </c>
      <c r="D36" s="152" t="s">
        <v>1134</v>
      </c>
      <c r="AB36" s="132"/>
      <c r="AC36" s="132"/>
      <c r="AD36" s="132"/>
    </row>
    <row r="37" spans="1:30">
      <c r="B37" s="152" t="s">
        <v>1183</v>
      </c>
      <c r="C37" s="152" t="s">
        <v>1184</v>
      </c>
      <c r="D37" s="152" t="s">
        <v>1134</v>
      </c>
      <c r="AB37" s="132"/>
      <c r="AC37" s="132"/>
      <c r="AD37" s="132"/>
    </row>
    <row r="38" spans="1:30">
      <c r="B38" s="152" t="s">
        <v>2525</v>
      </c>
      <c r="C38" s="152" t="s">
        <v>2526</v>
      </c>
      <c r="AB38" s="132" t="s">
        <v>2527</v>
      </c>
      <c r="AC38" s="132"/>
      <c r="AD38" s="132"/>
    </row>
    <row r="39" spans="1:30">
      <c r="B39" s="152" t="s">
        <v>1185</v>
      </c>
      <c r="C39" s="152" t="s">
        <v>1186</v>
      </c>
      <c r="D39" s="152" t="s">
        <v>1134</v>
      </c>
      <c r="AB39" s="132"/>
      <c r="AC39" s="132"/>
      <c r="AD39" s="132"/>
    </row>
    <row r="40" spans="1:30">
      <c r="B40" s="152" t="s">
        <v>1187</v>
      </c>
      <c r="C40" s="152" t="s">
        <v>1188</v>
      </c>
      <c r="D40" s="152" t="s">
        <v>1134</v>
      </c>
      <c r="AB40" s="132"/>
      <c r="AC40" s="132"/>
      <c r="AD40" s="132"/>
    </row>
    <row r="41" spans="1:30">
      <c r="B41" s="152" t="s">
        <v>1189</v>
      </c>
      <c r="C41" s="152" t="s">
        <v>1190</v>
      </c>
      <c r="D41" s="152" t="s">
        <v>1134</v>
      </c>
      <c r="AB41" s="133"/>
      <c r="AC41" s="133"/>
      <c r="AD41" s="133"/>
    </row>
    <row r="42" spans="1:30">
      <c r="B42" s="152" t="s">
        <v>1191</v>
      </c>
      <c r="C42" s="152" t="s">
        <v>1192</v>
      </c>
      <c r="D42" s="152" t="s">
        <v>1134</v>
      </c>
      <c r="AB42" s="133"/>
      <c r="AC42" s="133"/>
      <c r="AD42" s="133"/>
    </row>
    <row r="43" spans="1:30">
      <c r="B43" s="152" t="s">
        <v>1193</v>
      </c>
      <c r="C43" s="152" t="s">
        <v>1194</v>
      </c>
      <c r="D43" s="152" t="s">
        <v>1134</v>
      </c>
      <c r="AB43" s="133"/>
      <c r="AC43" s="133"/>
      <c r="AD43" s="133"/>
    </row>
    <row r="44" spans="1:30">
      <c r="B44" s="152" t="s">
        <v>1195</v>
      </c>
      <c r="C44" s="152" t="s">
        <v>1196</v>
      </c>
      <c r="D44" s="152" t="s">
        <v>1134</v>
      </c>
      <c r="AB44" s="133"/>
      <c r="AC44" s="133"/>
      <c r="AD44" s="133"/>
    </row>
    <row r="45" spans="1:30">
      <c r="B45" s="152" t="s">
        <v>1197</v>
      </c>
      <c r="C45" s="152" t="s">
        <v>1198</v>
      </c>
      <c r="D45" s="152" t="s">
        <v>1134</v>
      </c>
      <c r="AB45" s="133"/>
      <c r="AC45" s="133"/>
      <c r="AD45" s="133"/>
    </row>
    <row r="46" spans="1:30">
      <c r="B46" s="152" t="s">
        <v>1199</v>
      </c>
      <c r="C46" s="152" t="s">
        <v>1200</v>
      </c>
      <c r="D46" s="152" t="s">
        <v>1134</v>
      </c>
      <c r="AB46" s="132"/>
      <c r="AC46" s="132"/>
      <c r="AD46" s="132"/>
    </row>
    <row r="47" spans="1:30">
      <c r="B47" s="152" t="s">
        <v>1201</v>
      </c>
      <c r="C47" s="152" t="s">
        <v>1202</v>
      </c>
      <c r="D47" s="152" t="s">
        <v>1134</v>
      </c>
      <c r="AB47" s="133"/>
      <c r="AC47" s="133"/>
      <c r="AD47" s="133"/>
    </row>
    <row r="48" spans="1:30">
      <c r="B48" s="152" t="s">
        <v>1203</v>
      </c>
      <c r="C48" s="152" t="s">
        <v>1204</v>
      </c>
      <c r="D48" s="152" t="s">
        <v>1134</v>
      </c>
      <c r="AB48" s="132"/>
      <c r="AC48" s="132"/>
      <c r="AD48" s="132"/>
    </row>
    <row r="49" spans="1:30"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</row>
    <row r="50" spans="1:30" s="128" customFormat="1" ht="15.75">
      <c r="A50" s="128" t="s">
        <v>1205</v>
      </c>
      <c r="D50" s="129"/>
      <c r="AB50" s="130"/>
      <c r="AC50" s="130"/>
      <c r="AD50" s="130"/>
    </row>
    <row r="51" spans="1:30">
      <c r="B51" s="152" t="s">
        <v>1206</v>
      </c>
      <c r="C51" s="152" t="s">
        <v>1207</v>
      </c>
    </row>
    <row r="52" spans="1:30">
      <c r="B52" s="152" t="s">
        <v>747</v>
      </c>
      <c r="C52" s="152" t="s">
        <v>1208</v>
      </c>
      <c r="D52" s="152" t="s">
        <v>1134</v>
      </c>
    </row>
    <row r="53" spans="1:30">
      <c r="B53" s="152" t="s">
        <v>1209</v>
      </c>
      <c r="C53" s="152" t="s">
        <v>1210</v>
      </c>
    </row>
    <row r="54" spans="1:30">
      <c r="B54" s="152" t="s">
        <v>1211</v>
      </c>
      <c r="C54" s="152" t="s">
        <v>1212</v>
      </c>
    </row>
    <row r="55" spans="1:30">
      <c r="B55" s="152" t="s">
        <v>1213</v>
      </c>
      <c r="C55" s="152" t="s">
        <v>1214</v>
      </c>
    </row>
    <row r="56" spans="1:30">
      <c r="B56" s="152" t="s">
        <v>1215</v>
      </c>
      <c r="C56" s="152" t="s">
        <v>1216</v>
      </c>
    </row>
    <row r="57" spans="1:30">
      <c r="B57" s="152" t="s">
        <v>1217</v>
      </c>
      <c r="C57" s="152" t="s">
        <v>1218</v>
      </c>
      <c r="D57" s="152" t="s">
        <v>1134</v>
      </c>
      <c r="AB57" s="131" t="s">
        <v>894</v>
      </c>
    </row>
    <row r="58" spans="1:30">
      <c r="B58" s="152" t="s">
        <v>1219</v>
      </c>
      <c r="C58" s="152" t="s">
        <v>1220</v>
      </c>
      <c r="D58" s="152" t="s">
        <v>1134</v>
      </c>
    </row>
    <row r="59" spans="1:30">
      <c r="B59" s="152" t="s">
        <v>1221</v>
      </c>
      <c r="C59" s="152" t="s">
        <v>1222</v>
      </c>
      <c r="D59" s="152" t="s">
        <v>1134</v>
      </c>
    </row>
    <row r="60" spans="1:30">
      <c r="B60" s="152" t="s">
        <v>1223</v>
      </c>
      <c r="C60" s="152" t="s">
        <v>1224</v>
      </c>
      <c r="D60" s="152" t="s">
        <v>1134</v>
      </c>
    </row>
    <row r="61" spans="1:30">
      <c r="B61" s="152" t="s">
        <v>1225</v>
      </c>
      <c r="C61" s="152" t="s">
        <v>1226</v>
      </c>
      <c r="D61" s="152" t="s">
        <v>1134</v>
      </c>
    </row>
    <row r="62" spans="1:30">
      <c r="B62" s="152" t="s">
        <v>1227</v>
      </c>
      <c r="C62" s="152" t="s">
        <v>1228</v>
      </c>
      <c r="D62" s="152" t="s">
        <v>1134</v>
      </c>
    </row>
    <row r="63" spans="1:30">
      <c r="B63" s="152" t="s">
        <v>1229</v>
      </c>
      <c r="C63" s="152" t="s">
        <v>1230</v>
      </c>
      <c r="D63" s="152" t="s">
        <v>1134</v>
      </c>
    </row>
    <row r="64" spans="1:30">
      <c r="B64" s="152" t="s">
        <v>1231</v>
      </c>
      <c r="C64" s="152" t="s">
        <v>1232</v>
      </c>
      <c r="D64" s="152" t="s">
        <v>1134</v>
      </c>
    </row>
    <row r="65" spans="1:30">
      <c r="B65" s="152" t="s">
        <v>1233</v>
      </c>
      <c r="C65" s="152" t="s">
        <v>1234</v>
      </c>
      <c r="D65" s="152" t="s">
        <v>1134</v>
      </c>
      <c r="AB65" s="134"/>
      <c r="AC65" s="134"/>
      <c r="AD65" s="134"/>
    </row>
    <row r="66" spans="1:30">
      <c r="B66" s="152" t="s">
        <v>1235</v>
      </c>
      <c r="C66" s="152" t="s">
        <v>1236</v>
      </c>
      <c r="D66" s="152" t="s">
        <v>1134</v>
      </c>
    </row>
    <row r="67" spans="1:30">
      <c r="B67" s="152" t="s">
        <v>1237</v>
      </c>
      <c r="C67" s="152" t="s">
        <v>1238</v>
      </c>
      <c r="D67" s="152" t="s">
        <v>1134</v>
      </c>
      <c r="AB67" s="134"/>
      <c r="AC67" s="134"/>
      <c r="AD67" s="134"/>
    </row>
    <row r="68" spans="1:30">
      <c r="B68" s="152" t="s">
        <v>1239</v>
      </c>
      <c r="C68" s="152" t="s">
        <v>1240</v>
      </c>
      <c r="D68" s="152" t="s">
        <v>1134</v>
      </c>
      <c r="AB68" s="135" t="s">
        <v>833</v>
      </c>
      <c r="AC68" s="135"/>
      <c r="AD68" s="135"/>
    </row>
    <row r="69" spans="1:30">
      <c r="B69" s="152" t="s">
        <v>1241</v>
      </c>
      <c r="C69" s="152" t="s">
        <v>1242</v>
      </c>
      <c r="D69" s="152" t="s">
        <v>1134</v>
      </c>
      <c r="AB69" s="131" t="s">
        <v>963</v>
      </c>
      <c r="AC69" s="131"/>
      <c r="AD69" s="131"/>
    </row>
    <row r="70" spans="1:30">
      <c r="B70" s="152" t="s">
        <v>1243</v>
      </c>
      <c r="C70" s="152" t="s">
        <v>1244</v>
      </c>
      <c r="AB70" s="131" t="s">
        <v>904</v>
      </c>
      <c r="AC70" s="131"/>
      <c r="AD70" s="131"/>
    </row>
    <row r="71" spans="1:30">
      <c r="B71" s="152" t="s">
        <v>1245</v>
      </c>
      <c r="C71" s="152" t="s">
        <v>1246</v>
      </c>
    </row>
    <row r="72" spans="1:30"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</row>
    <row r="73" spans="1:30" s="128" customFormat="1" ht="15.75">
      <c r="A73" s="128" t="s">
        <v>1247</v>
      </c>
      <c r="D73" s="129"/>
      <c r="AB73" s="130"/>
      <c r="AC73" s="130"/>
      <c r="AD73" s="130"/>
    </row>
    <row r="74" spans="1:30">
      <c r="B74" s="152" t="s">
        <v>582</v>
      </c>
      <c r="C74" s="152" t="s">
        <v>1248</v>
      </c>
      <c r="D74" s="152" t="s">
        <v>1134</v>
      </c>
      <c r="AB74" s="131" t="s">
        <v>236</v>
      </c>
      <c r="AC74" s="131"/>
      <c r="AD74" s="131"/>
    </row>
    <row r="75" spans="1:30">
      <c r="B75" s="152" t="s">
        <v>481</v>
      </c>
      <c r="C75" s="152" t="s">
        <v>1249</v>
      </c>
      <c r="D75" s="152" t="s">
        <v>1134</v>
      </c>
      <c r="AB75" s="131" t="s">
        <v>237</v>
      </c>
      <c r="AC75" s="131"/>
      <c r="AD75" s="131"/>
    </row>
    <row r="76" spans="1:30">
      <c r="B76" s="152" t="s">
        <v>482</v>
      </c>
      <c r="C76" s="152" t="s">
        <v>1250</v>
      </c>
      <c r="D76" s="152" t="s">
        <v>1134</v>
      </c>
      <c r="Q76" s="136"/>
      <c r="R76" s="136"/>
      <c r="S76" s="136"/>
      <c r="T76" s="136"/>
      <c r="U76" s="136"/>
      <c r="V76" s="136"/>
      <c r="W76" s="136"/>
      <c r="X76" s="136"/>
      <c r="Y76" s="136"/>
      <c r="Z76" s="136"/>
      <c r="AA76" s="152" t="s">
        <v>1251</v>
      </c>
      <c r="AB76" s="131" t="s">
        <v>239</v>
      </c>
      <c r="AC76" s="131"/>
      <c r="AD76" s="131"/>
    </row>
    <row r="77" spans="1:30">
      <c r="B77" s="152" t="s">
        <v>1252</v>
      </c>
      <c r="C77" s="152" t="s">
        <v>1253</v>
      </c>
      <c r="D77" s="152" t="s">
        <v>1134</v>
      </c>
      <c r="AB77" s="131" t="s">
        <v>2223</v>
      </c>
    </row>
    <row r="78" spans="1:30">
      <c r="B78" s="152" t="s">
        <v>1254</v>
      </c>
      <c r="C78" s="152" t="s">
        <v>1255</v>
      </c>
      <c r="D78" s="152" t="s">
        <v>1134</v>
      </c>
    </row>
    <row r="79" spans="1:30">
      <c r="B79" s="152" t="s">
        <v>1256</v>
      </c>
      <c r="C79" s="152" t="s">
        <v>1257</v>
      </c>
      <c r="D79" s="152" t="s">
        <v>1134</v>
      </c>
    </row>
    <row r="80" spans="1:30">
      <c r="B80" s="152" t="s">
        <v>1258</v>
      </c>
      <c r="C80" s="152" t="s">
        <v>1259</v>
      </c>
      <c r="D80" s="152" t="s">
        <v>1134</v>
      </c>
      <c r="AB80" s="131" t="s">
        <v>995</v>
      </c>
      <c r="AC80" s="131"/>
      <c r="AD80" s="131"/>
    </row>
    <row r="81" spans="2:30">
      <c r="B81" s="152" t="s">
        <v>1260</v>
      </c>
      <c r="C81" s="152" t="s">
        <v>1261</v>
      </c>
      <c r="D81" s="152" t="s">
        <v>1134</v>
      </c>
      <c r="AB81" s="131" t="s">
        <v>993</v>
      </c>
      <c r="AC81" s="131" t="s">
        <v>994</v>
      </c>
      <c r="AD81" s="131"/>
    </row>
    <row r="82" spans="2:30">
      <c r="B82" s="152" t="s">
        <v>595</v>
      </c>
      <c r="C82" s="152" t="s">
        <v>1262</v>
      </c>
      <c r="D82" s="152" t="s">
        <v>1134</v>
      </c>
    </row>
    <row r="83" spans="2:30">
      <c r="B83" s="152" t="s">
        <v>529</v>
      </c>
      <c r="C83" s="152" t="s">
        <v>1263</v>
      </c>
      <c r="D83" s="152" t="s">
        <v>1134</v>
      </c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52" t="s">
        <v>1264</v>
      </c>
      <c r="AB83" s="131" t="s">
        <v>992</v>
      </c>
    </row>
    <row r="84" spans="2:30">
      <c r="B84" s="152" t="s">
        <v>1265</v>
      </c>
      <c r="C84" s="152" t="s">
        <v>1266</v>
      </c>
      <c r="D84" s="152" t="s">
        <v>1134</v>
      </c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52" t="s">
        <v>1267</v>
      </c>
      <c r="AB84" s="131" t="s">
        <v>810</v>
      </c>
    </row>
    <row r="85" spans="2:30">
      <c r="B85" s="152" t="s">
        <v>1268</v>
      </c>
      <c r="C85" s="152" t="s">
        <v>1269</v>
      </c>
      <c r="D85" s="152" t="s">
        <v>1134</v>
      </c>
      <c r="AB85" s="131" t="s">
        <v>669</v>
      </c>
    </row>
    <row r="86" spans="2:30">
      <c r="B86" s="152" t="s">
        <v>1270</v>
      </c>
      <c r="C86" s="152" t="s">
        <v>1271</v>
      </c>
      <c r="D86" s="152" t="s">
        <v>1134</v>
      </c>
      <c r="AB86" s="131" t="s">
        <v>2223</v>
      </c>
    </row>
    <row r="87" spans="2:30">
      <c r="B87" s="152" t="s">
        <v>1272</v>
      </c>
      <c r="C87" s="152" t="s">
        <v>1273</v>
      </c>
      <c r="D87" s="152" t="s">
        <v>1134</v>
      </c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9" t="s">
        <v>1274</v>
      </c>
      <c r="AB87" s="131" t="s">
        <v>668</v>
      </c>
    </row>
    <row r="88" spans="2:30">
      <c r="B88" s="152" t="s">
        <v>1275</v>
      </c>
      <c r="C88" s="152" t="s">
        <v>1276</v>
      </c>
      <c r="D88" s="152" t="s">
        <v>1134</v>
      </c>
      <c r="AB88" s="131" t="s">
        <v>2223</v>
      </c>
    </row>
    <row r="89" spans="2:30">
      <c r="B89" s="152" t="s">
        <v>1277</v>
      </c>
      <c r="C89" s="152" t="s">
        <v>1278</v>
      </c>
      <c r="D89" s="152" t="s">
        <v>1134</v>
      </c>
      <c r="AB89" s="131" t="s">
        <v>671</v>
      </c>
    </row>
    <row r="90" spans="2:30">
      <c r="B90" s="152" t="s">
        <v>1279</v>
      </c>
      <c r="C90" s="152" t="s">
        <v>1280</v>
      </c>
      <c r="D90" s="152" t="s">
        <v>1134</v>
      </c>
      <c r="AB90" s="131"/>
    </row>
    <row r="91" spans="2:30">
      <c r="B91" s="152" t="s">
        <v>1281</v>
      </c>
      <c r="C91" s="152" t="s">
        <v>1282</v>
      </c>
      <c r="D91" s="152" t="s">
        <v>1134</v>
      </c>
      <c r="AB91" s="131" t="s">
        <v>679</v>
      </c>
    </row>
    <row r="92" spans="2:30">
      <c r="B92" s="152" t="s">
        <v>1283</v>
      </c>
      <c r="C92" s="152" t="s">
        <v>1284</v>
      </c>
      <c r="D92" s="152" t="s">
        <v>1134</v>
      </c>
    </row>
    <row r="93" spans="2:30">
      <c r="B93" s="152" t="s">
        <v>1285</v>
      </c>
      <c r="C93" s="152" t="s">
        <v>1286</v>
      </c>
      <c r="D93" s="152" t="s">
        <v>1134</v>
      </c>
    </row>
    <row r="94" spans="2:30">
      <c r="B94" s="152" t="s">
        <v>1287</v>
      </c>
      <c r="C94" s="152" t="s">
        <v>1288</v>
      </c>
      <c r="D94" s="152" t="s">
        <v>1134</v>
      </c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52" t="s">
        <v>1289</v>
      </c>
      <c r="AB94" s="131" t="s">
        <v>679</v>
      </c>
    </row>
    <row r="95" spans="2:30">
      <c r="B95" s="152" t="s">
        <v>1290</v>
      </c>
      <c r="C95" s="152" t="s">
        <v>1291</v>
      </c>
      <c r="D95" s="152" t="s">
        <v>1134</v>
      </c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52" t="s">
        <v>1292</v>
      </c>
      <c r="AB95" s="131" t="s">
        <v>98</v>
      </c>
    </row>
    <row r="96" spans="2:30">
      <c r="B96" s="152" t="s">
        <v>1293</v>
      </c>
      <c r="C96" s="152" t="s">
        <v>1294</v>
      </c>
      <c r="D96" s="152" t="s">
        <v>1134</v>
      </c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52" t="s">
        <v>1295</v>
      </c>
      <c r="AB96" s="131" t="s">
        <v>286</v>
      </c>
    </row>
    <row r="97" spans="2:30">
      <c r="B97" s="152" t="s">
        <v>1296</v>
      </c>
      <c r="C97" s="152" t="s">
        <v>1297</v>
      </c>
      <c r="D97" s="152" t="s">
        <v>1134</v>
      </c>
    </row>
    <row r="98" spans="2:30">
      <c r="B98" s="152" t="s">
        <v>1298</v>
      </c>
      <c r="C98" s="152" t="s">
        <v>1299</v>
      </c>
      <c r="D98" s="152" t="s">
        <v>1134</v>
      </c>
    </row>
    <row r="99" spans="2:30">
      <c r="B99" s="152" t="s">
        <v>655</v>
      </c>
      <c r="C99" s="152" t="s">
        <v>1300</v>
      </c>
      <c r="D99" s="152" t="s">
        <v>1134</v>
      </c>
    </row>
    <row r="100" spans="2:30">
      <c r="B100" s="152" t="s">
        <v>1301</v>
      </c>
      <c r="C100" s="152" t="s">
        <v>1302</v>
      </c>
      <c r="D100" s="152" t="s">
        <v>1134</v>
      </c>
    </row>
    <row r="101" spans="2:30">
      <c r="B101" s="152" t="s">
        <v>1303</v>
      </c>
      <c r="C101" s="152" t="s">
        <v>1304</v>
      </c>
      <c r="D101" s="152" t="s">
        <v>1134</v>
      </c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52" t="s">
        <v>1305</v>
      </c>
    </row>
    <row r="102" spans="2:30">
      <c r="B102" s="152" t="s">
        <v>1306</v>
      </c>
      <c r="C102" s="152" t="s">
        <v>1307</v>
      </c>
      <c r="D102" s="152" t="s">
        <v>1134</v>
      </c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52" t="s">
        <v>1308</v>
      </c>
      <c r="AB102" s="131" t="s">
        <v>286</v>
      </c>
    </row>
    <row r="103" spans="2:30">
      <c r="B103" s="152" t="s">
        <v>1309</v>
      </c>
      <c r="C103" s="152" t="s">
        <v>1310</v>
      </c>
      <c r="D103" s="152" t="s">
        <v>1134</v>
      </c>
    </row>
    <row r="104" spans="2:30">
      <c r="B104" s="152" t="s">
        <v>1311</v>
      </c>
      <c r="C104" s="152" t="s">
        <v>1312</v>
      </c>
      <c r="D104" s="152" t="s">
        <v>1134</v>
      </c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52" t="s">
        <v>1313</v>
      </c>
      <c r="AB104" s="131" t="s">
        <v>286</v>
      </c>
    </row>
    <row r="105" spans="2:30">
      <c r="B105" s="152" t="s">
        <v>1314</v>
      </c>
      <c r="C105" s="152" t="s">
        <v>1315</v>
      </c>
      <c r="D105" s="152" t="s">
        <v>1134</v>
      </c>
      <c r="AB105" s="131" t="s">
        <v>688</v>
      </c>
    </row>
    <row r="106" spans="2:30">
      <c r="B106" s="152" t="s">
        <v>1316</v>
      </c>
      <c r="C106" s="152" t="s">
        <v>1317</v>
      </c>
      <c r="D106" s="152" t="s">
        <v>1134</v>
      </c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52" t="s">
        <v>1318</v>
      </c>
    </row>
    <row r="107" spans="2:30">
      <c r="B107" s="152" t="s">
        <v>1319</v>
      </c>
      <c r="C107" s="152" t="s">
        <v>1320</v>
      </c>
      <c r="D107" s="152" t="s">
        <v>1134</v>
      </c>
    </row>
    <row r="108" spans="2:30">
      <c r="B108" s="152" t="s">
        <v>1321</v>
      </c>
      <c r="C108" s="152" t="s">
        <v>1322</v>
      </c>
      <c r="D108" s="152" t="s">
        <v>1134</v>
      </c>
      <c r="Q108" s="140"/>
      <c r="R108" s="140"/>
      <c r="S108" s="140"/>
      <c r="T108" s="140"/>
      <c r="U108" s="140"/>
      <c r="AB108" s="131" t="s">
        <v>980</v>
      </c>
    </row>
    <row r="109" spans="2:30">
      <c r="B109" s="152" t="s">
        <v>1323</v>
      </c>
      <c r="C109" s="152" t="s">
        <v>1324</v>
      </c>
      <c r="D109" s="152" t="s">
        <v>1134</v>
      </c>
      <c r="AB109" s="131" t="s">
        <v>831</v>
      </c>
    </row>
    <row r="110" spans="2:30">
      <c r="B110" s="152" t="s">
        <v>1325</v>
      </c>
      <c r="C110" s="152" t="s">
        <v>1326</v>
      </c>
      <c r="D110" s="152" t="s">
        <v>1134</v>
      </c>
      <c r="AB110" s="131" t="s">
        <v>832</v>
      </c>
    </row>
    <row r="111" spans="2:30">
      <c r="B111" s="152" t="s">
        <v>1319</v>
      </c>
      <c r="C111" s="152" t="s">
        <v>1327</v>
      </c>
      <c r="D111" s="152" t="s">
        <v>1134</v>
      </c>
      <c r="AB111" s="135" t="s">
        <v>689</v>
      </c>
      <c r="AC111" s="135"/>
      <c r="AD111" s="135"/>
    </row>
    <row r="112" spans="2:30">
      <c r="B112" s="152" t="s">
        <v>1328</v>
      </c>
      <c r="C112" s="152" t="s">
        <v>1329</v>
      </c>
      <c r="D112" s="152" t="s">
        <v>1134</v>
      </c>
    </row>
    <row r="113" spans="1:30">
      <c r="B113" s="152" t="s">
        <v>1330</v>
      </c>
      <c r="C113" s="152" t="s">
        <v>1331</v>
      </c>
      <c r="D113" s="152" t="s">
        <v>1134</v>
      </c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41" t="s">
        <v>1332</v>
      </c>
      <c r="AB113" s="131" t="s">
        <v>833</v>
      </c>
    </row>
    <row r="114" spans="1:30">
      <c r="B114" s="152" t="s">
        <v>1333</v>
      </c>
      <c r="C114" s="152" t="s">
        <v>1334</v>
      </c>
      <c r="D114" s="152" t="s">
        <v>1134</v>
      </c>
      <c r="AA114" s="141" t="s">
        <v>1335</v>
      </c>
      <c r="AB114" s="131" t="s">
        <v>949</v>
      </c>
    </row>
    <row r="115" spans="1:30">
      <c r="B115" s="152" t="s">
        <v>2554</v>
      </c>
      <c r="C115" s="152" t="s">
        <v>2555</v>
      </c>
      <c r="AA115" s="141"/>
      <c r="AB115" s="131" t="s">
        <v>107</v>
      </c>
    </row>
    <row r="116" spans="1:30">
      <c r="B116" s="152" t="s">
        <v>2556</v>
      </c>
      <c r="C116" s="152" t="s">
        <v>2557</v>
      </c>
      <c r="AA116" s="141"/>
      <c r="AB116" s="131" t="s">
        <v>947</v>
      </c>
    </row>
    <row r="117" spans="1:30">
      <c r="B117" s="152" t="s">
        <v>1336</v>
      </c>
      <c r="C117" s="152" t="s">
        <v>1337</v>
      </c>
      <c r="D117" s="152" t="s">
        <v>1134</v>
      </c>
      <c r="AB117" s="131" t="s">
        <v>948</v>
      </c>
    </row>
    <row r="118" spans="1:30">
      <c r="B118" s="152" t="s">
        <v>1338</v>
      </c>
      <c r="C118" s="152" t="s">
        <v>1339</v>
      </c>
      <c r="D118" s="152" t="s">
        <v>1134</v>
      </c>
    </row>
    <row r="119" spans="1:30">
      <c r="B119" s="152" t="s">
        <v>1340</v>
      </c>
      <c r="C119" s="152" t="s">
        <v>621</v>
      </c>
      <c r="D119" s="152" t="s">
        <v>1134</v>
      </c>
      <c r="AB119" s="131" t="s">
        <v>766</v>
      </c>
    </row>
    <row r="120" spans="1:30">
      <c r="B120" s="152" t="s">
        <v>1341</v>
      </c>
      <c r="C120" s="152" t="s">
        <v>1342</v>
      </c>
      <c r="AB120" s="131" t="s">
        <v>1008</v>
      </c>
    </row>
    <row r="121" spans="1:30">
      <c r="B121" s="152" t="s">
        <v>1343</v>
      </c>
      <c r="C121" s="152" t="s">
        <v>1344</v>
      </c>
      <c r="AB121" s="131" t="s">
        <v>1015</v>
      </c>
    </row>
    <row r="122" spans="1:30">
      <c r="B122" s="152" t="s">
        <v>1345</v>
      </c>
      <c r="C122" s="152" t="s">
        <v>1346</v>
      </c>
      <c r="AB122" s="131" t="s">
        <v>1007</v>
      </c>
    </row>
    <row r="123" spans="1:30"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</row>
    <row r="124" spans="1:30" s="128" customFormat="1" ht="15.75">
      <c r="A124" s="128" t="s">
        <v>1347</v>
      </c>
      <c r="D124" s="129"/>
      <c r="AB124" s="130"/>
      <c r="AC124" s="130"/>
      <c r="AD124" s="130"/>
    </row>
    <row r="125" spans="1:30">
      <c r="B125" s="152" t="s">
        <v>1348</v>
      </c>
      <c r="C125" s="152" t="s">
        <v>1349</v>
      </c>
      <c r="D125" s="152" t="s">
        <v>1134</v>
      </c>
      <c r="AB125" s="131" t="s">
        <v>993</v>
      </c>
    </row>
    <row r="126" spans="1:30">
      <c r="B126" s="152" t="s">
        <v>1350</v>
      </c>
      <c r="C126" s="152" t="s">
        <v>1351</v>
      </c>
      <c r="D126" s="152" t="s">
        <v>1134</v>
      </c>
      <c r="AB126" s="131" t="s">
        <v>994</v>
      </c>
    </row>
    <row r="127" spans="1:30">
      <c r="B127" s="152" t="s">
        <v>1352</v>
      </c>
      <c r="C127" s="152" t="s">
        <v>1353</v>
      </c>
      <c r="D127" s="152" t="s">
        <v>1134</v>
      </c>
    </row>
    <row r="128" spans="1:30">
      <c r="B128" s="152" t="s">
        <v>1354</v>
      </c>
      <c r="C128" s="152" t="s">
        <v>1355</v>
      </c>
      <c r="D128" s="152" t="s">
        <v>1134</v>
      </c>
      <c r="AB128" s="131" t="s">
        <v>996</v>
      </c>
      <c r="AC128" s="131" t="s">
        <v>997</v>
      </c>
      <c r="AD128" s="131" t="s">
        <v>804</v>
      </c>
    </row>
    <row r="129" spans="2:30">
      <c r="B129" s="152" t="s">
        <v>1356</v>
      </c>
      <c r="C129" s="152" t="s">
        <v>1357</v>
      </c>
      <c r="D129" s="152" t="s">
        <v>1134</v>
      </c>
      <c r="AB129" s="131" t="s">
        <v>2227</v>
      </c>
    </row>
    <row r="130" spans="2:30">
      <c r="B130" s="152" t="s">
        <v>1358</v>
      </c>
      <c r="C130" s="152" t="s">
        <v>1359</v>
      </c>
      <c r="D130" s="152" t="s">
        <v>1134</v>
      </c>
      <c r="AB130" s="131" t="s">
        <v>995</v>
      </c>
    </row>
    <row r="131" spans="2:30">
      <c r="B131" s="152" t="s">
        <v>1360</v>
      </c>
      <c r="C131" s="152" t="s">
        <v>1361</v>
      </c>
      <c r="D131" s="152" t="s">
        <v>1134</v>
      </c>
      <c r="AB131" s="131" t="s">
        <v>2229</v>
      </c>
    </row>
    <row r="132" spans="2:30">
      <c r="B132" s="152" t="s">
        <v>1362</v>
      </c>
      <c r="C132" s="152" t="s">
        <v>1363</v>
      </c>
      <c r="D132" s="152" t="s">
        <v>1134</v>
      </c>
      <c r="AB132" s="131" t="s">
        <v>2231</v>
      </c>
    </row>
    <row r="133" spans="2:30">
      <c r="B133" s="152" t="s">
        <v>1364</v>
      </c>
      <c r="C133" s="152" t="s">
        <v>1365</v>
      </c>
      <c r="D133" s="152" t="s">
        <v>1134</v>
      </c>
    </row>
    <row r="134" spans="2:30">
      <c r="B134" s="152" t="s">
        <v>1366</v>
      </c>
      <c r="C134" s="152" t="s">
        <v>1367</v>
      </c>
      <c r="D134" s="152" t="s">
        <v>1134</v>
      </c>
      <c r="AB134" s="131" t="s">
        <v>806</v>
      </c>
      <c r="AC134" s="131" t="s">
        <v>808</v>
      </c>
    </row>
    <row r="135" spans="2:30">
      <c r="B135" s="152" t="s">
        <v>1368</v>
      </c>
      <c r="C135" s="152" t="s">
        <v>1369</v>
      </c>
      <c r="D135" s="152" t="s">
        <v>1134</v>
      </c>
    </row>
    <row r="136" spans="2:30">
      <c r="B136" s="152" t="s">
        <v>1370</v>
      </c>
      <c r="C136" s="152" t="s">
        <v>1371</v>
      </c>
      <c r="D136" s="152" t="s">
        <v>1134</v>
      </c>
      <c r="AB136" s="131" t="s">
        <v>2233</v>
      </c>
    </row>
    <row r="137" spans="2:30">
      <c r="B137" s="152" t="s">
        <v>1372</v>
      </c>
      <c r="C137" s="152" t="s">
        <v>1373</v>
      </c>
      <c r="D137" s="152" t="s">
        <v>1134</v>
      </c>
      <c r="AB137" s="131" t="s">
        <v>669</v>
      </c>
      <c r="AC137" s="131" t="s">
        <v>670</v>
      </c>
    </row>
    <row r="138" spans="2:30">
      <c r="B138" s="152" t="s">
        <v>1374</v>
      </c>
      <c r="C138" s="152" t="s">
        <v>1375</v>
      </c>
      <c r="D138" s="152" t="s">
        <v>1134</v>
      </c>
      <c r="AB138" s="131" t="s">
        <v>2235</v>
      </c>
    </row>
    <row r="139" spans="2:30">
      <c r="B139" s="152" t="s">
        <v>1376</v>
      </c>
      <c r="C139" s="152" t="s">
        <v>1377</v>
      </c>
      <c r="D139" s="152" t="s">
        <v>1134</v>
      </c>
    </row>
    <row r="140" spans="2:30">
      <c r="B140" s="152" t="s">
        <v>1378</v>
      </c>
      <c r="C140" s="152" t="s">
        <v>1379</v>
      </c>
      <c r="D140" s="152" t="s">
        <v>1134</v>
      </c>
      <c r="AB140" s="131" t="s">
        <v>2237</v>
      </c>
    </row>
    <row r="141" spans="2:30">
      <c r="B141" s="152" t="s">
        <v>1380</v>
      </c>
      <c r="C141" s="152" t="s">
        <v>1381</v>
      </c>
      <c r="D141" s="152" t="s">
        <v>1134</v>
      </c>
      <c r="AB141" s="131" t="s">
        <v>1</v>
      </c>
      <c r="AC141" s="131" t="s">
        <v>669</v>
      </c>
      <c r="AD141" s="131" t="s">
        <v>671</v>
      </c>
    </row>
    <row r="142" spans="2:30">
      <c r="B142" s="152" t="s">
        <v>1382</v>
      </c>
      <c r="C142" s="152" t="s">
        <v>1383</v>
      </c>
      <c r="D142" s="152" t="s">
        <v>1134</v>
      </c>
      <c r="AB142" s="131" t="s">
        <v>671</v>
      </c>
    </row>
    <row r="143" spans="2:30">
      <c r="B143" s="152" t="s">
        <v>1384</v>
      </c>
      <c r="C143" s="152" t="s">
        <v>1385</v>
      </c>
      <c r="D143" s="152" t="s">
        <v>1134</v>
      </c>
    </row>
    <row r="144" spans="2:30">
      <c r="B144" s="152" t="s">
        <v>1386</v>
      </c>
      <c r="C144" s="152" t="s">
        <v>1387</v>
      </c>
      <c r="D144" s="152" t="s">
        <v>1134</v>
      </c>
      <c r="AB144" s="131" t="s">
        <v>671</v>
      </c>
    </row>
    <row r="145" spans="2:28">
      <c r="B145" s="152" t="s">
        <v>1388</v>
      </c>
      <c r="C145" s="152" t="s">
        <v>1389</v>
      </c>
      <c r="D145" s="152" t="s">
        <v>1134</v>
      </c>
      <c r="AB145" s="131" t="s">
        <v>98</v>
      </c>
    </row>
    <row r="146" spans="2:28">
      <c r="B146" s="152" t="s">
        <v>1390</v>
      </c>
      <c r="C146" s="152" t="s">
        <v>1391</v>
      </c>
      <c r="D146" s="152" t="s">
        <v>1134</v>
      </c>
      <c r="AB146" s="131" t="s">
        <v>2239</v>
      </c>
    </row>
    <row r="147" spans="2:28">
      <c r="B147" s="152" t="s">
        <v>1392</v>
      </c>
      <c r="C147" s="152" t="s">
        <v>1393</v>
      </c>
      <c r="D147" s="152" t="s">
        <v>1134</v>
      </c>
    </row>
    <row r="148" spans="2:28">
      <c r="B148" s="152" t="s">
        <v>1394</v>
      </c>
      <c r="C148" s="152" t="s">
        <v>1395</v>
      </c>
      <c r="D148" s="152" t="s">
        <v>1134</v>
      </c>
      <c r="AB148" s="131" t="s">
        <v>2241</v>
      </c>
    </row>
    <row r="149" spans="2:28">
      <c r="B149" s="152" t="s">
        <v>1396</v>
      </c>
      <c r="C149" s="152" t="s">
        <v>1397</v>
      </c>
      <c r="D149" s="152" t="s">
        <v>1134</v>
      </c>
      <c r="AB149" s="131" t="s">
        <v>831</v>
      </c>
    </row>
    <row r="150" spans="2:28">
      <c r="B150" s="152" t="s">
        <v>1398</v>
      </c>
      <c r="C150" s="152" t="s">
        <v>1399</v>
      </c>
      <c r="D150" s="152" t="s">
        <v>1134</v>
      </c>
      <c r="W150" s="131"/>
      <c r="AB150" s="131" t="s">
        <v>831</v>
      </c>
    </row>
    <row r="151" spans="2:28">
      <c r="B151" s="152" t="s">
        <v>1400</v>
      </c>
      <c r="C151" s="152" t="s">
        <v>1401</v>
      </c>
      <c r="D151" s="152" t="s">
        <v>1134</v>
      </c>
      <c r="W151" s="131"/>
    </row>
    <row r="152" spans="2:28">
      <c r="B152" s="152" t="s">
        <v>1402</v>
      </c>
      <c r="C152" s="152" t="s">
        <v>1403</v>
      </c>
      <c r="D152" s="152" t="s">
        <v>1134</v>
      </c>
    </row>
    <row r="153" spans="2:28">
      <c r="B153" s="152" t="s">
        <v>1404</v>
      </c>
      <c r="C153" s="152" t="s">
        <v>1405</v>
      </c>
      <c r="D153" s="152" t="s">
        <v>1134</v>
      </c>
      <c r="AB153" s="131"/>
    </row>
    <row r="154" spans="2:28">
      <c r="B154" s="152" t="s">
        <v>1406</v>
      </c>
      <c r="C154" s="152" t="s">
        <v>1407</v>
      </c>
      <c r="D154" s="152" t="s">
        <v>1134</v>
      </c>
      <c r="AB154" s="131" t="s">
        <v>832</v>
      </c>
    </row>
    <row r="155" spans="2:28">
      <c r="B155" s="152" t="s">
        <v>1408</v>
      </c>
      <c r="C155" s="152" t="s">
        <v>1409</v>
      </c>
      <c r="D155" s="152" t="s">
        <v>1134</v>
      </c>
      <c r="AB155" s="131"/>
    </row>
    <row r="156" spans="2:28">
      <c r="B156" s="152" t="s">
        <v>1410</v>
      </c>
      <c r="C156" s="152" t="s">
        <v>1411</v>
      </c>
      <c r="D156" s="152" t="s">
        <v>1134</v>
      </c>
      <c r="AB156" s="131" t="s">
        <v>2223</v>
      </c>
    </row>
    <row r="157" spans="2:28">
      <c r="B157" s="152" t="s">
        <v>1412</v>
      </c>
      <c r="C157" s="152" t="s">
        <v>1413</v>
      </c>
      <c r="D157" s="152" t="s">
        <v>1134</v>
      </c>
      <c r="AB157" s="131" t="s">
        <v>832</v>
      </c>
    </row>
    <row r="158" spans="2:28">
      <c r="B158" s="152" t="s">
        <v>1414</v>
      </c>
      <c r="C158" s="152" t="s">
        <v>1415</v>
      </c>
      <c r="D158" s="152" t="s">
        <v>1134</v>
      </c>
    </row>
    <row r="159" spans="2:28">
      <c r="B159" s="152" t="s">
        <v>1416</v>
      </c>
      <c r="C159" s="152" t="s">
        <v>1417</v>
      </c>
      <c r="D159" s="152" t="s">
        <v>1134</v>
      </c>
    </row>
    <row r="160" spans="2:28">
      <c r="B160" s="152" t="s">
        <v>1418</v>
      </c>
      <c r="C160" s="152" t="s">
        <v>1419</v>
      </c>
      <c r="D160" s="152" t="s">
        <v>1134</v>
      </c>
    </row>
    <row r="161" spans="2:30">
      <c r="B161" s="152" t="s">
        <v>1420</v>
      </c>
      <c r="C161" s="152" t="s">
        <v>1421</v>
      </c>
      <c r="D161" s="152" t="s">
        <v>1134</v>
      </c>
      <c r="AB161" s="131" t="s">
        <v>832</v>
      </c>
    </row>
    <row r="162" spans="2:30">
      <c r="B162" s="152" t="s">
        <v>1422</v>
      </c>
      <c r="C162" s="152" t="s">
        <v>1423</v>
      </c>
      <c r="D162" s="152" t="s">
        <v>1134</v>
      </c>
    </row>
    <row r="163" spans="2:30">
      <c r="B163" s="152" t="s">
        <v>1424</v>
      </c>
      <c r="C163" s="152" t="s">
        <v>1425</v>
      </c>
      <c r="D163" s="152" t="s">
        <v>1134</v>
      </c>
      <c r="AB163" s="131" t="s">
        <v>2223</v>
      </c>
    </row>
    <row r="164" spans="2:30">
      <c r="B164" s="152" t="s">
        <v>1426</v>
      </c>
      <c r="C164" s="152" t="s">
        <v>1427</v>
      </c>
      <c r="D164" s="152" t="s">
        <v>1134</v>
      </c>
      <c r="AB164" s="131" t="s">
        <v>832</v>
      </c>
    </row>
    <row r="165" spans="2:30" ht="15">
      <c r="B165" s="152" t="s">
        <v>1428</v>
      </c>
      <c r="C165" s="152" t="s">
        <v>1429</v>
      </c>
      <c r="D165" s="152" t="s">
        <v>1134</v>
      </c>
      <c r="X165" s="143"/>
      <c r="AB165" s="131" t="s">
        <v>286</v>
      </c>
      <c r="AC165" s="131" t="s">
        <v>832</v>
      </c>
      <c r="AD165" s="131" t="s">
        <v>831</v>
      </c>
    </row>
    <row r="166" spans="2:30">
      <c r="B166" s="152" t="s">
        <v>1430</v>
      </c>
      <c r="C166" s="152" t="s">
        <v>1431</v>
      </c>
      <c r="D166" s="152" t="s">
        <v>1134</v>
      </c>
      <c r="AB166" s="131" t="s">
        <v>688</v>
      </c>
    </row>
    <row r="167" spans="2:30">
      <c r="B167" s="152" t="s">
        <v>1432</v>
      </c>
      <c r="C167" s="152" t="s">
        <v>1433</v>
      </c>
      <c r="D167" s="152" t="s">
        <v>1134</v>
      </c>
      <c r="AB167" s="131" t="s">
        <v>833</v>
      </c>
      <c r="AC167" s="131" t="s">
        <v>689</v>
      </c>
    </row>
    <row r="168" spans="2:30">
      <c r="B168" s="152" t="s">
        <v>1434</v>
      </c>
      <c r="C168" s="152" t="s">
        <v>1435</v>
      </c>
      <c r="D168" s="152" t="s">
        <v>1134</v>
      </c>
      <c r="AB168" s="131" t="s">
        <v>980</v>
      </c>
    </row>
    <row r="169" spans="2:30">
      <c r="B169" s="152" t="s">
        <v>1436</v>
      </c>
      <c r="C169" s="152" t="s">
        <v>1437</v>
      </c>
      <c r="D169" s="152" t="s">
        <v>1134</v>
      </c>
    </row>
    <row r="170" spans="2:30">
      <c r="B170" s="152" t="s">
        <v>1438</v>
      </c>
      <c r="C170" s="152" t="s">
        <v>1439</v>
      </c>
      <c r="D170" s="152" t="s">
        <v>1134</v>
      </c>
    </row>
    <row r="171" spans="2:30">
      <c r="B171" s="152" t="s">
        <v>1440</v>
      </c>
      <c r="C171" s="152" t="s">
        <v>1441</v>
      </c>
      <c r="D171" s="152" t="s">
        <v>1134</v>
      </c>
    </row>
    <row r="172" spans="2:30">
      <c r="B172" s="152" t="s">
        <v>1442</v>
      </c>
      <c r="C172" s="152" t="s">
        <v>1443</v>
      </c>
      <c r="D172" s="152" t="s">
        <v>1134</v>
      </c>
    </row>
    <row r="173" spans="2:30">
      <c r="B173" s="152" t="s">
        <v>1444</v>
      </c>
      <c r="C173" s="152" t="s">
        <v>1445</v>
      </c>
      <c r="D173" s="152" t="s">
        <v>1134</v>
      </c>
      <c r="AB173" s="131" t="s">
        <v>1016</v>
      </c>
    </row>
    <row r="174" spans="2:30">
      <c r="B174" s="152" t="s">
        <v>1446</v>
      </c>
      <c r="C174" s="152" t="s">
        <v>1447</v>
      </c>
      <c r="D174" s="152" t="s">
        <v>1134</v>
      </c>
      <c r="AB174" s="131" t="s">
        <v>107</v>
      </c>
    </row>
    <row r="175" spans="2:30">
      <c r="B175" s="152" t="s">
        <v>1448</v>
      </c>
      <c r="C175" s="152" t="s">
        <v>1449</v>
      </c>
      <c r="D175" s="152" t="s">
        <v>1134</v>
      </c>
      <c r="AB175" s="131" t="s">
        <v>948</v>
      </c>
    </row>
    <row r="176" spans="2:30">
      <c r="B176" s="152" t="s">
        <v>1450</v>
      </c>
      <c r="C176" s="152" t="s">
        <v>1451</v>
      </c>
      <c r="AB176" s="131" t="s">
        <v>904</v>
      </c>
    </row>
    <row r="177" spans="2:28">
      <c r="B177" s="152" t="s">
        <v>1452</v>
      </c>
      <c r="C177" s="152" t="s">
        <v>1453</v>
      </c>
      <c r="AB177" s="131" t="s">
        <v>727</v>
      </c>
    </row>
    <row r="178" spans="2:28">
      <c r="B178" s="152" t="s">
        <v>1454</v>
      </c>
      <c r="C178" s="152" t="s">
        <v>1455</v>
      </c>
      <c r="D178" s="152" t="s">
        <v>1134</v>
      </c>
      <c r="AB178" s="131" t="s">
        <v>766</v>
      </c>
    </row>
    <row r="179" spans="2:28">
      <c r="B179" s="152" t="s">
        <v>1456</v>
      </c>
      <c r="C179" s="152" t="s">
        <v>1457</v>
      </c>
    </row>
    <row r="180" spans="2:28">
      <c r="B180" s="152" t="s">
        <v>1458</v>
      </c>
      <c r="C180" s="152" t="s">
        <v>1459</v>
      </c>
      <c r="AB180" s="131" t="s">
        <v>904</v>
      </c>
    </row>
    <row r="181" spans="2:28">
      <c r="B181" s="152" t="s">
        <v>1460</v>
      </c>
      <c r="C181" s="152" t="s">
        <v>1461</v>
      </c>
      <c r="AB181" s="131" t="s">
        <v>727</v>
      </c>
    </row>
    <row r="182" spans="2:28">
      <c r="B182" s="152" t="s">
        <v>1462</v>
      </c>
      <c r="C182" s="152" t="s">
        <v>1463</v>
      </c>
      <c r="D182" s="152" t="s">
        <v>1134</v>
      </c>
      <c r="AB182" s="131" t="s">
        <v>766</v>
      </c>
    </row>
    <row r="183" spans="2:28">
      <c r="B183" s="152" t="s">
        <v>1464</v>
      </c>
      <c r="C183" s="152" t="s">
        <v>1465</v>
      </c>
    </row>
    <row r="184" spans="2:28">
      <c r="B184" s="152" t="s">
        <v>1466</v>
      </c>
      <c r="C184" s="152" t="s">
        <v>1467</v>
      </c>
      <c r="AB184" s="131" t="s">
        <v>904</v>
      </c>
    </row>
    <row r="185" spans="2:28">
      <c r="B185" s="152" t="s">
        <v>1468</v>
      </c>
      <c r="C185" s="152" t="s">
        <v>1469</v>
      </c>
      <c r="AB185" s="131" t="s">
        <v>727</v>
      </c>
    </row>
    <row r="186" spans="2:28">
      <c r="B186" s="152" t="s">
        <v>1470</v>
      </c>
      <c r="C186" s="152" t="s">
        <v>1471</v>
      </c>
      <c r="D186" s="152" t="s">
        <v>1134</v>
      </c>
      <c r="AB186" s="131" t="s">
        <v>766</v>
      </c>
    </row>
    <row r="187" spans="2:28">
      <c r="B187" s="152" t="s">
        <v>1472</v>
      </c>
      <c r="C187" s="152" t="s">
        <v>1473</v>
      </c>
      <c r="AB187" s="131" t="s">
        <v>1047</v>
      </c>
    </row>
    <row r="188" spans="2:28">
      <c r="B188" s="152" t="s">
        <v>1474</v>
      </c>
      <c r="C188" s="152" t="s">
        <v>1475</v>
      </c>
    </row>
    <row r="189" spans="2:28">
      <c r="B189" s="152" t="s">
        <v>1476</v>
      </c>
      <c r="C189" s="152" t="s">
        <v>1477</v>
      </c>
      <c r="AB189" s="131" t="s">
        <v>2219</v>
      </c>
    </row>
    <row r="190" spans="2:28">
      <c r="B190" s="152" t="s">
        <v>1478</v>
      </c>
      <c r="C190" s="152" t="s">
        <v>1479</v>
      </c>
    </row>
    <row r="191" spans="2:28">
      <c r="B191" s="152" t="s">
        <v>1480</v>
      </c>
      <c r="C191" s="152" t="s">
        <v>1481</v>
      </c>
    </row>
    <row r="192" spans="2:28">
      <c r="B192" s="152" t="s">
        <v>1482</v>
      </c>
      <c r="C192" s="152" t="s">
        <v>1483</v>
      </c>
      <c r="AB192" s="131" t="s">
        <v>2221</v>
      </c>
    </row>
    <row r="193" spans="1:30">
      <c r="B193" s="152" t="s">
        <v>1484</v>
      </c>
      <c r="C193" s="152" t="s">
        <v>1485</v>
      </c>
    </row>
    <row r="194" spans="1:30">
      <c r="B194" s="152" t="s">
        <v>1486</v>
      </c>
      <c r="C194" s="152" t="s">
        <v>1487</v>
      </c>
      <c r="AB194" s="131" t="s">
        <v>1007</v>
      </c>
    </row>
    <row r="195" spans="1:30">
      <c r="B195" s="152" t="s">
        <v>1488</v>
      </c>
      <c r="C195" s="152" t="s">
        <v>1489</v>
      </c>
      <c r="AB195" s="131" t="s">
        <v>1015</v>
      </c>
    </row>
    <row r="196" spans="1:30">
      <c r="B196" s="152" t="s">
        <v>1490</v>
      </c>
      <c r="C196" s="152" t="s">
        <v>1491</v>
      </c>
      <c r="AB196" s="131" t="s">
        <v>2218</v>
      </c>
    </row>
    <row r="197" spans="1:30">
      <c r="B197" s="152" t="s">
        <v>1492</v>
      </c>
      <c r="C197" s="152" t="s">
        <v>1493</v>
      </c>
      <c r="AB197" s="131" t="s">
        <v>1015</v>
      </c>
    </row>
    <row r="198" spans="1:30">
      <c r="B198" s="152" t="s">
        <v>1494</v>
      </c>
      <c r="C198" s="152" t="s">
        <v>1495</v>
      </c>
      <c r="D198" s="152" t="s">
        <v>1134</v>
      </c>
      <c r="AB198" s="131" t="s">
        <v>892</v>
      </c>
    </row>
    <row r="199" spans="1:30">
      <c r="F199" s="152"/>
      <c r="G199" s="152"/>
      <c r="H199" s="152"/>
      <c r="I199" s="152"/>
      <c r="J199" s="152"/>
      <c r="K199" s="152"/>
      <c r="L199" s="152"/>
      <c r="M199" s="152"/>
      <c r="N199" s="152"/>
      <c r="O199" s="152"/>
      <c r="P199" s="152"/>
    </row>
    <row r="200" spans="1:30" s="128" customFormat="1" ht="15.75">
      <c r="A200" s="128" t="s">
        <v>1496</v>
      </c>
      <c r="D200" s="129"/>
      <c r="AB200" s="130"/>
      <c r="AC200" s="130"/>
      <c r="AD200" s="130"/>
    </row>
    <row r="201" spans="1:30">
      <c r="B201" s="152" t="s">
        <v>1497</v>
      </c>
      <c r="C201" s="152" t="s">
        <v>1498</v>
      </c>
      <c r="D201" s="152" t="s">
        <v>1134</v>
      </c>
      <c r="AB201" s="131" t="s">
        <v>1016</v>
      </c>
    </row>
    <row r="202" spans="1:30">
      <c r="B202" s="152" t="s">
        <v>1499</v>
      </c>
      <c r="C202" s="152" t="s">
        <v>1500</v>
      </c>
      <c r="D202" s="152" t="s">
        <v>1134</v>
      </c>
      <c r="AB202" s="131" t="s">
        <v>107</v>
      </c>
    </row>
    <row r="203" spans="1:30">
      <c r="B203" s="152" t="s">
        <v>1501</v>
      </c>
      <c r="C203" s="152" t="s">
        <v>1502</v>
      </c>
      <c r="D203" s="152" t="s">
        <v>1134</v>
      </c>
      <c r="AB203" s="131" t="s">
        <v>980</v>
      </c>
    </row>
    <row r="204" spans="1:30">
      <c r="B204" s="152" t="s">
        <v>1503</v>
      </c>
      <c r="C204" s="152" t="s">
        <v>1504</v>
      </c>
      <c r="D204" s="152" t="s">
        <v>1134</v>
      </c>
    </row>
    <row r="205" spans="1:30">
      <c r="B205" s="152" t="s">
        <v>1505</v>
      </c>
      <c r="C205" s="152" t="s">
        <v>1506</v>
      </c>
      <c r="AB205" s="131" t="s">
        <v>503</v>
      </c>
    </row>
    <row r="206" spans="1:30">
      <c r="B206" s="152" t="s">
        <v>1507</v>
      </c>
      <c r="C206" s="152" t="s">
        <v>1508</v>
      </c>
      <c r="D206" s="152" t="s">
        <v>1134</v>
      </c>
    </row>
    <row r="207" spans="1:30"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</row>
    <row r="208" spans="1:30" s="128" customFormat="1" ht="15.75">
      <c r="A208" s="128" t="s">
        <v>1509</v>
      </c>
      <c r="D208" s="129"/>
      <c r="AB208" s="130"/>
      <c r="AC208" s="130"/>
      <c r="AD208" s="130"/>
    </row>
    <row r="209" spans="2:30">
      <c r="B209" s="152" t="s">
        <v>1510</v>
      </c>
      <c r="C209" s="152" t="s">
        <v>1511</v>
      </c>
      <c r="D209" s="152" t="s">
        <v>1134</v>
      </c>
      <c r="AB209" s="131" t="s">
        <v>901</v>
      </c>
    </row>
    <row r="210" spans="2:30">
      <c r="B210" s="152" t="s">
        <v>1512</v>
      </c>
      <c r="C210" s="152" t="s">
        <v>1513</v>
      </c>
      <c r="D210" s="152" t="s">
        <v>1134</v>
      </c>
      <c r="AB210" s="131" t="s">
        <v>759</v>
      </c>
    </row>
    <row r="211" spans="2:30">
      <c r="B211" s="152" t="s">
        <v>1514</v>
      </c>
      <c r="C211" s="152" t="s">
        <v>1515</v>
      </c>
      <c r="D211" s="152" t="s">
        <v>1134</v>
      </c>
      <c r="AB211" s="168" t="s">
        <v>606</v>
      </c>
      <c r="AC211" s="168" t="s">
        <v>2257</v>
      </c>
      <c r="AD211" s="168" t="s">
        <v>2213</v>
      </c>
    </row>
    <row r="212" spans="2:30">
      <c r="B212" s="152" t="s">
        <v>1516</v>
      </c>
      <c r="C212" s="152" t="s">
        <v>1517</v>
      </c>
      <c r="D212" s="152" t="s">
        <v>1134</v>
      </c>
      <c r="AC212" s="168" t="s">
        <v>2258</v>
      </c>
    </row>
    <row r="213" spans="2:30">
      <c r="B213" s="152" t="s">
        <v>1518</v>
      </c>
      <c r="C213" s="152" t="s">
        <v>1519</v>
      </c>
      <c r="D213" s="152" t="s">
        <v>1134</v>
      </c>
      <c r="AB213" s="131" t="s">
        <v>760</v>
      </c>
      <c r="AC213" s="131" t="s">
        <v>895</v>
      </c>
    </row>
    <row r="214" spans="2:30">
      <c r="B214" s="152" t="s">
        <v>1110</v>
      </c>
      <c r="C214" s="152" t="s">
        <v>1520</v>
      </c>
      <c r="D214" s="152" t="s">
        <v>1134</v>
      </c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5" t="s">
        <v>1521</v>
      </c>
      <c r="AB214" s="131"/>
    </row>
    <row r="215" spans="2:30">
      <c r="B215" s="152" t="s">
        <v>1522</v>
      </c>
      <c r="C215" s="152" t="s">
        <v>1523</v>
      </c>
      <c r="D215" s="152" t="s">
        <v>1134</v>
      </c>
      <c r="AB215" s="131" t="s">
        <v>896</v>
      </c>
    </row>
    <row r="216" spans="2:30">
      <c r="B216" s="152" t="s">
        <v>1524</v>
      </c>
      <c r="C216" s="152" t="s">
        <v>1525</v>
      </c>
      <c r="D216" s="152" t="s">
        <v>1134</v>
      </c>
      <c r="AB216" s="131" t="s">
        <v>758</v>
      </c>
      <c r="AC216" s="131"/>
    </row>
    <row r="217" spans="2:30">
      <c r="B217" s="152" t="s">
        <v>1526</v>
      </c>
      <c r="C217" s="152" t="s">
        <v>1527</v>
      </c>
      <c r="D217" s="152" t="s">
        <v>1134</v>
      </c>
    </row>
    <row r="218" spans="2:30">
      <c r="B218" s="152" t="s">
        <v>1528</v>
      </c>
      <c r="C218" s="152" t="s">
        <v>1529</v>
      </c>
      <c r="D218" s="152" t="s">
        <v>1134</v>
      </c>
      <c r="Q218" s="140"/>
      <c r="R218" s="140"/>
      <c r="S218" s="140"/>
      <c r="T218" s="140"/>
      <c r="U218" s="140"/>
      <c r="V218" s="140"/>
      <c r="W218" s="140"/>
      <c r="X218" s="140"/>
      <c r="Y218" s="140"/>
      <c r="Z218" s="140"/>
      <c r="AA218" s="152" t="s">
        <v>1530</v>
      </c>
      <c r="AB218" s="131" t="s">
        <v>758</v>
      </c>
      <c r="AC218" s="131"/>
    </row>
    <row r="219" spans="2:30">
      <c r="B219" s="152" t="s">
        <v>1531</v>
      </c>
      <c r="C219" s="152" t="s">
        <v>1532</v>
      </c>
      <c r="D219" s="152" t="s">
        <v>1134</v>
      </c>
      <c r="AB219" s="131" t="s">
        <v>2223</v>
      </c>
    </row>
    <row r="220" spans="2:30">
      <c r="B220" s="152" t="s">
        <v>1533</v>
      </c>
      <c r="C220" s="152" t="s">
        <v>1534</v>
      </c>
      <c r="D220" s="152" t="s">
        <v>1134</v>
      </c>
    </row>
    <row r="221" spans="2:30">
      <c r="B221" s="152" t="s">
        <v>1535</v>
      </c>
      <c r="C221" s="152" t="s">
        <v>1536</v>
      </c>
      <c r="D221" s="152" t="s">
        <v>1134</v>
      </c>
    </row>
    <row r="222" spans="2:30">
      <c r="B222" s="152" t="s">
        <v>1537</v>
      </c>
      <c r="C222" s="152" t="s">
        <v>1538</v>
      </c>
      <c r="D222" s="152" t="s">
        <v>1134</v>
      </c>
      <c r="AB222" s="142"/>
      <c r="AC222" s="134"/>
      <c r="AD222" s="134"/>
    </row>
    <row r="223" spans="2:30">
      <c r="B223" s="152" t="s">
        <v>1539</v>
      </c>
      <c r="C223" s="152" t="s">
        <v>1540</v>
      </c>
      <c r="D223" s="152" t="s">
        <v>1134</v>
      </c>
      <c r="AB223" s="1" t="s">
        <v>875</v>
      </c>
    </row>
    <row r="224" spans="2:30">
      <c r="B224" s="152" t="s">
        <v>1541</v>
      </c>
      <c r="C224" s="152" t="s">
        <v>1542</v>
      </c>
      <c r="D224" s="152" t="s">
        <v>1134</v>
      </c>
      <c r="Q224" s="140"/>
      <c r="AB224" s="131" t="s">
        <v>1068</v>
      </c>
      <c r="AC224" s="131" t="s">
        <v>900</v>
      </c>
      <c r="AD224" s="131" t="s">
        <v>902</v>
      </c>
    </row>
    <row r="225" spans="2:30">
      <c r="B225" s="152" t="s">
        <v>493</v>
      </c>
      <c r="C225" s="152" t="s">
        <v>1543</v>
      </c>
      <c r="D225" s="152" t="s">
        <v>1134</v>
      </c>
      <c r="Q225" s="140"/>
      <c r="R225" s="140"/>
      <c r="S225" s="140"/>
      <c r="T225" s="140"/>
      <c r="U225" s="140"/>
      <c r="V225" s="140"/>
      <c r="W225" s="140"/>
      <c r="X225" s="140"/>
      <c r="Y225" s="140"/>
      <c r="Z225" s="140"/>
      <c r="AA225" s="152" t="s">
        <v>1544</v>
      </c>
      <c r="AB225" s="131" t="s">
        <v>757</v>
      </c>
    </row>
    <row r="226" spans="2:30">
      <c r="B226" s="152" t="s">
        <v>664</v>
      </c>
      <c r="C226" s="152" t="s">
        <v>1545</v>
      </c>
      <c r="D226" s="152" t="s">
        <v>1134</v>
      </c>
      <c r="AB226" s="131" t="s">
        <v>903</v>
      </c>
    </row>
    <row r="227" spans="2:30">
      <c r="B227" s="152" t="s">
        <v>1546</v>
      </c>
      <c r="C227" s="152" t="s">
        <v>1547</v>
      </c>
      <c r="D227" s="152" t="s">
        <v>1134</v>
      </c>
      <c r="AB227" s="131" t="s">
        <v>1053</v>
      </c>
    </row>
    <row r="228" spans="2:30">
      <c r="B228" s="152" t="s">
        <v>1548</v>
      </c>
      <c r="C228" s="152" t="s">
        <v>1549</v>
      </c>
      <c r="D228" s="152" t="s">
        <v>1134</v>
      </c>
      <c r="AB228" s="131" t="s">
        <v>1046</v>
      </c>
    </row>
    <row r="229" spans="2:30">
      <c r="B229" s="152" t="s">
        <v>1550</v>
      </c>
      <c r="C229" s="152" t="s">
        <v>1551</v>
      </c>
      <c r="D229" s="152" t="s">
        <v>1134</v>
      </c>
      <c r="AB229" s="131" t="s">
        <v>1070</v>
      </c>
    </row>
    <row r="230" spans="2:30">
      <c r="B230" s="152" t="s">
        <v>1552</v>
      </c>
      <c r="C230" s="152" t="s">
        <v>1553</v>
      </c>
      <c r="D230" s="152" t="s">
        <v>1134</v>
      </c>
    </row>
    <row r="231" spans="2:30">
      <c r="B231" s="152" t="s">
        <v>1554</v>
      </c>
      <c r="C231" s="152" t="s">
        <v>1555</v>
      </c>
      <c r="D231" s="152" t="s">
        <v>1134</v>
      </c>
      <c r="Q231" s="140"/>
      <c r="R231" s="140"/>
      <c r="S231" s="140"/>
      <c r="T231" s="140"/>
      <c r="U231" s="140"/>
      <c r="V231" s="140"/>
      <c r="W231" s="140"/>
      <c r="X231" s="140"/>
      <c r="Y231" s="140"/>
      <c r="Z231" s="140"/>
      <c r="AA231" s="152" t="s">
        <v>1556</v>
      </c>
      <c r="AB231" s="131" t="s">
        <v>979</v>
      </c>
      <c r="AC231" s="131" t="s">
        <v>937</v>
      </c>
      <c r="AD231" s="131" t="s">
        <v>938</v>
      </c>
    </row>
    <row r="232" spans="2:30">
      <c r="B232" s="152" t="s">
        <v>1557</v>
      </c>
      <c r="C232" s="152" t="s">
        <v>1558</v>
      </c>
      <c r="D232" s="152" t="s">
        <v>1134</v>
      </c>
      <c r="AB232" s="134"/>
      <c r="AC232" s="134"/>
      <c r="AD232" s="134"/>
    </row>
    <row r="233" spans="2:30">
      <c r="B233" s="152" t="s">
        <v>1559</v>
      </c>
      <c r="C233" s="152" t="s">
        <v>1560</v>
      </c>
      <c r="D233" s="152" t="s">
        <v>1134</v>
      </c>
      <c r="AB233" s="131" t="s">
        <v>937</v>
      </c>
    </row>
    <row r="234" spans="2:30">
      <c r="B234" s="152" t="s">
        <v>1561</v>
      </c>
      <c r="C234" s="152" t="s">
        <v>1562</v>
      </c>
      <c r="D234" s="152" t="s">
        <v>1134</v>
      </c>
    </row>
    <row r="235" spans="2:30">
      <c r="B235" s="152" t="s">
        <v>1563</v>
      </c>
      <c r="C235" s="152" t="s">
        <v>1564</v>
      </c>
      <c r="D235" s="152" t="s">
        <v>1134</v>
      </c>
    </row>
    <row r="236" spans="2:30">
      <c r="B236" s="152" t="s">
        <v>1565</v>
      </c>
      <c r="C236" s="152" t="s">
        <v>1566</v>
      </c>
      <c r="D236" s="152" t="s">
        <v>1134</v>
      </c>
      <c r="AB236" s="131" t="s">
        <v>938</v>
      </c>
    </row>
    <row r="237" spans="2:30">
      <c r="B237" s="152" t="s">
        <v>371</v>
      </c>
      <c r="C237" s="152" t="s">
        <v>1567</v>
      </c>
      <c r="D237" s="152" t="s">
        <v>1134</v>
      </c>
      <c r="Q237" s="140"/>
      <c r="R237" s="140"/>
      <c r="S237" s="140"/>
      <c r="T237" s="140"/>
      <c r="U237" s="140"/>
      <c r="V237" s="140"/>
      <c r="W237" s="140"/>
      <c r="X237" s="140"/>
      <c r="Y237" s="140"/>
      <c r="Z237" s="140"/>
      <c r="AA237" s="152" t="s">
        <v>1568</v>
      </c>
    </row>
    <row r="238" spans="2:30">
      <c r="B238" s="152" t="s">
        <v>1569</v>
      </c>
      <c r="C238" s="152" t="s">
        <v>1570</v>
      </c>
      <c r="D238" s="152" t="s">
        <v>1134</v>
      </c>
      <c r="AB238" s="131" t="s">
        <v>1005</v>
      </c>
    </row>
    <row r="239" spans="2:30">
      <c r="B239" s="152" t="s">
        <v>1571</v>
      </c>
      <c r="C239" s="152" t="s">
        <v>1572</v>
      </c>
      <c r="D239" s="152" t="s">
        <v>1134</v>
      </c>
      <c r="AB239" s="131" t="s">
        <v>1004</v>
      </c>
    </row>
    <row r="240" spans="2:30">
      <c r="B240" s="152" t="s">
        <v>1319</v>
      </c>
      <c r="C240" s="152" t="s">
        <v>1573</v>
      </c>
      <c r="D240" s="152" t="s">
        <v>1134</v>
      </c>
    </row>
    <row r="241" spans="1:30">
      <c r="B241" s="152" t="s">
        <v>1319</v>
      </c>
      <c r="C241" s="152" t="s">
        <v>1574</v>
      </c>
      <c r="D241" s="152" t="s">
        <v>1134</v>
      </c>
      <c r="AB241" s="131" t="s">
        <v>1006</v>
      </c>
    </row>
    <row r="242" spans="1:30">
      <c r="B242" s="152" t="s">
        <v>1575</v>
      </c>
      <c r="C242" s="152" t="s">
        <v>1576</v>
      </c>
      <c r="D242" s="152" t="s">
        <v>1134</v>
      </c>
      <c r="Q242" s="136"/>
      <c r="R242" s="136"/>
      <c r="S242" s="136"/>
      <c r="T242" s="136"/>
      <c r="U242" s="136"/>
      <c r="V242" s="136"/>
      <c r="W242" s="136"/>
      <c r="X242" s="136"/>
      <c r="Y242" s="136"/>
      <c r="Z242" s="136"/>
      <c r="AA242" s="152" t="s">
        <v>1577</v>
      </c>
      <c r="AB242" s="131" t="s">
        <v>979</v>
      </c>
    </row>
    <row r="243" spans="1:30">
      <c r="B243" s="152" t="s">
        <v>1578</v>
      </c>
      <c r="C243" s="152" t="s">
        <v>1579</v>
      </c>
      <c r="D243" s="152" t="s">
        <v>1134</v>
      </c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  <c r="AA243" s="152" t="s">
        <v>1580</v>
      </c>
      <c r="AB243" s="131" t="s">
        <v>757</v>
      </c>
      <c r="AC243" s="131"/>
    </row>
    <row r="244" spans="1:30">
      <c r="B244" s="152" t="s">
        <v>1581</v>
      </c>
      <c r="C244" s="152" t="s">
        <v>1582</v>
      </c>
      <c r="D244" s="152" t="s">
        <v>1134</v>
      </c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  <c r="AA244" s="141" t="s">
        <v>1583</v>
      </c>
      <c r="AB244" s="131" t="s">
        <v>962</v>
      </c>
    </row>
    <row r="245" spans="1:30">
      <c r="B245" s="152" t="s">
        <v>1584</v>
      </c>
      <c r="C245" s="152" t="s">
        <v>1585</v>
      </c>
      <c r="D245" s="152" t="s">
        <v>1134</v>
      </c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41" t="s">
        <v>1586</v>
      </c>
      <c r="AB245" s="131" t="s">
        <v>962</v>
      </c>
    </row>
    <row r="246" spans="1:30">
      <c r="B246" s="152" t="s">
        <v>1587</v>
      </c>
      <c r="C246" s="152" t="s">
        <v>1588</v>
      </c>
      <c r="D246" s="152" t="s">
        <v>1134</v>
      </c>
      <c r="AB246" s="131" t="s">
        <v>963</v>
      </c>
    </row>
    <row r="247" spans="1:30">
      <c r="B247" s="152" t="s">
        <v>1589</v>
      </c>
      <c r="C247" s="152" t="s">
        <v>1590</v>
      </c>
      <c r="D247" s="152" t="s">
        <v>1134</v>
      </c>
      <c r="AB247" s="131" t="s">
        <v>963</v>
      </c>
    </row>
    <row r="248" spans="1:30">
      <c r="F248" s="152"/>
      <c r="G248" s="152"/>
      <c r="H248" s="152"/>
      <c r="I248" s="152"/>
      <c r="J248" s="152"/>
      <c r="K248" s="152"/>
      <c r="L248" s="152"/>
      <c r="M248" s="152"/>
      <c r="N248" s="152"/>
      <c r="O248" s="152"/>
      <c r="P248" s="152"/>
    </row>
    <row r="249" spans="1:30" s="128" customFormat="1" ht="15.75">
      <c r="A249" s="128" t="s">
        <v>1591</v>
      </c>
      <c r="D249" s="129"/>
      <c r="AB249" s="130"/>
      <c r="AC249" s="130"/>
      <c r="AD249" s="130"/>
    </row>
    <row r="250" spans="1:30">
      <c r="B250" s="152" t="s">
        <v>1592</v>
      </c>
      <c r="C250" s="152" t="s">
        <v>1593</v>
      </c>
      <c r="D250" s="152" t="s">
        <v>1134</v>
      </c>
      <c r="AB250" s="131" t="s">
        <v>333</v>
      </c>
    </row>
    <row r="251" spans="1:30">
      <c r="B251" s="152" t="s">
        <v>1594</v>
      </c>
      <c r="C251" s="152" t="s">
        <v>1595</v>
      </c>
      <c r="D251" s="152" t="s">
        <v>1134</v>
      </c>
      <c r="AB251" s="131" t="s">
        <v>919</v>
      </c>
    </row>
    <row r="252" spans="1:30">
      <c r="B252" s="152" t="s">
        <v>1596</v>
      </c>
      <c r="C252" s="152" t="s">
        <v>1597</v>
      </c>
      <c r="D252" s="152" t="s">
        <v>1134</v>
      </c>
    </row>
    <row r="253" spans="1:30">
      <c r="B253" s="152" t="s">
        <v>1598</v>
      </c>
      <c r="C253" s="152" t="s">
        <v>1599</v>
      </c>
      <c r="D253" s="152" t="s">
        <v>1134</v>
      </c>
      <c r="AB253" s="131" t="s">
        <v>2216</v>
      </c>
      <c r="AC253" s="131"/>
    </row>
    <row r="254" spans="1:30">
      <c r="B254" s="152" t="s">
        <v>1600</v>
      </c>
      <c r="C254" s="152" t="s">
        <v>1601</v>
      </c>
      <c r="D254" s="152" t="s">
        <v>1134</v>
      </c>
      <c r="AB254" s="131" t="s">
        <v>920</v>
      </c>
    </row>
    <row r="255" spans="1:30">
      <c r="B255" s="152" t="s">
        <v>1602</v>
      </c>
      <c r="C255" s="152" t="s">
        <v>1603</v>
      </c>
      <c r="D255" s="152" t="s">
        <v>1134</v>
      </c>
      <c r="AB255" s="131" t="s">
        <v>875</v>
      </c>
    </row>
    <row r="256" spans="1:30">
      <c r="B256" s="152" t="s">
        <v>1604</v>
      </c>
      <c r="C256" s="152" t="s">
        <v>1605</v>
      </c>
      <c r="D256" s="152" t="s">
        <v>1134</v>
      </c>
      <c r="AB256" s="131" t="s">
        <v>334</v>
      </c>
    </row>
    <row r="257" spans="2:30">
      <c r="B257" s="152" t="s">
        <v>1606</v>
      </c>
      <c r="C257" s="152" t="s">
        <v>1607</v>
      </c>
      <c r="D257" s="152" t="s">
        <v>1134</v>
      </c>
    </row>
    <row r="258" spans="2:30">
      <c r="B258" s="152" t="s">
        <v>1608</v>
      </c>
      <c r="C258" s="152" t="s">
        <v>1609</v>
      </c>
      <c r="D258" s="152" t="s">
        <v>1134</v>
      </c>
      <c r="AB258" s="131" t="s">
        <v>1052</v>
      </c>
    </row>
    <row r="259" spans="2:30">
      <c r="B259" s="152" t="s">
        <v>1610</v>
      </c>
      <c r="C259" s="152" t="s">
        <v>1611</v>
      </c>
      <c r="D259" s="152" t="s">
        <v>1134</v>
      </c>
      <c r="AB259" s="131" t="s">
        <v>943</v>
      </c>
      <c r="AC259" s="131"/>
    </row>
    <row r="260" spans="2:30">
      <c r="B260" s="152" t="s">
        <v>1612</v>
      </c>
      <c r="C260" s="152" t="s">
        <v>1613</v>
      </c>
      <c r="D260" s="152" t="s">
        <v>1134</v>
      </c>
      <c r="AB260" s="131" t="s">
        <v>2225</v>
      </c>
      <c r="AC260" s="131"/>
    </row>
    <row r="261" spans="2:30">
      <c r="B261" s="152" t="s">
        <v>1614</v>
      </c>
      <c r="C261" s="152" t="s">
        <v>1615</v>
      </c>
      <c r="D261" s="152" t="s">
        <v>1134</v>
      </c>
      <c r="AB261" s="131" t="s">
        <v>942</v>
      </c>
      <c r="AC261" s="131"/>
    </row>
    <row r="262" spans="2:30">
      <c r="B262" s="152" t="s">
        <v>1616</v>
      </c>
      <c r="C262" s="152" t="s">
        <v>1617</v>
      </c>
      <c r="D262" s="152" t="s">
        <v>1134</v>
      </c>
      <c r="AB262" s="131" t="s">
        <v>1005</v>
      </c>
      <c r="AC262" s="131"/>
    </row>
    <row r="263" spans="2:30">
      <c r="B263" s="152" t="s">
        <v>1618</v>
      </c>
      <c r="C263" s="152" t="s">
        <v>1619</v>
      </c>
      <c r="D263" s="152" t="s">
        <v>1134</v>
      </c>
      <c r="AB263" s="131" t="s">
        <v>944</v>
      </c>
    </row>
    <row r="264" spans="2:30">
      <c r="B264" s="152" t="s">
        <v>1620</v>
      </c>
      <c r="C264" s="152" t="s">
        <v>1621</v>
      </c>
      <c r="D264" s="152" t="s">
        <v>1134</v>
      </c>
      <c r="AB264" s="131" t="s">
        <v>922</v>
      </c>
    </row>
    <row r="265" spans="2:30">
      <c r="B265" s="152" t="s">
        <v>1622</v>
      </c>
      <c r="C265" s="152" t="s">
        <v>1623</v>
      </c>
      <c r="D265" s="152" t="s">
        <v>1134</v>
      </c>
      <c r="AB265" s="131" t="s">
        <v>606</v>
      </c>
      <c r="AC265" s="131" t="s">
        <v>608</v>
      </c>
    </row>
    <row r="266" spans="2:30">
      <c r="B266" s="152" t="s">
        <v>1624</v>
      </c>
      <c r="C266" s="152" t="s">
        <v>1625</v>
      </c>
      <c r="D266" s="152" t="s">
        <v>1134</v>
      </c>
      <c r="AB266" s="168" t="s">
        <v>2257</v>
      </c>
    </row>
    <row r="267" spans="2:30">
      <c r="B267" s="152" t="s">
        <v>1626</v>
      </c>
      <c r="C267" s="152" t="s">
        <v>1627</v>
      </c>
      <c r="D267" s="152" t="s">
        <v>1134</v>
      </c>
      <c r="AB267" s="168" t="s">
        <v>2258</v>
      </c>
    </row>
    <row r="268" spans="2:30">
      <c r="B268" s="152" t="s">
        <v>1628</v>
      </c>
      <c r="C268" s="152" t="s">
        <v>1629</v>
      </c>
      <c r="D268" s="152" t="s">
        <v>1134</v>
      </c>
      <c r="AB268" s="168" t="s">
        <v>2213</v>
      </c>
      <c r="AC268" s="169"/>
      <c r="AD268" s="169"/>
    </row>
    <row r="269" spans="2:30">
      <c r="B269" s="152" t="s">
        <v>342</v>
      </c>
      <c r="C269" s="152" t="s">
        <v>1630</v>
      </c>
      <c r="D269" s="152" t="s">
        <v>1134</v>
      </c>
      <c r="AB269" s="131" t="s">
        <v>607</v>
      </c>
    </row>
    <row r="270" spans="2:30">
      <c r="B270" s="152" t="s">
        <v>1631</v>
      </c>
      <c r="C270" s="152" t="s">
        <v>1632</v>
      </c>
      <c r="D270" s="152" t="s">
        <v>1134</v>
      </c>
    </row>
    <row r="271" spans="2:30">
      <c r="B271" s="152" t="s">
        <v>1633</v>
      </c>
      <c r="C271" s="152" t="s">
        <v>1634</v>
      </c>
      <c r="D271" s="152" t="s">
        <v>1134</v>
      </c>
    </row>
    <row r="272" spans="2:30">
      <c r="B272" s="152" t="s">
        <v>1635</v>
      </c>
      <c r="C272" s="152" t="s">
        <v>1636</v>
      </c>
      <c r="D272" s="152" t="s">
        <v>1134</v>
      </c>
    </row>
    <row r="273" spans="2:30">
      <c r="B273" s="152" t="s">
        <v>1637</v>
      </c>
      <c r="C273" s="152" t="s">
        <v>1638</v>
      </c>
      <c r="D273" s="152" t="s">
        <v>1134</v>
      </c>
    </row>
    <row r="274" spans="2:30">
      <c r="B274" s="152" t="s">
        <v>1639</v>
      </c>
      <c r="C274" s="152" t="s">
        <v>1640</v>
      </c>
      <c r="D274" s="152" t="s">
        <v>1134</v>
      </c>
    </row>
    <row r="275" spans="2:30">
      <c r="B275" s="152" t="s">
        <v>1641</v>
      </c>
      <c r="F275" s="156"/>
      <c r="G275" s="156"/>
      <c r="H275" s="156"/>
      <c r="I275" s="156"/>
      <c r="J275" s="156"/>
      <c r="K275" s="156"/>
      <c r="L275" s="156"/>
      <c r="M275" s="154"/>
      <c r="N275" s="154"/>
      <c r="O275" s="154"/>
      <c r="P275" s="154"/>
    </row>
    <row r="276" spans="2:30">
      <c r="B276" s="152" t="s">
        <v>1642</v>
      </c>
      <c r="C276" s="152" t="s">
        <v>1643</v>
      </c>
      <c r="D276" s="152" t="s">
        <v>1134</v>
      </c>
    </row>
    <row r="277" spans="2:30">
      <c r="B277" s="152" t="s">
        <v>1644</v>
      </c>
      <c r="C277" s="152" t="s">
        <v>1645</v>
      </c>
      <c r="D277" s="152" t="s">
        <v>1134</v>
      </c>
    </row>
    <row r="278" spans="2:30">
      <c r="B278" s="152" t="s">
        <v>342</v>
      </c>
      <c r="C278" s="152" t="s">
        <v>1646</v>
      </c>
      <c r="D278" s="152" t="s">
        <v>1134</v>
      </c>
      <c r="AB278" s="168" t="s">
        <v>2214</v>
      </c>
      <c r="AC278" s="169"/>
      <c r="AD278" s="169"/>
    </row>
    <row r="279" spans="2:30">
      <c r="B279" s="152" t="s">
        <v>1647</v>
      </c>
      <c r="C279" s="152" t="s">
        <v>1648</v>
      </c>
      <c r="D279" s="152" t="s">
        <v>1134</v>
      </c>
    </row>
    <row r="280" spans="2:30">
      <c r="B280" s="152" t="s">
        <v>1649</v>
      </c>
      <c r="C280" s="152" t="s">
        <v>1650</v>
      </c>
      <c r="D280" s="152" t="s">
        <v>1134</v>
      </c>
    </row>
    <row r="281" spans="2:30">
      <c r="B281" s="152" t="s">
        <v>1651</v>
      </c>
      <c r="C281" s="152" t="s">
        <v>1652</v>
      </c>
      <c r="D281" s="152" t="s">
        <v>1134</v>
      </c>
    </row>
    <row r="282" spans="2:30">
      <c r="B282" s="152" t="s">
        <v>1653</v>
      </c>
      <c r="C282" s="152" t="s">
        <v>1654</v>
      </c>
      <c r="D282" s="152" t="s">
        <v>1134</v>
      </c>
      <c r="AC282" s="131"/>
    </row>
    <row r="283" spans="2:30">
      <c r="B283" s="152" t="s">
        <v>1655</v>
      </c>
      <c r="C283" s="152" t="s">
        <v>1656</v>
      </c>
      <c r="D283" s="152" t="s">
        <v>1134</v>
      </c>
      <c r="AB283" s="131" t="s">
        <v>1004</v>
      </c>
      <c r="AC283" s="131" t="s">
        <v>939</v>
      </c>
      <c r="AD283" s="131" t="s">
        <v>940</v>
      </c>
    </row>
    <row r="284" spans="2:30">
      <c r="B284" s="152" t="s">
        <v>1657</v>
      </c>
      <c r="C284" s="152" t="s">
        <v>1658</v>
      </c>
      <c r="D284" s="152" t="s">
        <v>1134</v>
      </c>
      <c r="AB284" s="131" t="s">
        <v>939</v>
      </c>
    </row>
    <row r="285" spans="2:30">
      <c r="B285" s="152" t="s">
        <v>1659</v>
      </c>
      <c r="C285" s="152" t="s">
        <v>1660</v>
      </c>
      <c r="D285" s="152" t="s">
        <v>1134</v>
      </c>
      <c r="AB285" s="131" t="s">
        <v>940</v>
      </c>
    </row>
    <row r="286" spans="2:30">
      <c r="B286" s="152" t="s">
        <v>1661</v>
      </c>
      <c r="C286" s="152" t="s">
        <v>1662</v>
      </c>
      <c r="D286" s="152" t="s">
        <v>1134</v>
      </c>
      <c r="AB286" s="131" t="s">
        <v>1004</v>
      </c>
    </row>
    <row r="287" spans="2:30">
      <c r="B287" s="152" t="s">
        <v>1663</v>
      </c>
      <c r="C287" s="152" t="s">
        <v>1664</v>
      </c>
      <c r="D287" s="152" t="s">
        <v>1134</v>
      </c>
      <c r="AB287" s="131" t="s">
        <v>979</v>
      </c>
      <c r="AC287" s="131"/>
    </row>
    <row r="288" spans="2:30">
      <c r="B288" s="152" t="s">
        <v>1665</v>
      </c>
      <c r="C288" s="152" t="s">
        <v>1666</v>
      </c>
      <c r="D288" s="152" t="s">
        <v>1134</v>
      </c>
      <c r="AB288" s="131" t="s">
        <v>758</v>
      </c>
      <c r="AC288" s="131" t="s">
        <v>862</v>
      </c>
    </row>
    <row r="289" spans="1:30">
      <c r="B289" s="152" t="s">
        <v>1667</v>
      </c>
      <c r="C289" s="152" t="s">
        <v>1668</v>
      </c>
      <c r="D289" s="152" t="s">
        <v>1134</v>
      </c>
      <c r="AB289" s="131" t="s">
        <v>2216</v>
      </c>
      <c r="AC289" s="131"/>
    </row>
    <row r="290" spans="1:30">
      <c r="B290" s="152" t="s">
        <v>1669</v>
      </c>
      <c r="C290" s="152" t="s">
        <v>1670</v>
      </c>
      <c r="D290" s="152" t="s">
        <v>1134</v>
      </c>
      <c r="AB290" s="131" t="s">
        <v>1004</v>
      </c>
    </row>
    <row r="291" spans="1:30">
      <c r="F291" s="152"/>
      <c r="G291" s="152"/>
      <c r="H291" s="152"/>
      <c r="I291" s="152"/>
      <c r="J291" s="152"/>
      <c r="K291" s="152"/>
      <c r="L291" s="152"/>
      <c r="M291" s="152"/>
      <c r="N291" s="152"/>
      <c r="O291" s="152"/>
      <c r="P291" s="152"/>
    </row>
    <row r="292" spans="1:30" s="128" customFormat="1" ht="15.75">
      <c r="A292" s="128" t="s">
        <v>1671</v>
      </c>
      <c r="D292" s="129"/>
      <c r="AB292" s="130"/>
      <c r="AC292" s="130"/>
      <c r="AD292" s="130"/>
    </row>
    <row r="293" spans="1:30">
      <c r="B293" s="152" t="s">
        <v>1209</v>
      </c>
      <c r="C293" s="152" t="s">
        <v>1672</v>
      </c>
      <c r="D293" s="152" t="s">
        <v>1134</v>
      </c>
    </row>
    <row r="294" spans="1:30">
      <c r="B294" s="152" t="s">
        <v>1673</v>
      </c>
      <c r="C294" s="152" t="s">
        <v>1674</v>
      </c>
      <c r="D294" s="152" t="s">
        <v>1134</v>
      </c>
      <c r="AB294" s="131" t="s">
        <v>1004</v>
      </c>
    </row>
    <row r="295" spans="1:30">
      <c r="B295" s="152" t="s">
        <v>1675</v>
      </c>
      <c r="C295" s="152" t="s">
        <v>1676</v>
      </c>
      <c r="D295" s="152" t="s">
        <v>1134</v>
      </c>
      <c r="AB295" s="131" t="s">
        <v>758</v>
      </c>
    </row>
    <row r="296" spans="1:30">
      <c r="B296" s="152" t="s">
        <v>1677</v>
      </c>
      <c r="C296" s="152" t="s">
        <v>1678</v>
      </c>
      <c r="D296" s="152" t="s">
        <v>1134</v>
      </c>
    </row>
    <row r="297" spans="1:30">
      <c r="B297" s="152" t="s">
        <v>1679</v>
      </c>
      <c r="C297" s="152" t="s">
        <v>1680</v>
      </c>
      <c r="D297" s="152" t="s">
        <v>1134</v>
      </c>
    </row>
    <row r="298" spans="1:30">
      <c r="B298" s="152" t="s">
        <v>1681</v>
      </c>
      <c r="C298" s="152" t="s">
        <v>1682</v>
      </c>
      <c r="D298" s="152" t="s">
        <v>1134</v>
      </c>
    </row>
    <row r="299" spans="1:30">
      <c r="B299" s="152" t="s">
        <v>1683</v>
      </c>
      <c r="C299" s="152" t="s">
        <v>1684</v>
      </c>
      <c r="D299" s="152" t="s">
        <v>1134</v>
      </c>
    </row>
    <row r="300" spans="1:30">
      <c r="B300" s="152" t="s">
        <v>1685</v>
      </c>
      <c r="C300" s="152" t="s">
        <v>1686</v>
      </c>
      <c r="D300" s="152" t="s">
        <v>1134</v>
      </c>
    </row>
    <row r="301" spans="1:30">
      <c r="B301" s="152" t="s">
        <v>1687</v>
      </c>
      <c r="C301" s="152" t="s">
        <v>1688</v>
      </c>
      <c r="D301" s="152" t="s">
        <v>1134</v>
      </c>
    </row>
    <row r="302" spans="1:30">
      <c r="B302" s="152" t="s">
        <v>1319</v>
      </c>
      <c r="C302" s="152" t="s">
        <v>1689</v>
      </c>
      <c r="D302" s="152" t="s">
        <v>1134</v>
      </c>
      <c r="AB302" s="131" t="s">
        <v>1006</v>
      </c>
    </row>
    <row r="303" spans="1:30">
      <c r="F303" s="152"/>
      <c r="G303" s="152"/>
      <c r="H303" s="152"/>
      <c r="I303" s="152"/>
      <c r="J303" s="152"/>
      <c r="K303" s="152"/>
      <c r="L303" s="152"/>
      <c r="M303" s="152"/>
      <c r="N303" s="152"/>
      <c r="O303" s="152"/>
      <c r="P303" s="152"/>
    </row>
    <row r="304" spans="1:30" s="128" customFormat="1" ht="15.75">
      <c r="A304" s="128" t="s">
        <v>1690</v>
      </c>
      <c r="D304" s="129"/>
      <c r="AB304" s="130"/>
      <c r="AC304" s="130"/>
      <c r="AD304" s="130"/>
    </row>
    <row r="305" spans="1:30">
      <c r="B305" s="152" t="s">
        <v>1691</v>
      </c>
      <c r="C305" s="152" t="s">
        <v>1692</v>
      </c>
      <c r="D305" s="152" t="s">
        <v>1134</v>
      </c>
      <c r="AB305" s="131" t="s">
        <v>766</v>
      </c>
      <c r="AC305" s="131" t="s">
        <v>1007</v>
      </c>
    </row>
    <row r="306" spans="1:30"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</row>
    <row r="307" spans="1:30" s="128" customFormat="1" ht="15.75">
      <c r="A307" s="128" t="s">
        <v>1693</v>
      </c>
      <c r="D307" s="129"/>
      <c r="AB307" s="130"/>
      <c r="AC307" s="130"/>
      <c r="AD307" s="130"/>
    </row>
    <row r="308" spans="1:30">
      <c r="B308" s="152" t="s">
        <v>1694</v>
      </c>
      <c r="C308" s="152" t="s">
        <v>1695</v>
      </c>
      <c r="D308" s="152" t="s">
        <v>1134</v>
      </c>
      <c r="AB308" s="133"/>
      <c r="AC308" s="133"/>
      <c r="AD308" s="133"/>
    </row>
    <row r="309" spans="1:30"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</row>
    <row r="310" spans="1:30" s="128" customFormat="1" ht="15.75">
      <c r="A310" s="128" t="s">
        <v>1696</v>
      </c>
      <c r="D310" s="129"/>
      <c r="AB310" s="130"/>
      <c r="AC310" s="130"/>
      <c r="AD310" s="130"/>
    </row>
    <row r="311" spans="1:30">
      <c r="B311" s="152" t="s">
        <v>1697</v>
      </c>
      <c r="C311" s="152" t="s">
        <v>1698</v>
      </c>
      <c r="AB311" s="131" t="s">
        <v>840</v>
      </c>
    </row>
    <row r="312" spans="1:30">
      <c r="B312" s="152" t="s">
        <v>1699</v>
      </c>
      <c r="C312" s="152" t="s">
        <v>1700</v>
      </c>
    </row>
    <row r="313" spans="1:30">
      <c r="B313" s="152" t="s">
        <v>1701</v>
      </c>
      <c r="C313" s="152" t="s">
        <v>1702</v>
      </c>
      <c r="AB313" s="133"/>
      <c r="AC313" s="133"/>
      <c r="AD313" s="133"/>
    </row>
    <row r="314" spans="1:30">
      <c r="B314" s="152" t="s">
        <v>1703</v>
      </c>
      <c r="C314" s="152" t="s">
        <v>1704</v>
      </c>
    </row>
    <row r="315" spans="1:30">
      <c r="B315" s="152" t="s">
        <v>1705</v>
      </c>
      <c r="C315" s="152" t="s">
        <v>1706</v>
      </c>
    </row>
    <row r="316" spans="1:30">
      <c r="F316" s="152"/>
      <c r="G316" s="152"/>
      <c r="H316" s="152"/>
      <c r="I316" s="152"/>
      <c r="J316" s="152"/>
      <c r="K316" s="152"/>
      <c r="L316" s="152"/>
      <c r="M316" s="152"/>
      <c r="N316" s="152"/>
      <c r="O316" s="152"/>
      <c r="P316" s="152"/>
    </row>
    <row r="317" spans="1:30" s="128" customFormat="1" ht="15.75">
      <c r="A317" s="128" t="s">
        <v>1707</v>
      </c>
      <c r="D317" s="129"/>
      <c r="AB317" s="130"/>
      <c r="AC317" s="130"/>
      <c r="AD317" s="130"/>
    </row>
    <row r="318" spans="1:30">
      <c r="B318" s="152" t="s">
        <v>1708</v>
      </c>
      <c r="C318" s="152" t="s">
        <v>1709</v>
      </c>
      <c r="D318" s="152" t="s">
        <v>1134</v>
      </c>
      <c r="AB318" s="131" t="s">
        <v>768</v>
      </c>
    </row>
    <row r="319" spans="1:30">
      <c r="B319" s="152" t="s">
        <v>1710</v>
      </c>
      <c r="C319" s="152" t="s">
        <v>1711</v>
      </c>
      <c r="D319" s="152" t="s">
        <v>1134</v>
      </c>
    </row>
    <row r="320" spans="1:30">
      <c r="B320" s="152" t="s">
        <v>1110</v>
      </c>
      <c r="C320" s="152" t="s">
        <v>1712</v>
      </c>
      <c r="D320" s="152" t="s">
        <v>1134</v>
      </c>
    </row>
    <row r="321" spans="1:30">
      <c r="B321" s="152" t="s">
        <v>1713</v>
      </c>
      <c r="C321" s="152" t="s">
        <v>1714</v>
      </c>
      <c r="D321" s="152" t="s">
        <v>1134</v>
      </c>
      <c r="AB321" s="131" t="s">
        <v>330</v>
      </c>
      <c r="AC321" s="131" t="s">
        <v>958</v>
      </c>
    </row>
    <row r="322" spans="1:30">
      <c r="B322" s="152" t="s">
        <v>1715</v>
      </c>
      <c r="C322" s="152" t="s">
        <v>1716</v>
      </c>
      <c r="D322" s="152" t="s">
        <v>1134</v>
      </c>
      <c r="AB322" s="131" t="s">
        <v>690</v>
      </c>
    </row>
    <row r="323" spans="1:30">
      <c r="B323" s="152" t="s">
        <v>1717</v>
      </c>
      <c r="C323" s="152" t="s">
        <v>1718</v>
      </c>
      <c r="D323" s="152" t="s">
        <v>1134</v>
      </c>
    </row>
    <row r="324" spans="1:30">
      <c r="B324" s="152" t="s">
        <v>1719</v>
      </c>
      <c r="C324" s="152" t="s">
        <v>1720</v>
      </c>
      <c r="AB324" s="134"/>
      <c r="AC324" s="134"/>
      <c r="AD324" s="134"/>
    </row>
    <row r="325" spans="1:30">
      <c r="B325" s="152" t="s">
        <v>1721</v>
      </c>
      <c r="C325" s="152" t="s">
        <v>1722</v>
      </c>
      <c r="AB325" s="134"/>
      <c r="AC325" s="134"/>
      <c r="AD325" s="134"/>
    </row>
    <row r="326" spans="1:30">
      <c r="B326" s="152" t="s">
        <v>1723</v>
      </c>
      <c r="C326" s="152" t="s">
        <v>1724</v>
      </c>
      <c r="AB326" s="134"/>
      <c r="AC326" s="134"/>
      <c r="AD326" s="134"/>
    </row>
    <row r="327" spans="1:30">
      <c r="B327" s="152" t="s">
        <v>1725</v>
      </c>
      <c r="C327" s="152" t="s">
        <v>1726</v>
      </c>
      <c r="AB327" s="134"/>
      <c r="AC327" s="134"/>
      <c r="AD327" s="134"/>
    </row>
    <row r="328" spans="1:30">
      <c r="B328" s="152" t="s">
        <v>1727</v>
      </c>
      <c r="C328" s="152" t="s">
        <v>1728</v>
      </c>
      <c r="D328" s="152" t="s">
        <v>1134</v>
      </c>
      <c r="AB328" s="134"/>
      <c r="AC328" s="134"/>
      <c r="AD328" s="134"/>
    </row>
    <row r="329" spans="1:30">
      <c r="B329" s="152" t="s">
        <v>1729</v>
      </c>
      <c r="C329" s="152" t="s">
        <v>1730</v>
      </c>
      <c r="D329" s="152" t="s">
        <v>1134</v>
      </c>
      <c r="AB329" s="134"/>
      <c r="AC329" s="134"/>
      <c r="AD329" s="134"/>
    </row>
    <row r="330" spans="1:30">
      <c r="B330" s="152" t="s">
        <v>1731</v>
      </c>
      <c r="C330" s="152" t="s">
        <v>1732</v>
      </c>
      <c r="D330" s="152" t="s">
        <v>1134</v>
      </c>
      <c r="AB330" s="134"/>
      <c r="AC330" s="134"/>
      <c r="AD330" s="134"/>
    </row>
    <row r="331" spans="1:30">
      <c r="B331" s="152" t="s">
        <v>1733</v>
      </c>
      <c r="C331" s="152" t="s">
        <v>1734</v>
      </c>
      <c r="D331" s="152" t="s">
        <v>1134</v>
      </c>
      <c r="AB331" s="134"/>
      <c r="AC331" s="134"/>
      <c r="AD331" s="134"/>
    </row>
    <row r="332" spans="1:30">
      <c r="B332" s="152" t="s">
        <v>1735</v>
      </c>
      <c r="C332" s="152" t="s">
        <v>1736</v>
      </c>
      <c r="AB332" s="134"/>
      <c r="AC332" s="134"/>
      <c r="AD332" s="134"/>
    </row>
    <row r="333" spans="1:30">
      <c r="F333" s="152"/>
      <c r="G333" s="152"/>
      <c r="H333" s="152"/>
      <c r="I333" s="152"/>
      <c r="J333" s="152"/>
      <c r="K333" s="152"/>
      <c r="L333" s="152"/>
      <c r="M333" s="152"/>
      <c r="N333" s="152"/>
      <c r="O333" s="152"/>
      <c r="P333" s="152"/>
    </row>
    <row r="334" spans="1:30" s="128" customFormat="1" ht="15.75">
      <c r="A334" s="128" t="s">
        <v>1737</v>
      </c>
      <c r="D334" s="129"/>
      <c r="AB334" s="130"/>
      <c r="AC334" s="130"/>
      <c r="AD334" s="130"/>
    </row>
    <row r="335" spans="1:30">
      <c r="B335" s="152" t="s">
        <v>1738</v>
      </c>
      <c r="C335" s="152" t="s">
        <v>1739</v>
      </c>
      <c r="AB335" s="133"/>
      <c r="AC335" s="133"/>
      <c r="AD335" s="133"/>
    </row>
    <row r="336" spans="1:30">
      <c r="B336" s="152" t="s">
        <v>1740</v>
      </c>
      <c r="C336" s="152" t="s">
        <v>1741</v>
      </c>
      <c r="AB336" s="133"/>
      <c r="AC336" s="133"/>
      <c r="AD336" s="133"/>
    </row>
    <row r="337" spans="1:30">
      <c r="B337" s="152" t="s">
        <v>1742</v>
      </c>
      <c r="C337" s="152" t="s">
        <v>1743</v>
      </c>
      <c r="AB337" s="133"/>
      <c r="AC337" s="133"/>
      <c r="AD337" s="133"/>
    </row>
    <row r="338" spans="1:30">
      <c r="B338" s="152" t="s">
        <v>1744</v>
      </c>
      <c r="C338" s="152" t="s">
        <v>1745</v>
      </c>
      <c r="AB338" s="155"/>
      <c r="AC338" s="155"/>
      <c r="AD338" s="155"/>
    </row>
    <row r="339" spans="1:30">
      <c r="B339" s="152" t="s">
        <v>1746</v>
      </c>
      <c r="C339" s="152" t="s">
        <v>1747</v>
      </c>
      <c r="AB339" s="155"/>
      <c r="AC339" s="155"/>
      <c r="AD339" s="155"/>
    </row>
    <row r="340" spans="1:30">
      <c r="B340" s="152" t="s">
        <v>1748</v>
      </c>
      <c r="C340" s="152" t="s">
        <v>1749</v>
      </c>
      <c r="AB340" s="155"/>
      <c r="AC340" s="155"/>
      <c r="AD340" s="155"/>
    </row>
    <row r="341" spans="1:30">
      <c r="F341" s="152"/>
      <c r="G341" s="152"/>
      <c r="H341" s="152"/>
      <c r="I341" s="152"/>
      <c r="J341" s="152"/>
      <c r="K341" s="152"/>
      <c r="L341" s="152"/>
      <c r="M341" s="152"/>
      <c r="N341" s="152"/>
      <c r="O341" s="152"/>
      <c r="P341" s="152"/>
    </row>
    <row r="342" spans="1:30" s="128" customFormat="1" ht="15.75">
      <c r="A342" s="128" t="s">
        <v>1750</v>
      </c>
      <c r="D342" s="129"/>
      <c r="AB342" s="130"/>
      <c r="AC342" s="130"/>
      <c r="AD342" s="130"/>
    </row>
    <row r="343" spans="1:30">
      <c r="B343" s="152" t="s">
        <v>1751</v>
      </c>
      <c r="C343" s="152" t="s">
        <v>1752</v>
      </c>
      <c r="D343" s="152" t="s">
        <v>1134</v>
      </c>
      <c r="AB343" s="131" t="s">
        <v>876</v>
      </c>
      <c r="AC343" s="133" t="s">
        <v>877</v>
      </c>
      <c r="AD343" s="133"/>
    </row>
    <row r="344" spans="1:30">
      <c r="B344" s="152" t="s">
        <v>1753</v>
      </c>
      <c r="C344" s="152" t="s">
        <v>1754</v>
      </c>
      <c r="D344" s="152" t="s">
        <v>1134</v>
      </c>
      <c r="AB344" s="133"/>
      <c r="AC344" s="133"/>
      <c r="AD344" s="133"/>
    </row>
    <row r="345" spans="1:30">
      <c r="AB345" s="133"/>
      <c r="AC345" s="133"/>
      <c r="AD345" s="133"/>
    </row>
    <row r="346" spans="1:30"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</row>
    <row r="347" spans="1:30" s="128" customFormat="1" ht="15.75">
      <c r="A347" s="128" t="s">
        <v>1755</v>
      </c>
      <c r="D347" s="129"/>
      <c r="AB347" s="130"/>
      <c r="AC347" s="130"/>
      <c r="AD347" s="130"/>
    </row>
    <row r="348" spans="1:30">
      <c r="B348" s="152" t="s">
        <v>1756</v>
      </c>
      <c r="C348" s="152" t="s">
        <v>1757</v>
      </c>
      <c r="D348" s="152" t="s">
        <v>1134</v>
      </c>
      <c r="AB348" s="131" t="s">
        <v>1043</v>
      </c>
    </row>
    <row r="349" spans="1:30">
      <c r="B349" s="152" t="s">
        <v>1758</v>
      </c>
      <c r="C349" s="152" t="s">
        <v>1759</v>
      </c>
      <c r="D349" s="152" t="s">
        <v>1134</v>
      </c>
      <c r="AB349" s="131" t="s">
        <v>1017</v>
      </c>
    </row>
    <row r="350" spans="1:30">
      <c r="B350" s="152" t="s">
        <v>1760</v>
      </c>
      <c r="C350" s="152" t="s">
        <v>1761</v>
      </c>
      <c r="D350" s="152" t="s">
        <v>1134</v>
      </c>
    </row>
    <row r="351" spans="1:30">
      <c r="B351" s="152" t="s">
        <v>1762</v>
      </c>
      <c r="C351" s="152" t="s">
        <v>1763</v>
      </c>
      <c r="AB351" s="131" t="s">
        <v>955</v>
      </c>
    </row>
    <row r="352" spans="1:30">
      <c r="B352" s="152" t="s">
        <v>2549</v>
      </c>
      <c r="C352" s="152" t="s">
        <v>2550</v>
      </c>
      <c r="AB352" s="131" t="s">
        <v>2454</v>
      </c>
    </row>
    <row r="353" spans="1:30">
      <c r="B353" s="152" t="s">
        <v>577</v>
      </c>
      <c r="C353" s="152" t="s">
        <v>1764</v>
      </c>
      <c r="D353" s="152" t="s">
        <v>1134</v>
      </c>
      <c r="AB353" s="131" t="s">
        <v>740</v>
      </c>
      <c r="AC353" s="131" t="s">
        <v>741</v>
      </c>
    </row>
    <row r="354" spans="1:30">
      <c r="B354" s="152" t="s">
        <v>1765</v>
      </c>
      <c r="C354" s="152" t="s">
        <v>1766</v>
      </c>
    </row>
    <row r="355" spans="1:30">
      <c r="B355" s="152" t="s">
        <v>1767</v>
      </c>
      <c r="C355" s="152" t="s">
        <v>1768</v>
      </c>
      <c r="D355" s="152" t="s">
        <v>1134</v>
      </c>
      <c r="AB355" s="131" t="s">
        <v>742</v>
      </c>
    </row>
    <row r="356" spans="1:30">
      <c r="B356" s="152" t="s">
        <v>1769</v>
      </c>
      <c r="C356" s="152" t="s">
        <v>1770</v>
      </c>
      <c r="AA356" s="141" t="s">
        <v>1771</v>
      </c>
      <c r="AB356" s="131" t="s">
        <v>956</v>
      </c>
    </row>
    <row r="357" spans="1:30">
      <c r="B357" s="152" t="s">
        <v>720</v>
      </c>
      <c r="C357" s="152" t="s">
        <v>1772</v>
      </c>
      <c r="D357" s="152" t="s">
        <v>1134</v>
      </c>
      <c r="AB357" s="131" t="s">
        <v>892</v>
      </c>
    </row>
    <row r="358" spans="1:30">
      <c r="F358" s="152"/>
      <c r="G358" s="152"/>
      <c r="H358" s="152"/>
      <c r="I358" s="152"/>
      <c r="J358" s="152"/>
      <c r="K358" s="152"/>
      <c r="L358" s="152"/>
      <c r="M358" s="152"/>
      <c r="N358" s="152"/>
      <c r="O358" s="152"/>
      <c r="P358" s="152"/>
    </row>
    <row r="359" spans="1:30" s="128" customFormat="1" ht="15.75">
      <c r="A359" s="128" t="s">
        <v>1773</v>
      </c>
      <c r="D359" s="129"/>
      <c r="AB359" s="130"/>
      <c r="AC359" s="130"/>
      <c r="AD359" s="130"/>
    </row>
    <row r="360" spans="1:30">
      <c r="B360" s="152" t="s">
        <v>1774</v>
      </c>
      <c r="C360" s="152" t="s">
        <v>1775</v>
      </c>
      <c r="D360" s="152" t="s">
        <v>1134</v>
      </c>
      <c r="AB360" s="131" t="s">
        <v>886</v>
      </c>
    </row>
    <row r="361" spans="1:30">
      <c r="B361" s="152" t="s">
        <v>1776</v>
      </c>
      <c r="C361" s="152" t="s">
        <v>1777</v>
      </c>
      <c r="D361" s="152" t="s">
        <v>1134</v>
      </c>
    </row>
    <row r="362" spans="1:30">
      <c r="B362" s="152" t="s">
        <v>1778</v>
      </c>
      <c r="C362" s="152" t="s">
        <v>1779</v>
      </c>
      <c r="D362" s="152" t="s">
        <v>1134</v>
      </c>
    </row>
    <row r="363" spans="1:30">
      <c r="B363" s="152" t="s">
        <v>1780</v>
      </c>
      <c r="C363" s="152" t="s">
        <v>1781</v>
      </c>
      <c r="D363" s="152" t="s">
        <v>1134</v>
      </c>
      <c r="AB363" s="152" t="s">
        <v>735</v>
      </c>
    </row>
    <row r="364" spans="1:30">
      <c r="B364" s="152" t="s">
        <v>1782</v>
      </c>
      <c r="C364" s="152" t="s">
        <v>1783</v>
      </c>
      <c r="D364" s="152" t="s">
        <v>1134</v>
      </c>
    </row>
    <row r="365" spans="1:30">
      <c r="B365" s="152" t="s">
        <v>1784</v>
      </c>
      <c r="C365" s="152" t="s">
        <v>1785</v>
      </c>
      <c r="D365" s="152" t="s">
        <v>1134</v>
      </c>
    </row>
    <row r="366" spans="1:30">
      <c r="B366" s="152" t="s">
        <v>1786</v>
      </c>
      <c r="C366" s="152" t="s">
        <v>1787</v>
      </c>
      <c r="D366" s="152" t="s">
        <v>1134</v>
      </c>
    </row>
    <row r="367" spans="1:30">
      <c r="B367" s="152" t="s">
        <v>1788</v>
      </c>
      <c r="C367" s="152" t="s">
        <v>1789</v>
      </c>
      <c r="D367" s="152" t="s">
        <v>1134</v>
      </c>
    </row>
    <row r="368" spans="1:30">
      <c r="B368" s="152" t="s">
        <v>1790</v>
      </c>
      <c r="C368" s="152" t="s">
        <v>1791</v>
      </c>
      <c r="D368" s="152" t="s">
        <v>1134</v>
      </c>
    </row>
    <row r="369" spans="1:30">
      <c r="B369" s="152" t="s">
        <v>1792</v>
      </c>
      <c r="C369" s="152" t="s">
        <v>1793</v>
      </c>
      <c r="D369" s="152" t="s">
        <v>1134</v>
      </c>
    </row>
    <row r="370" spans="1:30">
      <c r="B370" s="152" t="s">
        <v>1794</v>
      </c>
      <c r="C370" s="152" t="s">
        <v>1795</v>
      </c>
      <c r="D370" s="152" t="s">
        <v>1134</v>
      </c>
    </row>
    <row r="371" spans="1:30">
      <c r="B371" s="152" t="s">
        <v>1796</v>
      </c>
      <c r="C371" s="152" t="s">
        <v>1797</v>
      </c>
      <c r="D371" s="152" t="s">
        <v>1134</v>
      </c>
      <c r="AB371" s="131" t="s">
        <v>605</v>
      </c>
    </row>
    <row r="372" spans="1:30">
      <c r="B372" s="152" t="s">
        <v>1798</v>
      </c>
      <c r="C372" s="152" t="s">
        <v>1799</v>
      </c>
      <c r="D372" s="152" t="s">
        <v>1134</v>
      </c>
      <c r="AB372" s="1" t="s">
        <v>609</v>
      </c>
    </row>
    <row r="373" spans="1:30">
      <c r="B373" s="152" t="s">
        <v>1800</v>
      </c>
      <c r="C373" s="152" t="s">
        <v>1801</v>
      </c>
      <c r="D373" s="152" t="s">
        <v>1134</v>
      </c>
      <c r="AB373" s="131" t="s">
        <v>602</v>
      </c>
      <c r="AC373" s="131" t="s">
        <v>597</v>
      </c>
    </row>
    <row r="374" spans="1:30">
      <c r="B374" s="152" t="s">
        <v>1802</v>
      </c>
      <c r="C374" s="152" t="s">
        <v>1803</v>
      </c>
      <c r="D374" s="152" t="s">
        <v>1134</v>
      </c>
    </row>
    <row r="375" spans="1:30">
      <c r="B375" s="152" t="s">
        <v>1804</v>
      </c>
      <c r="C375" s="152" t="s">
        <v>1805</v>
      </c>
      <c r="D375" s="152" t="s">
        <v>1134</v>
      </c>
    </row>
    <row r="376" spans="1:30">
      <c r="F376" s="152"/>
      <c r="G376" s="152"/>
      <c r="H376" s="152"/>
      <c r="I376" s="152"/>
      <c r="J376" s="152"/>
      <c r="K376" s="152"/>
      <c r="L376" s="152"/>
      <c r="M376" s="152"/>
      <c r="N376" s="152"/>
      <c r="O376" s="152"/>
      <c r="P376" s="152"/>
    </row>
    <row r="377" spans="1:30" s="128" customFormat="1" ht="15.75">
      <c r="A377" s="128" t="s">
        <v>1806</v>
      </c>
      <c r="D377" s="129"/>
      <c r="AB377" s="130"/>
      <c r="AC377" s="130"/>
      <c r="AD377" s="130"/>
    </row>
    <row r="378" spans="1:30">
      <c r="B378" s="152" t="s">
        <v>1807</v>
      </c>
      <c r="C378" s="152" t="s">
        <v>1808</v>
      </c>
      <c r="D378" s="152" t="s">
        <v>1134</v>
      </c>
      <c r="AB378" s="131" t="s">
        <v>710</v>
      </c>
    </row>
    <row r="379" spans="1:30">
      <c r="B379" s="152" t="s">
        <v>1809</v>
      </c>
      <c r="C379" s="152" t="s">
        <v>1810</v>
      </c>
      <c r="D379" s="152" t="s">
        <v>1134</v>
      </c>
      <c r="AB379" s="131" t="s">
        <v>711</v>
      </c>
    </row>
    <row r="380" spans="1:30">
      <c r="B380" s="152" t="s">
        <v>1811</v>
      </c>
      <c r="C380" s="152" t="s">
        <v>1812</v>
      </c>
      <c r="D380" s="152" t="s">
        <v>1134</v>
      </c>
      <c r="AB380" s="131" t="s">
        <v>875</v>
      </c>
    </row>
    <row r="381" spans="1:30">
      <c r="B381" s="152" t="s">
        <v>1813</v>
      </c>
      <c r="C381" s="152" t="s">
        <v>1814</v>
      </c>
      <c r="D381" s="152" t="s">
        <v>1134</v>
      </c>
      <c r="AB381" s="131" t="s">
        <v>2243</v>
      </c>
    </row>
    <row r="382" spans="1:30">
      <c r="B382" s="152" t="s">
        <v>1815</v>
      </c>
      <c r="C382" s="152" t="s">
        <v>1816</v>
      </c>
      <c r="D382" s="152" t="s">
        <v>1134</v>
      </c>
    </row>
    <row r="383" spans="1:30">
      <c r="B383" s="152" t="s">
        <v>1817</v>
      </c>
      <c r="C383" s="152" t="s">
        <v>1818</v>
      </c>
      <c r="D383" s="152" t="s">
        <v>1134</v>
      </c>
      <c r="AB383" s="131" t="s">
        <v>683</v>
      </c>
    </row>
    <row r="384" spans="1:30">
      <c r="F384" s="152"/>
      <c r="G384" s="152"/>
      <c r="H384" s="152"/>
      <c r="I384" s="152"/>
      <c r="J384" s="152"/>
      <c r="K384" s="152"/>
      <c r="L384" s="152"/>
      <c r="M384" s="152"/>
      <c r="N384" s="152"/>
      <c r="O384" s="152"/>
      <c r="P384" s="152"/>
    </row>
    <row r="385" spans="1:30" s="128" customFormat="1" ht="15.75">
      <c r="A385" s="128" t="s">
        <v>1819</v>
      </c>
      <c r="D385" s="129"/>
      <c r="AB385" s="130"/>
      <c r="AC385" s="130"/>
      <c r="AD385" s="130"/>
    </row>
    <row r="386" spans="1:30">
      <c r="B386" s="152" t="s">
        <v>1820</v>
      </c>
      <c r="C386" s="152" t="s">
        <v>1821</v>
      </c>
      <c r="D386" s="152" t="s">
        <v>1134</v>
      </c>
      <c r="AB386" s="131" t="s">
        <v>920</v>
      </c>
    </row>
    <row r="387" spans="1:30">
      <c r="B387" s="152" t="s">
        <v>1822</v>
      </c>
      <c r="C387" s="152" t="s">
        <v>1823</v>
      </c>
      <c r="Q387" s="170"/>
      <c r="R387" s="170"/>
      <c r="S387" s="170"/>
      <c r="T387" s="170"/>
      <c r="U387" s="170"/>
      <c r="V387" s="170"/>
      <c r="W387" s="170"/>
      <c r="X387" s="170"/>
      <c r="Y387" s="170"/>
      <c r="Z387" s="170"/>
      <c r="AA387" s="170"/>
      <c r="AB387" s="131" t="s">
        <v>236</v>
      </c>
      <c r="AC387" s="131"/>
    </row>
    <row r="388" spans="1:30">
      <c r="B388" s="152" t="s">
        <v>1824</v>
      </c>
      <c r="C388" s="152" t="s">
        <v>1825</v>
      </c>
      <c r="D388" s="152" t="s">
        <v>1134</v>
      </c>
      <c r="AB388" s="131" t="s">
        <v>943</v>
      </c>
      <c r="AC388" s="131" t="s">
        <v>942</v>
      </c>
      <c r="AD388" s="131"/>
    </row>
    <row r="389" spans="1:30">
      <c r="B389" s="152" t="s">
        <v>1826</v>
      </c>
      <c r="C389" s="152" t="s">
        <v>1827</v>
      </c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1" t="s">
        <v>1828</v>
      </c>
      <c r="AB389" s="131" t="s">
        <v>237</v>
      </c>
      <c r="AC389" s="131"/>
    </row>
    <row r="390" spans="1:30">
      <c r="B390" s="152" t="s">
        <v>1829</v>
      </c>
      <c r="C390" s="152" t="s">
        <v>1830</v>
      </c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1" t="s">
        <v>1831</v>
      </c>
    </row>
    <row r="391" spans="1:30">
      <c r="B391" s="152" t="s">
        <v>528</v>
      </c>
      <c r="C391" s="152" t="s">
        <v>1832</v>
      </c>
      <c r="AB391" s="131" t="s">
        <v>924</v>
      </c>
    </row>
    <row r="392" spans="1:30">
      <c r="F392" s="152"/>
      <c r="G392" s="152"/>
      <c r="H392" s="152"/>
      <c r="I392" s="152"/>
      <c r="J392" s="152"/>
      <c r="K392" s="152"/>
      <c r="L392" s="152"/>
      <c r="M392" s="152"/>
      <c r="N392" s="152"/>
      <c r="O392" s="152"/>
      <c r="P392" s="152"/>
    </row>
    <row r="393" spans="1:30" s="128" customFormat="1" ht="15.75">
      <c r="A393" s="128" t="s">
        <v>1833</v>
      </c>
      <c r="D393" s="129"/>
      <c r="AB393" s="130"/>
      <c r="AC393" s="130"/>
      <c r="AD393" s="130"/>
    </row>
    <row r="394" spans="1:30">
      <c r="B394" s="152" t="s">
        <v>1834</v>
      </c>
      <c r="C394" s="152" t="s">
        <v>1835</v>
      </c>
      <c r="D394" s="152" t="s">
        <v>1134</v>
      </c>
      <c r="AB394" s="131" t="s">
        <v>617</v>
      </c>
      <c r="AC394" s="133"/>
      <c r="AD394" s="133"/>
    </row>
    <row r="395" spans="1:30">
      <c r="B395" s="152" t="s">
        <v>1836</v>
      </c>
      <c r="C395" s="152" t="s">
        <v>1837</v>
      </c>
      <c r="D395" s="152" t="s">
        <v>1134</v>
      </c>
      <c r="AB395" s="131" t="s">
        <v>618</v>
      </c>
      <c r="AC395" s="133"/>
      <c r="AD395" s="133"/>
    </row>
    <row r="396" spans="1:30">
      <c r="B396" s="152" t="s">
        <v>1838</v>
      </c>
      <c r="C396" s="152" t="s">
        <v>1839</v>
      </c>
      <c r="D396" s="152" t="s">
        <v>1134</v>
      </c>
      <c r="AB396" s="131"/>
      <c r="AC396" s="133"/>
      <c r="AD396" s="133"/>
    </row>
    <row r="397" spans="1:30">
      <c r="B397" s="152" t="s">
        <v>1840</v>
      </c>
      <c r="C397" s="152" t="s">
        <v>1841</v>
      </c>
      <c r="D397" s="152" t="s">
        <v>1134</v>
      </c>
      <c r="AB397" s="131" t="s">
        <v>1053</v>
      </c>
      <c r="AC397" s="133"/>
      <c r="AD397" s="133"/>
    </row>
    <row r="398" spans="1:30">
      <c r="F398" s="152"/>
      <c r="G398" s="152"/>
      <c r="H398" s="152"/>
      <c r="I398" s="152"/>
      <c r="J398" s="152"/>
      <c r="K398" s="152"/>
      <c r="L398" s="152"/>
      <c r="M398" s="152"/>
      <c r="N398" s="152"/>
      <c r="O398" s="152"/>
      <c r="P398" s="152"/>
    </row>
    <row r="399" spans="1:30" s="128" customFormat="1" ht="15.75">
      <c r="A399" s="128" t="s">
        <v>1842</v>
      </c>
      <c r="D399" s="129"/>
      <c r="AB399" s="130"/>
      <c r="AC399" s="130"/>
      <c r="AD399" s="130"/>
    </row>
    <row r="400" spans="1:30">
      <c r="B400" s="152" t="s">
        <v>1843</v>
      </c>
      <c r="C400" s="152" t="s">
        <v>1844</v>
      </c>
      <c r="D400" s="152" t="s">
        <v>1134</v>
      </c>
      <c r="AB400" s="133"/>
      <c r="AC400" s="133"/>
      <c r="AD400" s="133"/>
    </row>
    <row r="401" spans="1:30">
      <c r="B401" s="152" t="s">
        <v>1845</v>
      </c>
      <c r="C401" s="152" t="s">
        <v>1846</v>
      </c>
      <c r="D401" s="152" t="s">
        <v>1134</v>
      </c>
      <c r="AB401" s="133"/>
      <c r="AC401" s="133"/>
      <c r="AD401" s="133"/>
    </row>
    <row r="402" spans="1:30">
      <c r="B402" s="152" t="s">
        <v>1847</v>
      </c>
      <c r="C402" s="152" t="s">
        <v>1848</v>
      </c>
      <c r="D402" s="152" t="s">
        <v>1134</v>
      </c>
      <c r="AB402" s="133"/>
      <c r="AC402" s="133"/>
      <c r="AD402" s="133"/>
    </row>
    <row r="403" spans="1:30">
      <c r="B403" s="152" t="s">
        <v>1849</v>
      </c>
      <c r="C403" s="152" t="s">
        <v>1850</v>
      </c>
      <c r="AB403" s="155"/>
      <c r="AC403" s="155"/>
      <c r="AD403" s="155"/>
    </row>
    <row r="404" spans="1:30">
      <c r="B404" s="152" t="s">
        <v>1851</v>
      </c>
      <c r="C404" s="152" t="s">
        <v>1852</v>
      </c>
      <c r="D404" s="152" t="s">
        <v>1134</v>
      </c>
      <c r="AB404" s="133"/>
      <c r="AC404" s="133"/>
      <c r="AD404" s="133"/>
    </row>
    <row r="405" spans="1:30">
      <c r="F405" s="152"/>
      <c r="G405" s="152"/>
      <c r="H405" s="152"/>
      <c r="I405" s="152"/>
      <c r="J405" s="152"/>
      <c r="K405" s="152"/>
      <c r="L405" s="152"/>
      <c r="M405" s="152"/>
      <c r="N405" s="152"/>
      <c r="O405" s="152"/>
      <c r="P405" s="152"/>
    </row>
    <row r="406" spans="1:30" s="128" customFormat="1" ht="15.75">
      <c r="A406" s="128" t="s">
        <v>1853</v>
      </c>
      <c r="D406" s="129"/>
      <c r="AB406" s="130"/>
      <c r="AC406" s="130"/>
      <c r="AD406" s="130"/>
    </row>
    <row r="407" spans="1:30">
      <c r="B407" s="152" t="s">
        <v>1854</v>
      </c>
      <c r="C407" s="152" t="s">
        <v>1855</v>
      </c>
      <c r="D407" s="152" t="s">
        <v>1134</v>
      </c>
    </row>
    <row r="408" spans="1:30">
      <c r="B408" s="152" t="s">
        <v>1856</v>
      </c>
      <c r="C408" s="152" t="s">
        <v>1857</v>
      </c>
      <c r="D408" s="152" t="s">
        <v>1134</v>
      </c>
    </row>
    <row r="409" spans="1:30">
      <c r="B409" s="152" t="s">
        <v>1858</v>
      </c>
      <c r="C409" s="152" t="s">
        <v>1859</v>
      </c>
      <c r="D409" s="152" t="s">
        <v>1134</v>
      </c>
    </row>
    <row r="410" spans="1:30">
      <c r="B410" s="152" t="s">
        <v>1860</v>
      </c>
      <c r="C410" s="152" t="s">
        <v>1861</v>
      </c>
      <c r="D410" s="152" t="s">
        <v>1134</v>
      </c>
    </row>
    <row r="411" spans="1:30">
      <c r="B411" s="152" t="s">
        <v>1862</v>
      </c>
      <c r="C411" s="152" t="s">
        <v>1863</v>
      </c>
      <c r="D411" s="152" t="s">
        <v>1134</v>
      </c>
    </row>
    <row r="412" spans="1:30">
      <c r="B412" s="152" t="s">
        <v>1864</v>
      </c>
      <c r="C412" s="152" t="s">
        <v>1865</v>
      </c>
      <c r="D412" s="152" t="s">
        <v>1134</v>
      </c>
    </row>
    <row r="413" spans="1:30">
      <c r="B413" s="152" t="s">
        <v>1866</v>
      </c>
      <c r="C413" s="152" t="s">
        <v>1867</v>
      </c>
      <c r="D413" s="152" t="s">
        <v>1134</v>
      </c>
    </row>
    <row r="414" spans="1:30">
      <c r="B414" s="152" t="s">
        <v>636</v>
      </c>
      <c r="C414" s="152" t="s">
        <v>1868</v>
      </c>
      <c r="D414" s="152" t="s">
        <v>1134</v>
      </c>
      <c r="AB414" s="131" t="s">
        <v>810</v>
      </c>
    </row>
    <row r="415" spans="1:30">
      <c r="B415" s="152" t="s">
        <v>1869</v>
      </c>
      <c r="C415" s="152" t="s">
        <v>1870</v>
      </c>
    </row>
    <row r="416" spans="1:30">
      <c r="B416" s="152" t="s">
        <v>1871</v>
      </c>
      <c r="C416" s="152" t="s">
        <v>1872</v>
      </c>
    </row>
    <row r="417" spans="1:30">
      <c r="B417" s="152" t="s">
        <v>1873</v>
      </c>
      <c r="C417" s="152" t="s">
        <v>1874</v>
      </c>
    </row>
    <row r="418" spans="1:30">
      <c r="B418" s="152" t="s">
        <v>1875</v>
      </c>
      <c r="C418" s="152" t="s">
        <v>1876</v>
      </c>
    </row>
    <row r="419" spans="1:30">
      <c r="B419" s="152" t="s">
        <v>1877</v>
      </c>
      <c r="C419" s="152" t="s">
        <v>1878</v>
      </c>
    </row>
    <row r="420" spans="1:30">
      <c r="B420" s="152" t="s">
        <v>1879</v>
      </c>
      <c r="C420" s="152" t="s">
        <v>1880</v>
      </c>
    </row>
    <row r="421" spans="1:30">
      <c r="B421" s="152" t="s">
        <v>1881</v>
      </c>
      <c r="C421" s="152" t="s">
        <v>1882</v>
      </c>
    </row>
    <row r="422" spans="1:30">
      <c r="F422" s="152"/>
      <c r="G422" s="152"/>
      <c r="H422" s="152"/>
      <c r="I422" s="152"/>
      <c r="J422" s="152"/>
      <c r="K422" s="152"/>
      <c r="L422" s="152"/>
      <c r="M422" s="152"/>
      <c r="N422" s="152"/>
      <c r="O422" s="152"/>
      <c r="P422" s="152"/>
    </row>
    <row r="423" spans="1:30" s="128" customFormat="1" ht="15.75">
      <c r="A423" s="128" t="s">
        <v>1883</v>
      </c>
      <c r="D423" s="129"/>
      <c r="AB423" s="130"/>
      <c r="AC423" s="130"/>
      <c r="AD423" s="130"/>
    </row>
    <row r="424" spans="1:30">
      <c r="B424" s="152" t="s">
        <v>1884</v>
      </c>
      <c r="C424" s="152" t="s">
        <v>1885</v>
      </c>
      <c r="D424" s="152" t="s">
        <v>1134</v>
      </c>
      <c r="AB424" s="133"/>
      <c r="AC424" s="133"/>
      <c r="AD424" s="133"/>
    </row>
    <row r="425" spans="1:30">
      <c r="B425" s="152" t="s">
        <v>1886</v>
      </c>
      <c r="C425" s="152" t="s">
        <v>1887</v>
      </c>
      <c r="D425" s="152" t="s">
        <v>1134</v>
      </c>
      <c r="AB425" s="133"/>
      <c r="AC425" s="133"/>
      <c r="AD425" s="133"/>
    </row>
    <row r="426" spans="1:30">
      <c r="B426" s="152" t="s">
        <v>1888</v>
      </c>
      <c r="C426" s="152" t="s">
        <v>1889</v>
      </c>
      <c r="D426" s="152" t="s">
        <v>1134</v>
      </c>
      <c r="AB426" s="133"/>
      <c r="AC426" s="133"/>
      <c r="AD426" s="133"/>
    </row>
    <row r="427" spans="1:30">
      <c r="B427" s="152" t="s">
        <v>1890</v>
      </c>
      <c r="C427" s="152" t="s">
        <v>1891</v>
      </c>
      <c r="D427" s="152" t="s">
        <v>1134</v>
      </c>
      <c r="AB427" s="133"/>
      <c r="AC427" s="133"/>
      <c r="AD427" s="133"/>
    </row>
    <row r="428" spans="1:30">
      <c r="B428" s="152" t="s">
        <v>1892</v>
      </c>
      <c r="C428" s="152" t="s">
        <v>1893</v>
      </c>
      <c r="D428" s="152" t="s">
        <v>1134</v>
      </c>
      <c r="AB428" s="133"/>
      <c r="AC428" s="133"/>
      <c r="AD428" s="133"/>
    </row>
    <row r="429" spans="1:30">
      <c r="B429" s="152" t="s">
        <v>1894</v>
      </c>
      <c r="C429" s="152" t="s">
        <v>1895</v>
      </c>
      <c r="D429" s="152" t="s">
        <v>1134</v>
      </c>
      <c r="AB429" s="133"/>
      <c r="AC429" s="133"/>
      <c r="AD429" s="133"/>
    </row>
    <row r="430" spans="1:30">
      <c r="B430" s="152" t="s">
        <v>1896</v>
      </c>
      <c r="C430" s="152" t="s">
        <v>1897</v>
      </c>
      <c r="D430" s="152" t="s">
        <v>1134</v>
      </c>
      <c r="AB430" s="133"/>
      <c r="AC430" s="133"/>
      <c r="AD430" s="133"/>
    </row>
    <row r="431" spans="1:30">
      <c r="B431" s="152" t="s">
        <v>1898</v>
      </c>
      <c r="C431" s="152" t="s">
        <v>1899</v>
      </c>
      <c r="D431" s="152" t="s">
        <v>1134</v>
      </c>
      <c r="AB431" s="133"/>
      <c r="AC431" s="133"/>
      <c r="AD431" s="133"/>
    </row>
    <row r="432" spans="1:30">
      <c r="B432" s="152" t="s">
        <v>1900</v>
      </c>
      <c r="C432" s="152" t="s">
        <v>1901</v>
      </c>
      <c r="AB432" s="155"/>
      <c r="AC432" s="155"/>
      <c r="AD432" s="155"/>
    </row>
    <row r="433" spans="1:30">
      <c r="B433" s="152" t="s">
        <v>1902</v>
      </c>
      <c r="C433" s="152" t="s">
        <v>1903</v>
      </c>
      <c r="AB433" s="155"/>
      <c r="AC433" s="155"/>
      <c r="AD433" s="155"/>
    </row>
    <row r="434" spans="1:30">
      <c r="B434" s="152" t="s">
        <v>1904</v>
      </c>
      <c r="C434" s="152" t="s">
        <v>1905</v>
      </c>
      <c r="AB434" s="155"/>
      <c r="AC434" s="155"/>
      <c r="AD434" s="155"/>
    </row>
    <row r="435" spans="1:30">
      <c r="B435" s="152" t="s">
        <v>1906</v>
      </c>
      <c r="C435" s="152" t="s">
        <v>1907</v>
      </c>
      <c r="AB435" s="155"/>
      <c r="AC435" s="155"/>
      <c r="AD435" s="155"/>
    </row>
    <row r="436" spans="1:30">
      <c r="B436" s="152" t="s">
        <v>1908</v>
      </c>
      <c r="C436" s="152" t="s">
        <v>1909</v>
      </c>
      <c r="AB436" s="155"/>
      <c r="AC436" s="155"/>
      <c r="AD436" s="155"/>
    </row>
    <row r="437" spans="1:30">
      <c r="B437" s="152" t="s">
        <v>1910</v>
      </c>
      <c r="C437" s="152" t="s">
        <v>1911</v>
      </c>
      <c r="AB437" s="155"/>
      <c r="AC437" s="155"/>
      <c r="AD437" s="155"/>
    </row>
    <row r="438" spans="1:30">
      <c r="B438" s="152" t="s">
        <v>1912</v>
      </c>
      <c r="C438" s="152" t="s">
        <v>1913</v>
      </c>
      <c r="AB438" s="155"/>
      <c r="AC438" s="155"/>
      <c r="AD438" s="155"/>
    </row>
    <row r="439" spans="1:30">
      <c r="F439" s="152"/>
      <c r="G439" s="152"/>
      <c r="H439" s="152"/>
      <c r="I439" s="152"/>
      <c r="J439" s="152"/>
      <c r="K439" s="152"/>
      <c r="L439" s="152"/>
      <c r="M439" s="152"/>
      <c r="N439" s="152"/>
      <c r="O439" s="152"/>
      <c r="P439" s="152"/>
    </row>
    <row r="440" spans="1:30" s="128" customFormat="1" ht="15.75">
      <c r="A440" s="128" t="s">
        <v>1914</v>
      </c>
      <c r="D440" s="129"/>
      <c r="AB440" s="130"/>
      <c r="AC440" s="130"/>
      <c r="AD440" s="130"/>
    </row>
    <row r="441" spans="1:30">
      <c r="B441" s="152" t="s">
        <v>1915</v>
      </c>
      <c r="C441" s="152" t="s">
        <v>1916</v>
      </c>
      <c r="D441" s="152" t="s">
        <v>1134</v>
      </c>
      <c r="AB441" s="133"/>
      <c r="AC441" s="133"/>
      <c r="AD441" s="133"/>
    </row>
    <row r="442" spans="1:30">
      <c r="B442" s="152" t="s">
        <v>1917</v>
      </c>
      <c r="C442" s="152" t="s">
        <v>1918</v>
      </c>
      <c r="D442" s="152" t="s">
        <v>1134</v>
      </c>
      <c r="AB442" s="133"/>
      <c r="AC442" s="133"/>
      <c r="AD442" s="133"/>
    </row>
    <row r="443" spans="1:30">
      <c r="B443" s="152" t="s">
        <v>1919</v>
      </c>
      <c r="C443" s="152" t="s">
        <v>1920</v>
      </c>
      <c r="D443" s="152" t="s">
        <v>1134</v>
      </c>
      <c r="AB443" s="133"/>
      <c r="AC443" s="133"/>
      <c r="AD443" s="133"/>
    </row>
    <row r="444" spans="1:30">
      <c r="B444" s="152" t="s">
        <v>1921</v>
      </c>
      <c r="C444" s="152" t="s">
        <v>1922</v>
      </c>
      <c r="D444" s="152" t="s">
        <v>1134</v>
      </c>
      <c r="AB444" s="133"/>
      <c r="AC444" s="133"/>
      <c r="AD444" s="133"/>
    </row>
    <row r="445" spans="1:30">
      <c r="B445" s="152" t="s">
        <v>1923</v>
      </c>
      <c r="C445" s="152" t="s">
        <v>1924</v>
      </c>
      <c r="D445" s="152" t="s">
        <v>1134</v>
      </c>
      <c r="AB445" s="133"/>
      <c r="AC445" s="133"/>
      <c r="AD445" s="133"/>
    </row>
    <row r="446" spans="1:30">
      <c r="B446" s="152" t="s">
        <v>1925</v>
      </c>
      <c r="C446" s="152" t="s">
        <v>1926</v>
      </c>
      <c r="D446" s="152" t="s">
        <v>1134</v>
      </c>
      <c r="AB446" s="133"/>
      <c r="AC446" s="133"/>
      <c r="AD446" s="133"/>
    </row>
    <row r="447" spans="1:30">
      <c r="B447" s="152" t="s">
        <v>1927</v>
      </c>
      <c r="C447" s="152" t="s">
        <v>1928</v>
      </c>
      <c r="D447" s="152" t="s">
        <v>1134</v>
      </c>
      <c r="AB447" s="133"/>
      <c r="AC447" s="133"/>
      <c r="AD447" s="133"/>
    </row>
    <row r="448" spans="1:30">
      <c r="B448" s="152" t="s">
        <v>493</v>
      </c>
      <c r="C448" s="152" t="s">
        <v>1929</v>
      </c>
      <c r="D448" s="152" t="s">
        <v>1134</v>
      </c>
      <c r="AB448" s="133"/>
      <c r="AC448" s="133"/>
      <c r="AD448" s="133"/>
    </row>
    <row r="449" spans="1:30">
      <c r="B449" s="152" t="s">
        <v>1930</v>
      </c>
      <c r="C449" s="152" t="s">
        <v>1931</v>
      </c>
      <c r="AB449" s="155"/>
      <c r="AC449" s="155"/>
      <c r="AD449" s="155"/>
    </row>
    <row r="450" spans="1:30">
      <c r="B450" s="152" t="s">
        <v>1932</v>
      </c>
      <c r="C450" s="152" t="s">
        <v>1933</v>
      </c>
      <c r="AB450" s="155"/>
      <c r="AC450" s="155"/>
      <c r="AD450" s="155"/>
    </row>
    <row r="451" spans="1:30">
      <c r="B451" s="152" t="s">
        <v>1934</v>
      </c>
      <c r="C451" s="152" t="s">
        <v>1935</v>
      </c>
      <c r="AB451" s="155"/>
      <c r="AC451" s="155"/>
      <c r="AD451" s="155"/>
    </row>
    <row r="452" spans="1:30">
      <c r="B452" s="152" t="s">
        <v>1936</v>
      </c>
      <c r="C452" s="152" t="s">
        <v>1937</v>
      </c>
      <c r="AB452" s="155"/>
      <c r="AC452" s="155"/>
      <c r="AD452" s="155"/>
    </row>
    <row r="453" spans="1:30">
      <c r="B453" s="152" t="s">
        <v>1938</v>
      </c>
      <c r="C453" s="152" t="s">
        <v>1939</v>
      </c>
      <c r="AB453" s="155"/>
      <c r="AC453" s="155"/>
      <c r="AD453" s="155"/>
    </row>
    <row r="454" spans="1:30">
      <c r="B454" s="152" t="s">
        <v>1940</v>
      </c>
      <c r="C454" s="152" t="s">
        <v>1941</v>
      </c>
      <c r="AB454" s="155"/>
      <c r="AC454" s="155"/>
      <c r="AD454" s="155"/>
    </row>
    <row r="455" spans="1:30">
      <c r="B455" s="152" t="s">
        <v>1942</v>
      </c>
      <c r="C455" s="152" t="s">
        <v>1943</v>
      </c>
      <c r="AB455" s="155"/>
      <c r="AC455" s="155"/>
      <c r="AD455" s="155"/>
    </row>
    <row r="456" spans="1:30">
      <c r="F456" s="152"/>
      <c r="G456" s="152"/>
      <c r="H456" s="152"/>
      <c r="I456" s="152"/>
      <c r="J456" s="152"/>
      <c r="K456" s="152"/>
      <c r="L456" s="152"/>
      <c r="M456" s="152"/>
      <c r="N456" s="152"/>
      <c r="O456" s="152"/>
      <c r="P456" s="152"/>
    </row>
    <row r="457" spans="1:30" s="128" customFormat="1" ht="15.75">
      <c r="A457" s="128" t="s">
        <v>1944</v>
      </c>
      <c r="D457" s="129"/>
      <c r="AB457" s="130"/>
      <c r="AC457" s="130"/>
      <c r="AD457" s="130"/>
    </row>
    <row r="458" spans="1:30">
      <c r="B458" s="152" t="s">
        <v>1945</v>
      </c>
      <c r="C458" s="152" t="s">
        <v>1946</v>
      </c>
      <c r="AB458" s="147"/>
      <c r="AC458" s="147"/>
      <c r="AD458" s="147"/>
    </row>
    <row r="459" spans="1:30">
      <c r="B459" s="152" t="s">
        <v>1947</v>
      </c>
      <c r="C459" s="152" t="s">
        <v>1948</v>
      </c>
      <c r="AB459" s="147"/>
      <c r="AC459" s="147"/>
      <c r="AD459" s="147"/>
    </row>
    <row r="460" spans="1:30">
      <c r="B460" s="152" t="s">
        <v>1949</v>
      </c>
      <c r="C460" s="152" t="s">
        <v>1950</v>
      </c>
      <c r="AB460" s="147"/>
      <c r="AC460" s="147"/>
      <c r="AD460" s="147"/>
    </row>
    <row r="461" spans="1:30">
      <c r="B461" s="152" t="s">
        <v>1951</v>
      </c>
      <c r="C461" s="152" t="s">
        <v>1952</v>
      </c>
      <c r="AB461" s="147"/>
      <c r="AC461" s="147"/>
      <c r="AD461" s="147"/>
    </row>
    <row r="462" spans="1:30">
      <c r="B462" s="152" t="s">
        <v>1953</v>
      </c>
      <c r="C462" s="152" t="s">
        <v>1954</v>
      </c>
      <c r="AB462" s="147"/>
      <c r="AC462" s="147"/>
      <c r="AD462" s="147"/>
    </row>
    <row r="463" spans="1:30">
      <c r="B463" s="152" t="s">
        <v>1955</v>
      </c>
      <c r="C463" s="152" t="s">
        <v>1956</v>
      </c>
      <c r="AB463" s="147"/>
      <c r="AC463" s="147"/>
      <c r="AD463" s="147"/>
    </row>
    <row r="464" spans="1:30">
      <c r="B464" s="152" t="s">
        <v>1957</v>
      </c>
      <c r="C464" s="152" t="s">
        <v>1958</v>
      </c>
      <c r="AB464" s="147"/>
      <c r="AC464" s="147"/>
      <c r="AD464" s="147"/>
    </row>
    <row r="465" spans="2:30">
      <c r="B465" s="152" t="s">
        <v>1959</v>
      </c>
      <c r="C465" s="152" t="s">
        <v>1960</v>
      </c>
      <c r="AB465" s="147"/>
      <c r="AC465" s="147"/>
      <c r="AD465" s="147"/>
    </row>
    <row r="466" spans="2:30">
      <c r="B466" s="152" t="s">
        <v>1961</v>
      </c>
      <c r="C466" s="152" t="s">
        <v>1962</v>
      </c>
      <c r="AB466" s="147"/>
      <c r="AC466" s="147"/>
      <c r="AD466" s="147"/>
    </row>
    <row r="467" spans="2:30">
      <c r="B467" s="152" t="s">
        <v>1963</v>
      </c>
      <c r="C467" s="152" t="s">
        <v>1964</v>
      </c>
      <c r="AB467" s="147"/>
      <c r="AC467" s="147"/>
      <c r="AD467" s="147"/>
    </row>
    <row r="468" spans="2:30">
      <c r="B468" s="152" t="s">
        <v>1965</v>
      </c>
      <c r="C468" s="152" t="s">
        <v>1966</v>
      </c>
      <c r="AB468" s="147"/>
      <c r="AC468" s="147"/>
      <c r="AD468" s="147"/>
    </row>
    <row r="469" spans="2:30">
      <c r="B469" s="152" t="s">
        <v>1967</v>
      </c>
      <c r="C469" s="152" t="s">
        <v>1968</v>
      </c>
      <c r="AB469" s="147"/>
      <c r="AC469" s="147"/>
      <c r="AD469" s="147"/>
    </row>
    <row r="470" spans="2:30">
      <c r="B470" s="152" t="s">
        <v>1969</v>
      </c>
      <c r="C470" s="152" t="s">
        <v>1970</v>
      </c>
      <c r="AB470" s="147"/>
      <c r="AC470" s="147"/>
      <c r="AD470" s="147"/>
    </row>
    <row r="471" spans="2:30">
      <c r="B471" s="152" t="s">
        <v>1971</v>
      </c>
      <c r="C471" s="152" t="s">
        <v>1972</v>
      </c>
      <c r="AB471" s="147"/>
      <c r="AC471" s="147"/>
      <c r="AD471" s="147"/>
    </row>
    <row r="472" spans="2:30">
      <c r="B472" s="152" t="s">
        <v>1973</v>
      </c>
      <c r="C472" s="152" t="s">
        <v>1974</v>
      </c>
      <c r="AB472" s="147"/>
      <c r="AC472" s="147"/>
      <c r="AD472" s="147"/>
    </row>
    <row r="473" spans="2:30">
      <c r="B473" s="152" t="s">
        <v>1975</v>
      </c>
      <c r="C473" s="152" t="s">
        <v>1976</v>
      </c>
      <c r="AB473" s="147"/>
      <c r="AC473" s="147"/>
      <c r="AD473" s="147"/>
    </row>
    <row r="474" spans="2:30">
      <c r="B474" s="152" t="s">
        <v>1977</v>
      </c>
      <c r="C474" s="152" t="s">
        <v>1978</v>
      </c>
      <c r="AB474" s="147"/>
      <c r="AC474" s="147"/>
      <c r="AD474" s="147"/>
    </row>
    <row r="475" spans="2:30">
      <c r="B475" s="152" t="s">
        <v>1979</v>
      </c>
      <c r="C475" s="152" t="s">
        <v>1980</v>
      </c>
      <c r="AB475" s="147"/>
      <c r="AC475" s="147"/>
      <c r="AD475" s="147"/>
    </row>
    <row r="476" spans="2:30">
      <c r="B476" s="152" t="s">
        <v>1981</v>
      </c>
      <c r="C476" s="152" t="s">
        <v>1982</v>
      </c>
      <c r="AB476" s="147"/>
      <c r="AC476" s="147"/>
      <c r="AD476" s="147"/>
    </row>
    <row r="477" spans="2:30">
      <c r="B477" s="152" t="s">
        <v>1983</v>
      </c>
      <c r="C477" s="152" t="s">
        <v>1984</v>
      </c>
      <c r="AB477" s="147"/>
      <c r="AC477" s="147"/>
      <c r="AD477" s="147"/>
    </row>
    <row r="478" spans="2:30">
      <c r="B478" s="152" t="s">
        <v>1985</v>
      </c>
      <c r="C478" s="152" t="s">
        <v>1986</v>
      </c>
      <c r="AB478" s="147"/>
      <c r="AC478" s="147"/>
      <c r="AD478" s="147"/>
    </row>
    <row r="479" spans="2:30">
      <c r="B479" s="152" t="s">
        <v>1987</v>
      </c>
      <c r="C479" s="152" t="s">
        <v>1988</v>
      </c>
      <c r="AB479" s="147"/>
      <c r="AC479" s="147"/>
      <c r="AD479" s="147"/>
    </row>
    <row r="480" spans="2:30">
      <c r="B480" s="152" t="s">
        <v>1989</v>
      </c>
      <c r="C480" s="152" t="s">
        <v>1990</v>
      </c>
      <c r="AB480" s="147"/>
      <c r="AC480" s="147"/>
      <c r="AD480" s="147"/>
    </row>
    <row r="481" spans="2:30">
      <c r="B481" s="152" t="s">
        <v>1991</v>
      </c>
      <c r="C481" s="152" t="s">
        <v>1992</v>
      </c>
      <c r="AB481" s="147"/>
      <c r="AC481" s="147"/>
      <c r="AD481" s="147"/>
    </row>
    <row r="482" spans="2:30">
      <c r="B482" s="152" t="s">
        <v>1993</v>
      </c>
      <c r="C482" s="152" t="s">
        <v>1994</v>
      </c>
      <c r="AB482" s="147"/>
      <c r="AC482" s="147"/>
      <c r="AD482" s="147"/>
    </row>
    <row r="483" spans="2:30">
      <c r="B483" s="152" t="s">
        <v>1995</v>
      </c>
      <c r="C483" s="152" t="s">
        <v>1996</v>
      </c>
      <c r="AB483" s="147"/>
      <c r="AC483" s="147"/>
      <c r="AD483" s="147"/>
    </row>
    <row r="484" spans="2:30">
      <c r="B484" s="152" t="s">
        <v>1997</v>
      </c>
      <c r="C484" s="152" t="s">
        <v>1998</v>
      </c>
      <c r="AB484" s="147"/>
      <c r="AC484" s="147"/>
      <c r="AD484" s="147"/>
    </row>
    <row r="485" spans="2:30">
      <c r="B485" s="152" t="s">
        <v>1999</v>
      </c>
      <c r="C485" s="152" t="s">
        <v>2000</v>
      </c>
      <c r="AB485" s="147"/>
      <c r="AC485" s="147"/>
      <c r="AD485" s="147"/>
    </row>
    <row r="486" spans="2:30">
      <c r="B486" s="152" t="s">
        <v>2001</v>
      </c>
      <c r="C486" s="152" t="s">
        <v>2002</v>
      </c>
      <c r="AB486" s="147"/>
      <c r="AC486" s="147"/>
      <c r="AD486" s="147"/>
    </row>
    <row r="487" spans="2:30">
      <c r="B487" s="152" t="s">
        <v>2003</v>
      </c>
      <c r="C487" s="152" t="s">
        <v>2004</v>
      </c>
      <c r="AB487" s="147"/>
      <c r="AC487" s="147"/>
      <c r="AD487" s="147"/>
    </row>
    <row r="488" spans="2:30">
      <c r="B488" s="152" t="s">
        <v>2005</v>
      </c>
      <c r="C488" s="152" t="s">
        <v>2006</v>
      </c>
      <c r="AB488" s="147"/>
      <c r="AC488" s="147"/>
      <c r="AD488" s="147"/>
    </row>
    <row r="489" spans="2:30">
      <c r="B489" s="152" t="s">
        <v>2007</v>
      </c>
      <c r="C489" s="152" t="s">
        <v>2008</v>
      </c>
      <c r="AB489" s="147"/>
      <c r="AC489" s="147"/>
      <c r="AD489" s="147"/>
    </row>
    <row r="490" spans="2:30">
      <c r="B490" s="152" t="s">
        <v>2009</v>
      </c>
      <c r="C490" s="152" t="s">
        <v>2010</v>
      </c>
      <c r="AB490" s="147"/>
      <c r="AC490" s="147"/>
      <c r="AD490" s="147"/>
    </row>
    <row r="491" spans="2:30">
      <c r="B491" s="152" t="s">
        <v>2011</v>
      </c>
      <c r="C491" s="152" t="s">
        <v>2012</v>
      </c>
      <c r="AB491" s="147"/>
      <c r="AC491" s="147"/>
      <c r="AD491" s="147"/>
    </row>
    <row r="492" spans="2:30">
      <c r="B492" s="152" t="s">
        <v>2013</v>
      </c>
      <c r="C492" s="152" t="s">
        <v>2014</v>
      </c>
      <c r="AB492" s="147"/>
      <c r="AC492" s="147"/>
      <c r="AD492" s="147"/>
    </row>
    <row r="493" spans="2:30">
      <c r="B493" s="152" t="s">
        <v>2015</v>
      </c>
      <c r="C493" s="152" t="s">
        <v>2016</v>
      </c>
      <c r="AB493" s="147"/>
      <c r="AC493" s="147"/>
      <c r="AD493" s="147"/>
    </row>
    <row r="494" spans="2:30">
      <c r="B494" s="152" t="s">
        <v>2017</v>
      </c>
      <c r="C494" s="152" t="s">
        <v>2018</v>
      </c>
      <c r="AB494" s="147"/>
      <c r="AC494" s="147"/>
      <c r="AD494" s="147"/>
    </row>
    <row r="495" spans="2:30">
      <c r="B495" s="152" t="s">
        <v>2019</v>
      </c>
      <c r="C495" s="152" t="s">
        <v>2020</v>
      </c>
      <c r="AB495" s="147"/>
      <c r="AC495" s="147"/>
      <c r="AD495" s="147"/>
    </row>
    <row r="496" spans="2:30">
      <c r="B496" s="152" t="s">
        <v>2021</v>
      </c>
      <c r="C496" s="152" t="s">
        <v>2022</v>
      </c>
      <c r="AB496" s="147"/>
      <c r="AC496" s="147"/>
      <c r="AD496" s="147"/>
    </row>
    <row r="497" spans="2:30">
      <c r="B497" s="152" t="s">
        <v>2023</v>
      </c>
      <c r="C497" s="152" t="s">
        <v>2024</v>
      </c>
      <c r="AB497" s="147"/>
      <c r="AC497" s="147"/>
      <c r="AD497" s="147"/>
    </row>
    <row r="498" spans="2:30">
      <c r="B498" s="152" t="s">
        <v>2025</v>
      </c>
      <c r="C498" s="152" t="s">
        <v>2026</v>
      </c>
      <c r="AB498" s="147"/>
      <c r="AC498" s="147"/>
      <c r="AD498" s="147"/>
    </row>
    <row r="499" spans="2:30">
      <c r="B499" s="152" t="s">
        <v>2027</v>
      </c>
      <c r="C499" s="152" t="s">
        <v>2028</v>
      </c>
      <c r="AB499" s="147"/>
      <c r="AC499" s="147"/>
      <c r="AD499" s="147"/>
    </row>
    <row r="500" spans="2:30">
      <c r="B500" s="152" t="s">
        <v>2029</v>
      </c>
      <c r="C500" s="152" t="s">
        <v>2030</v>
      </c>
      <c r="AB500" s="147"/>
      <c r="AC500" s="147"/>
      <c r="AD500" s="147"/>
    </row>
    <row r="501" spans="2:30">
      <c r="B501" s="152" t="s">
        <v>2031</v>
      </c>
      <c r="C501" s="152" t="s">
        <v>2032</v>
      </c>
      <c r="AB501" s="147"/>
      <c r="AC501" s="147"/>
      <c r="AD501" s="147"/>
    </row>
    <row r="502" spans="2:30">
      <c r="B502" s="152" t="s">
        <v>2033</v>
      </c>
      <c r="C502" s="152" t="s">
        <v>2034</v>
      </c>
      <c r="AB502" s="147"/>
      <c r="AC502" s="147"/>
      <c r="AD502" s="147"/>
    </row>
    <row r="503" spans="2:30">
      <c r="B503" s="152" t="s">
        <v>2400</v>
      </c>
      <c r="C503" s="152" t="s">
        <v>2035</v>
      </c>
      <c r="AB503" s="147"/>
      <c r="AC503" s="147"/>
      <c r="AD503" s="147"/>
    </row>
    <row r="504" spans="2:30">
      <c r="B504" s="152" t="s">
        <v>2401</v>
      </c>
      <c r="C504" s="152" t="s">
        <v>2036</v>
      </c>
      <c r="AB504" s="147"/>
      <c r="AC504" s="147"/>
      <c r="AD504" s="147"/>
    </row>
    <row r="505" spans="2:30">
      <c r="B505" s="152" t="s">
        <v>2402</v>
      </c>
      <c r="C505" s="152" t="s">
        <v>2037</v>
      </c>
      <c r="AB505" s="147"/>
      <c r="AC505" s="147"/>
      <c r="AD505" s="147"/>
    </row>
    <row r="506" spans="2:30">
      <c r="B506" s="152" t="s">
        <v>2403</v>
      </c>
      <c r="C506" s="152" t="s">
        <v>2038</v>
      </c>
      <c r="AB506" s="147"/>
      <c r="AC506" s="147"/>
      <c r="AD506" s="147"/>
    </row>
    <row r="507" spans="2:30">
      <c r="B507" s="152" t="s">
        <v>2404</v>
      </c>
      <c r="C507" s="152" t="s">
        <v>2039</v>
      </c>
      <c r="AB507" s="147"/>
      <c r="AC507" s="147"/>
      <c r="AD507" s="147"/>
    </row>
    <row r="508" spans="2:30">
      <c r="B508" s="152" t="s">
        <v>2405</v>
      </c>
      <c r="C508" s="152" t="s">
        <v>2040</v>
      </c>
      <c r="AB508" s="147"/>
      <c r="AC508" s="147"/>
      <c r="AD508" s="147"/>
    </row>
    <row r="509" spans="2:30">
      <c r="B509" s="152" t="s">
        <v>2406</v>
      </c>
      <c r="C509" s="152" t="s">
        <v>2041</v>
      </c>
      <c r="AB509" s="147"/>
      <c r="AC509" s="147"/>
      <c r="AD509" s="147"/>
    </row>
    <row r="510" spans="2:30">
      <c r="B510" s="152" t="s">
        <v>2407</v>
      </c>
      <c r="C510" s="152" t="s">
        <v>2042</v>
      </c>
      <c r="AB510" s="147"/>
      <c r="AC510" s="147"/>
      <c r="AD510" s="147"/>
    </row>
    <row r="511" spans="2:30">
      <c r="B511" s="152" t="s">
        <v>2408</v>
      </c>
      <c r="C511" s="152" t="s">
        <v>2043</v>
      </c>
      <c r="AB511" s="147"/>
      <c r="AC511" s="147"/>
      <c r="AD511" s="147"/>
    </row>
    <row r="512" spans="2:30">
      <c r="B512" s="152" t="s">
        <v>2409</v>
      </c>
      <c r="C512" s="152" t="s">
        <v>2044</v>
      </c>
      <c r="AB512" s="147"/>
      <c r="AC512" s="147"/>
      <c r="AD512" s="147"/>
    </row>
    <row r="513" spans="2:30">
      <c r="B513" s="152" t="s">
        <v>2410</v>
      </c>
      <c r="C513" s="152" t="s">
        <v>2045</v>
      </c>
      <c r="AB513" s="147"/>
      <c r="AC513" s="147"/>
      <c r="AD513" s="147"/>
    </row>
    <row r="514" spans="2:30">
      <c r="B514" s="152" t="s">
        <v>2411</v>
      </c>
      <c r="C514" s="152" t="s">
        <v>2046</v>
      </c>
      <c r="AB514" s="147"/>
      <c r="AC514" s="147"/>
      <c r="AD514" s="147"/>
    </row>
    <row r="515" spans="2:30">
      <c r="B515" s="152" t="s">
        <v>2412</v>
      </c>
      <c r="C515" s="152" t="s">
        <v>2047</v>
      </c>
      <c r="AB515" s="147"/>
      <c r="AC515" s="147"/>
      <c r="AD515" s="147"/>
    </row>
    <row r="516" spans="2:30">
      <c r="B516" s="152" t="s">
        <v>2413</v>
      </c>
      <c r="C516" s="152" t="s">
        <v>2048</v>
      </c>
      <c r="AB516" s="147"/>
      <c r="AC516" s="147"/>
      <c r="AD516" s="147"/>
    </row>
    <row r="517" spans="2:30">
      <c r="B517" s="152" t="s">
        <v>2414</v>
      </c>
      <c r="C517" s="152" t="s">
        <v>2049</v>
      </c>
      <c r="AB517" s="147"/>
      <c r="AC517" s="147"/>
      <c r="AD517" s="147"/>
    </row>
    <row r="518" spans="2:30">
      <c r="B518" s="152" t="s">
        <v>2415</v>
      </c>
      <c r="C518" s="152" t="s">
        <v>2050</v>
      </c>
      <c r="AB518" s="147"/>
      <c r="AC518" s="147"/>
      <c r="AD518" s="147"/>
    </row>
    <row r="519" spans="2:30">
      <c r="B519" s="152" t="s">
        <v>2051</v>
      </c>
      <c r="C519" s="152" t="s">
        <v>2052</v>
      </c>
      <c r="AB519" s="147"/>
      <c r="AC519" s="147"/>
      <c r="AD519" s="147"/>
    </row>
    <row r="520" spans="2:30">
      <c r="B520" s="152" t="s">
        <v>2053</v>
      </c>
      <c r="C520" s="152" t="s">
        <v>2054</v>
      </c>
      <c r="AB520" s="147"/>
      <c r="AC520" s="147"/>
      <c r="AD520" s="147"/>
    </row>
    <row r="521" spans="2:30">
      <c r="B521" s="152" t="s">
        <v>2055</v>
      </c>
      <c r="C521" s="152" t="s">
        <v>2056</v>
      </c>
      <c r="AB521" s="147"/>
      <c r="AC521" s="147"/>
      <c r="AD521" s="147"/>
    </row>
    <row r="522" spans="2:30">
      <c r="B522" s="152" t="s">
        <v>2057</v>
      </c>
      <c r="C522" s="152" t="s">
        <v>2058</v>
      </c>
      <c r="AB522" s="147"/>
      <c r="AC522" s="147"/>
      <c r="AD522" s="147"/>
    </row>
    <row r="523" spans="2:30">
      <c r="B523" s="152" t="s">
        <v>2059</v>
      </c>
      <c r="C523" s="152" t="s">
        <v>2060</v>
      </c>
      <c r="AB523" s="147"/>
      <c r="AC523" s="147"/>
      <c r="AD523" s="147"/>
    </row>
    <row r="524" spans="2:30">
      <c r="B524" s="152" t="s">
        <v>2061</v>
      </c>
      <c r="C524" s="152" t="s">
        <v>2062</v>
      </c>
      <c r="AB524" s="147"/>
      <c r="AC524" s="147"/>
      <c r="AD524" s="147"/>
    </row>
    <row r="525" spans="2:30">
      <c r="B525" s="152" t="s">
        <v>2063</v>
      </c>
      <c r="C525" s="152" t="s">
        <v>2064</v>
      </c>
      <c r="AB525" s="147"/>
      <c r="AC525" s="147"/>
      <c r="AD525" s="147"/>
    </row>
    <row r="526" spans="2:30">
      <c r="B526" s="152" t="s">
        <v>2065</v>
      </c>
      <c r="C526" s="152" t="s">
        <v>2066</v>
      </c>
      <c r="AB526" s="147"/>
      <c r="AC526" s="147"/>
      <c r="AD526" s="147"/>
    </row>
    <row r="527" spans="2:30">
      <c r="B527" s="152" t="s">
        <v>2067</v>
      </c>
      <c r="C527" s="152" t="s">
        <v>2068</v>
      </c>
      <c r="AB527" s="147"/>
      <c r="AC527" s="147"/>
      <c r="AD527" s="147"/>
    </row>
    <row r="528" spans="2:30">
      <c r="B528" s="152" t="s">
        <v>2069</v>
      </c>
      <c r="C528" s="152" t="s">
        <v>2070</v>
      </c>
      <c r="AB528" s="147"/>
      <c r="AC528" s="147"/>
      <c r="AD528" s="147"/>
    </row>
    <row r="529" spans="2:30">
      <c r="B529" s="152" t="s">
        <v>2071</v>
      </c>
      <c r="C529" s="152" t="s">
        <v>2072</v>
      </c>
      <c r="AB529" s="147"/>
      <c r="AC529" s="147"/>
      <c r="AD529" s="147"/>
    </row>
    <row r="530" spans="2:30">
      <c r="B530" s="152" t="s">
        <v>2073</v>
      </c>
      <c r="C530" s="152" t="s">
        <v>2074</v>
      </c>
      <c r="AB530" s="147"/>
      <c r="AC530" s="147"/>
      <c r="AD530" s="147"/>
    </row>
    <row r="531" spans="2:30">
      <c r="B531" s="152" t="s">
        <v>2075</v>
      </c>
      <c r="C531" s="152" t="s">
        <v>2076</v>
      </c>
      <c r="AB531" s="147"/>
      <c r="AC531" s="147"/>
      <c r="AD531" s="147"/>
    </row>
    <row r="532" spans="2:30">
      <c r="B532" s="152" t="s">
        <v>2077</v>
      </c>
      <c r="C532" s="152" t="s">
        <v>2078</v>
      </c>
      <c r="AB532" s="147"/>
      <c r="AC532" s="147"/>
      <c r="AD532" s="147"/>
    </row>
    <row r="533" spans="2:30">
      <c r="B533" s="152" t="s">
        <v>2079</v>
      </c>
      <c r="C533" s="152" t="s">
        <v>2080</v>
      </c>
      <c r="AB533" s="147"/>
      <c r="AC533" s="147"/>
      <c r="AD533" s="147"/>
    </row>
    <row r="534" spans="2:30">
      <c r="B534" s="152" t="s">
        <v>2081</v>
      </c>
      <c r="C534" s="152" t="s">
        <v>2082</v>
      </c>
      <c r="AB534" s="147"/>
      <c r="AC534" s="147"/>
      <c r="AD534" s="147"/>
    </row>
    <row r="535" spans="2:30">
      <c r="B535" s="152" t="s">
        <v>2083</v>
      </c>
      <c r="C535" s="152" t="s">
        <v>2084</v>
      </c>
      <c r="AB535" s="147"/>
      <c r="AC535" s="147"/>
      <c r="AD535" s="147"/>
    </row>
    <row r="536" spans="2:30">
      <c r="B536" s="152" t="s">
        <v>2085</v>
      </c>
      <c r="C536" s="152" t="s">
        <v>2086</v>
      </c>
      <c r="AB536" s="147"/>
      <c r="AC536" s="147"/>
      <c r="AD536" s="147"/>
    </row>
    <row r="537" spans="2:30">
      <c r="B537" s="152" t="s">
        <v>2087</v>
      </c>
      <c r="C537" s="152" t="s">
        <v>2088</v>
      </c>
      <c r="AB537" s="147"/>
      <c r="AC537" s="147"/>
      <c r="AD537" s="147"/>
    </row>
    <row r="538" spans="2:30" s="148" customFormat="1" ht="11.25">
      <c r="B538" s="148" t="s">
        <v>2089</v>
      </c>
      <c r="C538" s="148" t="s">
        <v>2090</v>
      </c>
      <c r="D538" s="148" t="s">
        <v>1134</v>
      </c>
    </row>
  </sheetData>
  <sheetProtection formatCells="0" formatColumns="0" formatRows="0"/>
  <dataValidations disablePrompts="1" count="3">
    <dataValidation type="list" allowBlank="1" showInputMessage="1" showErrorMessage="1" sqref="WVP983060:WVT983060 WLT983060:WLX983060 WBX983060:WCB983060 VSB983060:VSF983060 VIF983060:VIJ983060 UYJ983060:UYN983060 UON983060:UOR983060 UER983060:UEV983060 TUV983060:TUZ983060 TKZ983060:TLD983060 TBD983060:TBH983060 SRH983060:SRL983060 SHL983060:SHP983060 RXP983060:RXT983060 RNT983060:RNX983060 RDX983060:REB983060 QUB983060:QUF983060 QKF983060:QKJ983060 QAJ983060:QAN983060 PQN983060:PQR983060 PGR983060:PGV983060 OWV983060:OWZ983060 OMZ983060:OND983060 ODD983060:ODH983060 NTH983060:NTL983060 NJL983060:NJP983060 MZP983060:MZT983060 MPT983060:MPX983060 MFX983060:MGB983060 LWB983060:LWF983060 LMF983060:LMJ983060 LCJ983060:LCN983060 KSN983060:KSR983060 KIR983060:KIV983060 JYV983060:JYZ983060 JOZ983060:JPD983060 JFD983060:JFH983060 IVH983060:IVL983060 ILL983060:ILP983060 IBP983060:IBT983060 HRT983060:HRX983060 HHX983060:HIB983060 GYB983060:GYF983060 GOF983060:GOJ983060 GEJ983060:GEN983060 FUN983060:FUR983060 FKR983060:FKV983060 FAV983060:FAZ983060 EQZ983060:ERD983060 EHD983060:EHH983060 DXH983060:DXL983060 DNL983060:DNP983060 DDP983060:DDT983060 CTT983060:CTX983060 CJX983060:CKB983060 CAB983060:CAF983060 BQF983060:BQJ983060 BGJ983060:BGN983060 AWN983060:AWR983060 AMR983060:AMV983060 ACV983060:ACZ983060 SZ983060:TD983060 JD983060:JH983060 WVP917524:WVT917524 WLT917524:WLX917524 WBX917524:WCB917524 VSB917524:VSF917524 VIF917524:VIJ917524 UYJ917524:UYN917524 UON917524:UOR917524 UER917524:UEV917524 TUV917524:TUZ917524 TKZ917524:TLD917524 TBD917524:TBH917524 SRH917524:SRL917524 SHL917524:SHP917524 RXP917524:RXT917524 RNT917524:RNX917524 RDX917524:REB917524 QUB917524:QUF917524 QKF917524:QKJ917524 QAJ917524:QAN917524 PQN917524:PQR917524 PGR917524:PGV917524 OWV917524:OWZ917524 OMZ917524:OND917524 ODD917524:ODH917524 NTH917524:NTL917524 NJL917524:NJP917524 MZP917524:MZT917524 MPT917524:MPX917524 MFX917524:MGB917524 LWB917524:LWF917524 LMF917524:LMJ917524 LCJ917524:LCN917524 KSN917524:KSR917524 KIR917524:KIV917524 JYV917524:JYZ917524 JOZ917524:JPD917524 JFD917524:JFH917524 IVH917524:IVL917524 ILL917524:ILP917524 IBP917524:IBT917524 HRT917524:HRX917524 HHX917524:HIB917524 GYB917524:GYF917524 GOF917524:GOJ917524 GEJ917524:GEN917524 FUN917524:FUR917524 FKR917524:FKV917524 FAV917524:FAZ917524 EQZ917524:ERD917524 EHD917524:EHH917524 DXH917524:DXL917524 DNL917524:DNP917524 DDP917524:DDT917524 CTT917524:CTX917524 CJX917524:CKB917524 CAB917524:CAF917524 BQF917524:BQJ917524 BGJ917524:BGN917524 AWN917524:AWR917524 AMR917524:AMV917524 ACV917524:ACZ917524 SZ917524:TD917524 JD917524:JH917524 WVP851988:WVT851988 WLT851988:WLX851988 WBX851988:WCB851988 VSB851988:VSF851988 VIF851988:VIJ851988 UYJ851988:UYN851988 UON851988:UOR851988 UER851988:UEV851988 TUV851988:TUZ851988 TKZ851988:TLD851988 TBD851988:TBH851988 SRH851988:SRL851988 SHL851988:SHP851988 RXP851988:RXT851988 RNT851988:RNX851988 RDX851988:REB851988 QUB851988:QUF851988 QKF851988:QKJ851988 QAJ851988:QAN851988 PQN851988:PQR851988 PGR851988:PGV851988 OWV851988:OWZ851988 OMZ851988:OND851988 ODD851988:ODH851988 NTH851988:NTL851988 NJL851988:NJP851988 MZP851988:MZT851988 MPT851988:MPX851988 MFX851988:MGB851988 LWB851988:LWF851988 LMF851988:LMJ851988 LCJ851988:LCN851988 KSN851988:KSR851988 KIR851988:KIV851988 JYV851988:JYZ851988 JOZ851988:JPD851988 JFD851988:JFH851988 IVH851988:IVL851988 ILL851988:ILP851988 IBP851988:IBT851988 HRT851988:HRX851988 HHX851988:HIB851988 GYB851988:GYF851988 GOF851988:GOJ851988 GEJ851988:GEN851988 FUN851988:FUR851988 FKR851988:FKV851988 FAV851988:FAZ851988 EQZ851988:ERD851988 EHD851988:EHH851988 DXH851988:DXL851988 DNL851988:DNP851988 DDP851988:DDT851988 CTT851988:CTX851988 CJX851988:CKB851988 CAB851988:CAF851988 BQF851988:BQJ851988 BGJ851988:BGN851988 AWN851988:AWR851988 AMR851988:AMV851988 ACV851988:ACZ851988 SZ851988:TD851988 JD851988:JH851988 WVP786452:WVT786452 WLT786452:WLX786452 WBX786452:WCB786452 VSB786452:VSF786452 VIF786452:VIJ786452 UYJ786452:UYN786452 UON786452:UOR786452 UER786452:UEV786452 TUV786452:TUZ786452 TKZ786452:TLD786452 TBD786452:TBH786452 SRH786452:SRL786452 SHL786452:SHP786452 RXP786452:RXT786452 RNT786452:RNX786452 RDX786452:REB786452 QUB786452:QUF786452 QKF786452:QKJ786452 QAJ786452:QAN786452 PQN786452:PQR786452 PGR786452:PGV786452 OWV786452:OWZ786452 OMZ786452:OND786452 ODD786452:ODH786452 NTH786452:NTL786452 NJL786452:NJP786452 MZP786452:MZT786452 MPT786452:MPX786452 MFX786452:MGB786452 LWB786452:LWF786452 LMF786452:LMJ786452 LCJ786452:LCN786452 KSN786452:KSR786452 KIR786452:KIV786452 JYV786452:JYZ786452 JOZ786452:JPD786452 JFD786452:JFH786452 IVH786452:IVL786452 ILL786452:ILP786452 IBP786452:IBT786452 HRT786452:HRX786452 HHX786452:HIB786452 GYB786452:GYF786452 GOF786452:GOJ786452 GEJ786452:GEN786452 FUN786452:FUR786452 FKR786452:FKV786452 FAV786452:FAZ786452 EQZ786452:ERD786452 EHD786452:EHH786452 DXH786452:DXL786452 DNL786452:DNP786452 DDP786452:DDT786452 CTT786452:CTX786452 CJX786452:CKB786452 CAB786452:CAF786452 BQF786452:BQJ786452 BGJ786452:BGN786452 AWN786452:AWR786452 AMR786452:AMV786452 ACV786452:ACZ786452 SZ786452:TD786452 JD786452:JH786452 WVP720916:WVT720916 WLT720916:WLX720916 WBX720916:WCB720916 VSB720916:VSF720916 VIF720916:VIJ720916 UYJ720916:UYN720916 UON720916:UOR720916 UER720916:UEV720916 TUV720916:TUZ720916 TKZ720916:TLD720916 TBD720916:TBH720916 SRH720916:SRL720916 SHL720916:SHP720916 RXP720916:RXT720916 RNT720916:RNX720916 RDX720916:REB720916 QUB720916:QUF720916 QKF720916:QKJ720916 QAJ720916:QAN720916 PQN720916:PQR720916 PGR720916:PGV720916 OWV720916:OWZ720916 OMZ720916:OND720916 ODD720916:ODH720916 NTH720916:NTL720916 NJL720916:NJP720916 MZP720916:MZT720916 MPT720916:MPX720916 MFX720916:MGB720916 LWB720916:LWF720916 LMF720916:LMJ720916 LCJ720916:LCN720916 KSN720916:KSR720916 KIR720916:KIV720916 JYV720916:JYZ720916 JOZ720916:JPD720916 JFD720916:JFH720916 IVH720916:IVL720916 ILL720916:ILP720916 IBP720916:IBT720916 HRT720916:HRX720916 HHX720916:HIB720916 GYB720916:GYF720916 GOF720916:GOJ720916 GEJ720916:GEN720916 FUN720916:FUR720916 FKR720916:FKV720916 FAV720916:FAZ720916 EQZ720916:ERD720916 EHD720916:EHH720916 DXH720916:DXL720916 DNL720916:DNP720916 DDP720916:DDT720916 CTT720916:CTX720916 CJX720916:CKB720916 CAB720916:CAF720916 BQF720916:BQJ720916 BGJ720916:BGN720916 AWN720916:AWR720916 AMR720916:AMV720916 ACV720916:ACZ720916 SZ720916:TD720916 JD720916:JH720916 WVP655380:WVT655380 WLT655380:WLX655380 WBX655380:WCB655380 VSB655380:VSF655380 VIF655380:VIJ655380 UYJ655380:UYN655380 UON655380:UOR655380 UER655380:UEV655380 TUV655380:TUZ655380 TKZ655380:TLD655380 TBD655380:TBH655380 SRH655380:SRL655380 SHL655380:SHP655380 RXP655380:RXT655380 RNT655380:RNX655380 RDX655380:REB655380 QUB655380:QUF655380 QKF655380:QKJ655380 QAJ655380:QAN655380 PQN655380:PQR655380 PGR655380:PGV655380 OWV655380:OWZ655380 OMZ655380:OND655380 ODD655380:ODH655380 NTH655380:NTL655380 NJL655380:NJP655380 MZP655380:MZT655380 MPT655380:MPX655380 MFX655380:MGB655380 LWB655380:LWF655380 LMF655380:LMJ655380 LCJ655380:LCN655380 KSN655380:KSR655380 KIR655380:KIV655380 JYV655380:JYZ655380 JOZ655380:JPD655380 JFD655380:JFH655380 IVH655380:IVL655380 ILL655380:ILP655380 IBP655380:IBT655380 HRT655380:HRX655380 HHX655380:HIB655380 GYB655380:GYF655380 GOF655380:GOJ655380 GEJ655380:GEN655380 FUN655380:FUR655380 FKR655380:FKV655380 FAV655380:FAZ655380 EQZ655380:ERD655380 EHD655380:EHH655380 DXH655380:DXL655380 DNL655380:DNP655380 DDP655380:DDT655380 CTT655380:CTX655380 CJX655380:CKB655380 CAB655380:CAF655380 BQF655380:BQJ655380 BGJ655380:BGN655380 AWN655380:AWR655380 AMR655380:AMV655380 ACV655380:ACZ655380 SZ655380:TD655380 JD655380:JH655380 WVP589844:WVT589844 WLT589844:WLX589844 WBX589844:WCB589844 VSB589844:VSF589844 VIF589844:VIJ589844 UYJ589844:UYN589844 UON589844:UOR589844 UER589844:UEV589844 TUV589844:TUZ589844 TKZ589844:TLD589844 TBD589844:TBH589844 SRH589844:SRL589844 SHL589844:SHP589844 RXP589844:RXT589844 RNT589844:RNX589844 RDX589844:REB589844 QUB589844:QUF589844 QKF589844:QKJ589844 QAJ589844:QAN589844 PQN589844:PQR589844 PGR589844:PGV589844 OWV589844:OWZ589844 OMZ589844:OND589844 ODD589844:ODH589844 NTH589844:NTL589844 NJL589844:NJP589844 MZP589844:MZT589844 MPT589844:MPX589844 MFX589844:MGB589844 LWB589844:LWF589844 LMF589844:LMJ589844 LCJ589844:LCN589844 KSN589844:KSR589844 KIR589844:KIV589844 JYV589844:JYZ589844 JOZ589844:JPD589844 JFD589844:JFH589844 IVH589844:IVL589844 ILL589844:ILP589844 IBP589844:IBT589844 HRT589844:HRX589844 HHX589844:HIB589844 GYB589844:GYF589844 GOF589844:GOJ589844 GEJ589844:GEN589844 FUN589844:FUR589844 FKR589844:FKV589844 FAV589844:FAZ589844 EQZ589844:ERD589844 EHD589844:EHH589844 DXH589844:DXL589844 DNL589844:DNP589844 DDP589844:DDT589844 CTT589844:CTX589844 CJX589844:CKB589844 CAB589844:CAF589844 BQF589844:BQJ589844 BGJ589844:BGN589844 AWN589844:AWR589844 AMR589844:AMV589844 ACV589844:ACZ589844 SZ589844:TD589844 JD589844:JH589844 WVP524308:WVT524308 WLT524308:WLX524308 WBX524308:WCB524308 VSB524308:VSF524308 VIF524308:VIJ524308 UYJ524308:UYN524308 UON524308:UOR524308 UER524308:UEV524308 TUV524308:TUZ524308 TKZ524308:TLD524308 TBD524308:TBH524308 SRH524308:SRL524308 SHL524308:SHP524308 RXP524308:RXT524308 RNT524308:RNX524308 RDX524308:REB524308 QUB524308:QUF524308 QKF524308:QKJ524308 QAJ524308:QAN524308 PQN524308:PQR524308 PGR524308:PGV524308 OWV524308:OWZ524308 OMZ524308:OND524308 ODD524308:ODH524308 NTH524308:NTL524308 NJL524308:NJP524308 MZP524308:MZT524308 MPT524308:MPX524308 MFX524308:MGB524308 LWB524308:LWF524308 LMF524308:LMJ524308 LCJ524308:LCN524308 KSN524308:KSR524308 KIR524308:KIV524308 JYV524308:JYZ524308 JOZ524308:JPD524308 JFD524308:JFH524308 IVH524308:IVL524308 ILL524308:ILP524308 IBP524308:IBT524308 HRT524308:HRX524308 HHX524308:HIB524308 GYB524308:GYF524308 GOF524308:GOJ524308 GEJ524308:GEN524308 FUN524308:FUR524308 FKR524308:FKV524308 FAV524308:FAZ524308 EQZ524308:ERD524308 EHD524308:EHH524308 DXH524308:DXL524308 DNL524308:DNP524308 DDP524308:DDT524308 CTT524308:CTX524308 CJX524308:CKB524308 CAB524308:CAF524308 BQF524308:BQJ524308 BGJ524308:BGN524308 AWN524308:AWR524308 AMR524308:AMV524308 ACV524308:ACZ524308 SZ524308:TD524308 JD524308:JH524308 WVP458772:WVT458772 WLT458772:WLX458772 WBX458772:WCB458772 VSB458772:VSF458772 VIF458772:VIJ458772 UYJ458772:UYN458772 UON458772:UOR458772 UER458772:UEV458772 TUV458772:TUZ458772 TKZ458772:TLD458772 TBD458772:TBH458772 SRH458772:SRL458772 SHL458772:SHP458772 RXP458772:RXT458772 RNT458772:RNX458772 RDX458772:REB458772 QUB458772:QUF458772 QKF458772:QKJ458772 QAJ458772:QAN458772 PQN458772:PQR458772 PGR458772:PGV458772 OWV458772:OWZ458772 OMZ458772:OND458772 ODD458772:ODH458772 NTH458772:NTL458772 NJL458772:NJP458772 MZP458772:MZT458772 MPT458772:MPX458772 MFX458772:MGB458772 LWB458772:LWF458772 LMF458772:LMJ458772 LCJ458772:LCN458772 KSN458772:KSR458772 KIR458772:KIV458772 JYV458772:JYZ458772 JOZ458772:JPD458772 JFD458772:JFH458772 IVH458772:IVL458772 ILL458772:ILP458772 IBP458772:IBT458772 HRT458772:HRX458772 HHX458772:HIB458772 GYB458772:GYF458772 GOF458772:GOJ458772 GEJ458772:GEN458772 FUN458772:FUR458772 FKR458772:FKV458772 FAV458772:FAZ458772 EQZ458772:ERD458772 EHD458772:EHH458772 DXH458772:DXL458772 DNL458772:DNP458772 DDP458772:DDT458772 CTT458772:CTX458772 CJX458772:CKB458772 CAB458772:CAF458772 BQF458772:BQJ458772 BGJ458772:BGN458772 AWN458772:AWR458772 AMR458772:AMV458772 ACV458772:ACZ458772 SZ458772:TD458772 JD458772:JH458772 WVP393236:WVT393236 WLT393236:WLX393236 WBX393236:WCB393236 VSB393236:VSF393236 VIF393236:VIJ393236 UYJ393236:UYN393236 UON393236:UOR393236 UER393236:UEV393236 TUV393236:TUZ393236 TKZ393236:TLD393236 TBD393236:TBH393236 SRH393236:SRL393236 SHL393236:SHP393236 RXP393236:RXT393236 RNT393236:RNX393236 RDX393236:REB393236 QUB393236:QUF393236 QKF393236:QKJ393236 QAJ393236:QAN393236 PQN393236:PQR393236 PGR393236:PGV393236 OWV393236:OWZ393236 OMZ393236:OND393236 ODD393236:ODH393236 NTH393236:NTL393236 NJL393236:NJP393236 MZP393236:MZT393236 MPT393236:MPX393236 MFX393236:MGB393236 LWB393236:LWF393236 LMF393236:LMJ393236 LCJ393236:LCN393236 KSN393236:KSR393236 KIR393236:KIV393236 JYV393236:JYZ393236 JOZ393236:JPD393236 JFD393236:JFH393236 IVH393236:IVL393236 ILL393236:ILP393236 IBP393236:IBT393236 HRT393236:HRX393236 HHX393236:HIB393236 GYB393236:GYF393236 GOF393236:GOJ393236 GEJ393236:GEN393236 FUN393236:FUR393236 FKR393236:FKV393236 FAV393236:FAZ393236 EQZ393236:ERD393236 EHD393236:EHH393236 DXH393236:DXL393236 DNL393236:DNP393236 DDP393236:DDT393236 CTT393236:CTX393236 CJX393236:CKB393236 CAB393236:CAF393236 BQF393236:BQJ393236 BGJ393236:BGN393236 AWN393236:AWR393236 AMR393236:AMV393236 ACV393236:ACZ393236 SZ393236:TD393236 JD393236:JH393236 WVP327700:WVT327700 WLT327700:WLX327700 WBX327700:WCB327700 VSB327700:VSF327700 VIF327700:VIJ327700 UYJ327700:UYN327700 UON327700:UOR327700 UER327700:UEV327700 TUV327700:TUZ327700 TKZ327700:TLD327700 TBD327700:TBH327700 SRH327700:SRL327700 SHL327700:SHP327700 RXP327700:RXT327700 RNT327700:RNX327700 RDX327700:REB327700 QUB327700:QUF327700 QKF327700:QKJ327700 QAJ327700:QAN327700 PQN327700:PQR327700 PGR327700:PGV327700 OWV327700:OWZ327700 OMZ327700:OND327700 ODD327700:ODH327700 NTH327700:NTL327700 NJL327700:NJP327700 MZP327700:MZT327700 MPT327700:MPX327700 MFX327700:MGB327700 LWB327700:LWF327700 LMF327700:LMJ327700 LCJ327700:LCN327700 KSN327700:KSR327700 KIR327700:KIV327700 JYV327700:JYZ327700 JOZ327700:JPD327700 JFD327700:JFH327700 IVH327700:IVL327700 ILL327700:ILP327700 IBP327700:IBT327700 HRT327700:HRX327700 HHX327700:HIB327700 GYB327700:GYF327700 GOF327700:GOJ327700 GEJ327700:GEN327700 FUN327700:FUR327700 FKR327700:FKV327700 FAV327700:FAZ327700 EQZ327700:ERD327700 EHD327700:EHH327700 DXH327700:DXL327700 DNL327700:DNP327700 DDP327700:DDT327700 CTT327700:CTX327700 CJX327700:CKB327700 CAB327700:CAF327700 BQF327700:BQJ327700 BGJ327700:BGN327700 AWN327700:AWR327700 AMR327700:AMV327700 ACV327700:ACZ327700 SZ327700:TD327700 JD327700:JH327700 WVP262164:WVT262164 WLT262164:WLX262164 WBX262164:WCB262164 VSB262164:VSF262164 VIF262164:VIJ262164 UYJ262164:UYN262164 UON262164:UOR262164 UER262164:UEV262164 TUV262164:TUZ262164 TKZ262164:TLD262164 TBD262164:TBH262164 SRH262164:SRL262164 SHL262164:SHP262164 RXP262164:RXT262164 RNT262164:RNX262164 RDX262164:REB262164 QUB262164:QUF262164 QKF262164:QKJ262164 QAJ262164:QAN262164 PQN262164:PQR262164 PGR262164:PGV262164 OWV262164:OWZ262164 OMZ262164:OND262164 ODD262164:ODH262164 NTH262164:NTL262164 NJL262164:NJP262164 MZP262164:MZT262164 MPT262164:MPX262164 MFX262164:MGB262164 LWB262164:LWF262164 LMF262164:LMJ262164 LCJ262164:LCN262164 KSN262164:KSR262164 KIR262164:KIV262164 JYV262164:JYZ262164 JOZ262164:JPD262164 JFD262164:JFH262164 IVH262164:IVL262164 ILL262164:ILP262164 IBP262164:IBT262164 HRT262164:HRX262164 HHX262164:HIB262164 GYB262164:GYF262164 GOF262164:GOJ262164 GEJ262164:GEN262164 FUN262164:FUR262164 FKR262164:FKV262164 FAV262164:FAZ262164 EQZ262164:ERD262164 EHD262164:EHH262164 DXH262164:DXL262164 DNL262164:DNP262164 DDP262164:DDT262164 CTT262164:CTX262164 CJX262164:CKB262164 CAB262164:CAF262164 BQF262164:BQJ262164 BGJ262164:BGN262164 AWN262164:AWR262164 AMR262164:AMV262164 ACV262164:ACZ262164 SZ262164:TD262164 JD262164:JH262164 WVP196628:WVT196628 WLT196628:WLX196628 WBX196628:WCB196628 VSB196628:VSF196628 VIF196628:VIJ196628 UYJ196628:UYN196628 UON196628:UOR196628 UER196628:UEV196628 TUV196628:TUZ196628 TKZ196628:TLD196628 TBD196628:TBH196628 SRH196628:SRL196628 SHL196628:SHP196628 RXP196628:RXT196628 RNT196628:RNX196628 RDX196628:REB196628 QUB196628:QUF196628 QKF196628:QKJ196628 QAJ196628:QAN196628 PQN196628:PQR196628 PGR196628:PGV196628 OWV196628:OWZ196628 OMZ196628:OND196628 ODD196628:ODH196628 NTH196628:NTL196628 NJL196628:NJP196628 MZP196628:MZT196628 MPT196628:MPX196628 MFX196628:MGB196628 LWB196628:LWF196628 LMF196628:LMJ196628 LCJ196628:LCN196628 KSN196628:KSR196628 KIR196628:KIV196628 JYV196628:JYZ196628 JOZ196628:JPD196628 JFD196628:JFH196628 IVH196628:IVL196628 ILL196628:ILP196628 IBP196628:IBT196628 HRT196628:HRX196628 HHX196628:HIB196628 GYB196628:GYF196628 GOF196628:GOJ196628 GEJ196628:GEN196628 FUN196628:FUR196628 FKR196628:FKV196628 FAV196628:FAZ196628 EQZ196628:ERD196628 EHD196628:EHH196628 DXH196628:DXL196628 DNL196628:DNP196628 DDP196628:DDT196628 CTT196628:CTX196628 CJX196628:CKB196628 CAB196628:CAF196628 BQF196628:BQJ196628 BGJ196628:BGN196628 AWN196628:AWR196628 AMR196628:AMV196628 ACV196628:ACZ196628 SZ196628:TD196628 JD196628:JH196628 WVP131092:WVT131092 WLT131092:WLX131092 WBX131092:WCB131092 VSB131092:VSF131092 VIF131092:VIJ131092 UYJ131092:UYN131092 UON131092:UOR131092 UER131092:UEV131092 TUV131092:TUZ131092 TKZ131092:TLD131092 TBD131092:TBH131092 SRH131092:SRL131092 SHL131092:SHP131092 RXP131092:RXT131092 RNT131092:RNX131092 RDX131092:REB131092 QUB131092:QUF131092 QKF131092:QKJ131092 QAJ131092:QAN131092 PQN131092:PQR131092 PGR131092:PGV131092 OWV131092:OWZ131092 OMZ131092:OND131092 ODD131092:ODH131092 NTH131092:NTL131092 NJL131092:NJP131092 MZP131092:MZT131092 MPT131092:MPX131092 MFX131092:MGB131092 LWB131092:LWF131092 LMF131092:LMJ131092 LCJ131092:LCN131092 KSN131092:KSR131092 KIR131092:KIV131092 JYV131092:JYZ131092 JOZ131092:JPD131092 JFD131092:JFH131092 IVH131092:IVL131092 ILL131092:ILP131092 IBP131092:IBT131092 HRT131092:HRX131092 HHX131092:HIB131092 GYB131092:GYF131092 GOF131092:GOJ131092 GEJ131092:GEN131092 FUN131092:FUR131092 FKR131092:FKV131092 FAV131092:FAZ131092 EQZ131092:ERD131092 EHD131092:EHH131092 DXH131092:DXL131092 DNL131092:DNP131092 DDP131092:DDT131092 CTT131092:CTX131092 CJX131092:CKB131092 CAB131092:CAF131092 BQF131092:BQJ131092 BGJ131092:BGN131092 AWN131092:AWR131092 AMR131092:AMV131092 ACV131092:ACZ131092 SZ131092:TD131092 JD131092:JH131092 WVP65556:WVT65556 WLT65556:WLX65556 WBX65556:WCB65556 VSB65556:VSF65556 VIF65556:VIJ65556 UYJ65556:UYN65556 UON65556:UOR65556 UER65556:UEV65556 TUV65556:TUZ65556 TKZ65556:TLD65556 TBD65556:TBH65556 SRH65556:SRL65556 SHL65556:SHP65556 RXP65556:RXT65556 RNT65556:RNX65556 RDX65556:REB65556 QUB65556:QUF65556 QKF65556:QKJ65556 QAJ65556:QAN65556 PQN65556:PQR65556 PGR65556:PGV65556 OWV65556:OWZ65556 OMZ65556:OND65556 ODD65556:ODH65556 NTH65556:NTL65556 NJL65556:NJP65556 MZP65556:MZT65556 MPT65556:MPX65556 MFX65556:MGB65556 LWB65556:LWF65556 LMF65556:LMJ65556 LCJ65556:LCN65556 KSN65556:KSR65556 KIR65556:KIV65556 JYV65556:JYZ65556 JOZ65556:JPD65556 JFD65556:JFH65556 IVH65556:IVL65556 ILL65556:ILP65556 IBP65556:IBT65556 HRT65556:HRX65556 HHX65556:HIB65556 GYB65556:GYF65556 GOF65556:GOJ65556 GEJ65556:GEN65556 FUN65556:FUR65556 FKR65556:FKV65556 FAV65556:FAZ65556 EQZ65556:ERD65556 EHD65556:EHH65556 DXH65556:DXL65556 DNL65556:DNP65556 DDP65556:DDT65556 CTT65556:CTX65556 CJX65556:CKB65556 CAB65556:CAF65556 BQF65556:BQJ65556 BGJ65556:BGN65556 AWN65556:AWR65556 AMR65556:AMV65556 ACV65556:ACZ65556 SZ65556:TD65556 JD65556:JH65556 JD18:JH18 WVP18:WVT18 WLT18:WLX18 WBX18:WCB18 VSB18:VSF18 VIF18:VIJ18 UYJ18:UYN18 UON18:UOR18 UER18:UEV18 TUV18:TUZ18 TKZ18:TLD18 TBD18:TBH18 SRH18:SRL18 SHL18:SHP18 RXP18:RXT18 RNT18:RNX18 RDX18:REB18 QUB18:QUF18 QKF18:QKJ18 QAJ18:QAN18 PQN18:PQR18 PGR18:PGV18 OWV18:OWZ18 OMZ18:OND18 ODD18:ODH18 NTH18:NTL18 NJL18:NJP18 MZP18:MZT18 MPT18:MPX18 MFX18:MGB18 LWB18:LWF18 LMF18:LMJ18 LCJ18:LCN18 KSN18:KSR18 KIR18:KIV18 JYV18:JYZ18 JOZ18:JPD18 JFD18:JFH18 IVH18:IVL18 ILL18:ILP18 IBP18:IBT18 HRT18:HRX18 HHX18:HIB18 GYB18:GYF18 GOF18:GOJ18 GEJ18:GEN18 FUN18:FUR18 FKR18:FKV18 FAV18:FAZ18 EQZ18:ERD18 EHD18:EHH18 DXH18:DXL18 DNL18:DNP18 DDP18:DDT18 CTT18:CTX18 CJX18:CKB18 CAB18:CAF18 BQF18:BQJ18 BGJ18:BGN18 AWN18:AWR18 AMR18:AMV18 ACV18:ACZ18 SZ18:TD18 E65556 E131092 E196628 E262164 E327700 E393236 E458772 E524308 E589844 E655380 E720916 E786452 E851988 E917524 E983060" xr:uid="{00000000-0002-0000-0400-000000000000}">
      <formula1>"6 months,12 months,18 months,2 years,1 month,3 months,9 months,3 years,(remove)"</formula1>
    </dataValidation>
    <dataValidation type="list" allowBlank="1" showInputMessage="1" showErrorMessage="1" sqref="WVP983058:WVT983058 WLT983058:WLX983058 WBX983058:WCB983058 VSB983058:VSF983058 VIF983058:VIJ983058 UYJ983058:UYN983058 UON983058:UOR983058 UER983058:UEV983058 TUV983058:TUZ983058 TKZ983058:TLD983058 TBD983058:TBH983058 SRH983058:SRL983058 SHL983058:SHP983058 RXP983058:RXT983058 RNT983058:RNX983058 RDX983058:REB983058 QUB983058:QUF983058 QKF983058:QKJ983058 QAJ983058:QAN983058 PQN983058:PQR983058 PGR983058:PGV983058 OWV983058:OWZ983058 OMZ983058:OND983058 ODD983058:ODH983058 NTH983058:NTL983058 NJL983058:NJP983058 MZP983058:MZT983058 MPT983058:MPX983058 MFX983058:MGB983058 LWB983058:LWF983058 LMF983058:LMJ983058 LCJ983058:LCN983058 KSN983058:KSR983058 KIR983058:KIV983058 JYV983058:JYZ983058 JOZ983058:JPD983058 JFD983058:JFH983058 IVH983058:IVL983058 ILL983058:ILP983058 IBP983058:IBT983058 HRT983058:HRX983058 HHX983058:HIB983058 GYB983058:GYF983058 GOF983058:GOJ983058 GEJ983058:GEN983058 FUN983058:FUR983058 FKR983058:FKV983058 FAV983058:FAZ983058 EQZ983058:ERD983058 EHD983058:EHH983058 DXH983058:DXL983058 DNL983058:DNP983058 DDP983058:DDT983058 CTT983058:CTX983058 CJX983058:CKB983058 CAB983058:CAF983058 BQF983058:BQJ983058 BGJ983058:BGN983058 AWN983058:AWR983058 AMR983058:AMV983058 ACV983058:ACZ983058 SZ983058:TD983058 JD983058:JH983058 WVP917522:WVT917522 WLT917522:WLX917522 WBX917522:WCB917522 VSB917522:VSF917522 VIF917522:VIJ917522 UYJ917522:UYN917522 UON917522:UOR917522 UER917522:UEV917522 TUV917522:TUZ917522 TKZ917522:TLD917522 TBD917522:TBH917522 SRH917522:SRL917522 SHL917522:SHP917522 RXP917522:RXT917522 RNT917522:RNX917522 RDX917522:REB917522 QUB917522:QUF917522 QKF917522:QKJ917522 QAJ917522:QAN917522 PQN917522:PQR917522 PGR917522:PGV917522 OWV917522:OWZ917522 OMZ917522:OND917522 ODD917522:ODH917522 NTH917522:NTL917522 NJL917522:NJP917522 MZP917522:MZT917522 MPT917522:MPX917522 MFX917522:MGB917522 LWB917522:LWF917522 LMF917522:LMJ917522 LCJ917522:LCN917522 KSN917522:KSR917522 KIR917522:KIV917522 JYV917522:JYZ917522 JOZ917522:JPD917522 JFD917522:JFH917522 IVH917522:IVL917522 ILL917522:ILP917522 IBP917522:IBT917522 HRT917522:HRX917522 HHX917522:HIB917522 GYB917522:GYF917522 GOF917522:GOJ917522 GEJ917522:GEN917522 FUN917522:FUR917522 FKR917522:FKV917522 FAV917522:FAZ917522 EQZ917522:ERD917522 EHD917522:EHH917522 DXH917522:DXL917522 DNL917522:DNP917522 DDP917522:DDT917522 CTT917522:CTX917522 CJX917522:CKB917522 CAB917522:CAF917522 BQF917522:BQJ917522 BGJ917522:BGN917522 AWN917522:AWR917522 AMR917522:AMV917522 ACV917522:ACZ917522 SZ917522:TD917522 JD917522:JH917522 WVP851986:WVT851986 WLT851986:WLX851986 WBX851986:WCB851986 VSB851986:VSF851986 VIF851986:VIJ851986 UYJ851986:UYN851986 UON851986:UOR851986 UER851986:UEV851986 TUV851986:TUZ851986 TKZ851986:TLD851986 TBD851986:TBH851986 SRH851986:SRL851986 SHL851986:SHP851986 RXP851986:RXT851986 RNT851986:RNX851986 RDX851986:REB851986 QUB851986:QUF851986 QKF851986:QKJ851986 QAJ851986:QAN851986 PQN851986:PQR851986 PGR851986:PGV851986 OWV851986:OWZ851986 OMZ851986:OND851986 ODD851986:ODH851986 NTH851986:NTL851986 NJL851986:NJP851986 MZP851986:MZT851986 MPT851986:MPX851986 MFX851986:MGB851986 LWB851986:LWF851986 LMF851986:LMJ851986 LCJ851986:LCN851986 KSN851986:KSR851986 KIR851986:KIV851986 JYV851986:JYZ851986 JOZ851986:JPD851986 JFD851986:JFH851986 IVH851986:IVL851986 ILL851986:ILP851986 IBP851986:IBT851986 HRT851986:HRX851986 HHX851986:HIB851986 GYB851986:GYF851986 GOF851986:GOJ851986 GEJ851986:GEN851986 FUN851986:FUR851986 FKR851986:FKV851986 FAV851986:FAZ851986 EQZ851986:ERD851986 EHD851986:EHH851986 DXH851986:DXL851986 DNL851986:DNP851986 DDP851986:DDT851986 CTT851986:CTX851986 CJX851986:CKB851986 CAB851986:CAF851986 BQF851986:BQJ851986 BGJ851986:BGN851986 AWN851986:AWR851986 AMR851986:AMV851986 ACV851986:ACZ851986 SZ851986:TD851986 JD851986:JH851986 WVP786450:WVT786450 WLT786450:WLX786450 WBX786450:WCB786450 VSB786450:VSF786450 VIF786450:VIJ786450 UYJ786450:UYN786450 UON786450:UOR786450 UER786450:UEV786450 TUV786450:TUZ786450 TKZ786450:TLD786450 TBD786450:TBH786450 SRH786450:SRL786450 SHL786450:SHP786450 RXP786450:RXT786450 RNT786450:RNX786450 RDX786450:REB786450 QUB786450:QUF786450 QKF786450:QKJ786450 QAJ786450:QAN786450 PQN786450:PQR786450 PGR786450:PGV786450 OWV786450:OWZ786450 OMZ786450:OND786450 ODD786450:ODH786450 NTH786450:NTL786450 NJL786450:NJP786450 MZP786450:MZT786450 MPT786450:MPX786450 MFX786450:MGB786450 LWB786450:LWF786450 LMF786450:LMJ786450 LCJ786450:LCN786450 KSN786450:KSR786450 KIR786450:KIV786450 JYV786450:JYZ786450 JOZ786450:JPD786450 JFD786450:JFH786450 IVH786450:IVL786450 ILL786450:ILP786450 IBP786450:IBT786450 HRT786450:HRX786450 HHX786450:HIB786450 GYB786450:GYF786450 GOF786450:GOJ786450 GEJ786450:GEN786450 FUN786450:FUR786450 FKR786450:FKV786450 FAV786450:FAZ786450 EQZ786450:ERD786450 EHD786450:EHH786450 DXH786450:DXL786450 DNL786450:DNP786450 DDP786450:DDT786450 CTT786450:CTX786450 CJX786450:CKB786450 CAB786450:CAF786450 BQF786450:BQJ786450 BGJ786450:BGN786450 AWN786450:AWR786450 AMR786450:AMV786450 ACV786450:ACZ786450 SZ786450:TD786450 JD786450:JH786450 WVP720914:WVT720914 WLT720914:WLX720914 WBX720914:WCB720914 VSB720914:VSF720914 VIF720914:VIJ720914 UYJ720914:UYN720914 UON720914:UOR720914 UER720914:UEV720914 TUV720914:TUZ720914 TKZ720914:TLD720914 TBD720914:TBH720914 SRH720914:SRL720914 SHL720914:SHP720914 RXP720914:RXT720914 RNT720914:RNX720914 RDX720914:REB720914 QUB720914:QUF720914 QKF720914:QKJ720914 QAJ720914:QAN720914 PQN720914:PQR720914 PGR720914:PGV720914 OWV720914:OWZ720914 OMZ720914:OND720914 ODD720914:ODH720914 NTH720914:NTL720914 NJL720914:NJP720914 MZP720914:MZT720914 MPT720914:MPX720914 MFX720914:MGB720914 LWB720914:LWF720914 LMF720914:LMJ720914 LCJ720914:LCN720914 KSN720914:KSR720914 KIR720914:KIV720914 JYV720914:JYZ720914 JOZ720914:JPD720914 JFD720914:JFH720914 IVH720914:IVL720914 ILL720914:ILP720914 IBP720914:IBT720914 HRT720914:HRX720914 HHX720914:HIB720914 GYB720914:GYF720914 GOF720914:GOJ720914 GEJ720914:GEN720914 FUN720914:FUR720914 FKR720914:FKV720914 FAV720914:FAZ720914 EQZ720914:ERD720914 EHD720914:EHH720914 DXH720914:DXL720914 DNL720914:DNP720914 DDP720914:DDT720914 CTT720914:CTX720914 CJX720914:CKB720914 CAB720914:CAF720914 BQF720914:BQJ720914 BGJ720914:BGN720914 AWN720914:AWR720914 AMR720914:AMV720914 ACV720914:ACZ720914 SZ720914:TD720914 JD720914:JH720914 WVP655378:WVT655378 WLT655378:WLX655378 WBX655378:WCB655378 VSB655378:VSF655378 VIF655378:VIJ655378 UYJ655378:UYN655378 UON655378:UOR655378 UER655378:UEV655378 TUV655378:TUZ655378 TKZ655378:TLD655378 TBD655378:TBH655378 SRH655378:SRL655378 SHL655378:SHP655378 RXP655378:RXT655378 RNT655378:RNX655378 RDX655378:REB655378 QUB655378:QUF655378 QKF655378:QKJ655378 QAJ655378:QAN655378 PQN655378:PQR655378 PGR655378:PGV655378 OWV655378:OWZ655378 OMZ655378:OND655378 ODD655378:ODH655378 NTH655378:NTL655378 NJL655378:NJP655378 MZP655378:MZT655378 MPT655378:MPX655378 MFX655378:MGB655378 LWB655378:LWF655378 LMF655378:LMJ655378 LCJ655378:LCN655378 KSN655378:KSR655378 KIR655378:KIV655378 JYV655378:JYZ655378 JOZ655378:JPD655378 JFD655378:JFH655378 IVH655378:IVL655378 ILL655378:ILP655378 IBP655378:IBT655378 HRT655378:HRX655378 HHX655378:HIB655378 GYB655378:GYF655378 GOF655378:GOJ655378 GEJ655378:GEN655378 FUN655378:FUR655378 FKR655378:FKV655378 FAV655378:FAZ655378 EQZ655378:ERD655378 EHD655378:EHH655378 DXH655378:DXL655378 DNL655378:DNP655378 DDP655378:DDT655378 CTT655378:CTX655378 CJX655378:CKB655378 CAB655378:CAF655378 BQF655378:BQJ655378 BGJ655378:BGN655378 AWN655378:AWR655378 AMR655378:AMV655378 ACV655378:ACZ655378 SZ655378:TD655378 JD655378:JH655378 WVP589842:WVT589842 WLT589842:WLX589842 WBX589842:WCB589842 VSB589842:VSF589842 VIF589842:VIJ589842 UYJ589842:UYN589842 UON589842:UOR589842 UER589842:UEV589842 TUV589842:TUZ589842 TKZ589842:TLD589842 TBD589842:TBH589842 SRH589842:SRL589842 SHL589842:SHP589842 RXP589842:RXT589842 RNT589842:RNX589842 RDX589842:REB589842 QUB589842:QUF589842 QKF589842:QKJ589842 QAJ589842:QAN589842 PQN589842:PQR589842 PGR589842:PGV589842 OWV589842:OWZ589842 OMZ589842:OND589842 ODD589842:ODH589842 NTH589842:NTL589842 NJL589842:NJP589842 MZP589842:MZT589842 MPT589842:MPX589842 MFX589842:MGB589842 LWB589842:LWF589842 LMF589842:LMJ589842 LCJ589842:LCN589842 KSN589842:KSR589842 KIR589842:KIV589842 JYV589842:JYZ589842 JOZ589842:JPD589842 JFD589842:JFH589842 IVH589842:IVL589842 ILL589842:ILP589842 IBP589842:IBT589842 HRT589842:HRX589842 HHX589842:HIB589842 GYB589842:GYF589842 GOF589842:GOJ589842 GEJ589842:GEN589842 FUN589842:FUR589842 FKR589842:FKV589842 FAV589842:FAZ589842 EQZ589842:ERD589842 EHD589842:EHH589842 DXH589842:DXL589842 DNL589842:DNP589842 DDP589842:DDT589842 CTT589842:CTX589842 CJX589842:CKB589842 CAB589842:CAF589842 BQF589842:BQJ589842 BGJ589842:BGN589842 AWN589842:AWR589842 AMR589842:AMV589842 ACV589842:ACZ589842 SZ589842:TD589842 JD589842:JH589842 WVP524306:WVT524306 WLT524306:WLX524306 WBX524306:WCB524306 VSB524306:VSF524306 VIF524306:VIJ524306 UYJ524306:UYN524306 UON524306:UOR524306 UER524306:UEV524306 TUV524306:TUZ524306 TKZ524306:TLD524306 TBD524306:TBH524306 SRH524306:SRL524306 SHL524306:SHP524306 RXP524306:RXT524306 RNT524306:RNX524306 RDX524306:REB524306 QUB524306:QUF524306 QKF524306:QKJ524306 QAJ524306:QAN524306 PQN524306:PQR524306 PGR524306:PGV524306 OWV524306:OWZ524306 OMZ524306:OND524306 ODD524306:ODH524306 NTH524306:NTL524306 NJL524306:NJP524306 MZP524306:MZT524306 MPT524306:MPX524306 MFX524306:MGB524306 LWB524306:LWF524306 LMF524306:LMJ524306 LCJ524306:LCN524306 KSN524306:KSR524306 KIR524306:KIV524306 JYV524306:JYZ524306 JOZ524306:JPD524306 JFD524306:JFH524306 IVH524306:IVL524306 ILL524306:ILP524306 IBP524306:IBT524306 HRT524306:HRX524306 HHX524306:HIB524306 GYB524306:GYF524306 GOF524306:GOJ524306 GEJ524306:GEN524306 FUN524306:FUR524306 FKR524306:FKV524306 FAV524306:FAZ524306 EQZ524306:ERD524306 EHD524306:EHH524306 DXH524306:DXL524306 DNL524306:DNP524306 DDP524306:DDT524306 CTT524306:CTX524306 CJX524306:CKB524306 CAB524306:CAF524306 BQF524306:BQJ524306 BGJ524306:BGN524306 AWN524306:AWR524306 AMR524306:AMV524306 ACV524306:ACZ524306 SZ524306:TD524306 JD524306:JH524306 WVP458770:WVT458770 WLT458770:WLX458770 WBX458770:WCB458770 VSB458770:VSF458770 VIF458770:VIJ458770 UYJ458770:UYN458770 UON458770:UOR458770 UER458770:UEV458770 TUV458770:TUZ458770 TKZ458770:TLD458770 TBD458770:TBH458770 SRH458770:SRL458770 SHL458770:SHP458770 RXP458770:RXT458770 RNT458770:RNX458770 RDX458770:REB458770 QUB458770:QUF458770 QKF458770:QKJ458770 QAJ458770:QAN458770 PQN458770:PQR458770 PGR458770:PGV458770 OWV458770:OWZ458770 OMZ458770:OND458770 ODD458770:ODH458770 NTH458770:NTL458770 NJL458770:NJP458770 MZP458770:MZT458770 MPT458770:MPX458770 MFX458770:MGB458770 LWB458770:LWF458770 LMF458770:LMJ458770 LCJ458770:LCN458770 KSN458770:KSR458770 KIR458770:KIV458770 JYV458770:JYZ458770 JOZ458770:JPD458770 JFD458770:JFH458770 IVH458770:IVL458770 ILL458770:ILP458770 IBP458770:IBT458770 HRT458770:HRX458770 HHX458770:HIB458770 GYB458770:GYF458770 GOF458770:GOJ458770 GEJ458770:GEN458770 FUN458770:FUR458770 FKR458770:FKV458770 FAV458770:FAZ458770 EQZ458770:ERD458770 EHD458770:EHH458770 DXH458770:DXL458770 DNL458770:DNP458770 DDP458770:DDT458770 CTT458770:CTX458770 CJX458770:CKB458770 CAB458770:CAF458770 BQF458770:BQJ458770 BGJ458770:BGN458770 AWN458770:AWR458770 AMR458770:AMV458770 ACV458770:ACZ458770 SZ458770:TD458770 JD458770:JH458770 WVP393234:WVT393234 WLT393234:WLX393234 WBX393234:WCB393234 VSB393234:VSF393234 VIF393234:VIJ393234 UYJ393234:UYN393234 UON393234:UOR393234 UER393234:UEV393234 TUV393234:TUZ393234 TKZ393234:TLD393234 TBD393234:TBH393234 SRH393234:SRL393234 SHL393234:SHP393234 RXP393234:RXT393234 RNT393234:RNX393234 RDX393234:REB393234 QUB393234:QUF393234 QKF393234:QKJ393234 QAJ393234:QAN393234 PQN393234:PQR393234 PGR393234:PGV393234 OWV393234:OWZ393234 OMZ393234:OND393234 ODD393234:ODH393234 NTH393234:NTL393234 NJL393234:NJP393234 MZP393234:MZT393234 MPT393234:MPX393234 MFX393234:MGB393234 LWB393234:LWF393234 LMF393234:LMJ393234 LCJ393234:LCN393234 KSN393234:KSR393234 KIR393234:KIV393234 JYV393234:JYZ393234 JOZ393234:JPD393234 JFD393234:JFH393234 IVH393234:IVL393234 ILL393234:ILP393234 IBP393234:IBT393234 HRT393234:HRX393234 HHX393234:HIB393234 GYB393234:GYF393234 GOF393234:GOJ393234 GEJ393234:GEN393234 FUN393234:FUR393234 FKR393234:FKV393234 FAV393234:FAZ393234 EQZ393234:ERD393234 EHD393234:EHH393234 DXH393234:DXL393234 DNL393234:DNP393234 DDP393234:DDT393234 CTT393234:CTX393234 CJX393234:CKB393234 CAB393234:CAF393234 BQF393234:BQJ393234 BGJ393234:BGN393234 AWN393234:AWR393234 AMR393234:AMV393234 ACV393234:ACZ393234 SZ393234:TD393234 JD393234:JH393234 WVP327698:WVT327698 WLT327698:WLX327698 WBX327698:WCB327698 VSB327698:VSF327698 VIF327698:VIJ327698 UYJ327698:UYN327698 UON327698:UOR327698 UER327698:UEV327698 TUV327698:TUZ327698 TKZ327698:TLD327698 TBD327698:TBH327698 SRH327698:SRL327698 SHL327698:SHP327698 RXP327698:RXT327698 RNT327698:RNX327698 RDX327698:REB327698 QUB327698:QUF327698 QKF327698:QKJ327698 QAJ327698:QAN327698 PQN327698:PQR327698 PGR327698:PGV327698 OWV327698:OWZ327698 OMZ327698:OND327698 ODD327698:ODH327698 NTH327698:NTL327698 NJL327698:NJP327698 MZP327698:MZT327698 MPT327698:MPX327698 MFX327698:MGB327698 LWB327698:LWF327698 LMF327698:LMJ327698 LCJ327698:LCN327698 KSN327698:KSR327698 KIR327698:KIV327698 JYV327698:JYZ327698 JOZ327698:JPD327698 JFD327698:JFH327698 IVH327698:IVL327698 ILL327698:ILP327698 IBP327698:IBT327698 HRT327698:HRX327698 HHX327698:HIB327698 GYB327698:GYF327698 GOF327698:GOJ327698 GEJ327698:GEN327698 FUN327698:FUR327698 FKR327698:FKV327698 FAV327698:FAZ327698 EQZ327698:ERD327698 EHD327698:EHH327698 DXH327698:DXL327698 DNL327698:DNP327698 DDP327698:DDT327698 CTT327698:CTX327698 CJX327698:CKB327698 CAB327698:CAF327698 BQF327698:BQJ327698 BGJ327698:BGN327698 AWN327698:AWR327698 AMR327698:AMV327698 ACV327698:ACZ327698 SZ327698:TD327698 JD327698:JH327698 WVP262162:WVT262162 WLT262162:WLX262162 WBX262162:WCB262162 VSB262162:VSF262162 VIF262162:VIJ262162 UYJ262162:UYN262162 UON262162:UOR262162 UER262162:UEV262162 TUV262162:TUZ262162 TKZ262162:TLD262162 TBD262162:TBH262162 SRH262162:SRL262162 SHL262162:SHP262162 RXP262162:RXT262162 RNT262162:RNX262162 RDX262162:REB262162 QUB262162:QUF262162 QKF262162:QKJ262162 QAJ262162:QAN262162 PQN262162:PQR262162 PGR262162:PGV262162 OWV262162:OWZ262162 OMZ262162:OND262162 ODD262162:ODH262162 NTH262162:NTL262162 NJL262162:NJP262162 MZP262162:MZT262162 MPT262162:MPX262162 MFX262162:MGB262162 LWB262162:LWF262162 LMF262162:LMJ262162 LCJ262162:LCN262162 KSN262162:KSR262162 KIR262162:KIV262162 JYV262162:JYZ262162 JOZ262162:JPD262162 JFD262162:JFH262162 IVH262162:IVL262162 ILL262162:ILP262162 IBP262162:IBT262162 HRT262162:HRX262162 HHX262162:HIB262162 GYB262162:GYF262162 GOF262162:GOJ262162 GEJ262162:GEN262162 FUN262162:FUR262162 FKR262162:FKV262162 FAV262162:FAZ262162 EQZ262162:ERD262162 EHD262162:EHH262162 DXH262162:DXL262162 DNL262162:DNP262162 DDP262162:DDT262162 CTT262162:CTX262162 CJX262162:CKB262162 CAB262162:CAF262162 BQF262162:BQJ262162 BGJ262162:BGN262162 AWN262162:AWR262162 AMR262162:AMV262162 ACV262162:ACZ262162 SZ262162:TD262162 JD262162:JH262162 WVP196626:WVT196626 WLT196626:WLX196626 WBX196626:WCB196626 VSB196626:VSF196626 VIF196626:VIJ196626 UYJ196626:UYN196626 UON196626:UOR196626 UER196626:UEV196626 TUV196626:TUZ196626 TKZ196626:TLD196626 TBD196626:TBH196626 SRH196626:SRL196626 SHL196626:SHP196626 RXP196626:RXT196626 RNT196626:RNX196626 RDX196626:REB196626 QUB196626:QUF196626 QKF196626:QKJ196626 QAJ196626:QAN196626 PQN196626:PQR196626 PGR196626:PGV196626 OWV196626:OWZ196626 OMZ196626:OND196626 ODD196626:ODH196626 NTH196626:NTL196626 NJL196626:NJP196626 MZP196626:MZT196626 MPT196626:MPX196626 MFX196626:MGB196626 LWB196626:LWF196626 LMF196626:LMJ196626 LCJ196626:LCN196626 KSN196626:KSR196626 KIR196626:KIV196626 JYV196626:JYZ196626 JOZ196626:JPD196626 JFD196626:JFH196626 IVH196626:IVL196626 ILL196626:ILP196626 IBP196626:IBT196626 HRT196626:HRX196626 HHX196626:HIB196626 GYB196626:GYF196626 GOF196626:GOJ196626 GEJ196626:GEN196626 FUN196626:FUR196626 FKR196626:FKV196626 FAV196626:FAZ196626 EQZ196626:ERD196626 EHD196626:EHH196626 DXH196626:DXL196626 DNL196626:DNP196626 DDP196626:DDT196626 CTT196626:CTX196626 CJX196626:CKB196626 CAB196626:CAF196626 BQF196626:BQJ196626 BGJ196626:BGN196626 AWN196626:AWR196626 AMR196626:AMV196626 ACV196626:ACZ196626 SZ196626:TD196626 JD196626:JH196626 WVP131090:WVT131090 WLT131090:WLX131090 WBX131090:WCB131090 VSB131090:VSF131090 VIF131090:VIJ131090 UYJ131090:UYN131090 UON131090:UOR131090 UER131090:UEV131090 TUV131090:TUZ131090 TKZ131090:TLD131090 TBD131090:TBH131090 SRH131090:SRL131090 SHL131090:SHP131090 RXP131090:RXT131090 RNT131090:RNX131090 RDX131090:REB131090 QUB131090:QUF131090 QKF131090:QKJ131090 QAJ131090:QAN131090 PQN131090:PQR131090 PGR131090:PGV131090 OWV131090:OWZ131090 OMZ131090:OND131090 ODD131090:ODH131090 NTH131090:NTL131090 NJL131090:NJP131090 MZP131090:MZT131090 MPT131090:MPX131090 MFX131090:MGB131090 LWB131090:LWF131090 LMF131090:LMJ131090 LCJ131090:LCN131090 KSN131090:KSR131090 KIR131090:KIV131090 JYV131090:JYZ131090 JOZ131090:JPD131090 JFD131090:JFH131090 IVH131090:IVL131090 ILL131090:ILP131090 IBP131090:IBT131090 HRT131090:HRX131090 HHX131090:HIB131090 GYB131090:GYF131090 GOF131090:GOJ131090 GEJ131090:GEN131090 FUN131090:FUR131090 FKR131090:FKV131090 FAV131090:FAZ131090 EQZ131090:ERD131090 EHD131090:EHH131090 DXH131090:DXL131090 DNL131090:DNP131090 DDP131090:DDT131090 CTT131090:CTX131090 CJX131090:CKB131090 CAB131090:CAF131090 BQF131090:BQJ131090 BGJ131090:BGN131090 AWN131090:AWR131090 AMR131090:AMV131090 ACV131090:ACZ131090 SZ131090:TD131090 JD131090:JH131090 WVP65554:WVT65554 WLT65554:WLX65554 WBX65554:WCB65554 VSB65554:VSF65554 VIF65554:VIJ65554 UYJ65554:UYN65554 UON65554:UOR65554 UER65554:UEV65554 TUV65554:TUZ65554 TKZ65554:TLD65554 TBD65554:TBH65554 SRH65554:SRL65554 SHL65554:SHP65554 RXP65554:RXT65554 RNT65554:RNX65554 RDX65554:REB65554 QUB65554:QUF65554 QKF65554:QKJ65554 QAJ65554:QAN65554 PQN65554:PQR65554 PGR65554:PGV65554 OWV65554:OWZ65554 OMZ65554:OND65554 ODD65554:ODH65554 NTH65554:NTL65554 NJL65554:NJP65554 MZP65554:MZT65554 MPT65554:MPX65554 MFX65554:MGB65554 LWB65554:LWF65554 LMF65554:LMJ65554 LCJ65554:LCN65554 KSN65554:KSR65554 KIR65554:KIV65554 JYV65554:JYZ65554 JOZ65554:JPD65554 JFD65554:JFH65554 IVH65554:IVL65554 ILL65554:ILP65554 IBP65554:IBT65554 HRT65554:HRX65554 HHX65554:HIB65554 GYB65554:GYF65554 GOF65554:GOJ65554 GEJ65554:GEN65554 FUN65554:FUR65554 FKR65554:FKV65554 FAV65554:FAZ65554 EQZ65554:ERD65554 EHD65554:EHH65554 DXH65554:DXL65554 DNL65554:DNP65554 DDP65554:DDT65554 CTT65554:CTX65554 CJX65554:CKB65554 CAB65554:CAF65554 BQF65554:BQJ65554 BGJ65554:BGN65554 AWN65554:AWR65554 AMR65554:AMV65554 ACV65554:ACZ65554 SZ65554:TD65554 JD65554:JH65554 JD16:JH16 WVP16:WVT16 WLT16:WLX16 WBX16:WCB16 VSB16:VSF16 VIF16:VIJ16 UYJ16:UYN16 UON16:UOR16 UER16:UEV16 TUV16:TUZ16 TKZ16:TLD16 TBD16:TBH16 SRH16:SRL16 SHL16:SHP16 RXP16:RXT16 RNT16:RNX16 RDX16:REB16 QUB16:QUF16 QKF16:QKJ16 QAJ16:QAN16 PQN16:PQR16 PGR16:PGV16 OWV16:OWZ16 OMZ16:OND16 ODD16:ODH16 NTH16:NTL16 NJL16:NJP16 MZP16:MZT16 MPT16:MPX16 MFX16:MGB16 LWB16:LWF16 LMF16:LMJ16 LCJ16:LCN16 KSN16:KSR16 KIR16:KIV16 JYV16:JYZ16 JOZ16:JPD16 JFD16:JFH16 IVH16:IVL16 ILL16:ILP16 IBP16:IBT16 HRT16:HRX16 HHX16:HIB16 GYB16:GYF16 GOF16:GOJ16 GEJ16:GEN16 FUN16:FUR16 FKR16:FKV16 FAV16:FAZ16 EQZ16:ERD16 EHD16:EHH16 DXH16:DXL16 DNL16:DNP16 DDP16:DDT16 CTT16:CTX16 CJX16:CKB16 CAB16:CAF16 BQF16:BQJ16 BGJ16:BGN16 AWN16:AWR16 AMR16:AMV16 ACV16:ACZ16 SZ16:TD16 E65554 E131090 E196626 E262162 E327698 E393234 E458770 E524306 E589842 E655378 E720914 E786450 E851986 E917522 E983058" xr:uid="{00000000-0002-0000-0400-000001000000}">
      <formula1>"Not Rated,Coverage Suspended,Rating Suspended,(remove)"</formula1>
    </dataValidation>
    <dataValidation type="list" allowBlank="1" showInputMessage="1" showErrorMessage="1" sqref="WVP983056:WVT983057 WLT983056:WLX983057 WBX983056:WCB983057 VSB983056:VSF983057 VIF983056:VIJ983057 UYJ983056:UYN983057 UON983056:UOR983057 UER983056:UEV983057 TUV983056:TUZ983057 TKZ983056:TLD983057 TBD983056:TBH983057 SRH983056:SRL983057 SHL983056:SHP983057 RXP983056:RXT983057 RNT983056:RNX983057 RDX983056:REB983057 QUB983056:QUF983057 QKF983056:QKJ983057 QAJ983056:QAN983057 PQN983056:PQR983057 PGR983056:PGV983057 OWV983056:OWZ983057 OMZ983056:OND983057 ODD983056:ODH983057 NTH983056:NTL983057 NJL983056:NJP983057 MZP983056:MZT983057 MPT983056:MPX983057 MFX983056:MGB983057 LWB983056:LWF983057 LMF983056:LMJ983057 LCJ983056:LCN983057 KSN983056:KSR983057 KIR983056:KIV983057 JYV983056:JYZ983057 JOZ983056:JPD983057 JFD983056:JFH983057 IVH983056:IVL983057 ILL983056:ILP983057 IBP983056:IBT983057 HRT983056:HRX983057 HHX983056:HIB983057 GYB983056:GYF983057 GOF983056:GOJ983057 GEJ983056:GEN983057 FUN983056:FUR983057 FKR983056:FKV983057 FAV983056:FAZ983057 EQZ983056:ERD983057 EHD983056:EHH983057 DXH983056:DXL983057 DNL983056:DNP983057 DDP983056:DDT983057 CTT983056:CTX983057 CJX983056:CKB983057 CAB983056:CAF983057 BQF983056:BQJ983057 BGJ983056:BGN983057 AWN983056:AWR983057 AMR983056:AMV983057 ACV983056:ACZ983057 SZ983056:TD983057 JD983056:JH983057 WVP917520:WVT917521 WLT917520:WLX917521 WBX917520:WCB917521 VSB917520:VSF917521 VIF917520:VIJ917521 UYJ917520:UYN917521 UON917520:UOR917521 UER917520:UEV917521 TUV917520:TUZ917521 TKZ917520:TLD917521 TBD917520:TBH917521 SRH917520:SRL917521 SHL917520:SHP917521 RXP917520:RXT917521 RNT917520:RNX917521 RDX917520:REB917521 QUB917520:QUF917521 QKF917520:QKJ917521 QAJ917520:QAN917521 PQN917520:PQR917521 PGR917520:PGV917521 OWV917520:OWZ917521 OMZ917520:OND917521 ODD917520:ODH917521 NTH917520:NTL917521 NJL917520:NJP917521 MZP917520:MZT917521 MPT917520:MPX917521 MFX917520:MGB917521 LWB917520:LWF917521 LMF917520:LMJ917521 LCJ917520:LCN917521 KSN917520:KSR917521 KIR917520:KIV917521 JYV917520:JYZ917521 JOZ917520:JPD917521 JFD917520:JFH917521 IVH917520:IVL917521 ILL917520:ILP917521 IBP917520:IBT917521 HRT917520:HRX917521 HHX917520:HIB917521 GYB917520:GYF917521 GOF917520:GOJ917521 GEJ917520:GEN917521 FUN917520:FUR917521 FKR917520:FKV917521 FAV917520:FAZ917521 EQZ917520:ERD917521 EHD917520:EHH917521 DXH917520:DXL917521 DNL917520:DNP917521 DDP917520:DDT917521 CTT917520:CTX917521 CJX917520:CKB917521 CAB917520:CAF917521 BQF917520:BQJ917521 BGJ917520:BGN917521 AWN917520:AWR917521 AMR917520:AMV917521 ACV917520:ACZ917521 SZ917520:TD917521 JD917520:JH917521 WVP851984:WVT851985 WLT851984:WLX851985 WBX851984:WCB851985 VSB851984:VSF851985 VIF851984:VIJ851985 UYJ851984:UYN851985 UON851984:UOR851985 UER851984:UEV851985 TUV851984:TUZ851985 TKZ851984:TLD851985 TBD851984:TBH851985 SRH851984:SRL851985 SHL851984:SHP851985 RXP851984:RXT851985 RNT851984:RNX851985 RDX851984:REB851985 QUB851984:QUF851985 QKF851984:QKJ851985 QAJ851984:QAN851985 PQN851984:PQR851985 PGR851984:PGV851985 OWV851984:OWZ851985 OMZ851984:OND851985 ODD851984:ODH851985 NTH851984:NTL851985 NJL851984:NJP851985 MZP851984:MZT851985 MPT851984:MPX851985 MFX851984:MGB851985 LWB851984:LWF851985 LMF851984:LMJ851985 LCJ851984:LCN851985 KSN851984:KSR851985 KIR851984:KIV851985 JYV851984:JYZ851985 JOZ851984:JPD851985 JFD851984:JFH851985 IVH851984:IVL851985 ILL851984:ILP851985 IBP851984:IBT851985 HRT851984:HRX851985 HHX851984:HIB851985 GYB851984:GYF851985 GOF851984:GOJ851985 GEJ851984:GEN851985 FUN851984:FUR851985 FKR851984:FKV851985 FAV851984:FAZ851985 EQZ851984:ERD851985 EHD851984:EHH851985 DXH851984:DXL851985 DNL851984:DNP851985 DDP851984:DDT851985 CTT851984:CTX851985 CJX851984:CKB851985 CAB851984:CAF851985 BQF851984:BQJ851985 BGJ851984:BGN851985 AWN851984:AWR851985 AMR851984:AMV851985 ACV851984:ACZ851985 SZ851984:TD851985 JD851984:JH851985 WVP786448:WVT786449 WLT786448:WLX786449 WBX786448:WCB786449 VSB786448:VSF786449 VIF786448:VIJ786449 UYJ786448:UYN786449 UON786448:UOR786449 UER786448:UEV786449 TUV786448:TUZ786449 TKZ786448:TLD786449 TBD786448:TBH786449 SRH786448:SRL786449 SHL786448:SHP786449 RXP786448:RXT786449 RNT786448:RNX786449 RDX786448:REB786449 QUB786448:QUF786449 QKF786448:QKJ786449 QAJ786448:QAN786449 PQN786448:PQR786449 PGR786448:PGV786449 OWV786448:OWZ786449 OMZ786448:OND786449 ODD786448:ODH786449 NTH786448:NTL786449 NJL786448:NJP786449 MZP786448:MZT786449 MPT786448:MPX786449 MFX786448:MGB786449 LWB786448:LWF786449 LMF786448:LMJ786449 LCJ786448:LCN786449 KSN786448:KSR786449 KIR786448:KIV786449 JYV786448:JYZ786449 JOZ786448:JPD786449 JFD786448:JFH786449 IVH786448:IVL786449 ILL786448:ILP786449 IBP786448:IBT786449 HRT786448:HRX786449 HHX786448:HIB786449 GYB786448:GYF786449 GOF786448:GOJ786449 GEJ786448:GEN786449 FUN786448:FUR786449 FKR786448:FKV786449 FAV786448:FAZ786449 EQZ786448:ERD786449 EHD786448:EHH786449 DXH786448:DXL786449 DNL786448:DNP786449 DDP786448:DDT786449 CTT786448:CTX786449 CJX786448:CKB786449 CAB786448:CAF786449 BQF786448:BQJ786449 BGJ786448:BGN786449 AWN786448:AWR786449 AMR786448:AMV786449 ACV786448:ACZ786449 SZ786448:TD786449 JD786448:JH786449 WVP720912:WVT720913 WLT720912:WLX720913 WBX720912:WCB720913 VSB720912:VSF720913 VIF720912:VIJ720913 UYJ720912:UYN720913 UON720912:UOR720913 UER720912:UEV720913 TUV720912:TUZ720913 TKZ720912:TLD720913 TBD720912:TBH720913 SRH720912:SRL720913 SHL720912:SHP720913 RXP720912:RXT720913 RNT720912:RNX720913 RDX720912:REB720913 QUB720912:QUF720913 QKF720912:QKJ720913 QAJ720912:QAN720913 PQN720912:PQR720913 PGR720912:PGV720913 OWV720912:OWZ720913 OMZ720912:OND720913 ODD720912:ODH720913 NTH720912:NTL720913 NJL720912:NJP720913 MZP720912:MZT720913 MPT720912:MPX720913 MFX720912:MGB720913 LWB720912:LWF720913 LMF720912:LMJ720913 LCJ720912:LCN720913 KSN720912:KSR720913 KIR720912:KIV720913 JYV720912:JYZ720913 JOZ720912:JPD720913 JFD720912:JFH720913 IVH720912:IVL720913 ILL720912:ILP720913 IBP720912:IBT720913 HRT720912:HRX720913 HHX720912:HIB720913 GYB720912:GYF720913 GOF720912:GOJ720913 GEJ720912:GEN720913 FUN720912:FUR720913 FKR720912:FKV720913 FAV720912:FAZ720913 EQZ720912:ERD720913 EHD720912:EHH720913 DXH720912:DXL720913 DNL720912:DNP720913 DDP720912:DDT720913 CTT720912:CTX720913 CJX720912:CKB720913 CAB720912:CAF720913 BQF720912:BQJ720913 BGJ720912:BGN720913 AWN720912:AWR720913 AMR720912:AMV720913 ACV720912:ACZ720913 SZ720912:TD720913 JD720912:JH720913 WVP655376:WVT655377 WLT655376:WLX655377 WBX655376:WCB655377 VSB655376:VSF655377 VIF655376:VIJ655377 UYJ655376:UYN655377 UON655376:UOR655377 UER655376:UEV655377 TUV655376:TUZ655377 TKZ655376:TLD655377 TBD655376:TBH655377 SRH655376:SRL655377 SHL655376:SHP655377 RXP655376:RXT655377 RNT655376:RNX655377 RDX655376:REB655377 QUB655376:QUF655377 QKF655376:QKJ655377 QAJ655376:QAN655377 PQN655376:PQR655377 PGR655376:PGV655377 OWV655376:OWZ655377 OMZ655376:OND655377 ODD655376:ODH655377 NTH655376:NTL655377 NJL655376:NJP655377 MZP655376:MZT655377 MPT655376:MPX655377 MFX655376:MGB655377 LWB655376:LWF655377 LMF655376:LMJ655377 LCJ655376:LCN655377 KSN655376:KSR655377 KIR655376:KIV655377 JYV655376:JYZ655377 JOZ655376:JPD655377 JFD655376:JFH655377 IVH655376:IVL655377 ILL655376:ILP655377 IBP655376:IBT655377 HRT655376:HRX655377 HHX655376:HIB655377 GYB655376:GYF655377 GOF655376:GOJ655377 GEJ655376:GEN655377 FUN655376:FUR655377 FKR655376:FKV655377 FAV655376:FAZ655377 EQZ655376:ERD655377 EHD655376:EHH655377 DXH655376:DXL655377 DNL655376:DNP655377 DDP655376:DDT655377 CTT655376:CTX655377 CJX655376:CKB655377 CAB655376:CAF655377 BQF655376:BQJ655377 BGJ655376:BGN655377 AWN655376:AWR655377 AMR655376:AMV655377 ACV655376:ACZ655377 SZ655376:TD655377 JD655376:JH655377 WVP589840:WVT589841 WLT589840:WLX589841 WBX589840:WCB589841 VSB589840:VSF589841 VIF589840:VIJ589841 UYJ589840:UYN589841 UON589840:UOR589841 UER589840:UEV589841 TUV589840:TUZ589841 TKZ589840:TLD589841 TBD589840:TBH589841 SRH589840:SRL589841 SHL589840:SHP589841 RXP589840:RXT589841 RNT589840:RNX589841 RDX589840:REB589841 QUB589840:QUF589841 QKF589840:QKJ589841 QAJ589840:QAN589841 PQN589840:PQR589841 PGR589840:PGV589841 OWV589840:OWZ589841 OMZ589840:OND589841 ODD589840:ODH589841 NTH589840:NTL589841 NJL589840:NJP589841 MZP589840:MZT589841 MPT589840:MPX589841 MFX589840:MGB589841 LWB589840:LWF589841 LMF589840:LMJ589841 LCJ589840:LCN589841 KSN589840:KSR589841 KIR589840:KIV589841 JYV589840:JYZ589841 JOZ589840:JPD589841 JFD589840:JFH589841 IVH589840:IVL589841 ILL589840:ILP589841 IBP589840:IBT589841 HRT589840:HRX589841 HHX589840:HIB589841 GYB589840:GYF589841 GOF589840:GOJ589841 GEJ589840:GEN589841 FUN589840:FUR589841 FKR589840:FKV589841 FAV589840:FAZ589841 EQZ589840:ERD589841 EHD589840:EHH589841 DXH589840:DXL589841 DNL589840:DNP589841 DDP589840:DDT589841 CTT589840:CTX589841 CJX589840:CKB589841 CAB589840:CAF589841 BQF589840:BQJ589841 BGJ589840:BGN589841 AWN589840:AWR589841 AMR589840:AMV589841 ACV589840:ACZ589841 SZ589840:TD589841 JD589840:JH589841 WVP524304:WVT524305 WLT524304:WLX524305 WBX524304:WCB524305 VSB524304:VSF524305 VIF524304:VIJ524305 UYJ524304:UYN524305 UON524304:UOR524305 UER524304:UEV524305 TUV524304:TUZ524305 TKZ524304:TLD524305 TBD524304:TBH524305 SRH524304:SRL524305 SHL524304:SHP524305 RXP524304:RXT524305 RNT524304:RNX524305 RDX524304:REB524305 QUB524304:QUF524305 QKF524304:QKJ524305 QAJ524304:QAN524305 PQN524304:PQR524305 PGR524304:PGV524305 OWV524304:OWZ524305 OMZ524304:OND524305 ODD524304:ODH524305 NTH524304:NTL524305 NJL524304:NJP524305 MZP524304:MZT524305 MPT524304:MPX524305 MFX524304:MGB524305 LWB524304:LWF524305 LMF524304:LMJ524305 LCJ524304:LCN524305 KSN524304:KSR524305 KIR524304:KIV524305 JYV524304:JYZ524305 JOZ524304:JPD524305 JFD524304:JFH524305 IVH524304:IVL524305 ILL524304:ILP524305 IBP524304:IBT524305 HRT524304:HRX524305 HHX524304:HIB524305 GYB524304:GYF524305 GOF524304:GOJ524305 GEJ524304:GEN524305 FUN524304:FUR524305 FKR524304:FKV524305 FAV524304:FAZ524305 EQZ524304:ERD524305 EHD524304:EHH524305 DXH524304:DXL524305 DNL524304:DNP524305 DDP524304:DDT524305 CTT524304:CTX524305 CJX524304:CKB524305 CAB524304:CAF524305 BQF524304:BQJ524305 BGJ524304:BGN524305 AWN524304:AWR524305 AMR524304:AMV524305 ACV524304:ACZ524305 SZ524304:TD524305 JD524304:JH524305 WVP458768:WVT458769 WLT458768:WLX458769 WBX458768:WCB458769 VSB458768:VSF458769 VIF458768:VIJ458769 UYJ458768:UYN458769 UON458768:UOR458769 UER458768:UEV458769 TUV458768:TUZ458769 TKZ458768:TLD458769 TBD458768:TBH458769 SRH458768:SRL458769 SHL458768:SHP458769 RXP458768:RXT458769 RNT458768:RNX458769 RDX458768:REB458769 QUB458768:QUF458769 QKF458768:QKJ458769 QAJ458768:QAN458769 PQN458768:PQR458769 PGR458768:PGV458769 OWV458768:OWZ458769 OMZ458768:OND458769 ODD458768:ODH458769 NTH458768:NTL458769 NJL458768:NJP458769 MZP458768:MZT458769 MPT458768:MPX458769 MFX458768:MGB458769 LWB458768:LWF458769 LMF458768:LMJ458769 LCJ458768:LCN458769 KSN458768:KSR458769 KIR458768:KIV458769 JYV458768:JYZ458769 JOZ458768:JPD458769 JFD458768:JFH458769 IVH458768:IVL458769 ILL458768:ILP458769 IBP458768:IBT458769 HRT458768:HRX458769 HHX458768:HIB458769 GYB458768:GYF458769 GOF458768:GOJ458769 GEJ458768:GEN458769 FUN458768:FUR458769 FKR458768:FKV458769 FAV458768:FAZ458769 EQZ458768:ERD458769 EHD458768:EHH458769 DXH458768:DXL458769 DNL458768:DNP458769 DDP458768:DDT458769 CTT458768:CTX458769 CJX458768:CKB458769 CAB458768:CAF458769 BQF458768:BQJ458769 BGJ458768:BGN458769 AWN458768:AWR458769 AMR458768:AMV458769 ACV458768:ACZ458769 SZ458768:TD458769 JD458768:JH458769 WVP393232:WVT393233 WLT393232:WLX393233 WBX393232:WCB393233 VSB393232:VSF393233 VIF393232:VIJ393233 UYJ393232:UYN393233 UON393232:UOR393233 UER393232:UEV393233 TUV393232:TUZ393233 TKZ393232:TLD393233 TBD393232:TBH393233 SRH393232:SRL393233 SHL393232:SHP393233 RXP393232:RXT393233 RNT393232:RNX393233 RDX393232:REB393233 QUB393232:QUF393233 QKF393232:QKJ393233 QAJ393232:QAN393233 PQN393232:PQR393233 PGR393232:PGV393233 OWV393232:OWZ393233 OMZ393232:OND393233 ODD393232:ODH393233 NTH393232:NTL393233 NJL393232:NJP393233 MZP393232:MZT393233 MPT393232:MPX393233 MFX393232:MGB393233 LWB393232:LWF393233 LMF393232:LMJ393233 LCJ393232:LCN393233 KSN393232:KSR393233 KIR393232:KIV393233 JYV393232:JYZ393233 JOZ393232:JPD393233 JFD393232:JFH393233 IVH393232:IVL393233 ILL393232:ILP393233 IBP393232:IBT393233 HRT393232:HRX393233 HHX393232:HIB393233 GYB393232:GYF393233 GOF393232:GOJ393233 GEJ393232:GEN393233 FUN393232:FUR393233 FKR393232:FKV393233 FAV393232:FAZ393233 EQZ393232:ERD393233 EHD393232:EHH393233 DXH393232:DXL393233 DNL393232:DNP393233 DDP393232:DDT393233 CTT393232:CTX393233 CJX393232:CKB393233 CAB393232:CAF393233 BQF393232:BQJ393233 BGJ393232:BGN393233 AWN393232:AWR393233 AMR393232:AMV393233 ACV393232:ACZ393233 SZ393232:TD393233 JD393232:JH393233 WVP327696:WVT327697 WLT327696:WLX327697 WBX327696:WCB327697 VSB327696:VSF327697 VIF327696:VIJ327697 UYJ327696:UYN327697 UON327696:UOR327697 UER327696:UEV327697 TUV327696:TUZ327697 TKZ327696:TLD327697 TBD327696:TBH327697 SRH327696:SRL327697 SHL327696:SHP327697 RXP327696:RXT327697 RNT327696:RNX327697 RDX327696:REB327697 QUB327696:QUF327697 QKF327696:QKJ327697 QAJ327696:QAN327697 PQN327696:PQR327697 PGR327696:PGV327697 OWV327696:OWZ327697 OMZ327696:OND327697 ODD327696:ODH327697 NTH327696:NTL327697 NJL327696:NJP327697 MZP327696:MZT327697 MPT327696:MPX327697 MFX327696:MGB327697 LWB327696:LWF327697 LMF327696:LMJ327697 LCJ327696:LCN327697 KSN327696:KSR327697 KIR327696:KIV327697 JYV327696:JYZ327697 JOZ327696:JPD327697 JFD327696:JFH327697 IVH327696:IVL327697 ILL327696:ILP327697 IBP327696:IBT327697 HRT327696:HRX327697 HHX327696:HIB327697 GYB327696:GYF327697 GOF327696:GOJ327697 GEJ327696:GEN327697 FUN327696:FUR327697 FKR327696:FKV327697 FAV327696:FAZ327697 EQZ327696:ERD327697 EHD327696:EHH327697 DXH327696:DXL327697 DNL327696:DNP327697 DDP327696:DDT327697 CTT327696:CTX327697 CJX327696:CKB327697 CAB327696:CAF327697 BQF327696:BQJ327697 BGJ327696:BGN327697 AWN327696:AWR327697 AMR327696:AMV327697 ACV327696:ACZ327697 SZ327696:TD327697 JD327696:JH327697 WVP262160:WVT262161 WLT262160:WLX262161 WBX262160:WCB262161 VSB262160:VSF262161 VIF262160:VIJ262161 UYJ262160:UYN262161 UON262160:UOR262161 UER262160:UEV262161 TUV262160:TUZ262161 TKZ262160:TLD262161 TBD262160:TBH262161 SRH262160:SRL262161 SHL262160:SHP262161 RXP262160:RXT262161 RNT262160:RNX262161 RDX262160:REB262161 QUB262160:QUF262161 QKF262160:QKJ262161 QAJ262160:QAN262161 PQN262160:PQR262161 PGR262160:PGV262161 OWV262160:OWZ262161 OMZ262160:OND262161 ODD262160:ODH262161 NTH262160:NTL262161 NJL262160:NJP262161 MZP262160:MZT262161 MPT262160:MPX262161 MFX262160:MGB262161 LWB262160:LWF262161 LMF262160:LMJ262161 LCJ262160:LCN262161 KSN262160:KSR262161 KIR262160:KIV262161 JYV262160:JYZ262161 JOZ262160:JPD262161 JFD262160:JFH262161 IVH262160:IVL262161 ILL262160:ILP262161 IBP262160:IBT262161 HRT262160:HRX262161 HHX262160:HIB262161 GYB262160:GYF262161 GOF262160:GOJ262161 GEJ262160:GEN262161 FUN262160:FUR262161 FKR262160:FKV262161 FAV262160:FAZ262161 EQZ262160:ERD262161 EHD262160:EHH262161 DXH262160:DXL262161 DNL262160:DNP262161 DDP262160:DDT262161 CTT262160:CTX262161 CJX262160:CKB262161 CAB262160:CAF262161 BQF262160:BQJ262161 BGJ262160:BGN262161 AWN262160:AWR262161 AMR262160:AMV262161 ACV262160:ACZ262161 SZ262160:TD262161 JD262160:JH262161 WVP196624:WVT196625 WLT196624:WLX196625 WBX196624:WCB196625 VSB196624:VSF196625 VIF196624:VIJ196625 UYJ196624:UYN196625 UON196624:UOR196625 UER196624:UEV196625 TUV196624:TUZ196625 TKZ196624:TLD196625 TBD196624:TBH196625 SRH196624:SRL196625 SHL196624:SHP196625 RXP196624:RXT196625 RNT196624:RNX196625 RDX196624:REB196625 QUB196624:QUF196625 QKF196624:QKJ196625 QAJ196624:QAN196625 PQN196624:PQR196625 PGR196624:PGV196625 OWV196624:OWZ196625 OMZ196624:OND196625 ODD196624:ODH196625 NTH196624:NTL196625 NJL196624:NJP196625 MZP196624:MZT196625 MPT196624:MPX196625 MFX196624:MGB196625 LWB196624:LWF196625 LMF196624:LMJ196625 LCJ196624:LCN196625 KSN196624:KSR196625 KIR196624:KIV196625 JYV196624:JYZ196625 JOZ196624:JPD196625 JFD196624:JFH196625 IVH196624:IVL196625 ILL196624:ILP196625 IBP196624:IBT196625 HRT196624:HRX196625 HHX196624:HIB196625 GYB196624:GYF196625 GOF196624:GOJ196625 GEJ196624:GEN196625 FUN196624:FUR196625 FKR196624:FKV196625 FAV196624:FAZ196625 EQZ196624:ERD196625 EHD196624:EHH196625 DXH196624:DXL196625 DNL196624:DNP196625 DDP196624:DDT196625 CTT196624:CTX196625 CJX196624:CKB196625 CAB196624:CAF196625 BQF196624:BQJ196625 BGJ196624:BGN196625 AWN196624:AWR196625 AMR196624:AMV196625 ACV196624:ACZ196625 SZ196624:TD196625 JD196624:JH196625 WVP131088:WVT131089 WLT131088:WLX131089 WBX131088:WCB131089 VSB131088:VSF131089 VIF131088:VIJ131089 UYJ131088:UYN131089 UON131088:UOR131089 UER131088:UEV131089 TUV131088:TUZ131089 TKZ131088:TLD131089 TBD131088:TBH131089 SRH131088:SRL131089 SHL131088:SHP131089 RXP131088:RXT131089 RNT131088:RNX131089 RDX131088:REB131089 QUB131088:QUF131089 QKF131088:QKJ131089 QAJ131088:QAN131089 PQN131088:PQR131089 PGR131088:PGV131089 OWV131088:OWZ131089 OMZ131088:OND131089 ODD131088:ODH131089 NTH131088:NTL131089 NJL131088:NJP131089 MZP131088:MZT131089 MPT131088:MPX131089 MFX131088:MGB131089 LWB131088:LWF131089 LMF131088:LMJ131089 LCJ131088:LCN131089 KSN131088:KSR131089 KIR131088:KIV131089 JYV131088:JYZ131089 JOZ131088:JPD131089 JFD131088:JFH131089 IVH131088:IVL131089 ILL131088:ILP131089 IBP131088:IBT131089 HRT131088:HRX131089 HHX131088:HIB131089 GYB131088:GYF131089 GOF131088:GOJ131089 GEJ131088:GEN131089 FUN131088:FUR131089 FKR131088:FKV131089 FAV131088:FAZ131089 EQZ131088:ERD131089 EHD131088:EHH131089 DXH131088:DXL131089 DNL131088:DNP131089 DDP131088:DDT131089 CTT131088:CTX131089 CJX131088:CKB131089 CAB131088:CAF131089 BQF131088:BQJ131089 BGJ131088:BGN131089 AWN131088:AWR131089 AMR131088:AMV131089 ACV131088:ACZ131089 SZ131088:TD131089 JD131088:JH131089 WVP65552:WVT65553 WLT65552:WLX65553 WBX65552:WCB65553 VSB65552:VSF65553 VIF65552:VIJ65553 UYJ65552:UYN65553 UON65552:UOR65553 UER65552:UEV65553 TUV65552:TUZ65553 TKZ65552:TLD65553 TBD65552:TBH65553 SRH65552:SRL65553 SHL65552:SHP65553 RXP65552:RXT65553 RNT65552:RNX65553 RDX65552:REB65553 QUB65552:QUF65553 QKF65552:QKJ65553 QAJ65552:QAN65553 PQN65552:PQR65553 PGR65552:PGV65553 OWV65552:OWZ65553 OMZ65552:OND65553 ODD65552:ODH65553 NTH65552:NTL65553 NJL65552:NJP65553 MZP65552:MZT65553 MPT65552:MPX65553 MFX65552:MGB65553 LWB65552:LWF65553 LMF65552:LMJ65553 LCJ65552:LCN65553 KSN65552:KSR65553 KIR65552:KIV65553 JYV65552:JYZ65553 JOZ65552:JPD65553 JFD65552:JFH65553 IVH65552:IVL65553 ILL65552:ILP65553 IBP65552:IBT65553 HRT65552:HRX65553 HHX65552:HIB65553 GYB65552:GYF65553 GOF65552:GOJ65553 GEJ65552:GEN65553 FUN65552:FUR65553 FKR65552:FKV65553 FAV65552:FAZ65553 EQZ65552:ERD65553 EHD65552:EHH65553 DXH65552:DXL65553 DNL65552:DNP65553 DDP65552:DDT65553 CTT65552:CTX65553 CJX65552:CKB65553 CAB65552:CAF65553 BQF65552:BQJ65553 BGJ65552:BGN65553 AWN65552:AWR65553 AMR65552:AMV65553 ACV65552:ACZ65553 SZ65552:TD65553 JD65552:JH65553 JD14:JH15 WVP14:WVT15 WLT14:WLX15 WBX14:WCB15 VSB14:VSF15 VIF14:VIJ15 UYJ14:UYN15 UON14:UOR15 UER14:UEV15 TUV14:TUZ15 TKZ14:TLD15 TBD14:TBH15 SRH14:SRL15 SHL14:SHP15 RXP14:RXT15 RNT14:RNX15 RDX14:REB15 QUB14:QUF15 QKF14:QKJ15 QAJ14:QAN15 PQN14:PQR15 PGR14:PGV15 OWV14:OWZ15 OMZ14:OND15 ODD14:ODH15 NTH14:NTL15 NJL14:NJP15 MZP14:MZT15 MPT14:MPX15 MFX14:MGB15 LWB14:LWF15 LMF14:LMJ15 LCJ14:LCN15 KSN14:KSR15 KIR14:KIV15 JYV14:JYZ15 JOZ14:JPD15 JFD14:JFH15 IVH14:IVL15 ILL14:ILP15 IBP14:IBT15 HRT14:HRX15 HHX14:HIB15 GYB14:GYF15 GOF14:GOJ15 GEJ14:GEN15 FUN14:FUR15 FKR14:FKV15 FAV14:FAZ15 EQZ14:ERD15 EHD14:EHH15 DXH14:DXL15 DNL14:DNP15 DDP14:DDT15 CTT14:CTX15 CJX14:CKB15 CAB14:CAF15 BQF14:BQJ15 BGJ14:BGN15 AWN14:AWR15 AMR14:AMV15 ACV14:ACZ15 SZ14:TD15 E65552:E65553 E131088:E131089 E196624:E196625 E262160:E262161 E327696:E327697 E393232:E393233 E458768:E458769 E524304:E524305 E589840:E589841 E655376:E655377 E720912:E720913 E786448:E786449 E851984:E851985 E917520:E917521 E983056:E983057" xr:uid="{00000000-0002-0000-0400-000002000000}">
      <formula1>"Buy,Sell,(remove)"</formula1>
    </dataValidation>
  </dataValidations>
  <pageMargins left="0.7" right="0.7" top="0.75" bottom="0.75" header="0.3" footer="0.3"/>
  <pageSetup orientation="portrait" horizontalDpi="4294967295" verticalDpi="4294967295" r:id="rId1"/>
  <headerFooter alignWithMargins="0"/>
  <customProperties>
    <customPr name="Password" r:id="rId2"/>
    <customPr name="Qube.Worksheet.Visibility" r:id="rId3"/>
    <customPr name="SHEET_UNIQUE_ID" r:id="rId4"/>
  </customProperties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pageSetUpPr fitToPage="1"/>
  </sheetPr>
  <dimension ref="A1:AU158"/>
  <sheetViews>
    <sheetView zoomScale="110" zoomScaleNormal="110" zoomScaleSheetLayoutView="100" workbookViewId="0">
      <pane ySplit="11" topLeftCell="A12" activePane="bottomLeft" state="frozen"/>
      <selection pane="bottomLeft" activeCell="C30" sqref="C30"/>
    </sheetView>
  </sheetViews>
  <sheetFormatPr defaultColWidth="10.75" defaultRowHeight="12"/>
  <cols>
    <col min="1" max="1" width="4" style="1" customWidth="1"/>
    <col min="2" max="2" width="27.375" style="19" customWidth="1"/>
    <col min="3" max="5" width="10.75" style="19" customWidth="1"/>
    <col min="6" max="10" width="10.75" style="19"/>
    <col min="11" max="12" width="10.75" style="19" customWidth="1"/>
    <col min="13" max="16384" width="10.75" style="19"/>
  </cols>
  <sheetData>
    <row r="1" spans="1:47">
      <c r="A1" s="19"/>
    </row>
    <row r="2" spans="1:47">
      <c r="A2" s="1" t="s">
        <v>1119</v>
      </c>
      <c r="B2" s="72" t="s">
        <v>296</v>
      </c>
      <c r="C2" s="73" t="s">
        <v>2599</v>
      </c>
      <c r="D2" s="74"/>
      <c r="E2" s="74" t="s">
        <v>297</v>
      </c>
      <c r="F2" s="74"/>
      <c r="G2" s="119">
        <f>VLOOKUP($A2,[1]Sheet1!$2:$336,MATCH("Current",[1]Sheet1!$2:$2,0),FALSE)</f>
        <v>46265</v>
      </c>
      <c r="AU2" s="19" t="s">
        <v>1073</v>
      </c>
    </row>
    <row r="3" spans="1:47">
      <c r="B3" s="75" t="s">
        <v>298</v>
      </c>
      <c r="C3" s="76" t="str">
        <f>C2&amp;" AU"</f>
        <v>JDO AU</v>
      </c>
      <c r="D3" s="77"/>
      <c r="E3" s="77" t="s">
        <v>203</v>
      </c>
      <c r="F3" s="77"/>
      <c r="G3" s="78" t="str">
        <f>INDEX(Model!$CT$1:$KF$1,MATCH(MAX(Model!$CT$3:$KF$3),Model!$CT$3:$KF$3,0))</f>
        <v>FY34E</v>
      </c>
      <c r="AU3" s="19" t="s">
        <v>567</v>
      </c>
    </row>
    <row r="4" spans="1:47">
      <c r="A4" s="1" t="s">
        <v>1120</v>
      </c>
      <c r="B4" s="75" t="s">
        <v>204</v>
      </c>
      <c r="C4" s="76" t="str">
        <f>C2&amp;".AX"</f>
        <v>JDO.AX</v>
      </c>
      <c r="D4" s="77"/>
      <c r="E4" s="77" t="s">
        <v>205</v>
      </c>
      <c r="F4" s="77"/>
      <c r="G4" s="120">
        <f>VLOOKUP($A4,[1]Sheet1!$2:$336,MATCH("Current",[1]Sheet1!$2:$2,0),FALSE)</f>
        <v>2.5000000000000001E-2</v>
      </c>
      <c r="AU4" s="19" t="s">
        <v>1074</v>
      </c>
    </row>
    <row r="5" spans="1:47">
      <c r="A5" s="1" t="s">
        <v>1121</v>
      </c>
      <c r="B5" s="75" t="s">
        <v>128</v>
      </c>
      <c r="C5" s="79" cm="1">
        <f t="array" ref="C5">[2]!IRESSRtd("Quote", "13", "0", "JDO.ASX")/100</f>
        <v>1.895</v>
      </c>
      <c r="D5" s="77"/>
      <c r="E5" s="77" t="s">
        <v>129</v>
      </c>
      <c r="F5" s="77"/>
      <c r="G5" s="120">
        <f>VLOOKUP($A5,[1]Sheet1!$2:$336,MATCH("Current",[1]Sheet1!$2:$2,0),FALSE)</f>
        <v>3.5000000000000003E-2</v>
      </c>
    </row>
    <row r="6" spans="1:47">
      <c r="A6" s="1" t="s">
        <v>1122</v>
      </c>
      <c r="B6" s="75" t="s">
        <v>293</v>
      </c>
      <c r="C6" s="682" cm="1">
        <f t="array" ref="C6">[2]!IRESSRtd("Quote", "15", "0", "JDO.ASX")/1000000</f>
        <v>2124.4124900000002</v>
      </c>
      <c r="D6" s="77"/>
      <c r="E6" s="77" t="s">
        <v>230</v>
      </c>
      <c r="F6" s="77"/>
      <c r="G6" s="120">
        <f>VLOOKUP($A6,[1]Sheet1!$2:$336,MATCH("Current",[1]Sheet1!$2:$2,0),FALSE)</f>
        <v>0.06</v>
      </c>
    </row>
    <row r="7" spans="1:47">
      <c r="A7" s="1" t="s">
        <v>1123</v>
      </c>
      <c r="B7" s="75" t="s">
        <v>1075</v>
      </c>
      <c r="C7" s="80" t="s">
        <v>1073</v>
      </c>
      <c r="D7" s="77"/>
      <c r="E7" s="77" t="s">
        <v>231</v>
      </c>
      <c r="F7" s="77"/>
      <c r="G7" s="434">
        <v>1.2</v>
      </c>
    </row>
    <row r="8" spans="1:47">
      <c r="B8" s="75" t="s">
        <v>232</v>
      </c>
      <c r="C8" s="81">
        <f ca="1">TODAY()</f>
        <v>46071</v>
      </c>
      <c r="D8" s="77"/>
      <c r="E8" s="77" t="s">
        <v>233</v>
      </c>
      <c r="F8" s="77"/>
      <c r="G8" s="82">
        <f>G5+G7*G6</f>
        <v>0.107</v>
      </c>
    </row>
    <row r="9" spans="1:47">
      <c r="B9" s="75" t="s">
        <v>234</v>
      </c>
      <c r="C9" s="81">
        <f>HLOOKUP("A",Model!$C$2:$BR$3,2)</f>
        <v>46022</v>
      </c>
      <c r="D9" s="77"/>
      <c r="E9" s="77" t="str">
        <f>"Valuation as at "&amp;TEXT($G$2,"DD-MMM-YY")</f>
        <v>Valuation as at 31-Aug-26</v>
      </c>
      <c r="F9" s="77"/>
      <c r="G9" s="163">
        <f ca="1">$C$153</f>
        <v>2.1845499990329853</v>
      </c>
    </row>
    <row r="10" spans="1:47">
      <c r="B10" s="83" t="s">
        <v>235</v>
      </c>
      <c r="C10" s="84">
        <f ca="1">HLOOKUP(EOMONTH($C$8,11),Model!$BS$3:$DU$3,1)</f>
        <v>46203</v>
      </c>
      <c r="D10" s="85"/>
      <c r="E10" s="85" t="str">
        <f>"Price target as at "&amp;TEXT($G$2,"DD-MMM-YY")</f>
        <v>Price target as at 31-Aug-26</v>
      </c>
      <c r="F10" s="86"/>
      <c r="G10" s="164">
        <v>2.1845499990329853</v>
      </c>
    </row>
    <row r="11" spans="1:47">
      <c r="G11" s="407"/>
    </row>
    <row r="12" spans="1:47" ht="12" customHeight="1">
      <c r="A12" s="116"/>
      <c r="B12" s="2" t="s">
        <v>1076</v>
      </c>
      <c r="C12" s="87"/>
      <c r="D12" s="87"/>
      <c r="E12" s="87"/>
      <c r="F12" s="87"/>
      <c r="G12" s="87"/>
      <c r="H12" s="87"/>
      <c r="I12" s="87"/>
      <c r="J12" s="87"/>
      <c r="K12" s="87"/>
      <c r="L12" s="87"/>
    </row>
    <row r="13" spans="1:47" ht="12" customHeight="1">
      <c r="A13"/>
    </row>
    <row r="14" spans="1:47">
      <c r="A14" s="1" t="e">
        <f ca="1">INDEX(Model!$BS$1:$CS$1,MATCH(C14,Model!$BS$1:$CS$1,0)-1)</f>
        <v>#N/A</v>
      </c>
      <c r="B14" s="6" t="s">
        <v>1077</v>
      </c>
      <c r="C14" s="11" t="str">
        <f ca="1">INDEX(Model!$BS$1:$DQ$1,MATCH(D14,Model!$BS$1:$DQ$1,0)-1)</f>
        <v>FY24A</v>
      </c>
      <c r="D14" s="11" t="str">
        <f ca="1">INDEX(Model!$BS$1:$DQ$1,MATCH(E14,Model!$BS$1:$DQ$1,0)-1)</f>
        <v>FY25A</v>
      </c>
      <c r="E14" s="11" t="str">
        <f ca="1">INDEX(Model!$BS$1:$DC$1,MATCH($C$10,Model!$BS$3:$DC$3,0))</f>
        <v>FY26E</v>
      </c>
      <c r="F14" s="11" t="str">
        <f ca="1">INDEX(Model!$BS$1:$DQ$1,MATCH(E14,Model!$BS$1:$DQ$1,0)+1)</f>
        <v>FY27E</v>
      </c>
      <c r="G14" s="11" t="str">
        <f ca="1">INDEX(Model!$BS$1:$DQ$1,MATCH(F14,Model!$BS$1:$DQ$1,0)+1)</f>
        <v>FY28E</v>
      </c>
      <c r="H14" s="60" t="str">
        <f>INDEX(Model!$C$1:$BR$1,MATCH(I14,Model!$C$1:$BR$1,0)-1)</f>
        <v>1H25A</v>
      </c>
      <c r="I14" s="11" t="str">
        <f>INDEX(Model!$C$1:$BR$1,MATCH(J14,Model!$C$1:$BR$1,0)-1)</f>
        <v>2H25A</v>
      </c>
      <c r="J14" s="11" t="str">
        <f>INDEX(Model!$C$1:$BR$1,MATCH(K14,Model!$C$1:$BR$1,0)-1)</f>
        <v>1H26A</v>
      </c>
      <c r="K14" s="11" t="str">
        <f>INDEX(Model!$C$1:$BR$1,MATCH(L14,Model!$C$1:$BR$1,0)-1)</f>
        <v>2H26E</v>
      </c>
      <c r="L14" s="11" t="str">
        <f>INDEX(Model!$C$1:$BR$1,MATCH($C$9,Model!$C$3:$BR$3,0)+2)</f>
        <v>1H27E</v>
      </c>
    </row>
    <row r="15" spans="1:47">
      <c r="A15" s="1" t="s">
        <v>980</v>
      </c>
      <c r="B15" s="19" t="s">
        <v>1078</v>
      </c>
      <c r="C15" s="42">
        <f ca="1">VLOOKUP($A15,Model!$1:$1048576,MATCH(C$14,Model!$1:$1,0),FALSE)</f>
        <v>69.899999999999977</v>
      </c>
      <c r="D15" s="42">
        <f ca="1">VLOOKUP($A15,Model!$1:$1048576,MATCH(D$14,Model!$1:$1,0),FALSE)</f>
        <v>86.400000000000077</v>
      </c>
      <c r="E15" s="42">
        <f ca="1">VLOOKUP($A15,Model!$1:$1048576,MATCH(E$14,Model!$1:$1,0),FALSE)</f>
        <v>133.36232151403249</v>
      </c>
      <c r="F15" s="42">
        <f ca="1">VLOOKUP($A15,Model!$1:$1048576,MATCH(F$14,Model!$1:$1,0),FALSE)</f>
        <v>162.56371468668044</v>
      </c>
      <c r="G15" s="42">
        <f ca="1">VLOOKUP($A15,Model!$1:$1048576,MATCH(G$14,Model!$1:$1,0),FALSE)</f>
        <v>202.83855971008754</v>
      </c>
      <c r="H15" s="42"/>
      <c r="I15" s="42">
        <f>VLOOKUP($A15,Model!$1:$1048576,MATCH(I$14,Model!$1:$1,0),FALSE)</f>
        <v>45.500000000000021</v>
      </c>
      <c r="J15" s="42">
        <f>VLOOKUP($A15,Model!$1:$1048576,MATCH(J$14,Model!$1:$1,0),FALSE)</f>
        <v>59.89999999999997</v>
      </c>
      <c r="K15" s="42">
        <f>VLOOKUP($A15,Model!$1:$1048576,MATCH(K$14,Model!$1:$1,0),FALSE)</f>
        <v>73.462321514032539</v>
      </c>
      <c r="L15" s="42">
        <f>VLOOKUP($A15,Model!$1:$1048576,MATCH(L$14,Model!$1:$1,0),FALSE)</f>
        <v>79.850082368164337</v>
      </c>
    </row>
    <row r="16" spans="1:47">
      <c r="A16" s="1" t="s">
        <v>107</v>
      </c>
      <c r="B16" s="19" t="s">
        <v>1079</v>
      </c>
      <c r="C16" s="42">
        <f ca="1">VLOOKUP($A16,Model!$1:$1048576,MATCH(C$14,Model!$1:$1,0),FALSE) * 100</f>
        <v>6.0559567749303165</v>
      </c>
      <c r="D16" s="42">
        <f ca="1">VLOOKUP($A16,Model!$1:$1048576,MATCH(D$14,Model!$1:$1,0),FALSE) * 100</f>
        <v>7.2957769283680616</v>
      </c>
      <c r="E16" s="42">
        <f ca="1">VLOOKUP($A16,Model!$1:$1048576,MATCH(E$14,Model!$1:$1,0),FALSE) * 100</f>
        <v>10.762263375075417</v>
      </c>
      <c r="F16" s="42">
        <f ca="1">VLOOKUP($A16,Model!$1:$1048576,MATCH(F$14,Model!$1:$1,0),FALSE) * 100</f>
        <v>13.060581349162787</v>
      </c>
      <c r="G16" s="42">
        <f ca="1">VLOOKUP($A16,Model!$1:$1048576,MATCH(G$14,Model!$1:$1,0),FALSE) * 100</f>
        <v>15.513687586165492</v>
      </c>
      <c r="H16" s="42"/>
      <c r="I16" s="42">
        <f>VLOOKUP($A16,Model!$1:$1048576,MATCH(I$14,Model!$1:$1,0),FALSE) * 100</f>
        <v>3.8262302472216456</v>
      </c>
      <c r="J16" s="42">
        <f>VLOOKUP($A16,Model!$1:$1048576,MATCH(J$14,Model!$1:$1,0),FALSE) * 100</f>
        <v>4.8488321177710647</v>
      </c>
      <c r="K16" s="42">
        <f>VLOOKUP($A16,Model!$1:$1048576,MATCH(K$14,Model!$1:$1,0),FALSE) * 100</f>
        <v>5.9126963975970472</v>
      </c>
      <c r="L16" s="42">
        <f>VLOOKUP($A16,Model!$1:$1048576,MATCH(L$14,Model!$1:$1,0),FALSE) * 100</f>
        <v>6.4172077435864576</v>
      </c>
    </row>
    <row r="17" spans="1:15">
      <c r="A17" s="1" t="s">
        <v>107</v>
      </c>
      <c r="B17" s="19" t="s">
        <v>1080</v>
      </c>
      <c r="C17" s="44">
        <f ca="1">IF(ISERROR((C16 / (VLOOKUP($A17,Old!$1:$1048576,MATCH(C$14,Old!$1:$1,0),FALSE) * 100 ) - 1) * 100),"n.a.",(C16 / (VLOOKUP($A17,Old!$1:$1048576,MATCH(C$14,Old!$1:$1,0),FALSE) * 100 ) - 1) * 100)</f>
        <v>0</v>
      </c>
      <c r="D17" s="44" t="str">
        <f ca="1">IF(ISERROR((D16 / (VLOOKUP($A17,Old!$1:$1048576,MATCH(D$14,Old!$1:$1,0),FALSE) * 100 ) - 1) * 100),"n.a.",(D16 / (VLOOKUP($A17,Old!$1:$1048576,MATCH(D$14,Old!$1:$1,0),FALSE) * 100 ) - 1) * 100)</f>
        <v>n.a.</v>
      </c>
      <c r="E17" s="44">
        <f ca="1">IF(ISERROR((E16 / (VLOOKUP($A17,Old!$1:$1048576,MATCH(E$14,Old!$1:$1,0),FALSE) * 100 ) - 1) * 100),"n.a.",(E16 / (VLOOKUP($A17,Old!$1:$1048576,MATCH(E$14,Old!$1:$1,0),FALSE) * 100 ) - 1) * 100)</f>
        <v>-7.176354038572164</v>
      </c>
      <c r="F17" s="44">
        <f ca="1">IF(ISERROR((F16 / (VLOOKUP($A17,Old!$1:$1048576,MATCH(F$14,Old!$1:$1,0),FALSE) * 100 ) - 1) * 100),"n.a.",(F16 / (VLOOKUP($A17,Old!$1:$1048576,MATCH(F$14,Old!$1:$1,0),FALSE) * 100 ) - 1) * 100)</f>
        <v>-15.814401787815836</v>
      </c>
      <c r="G17" s="44">
        <f ca="1">IF(ISERROR((G16 / (VLOOKUP($A17,Old!$1:$1048576,MATCH(G$14,Old!$1:$1,0),FALSE) * 100 ) - 1) * 100),"n.a.",(G16 / (VLOOKUP($A17,Old!$1:$1048576,MATCH(G$14,Old!$1:$1,0),FALSE) * 100 ) - 1) * 100)</f>
        <v>-10.820745917939245</v>
      </c>
      <c r="H17" s="44"/>
      <c r="I17" s="44" t="e">
        <f>(I16 / (VLOOKUP($A17,Old!$1:$1048576,MATCH(I$14,Old!$1:$1,0),FALSE) * 100 ) - 1) * 100</f>
        <v>#N/A</v>
      </c>
      <c r="J17" s="44" t="e">
        <f>(J16 / (VLOOKUP($A17,Old!$1:$1048576,MATCH(J$14,Old!$1:$1,0),FALSE) * 100 ) - 1) * 100</f>
        <v>#N/A</v>
      </c>
      <c r="K17" s="44">
        <f>(K16 / (VLOOKUP($A17,Old!$1:$1048576,MATCH(K$14,Old!$1:$1,0),FALSE) * 100 ) - 1) * 100</f>
        <v>-5.4564599025258342</v>
      </c>
      <c r="L17" s="44">
        <f>(L16 / (VLOOKUP($A17,Old!$1:$1048576,MATCH(L$14,Old!$1:$1,0),FALSE) * 100 ) - 1) * 100</f>
        <v>-14.972256072915247</v>
      </c>
    </row>
    <row r="18" spans="1:15">
      <c r="A18" s="1" t="s">
        <v>106</v>
      </c>
      <c r="B18" s="19" t="s">
        <v>1081</v>
      </c>
      <c r="C18" s="44">
        <f ca="1">VLOOKUP($A18,Model!$1:$1048576,MATCH(C$14,Model!$1:$1,0),FALSE) * 100</f>
        <v>-7.180315524165648</v>
      </c>
      <c r="D18" s="44">
        <f ca="1">VLOOKUP($A18,Model!$1:$1048576,MATCH(D$14,Model!$1:$1,0),FALSE) * 100</f>
        <v>20.472737826831853</v>
      </c>
      <c r="E18" s="44">
        <f ca="1">VLOOKUP($A18,Model!$1:$1048576,MATCH(E$14,Model!$1:$1,0),FALSE) * 100</f>
        <v>47.513602468143844</v>
      </c>
      <c r="F18" s="44">
        <f ca="1">VLOOKUP($A18,Model!$1:$1048576,MATCH(F$14,Model!$1:$1,0),FALSE) * 100</f>
        <v>21.355340359074447</v>
      </c>
      <c r="G18" s="44">
        <f ca="1">VLOOKUP($A18,Model!$1:$1048576,MATCH(G$14,Model!$1:$1,0),FALSE) * 100</f>
        <v>18.782519486852365</v>
      </c>
      <c r="H18" s="44"/>
      <c r="I18" s="44">
        <f>VLOOKUP($A18,Model!$1:$1048576,MATCH(I$14,Model!$1:$1,0),FALSE) * 100</f>
        <v>10.266001360854338</v>
      </c>
      <c r="J18" s="44">
        <f>VLOOKUP($A18,Model!$1:$1048576,MATCH(J$14,Model!$1:$1,0),FALSE) * 100</f>
        <v>26.726093425558073</v>
      </c>
      <c r="K18" s="44">
        <f>VLOOKUP($A18,Model!$1:$1048576,MATCH(K$14,Model!$1:$1,0),FALSE) * 100</f>
        <v>21.940629289409696</v>
      </c>
      <c r="L18" s="44">
        <f>VLOOKUP($A18,Model!$1:$1048576,MATCH(L$14,Model!$1:$1,0),FALSE) * 100</f>
        <v>8.5326780213921936</v>
      </c>
    </row>
    <row r="19" spans="1:15">
      <c r="A19" s="1" t="s">
        <v>1014</v>
      </c>
      <c r="B19" s="19" t="s">
        <v>1082</v>
      </c>
      <c r="C19" s="44">
        <f ca="1">IF(ISERROR($C$5 * 100 / (C16 * VLOOKUP($A19,Model!$1:$1048576,MATCH(C$14,Model!$1:$1,0),FALSE))),"n.a.",$C$5 * 100 / (C16 * VLOOKUP($A19,Model!$1:$1048576,MATCH(C$14,Model!$1:$1,0),FALSE)))</f>
        <v>31.291504718869216</v>
      </c>
      <c r="D19" s="44">
        <f ca="1">IF(ISERROR($C$5 * 100 / (D16 * VLOOKUP($A19,Model!$1:$1048576,MATCH(D$14,Model!$1:$1,0),FALSE))),"n.a.",$C$5 * 100 / (D16 * VLOOKUP($A19,Model!$1:$1048576,MATCH(D$14,Model!$1:$1,0),FALSE)))</f>
        <v>25.973930105122861</v>
      </c>
      <c r="E19" s="44">
        <f ca="1">IF(ISERROR($C$5 * 100 / (E16 * VLOOKUP($A19,Model!$1:$1048576,MATCH(E$14,Model!$1:$1,0),FALSE))),"n.a.",$C$5 * 100 / (E16 * VLOOKUP($A19,Model!$1:$1048576,MATCH(E$14,Model!$1:$1,0),FALSE)))</f>
        <v>17.60782034370833</v>
      </c>
      <c r="F19" s="44">
        <f ca="1">IF(ISERROR($C$5 * 100 / (F16 * VLOOKUP($A19,Model!$1:$1048576,MATCH(F$14,Model!$1:$1,0),FALSE))),"n.a.",$C$5 * 100 / (F16 * VLOOKUP($A19,Model!$1:$1048576,MATCH(F$14,Model!$1:$1,0),FALSE)))</f>
        <v>14.509308194933251</v>
      </c>
      <c r="G19" s="44">
        <f ca="1">IF(ISERROR($C$5 * 100 / (G16 * VLOOKUP($A19,Model!$1:$1048576,MATCH(G$14,Model!$1:$1,0),FALSE))),"n.a.",$C$5 * 100 / (G16 * VLOOKUP($A19,Model!$1:$1048576,MATCH(G$14,Model!$1:$1,0),FALSE)))</f>
        <v>12.215019733218606</v>
      </c>
      <c r="H19" s="42"/>
      <c r="I19" s="44">
        <f>$C$5 * 100 / (I16 * VLOOKUP($A19,Model!$1:$1048576,MATCH(I$14,Model!$1:$1,0),FALSE))</f>
        <v>24.55974335181423</v>
      </c>
      <c r="J19" s="44">
        <f>$C$5 * 100 / (J16 * VLOOKUP($A19,Model!$1:$1048576,MATCH(J$14,Model!$1:$1,0),FALSE))</f>
        <v>19.701397120591754</v>
      </c>
      <c r="K19" s="44">
        <f>$C$5 * 100 / (K16 * VLOOKUP($A19,Model!$1:$1048576,MATCH(K$14,Model!$1:$1,0),FALSE))</f>
        <v>15.893126681576744</v>
      </c>
      <c r="L19" s="44">
        <f>$C$5 * 100 / (L16 * VLOOKUP($A19,Model!$1:$1048576,MATCH(L$14,Model!$1:$1,0),FALSE))</f>
        <v>14.886344799848793</v>
      </c>
    </row>
    <row r="20" spans="1:15">
      <c r="A20" s="1" t="s">
        <v>981</v>
      </c>
      <c r="B20" s="19" t="s">
        <v>1083</v>
      </c>
      <c r="C20" s="42">
        <f ca="1">VLOOKUP($A20,Model!$1:$1048576,MATCH(C$14,Model!$1:$1,0),FALSE) * 100</f>
        <v>0</v>
      </c>
      <c r="D20" s="42">
        <f ca="1">VLOOKUP($A20,Model!$1:$1048576,MATCH(D$14,Model!$1:$1,0),FALSE) * 100</f>
        <v>0</v>
      </c>
      <c r="E20" s="42">
        <f ca="1">VLOOKUP($A20,Model!$1:$1048576,MATCH(E$14,Model!$1:$1,0),FALSE) * 100</f>
        <v>0</v>
      </c>
      <c r="F20" s="42">
        <f ca="1">VLOOKUP($A20,Model!$1:$1048576,MATCH(F$14,Model!$1:$1,0),FALSE) * 100</f>
        <v>0</v>
      </c>
      <c r="G20" s="42">
        <f ca="1">VLOOKUP($A20,Model!$1:$1048576,MATCH(G$14,Model!$1:$1,0),FALSE) * 100</f>
        <v>0</v>
      </c>
      <c r="H20" s="42"/>
      <c r="I20" s="42">
        <f>VLOOKUP($A20,Model!$1:$1048576,MATCH(I$14,Model!$1:$1,0),FALSE) * 100</f>
        <v>0</v>
      </c>
      <c r="J20" s="42">
        <f>VLOOKUP($A20,Model!$1:$1048576,MATCH(J$14,Model!$1:$1,0),FALSE) * 100</f>
        <v>0</v>
      </c>
      <c r="K20" s="42">
        <f>VLOOKUP($A20,Model!$1:$1048576,MATCH(K$14,Model!$1:$1,0),FALSE) * 100</f>
        <v>0</v>
      </c>
      <c r="L20" s="42">
        <f>VLOOKUP($A20,Model!$1:$1048576,MATCH(L$14,Model!$1:$1,0),FALSE) * 100</f>
        <v>0</v>
      </c>
    </row>
    <row r="21" spans="1:15">
      <c r="A21" s="1" t="s">
        <v>1014</v>
      </c>
      <c r="B21" s="19" t="s">
        <v>1084</v>
      </c>
      <c r="C21" s="44">
        <f ca="1">C20 / $C$5</f>
        <v>0</v>
      </c>
      <c r="D21" s="44">
        <f ca="1">D20 / $C$5</f>
        <v>0</v>
      </c>
      <c r="E21" s="44">
        <f ca="1">E20 / $C$5</f>
        <v>0</v>
      </c>
      <c r="F21" s="44">
        <f ca="1">F20 / $C$5</f>
        <v>0</v>
      </c>
      <c r="G21" s="44">
        <f ca="1">G20 / $C$5</f>
        <v>0</v>
      </c>
      <c r="H21" s="42"/>
      <c r="I21" s="44">
        <f>(I20 * VLOOKUP($A21,Model!$1:$1048576,MATCH(I$14,Model!$1:$1,0),FALSE)) / $C$5</f>
        <v>0</v>
      </c>
      <c r="J21" s="44">
        <f>(J20 * VLOOKUP($A21,Model!$1:$1048576,MATCH(J$14,Model!$1:$1,0),FALSE)) / $C$5</f>
        <v>0</v>
      </c>
      <c r="K21" s="44">
        <f>(K20 * VLOOKUP($A21,Model!$1:$1048576,MATCH(K$14,Model!$1:$1,0),FALSE)) / $C$5</f>
        <v>0</v>
      </c>
      <c r="L21" s="44">
        <f>(L20 * VLOOKUP($A21,Model!$1:$1048576,MATCH(L$14,Model!$1:$1,0),FALSE)) / $C$5</f>
        <v>0</v>
      </c>
    </row>
    <row r="22" spans="1:15">
      <c r="A22" s="1" t="s">
        <v>904</v>
      </c>
      <c r="B22" s="19" t="s">
        <v>1085</v>
      </c>
      <c r="C22" s="42">
        <f ca="1">IF(ISERROR(VLOOKUP($A22,Model!$1:$1048576,MATCH(C$14,Model!$1:$1,0),FALSE) * 100),"n.a.",VLOOKUP($A22,Model!$1:$1048576,MATCH(C$14,Model!$1:$1,0),FALSE) * 100)</f>
        <v>0</v>
      </c>
      <c r="D22" s="42">
        <f ca="1">IF(ISERROR(VLOOKUP($A22,Model!$1:$1048576,MATCH(D$14,Model!$1:$1,0),FALSE) * 100),"n.a.",VLOOKUP($A22,Model!$1:$1048576,MATCH(D$14,Model!$1:$1,0),FALSE) * 100)</f>
        <v>0</v>
      </c>
      <c r="E22" s="42">
        <f ca="1">IF(ISERROR(VLOOKUP($A22,Model!$1:$1048576,MATCH(E$14,Model!$1:$1,0),FALSE) * 100),"n.a.",VLOOKUP($A22,Model!$1:$1048576,MATCH(E$14,Model!$1:$1,0),FALSE) * 100)</f>
        <v>0</v>
      </c>
      <c r="F22" s="42">
        <f ca="1">IF(ISERROR(VLOOKUP($A22,Model!$1:$1048576,MATCH(F$14,Model!$1:$1,0),FALSE) * 100),"n.a.",VLOOKUP($A22,Model!$1:$1048576,MATCH(F$14,Model!$1:$1,0),FALSE) * 100)</f>
        <v>0</v>
      </c>
      <c r="G22" s="42">
        <f ca="1">IF(ISERROR(VLOOKUP($A22,Model!$1:$1048576,MATCH(G$14,Model!$1:$1,0),FALSE) * 100),"n.a.",VLOOKUP($A22,Model!$1:$1048576,MATCH(G$14,Model!$1:$1,0),FALSE) * 100)</f>
        <v>0</v>
      </c>
      <c r="H22" s="42"/>
      <c r="I22" s="42">
        <f>VLOOKUP($A22,Model!$1:$1048576,MATCH(I$14,Model!$1:$1,0),FALSE) * 100</f>
        <v>100</v>
      </c>
      <c r="J22" s="42">
        <f>VLOOKUP($A22,Model!$1:$1048576,MATCH(J$14,Model!$1:$1,0),FALSE) * 100</f>
        <v>100</v>
      </c>
      <c r="K22" s="42">
        <f>VLOOKUP($A22,Model!$1:$1048576,MATCH(K$14,Model!$1:$1,0),FALSE) * 100</f>
        <v>100</v>
      </c>
      <c r="L22" s="42">
        <f>VLOOKUP($A22,Model!$1:$1048576,MATCH(L$14,Model!$1:$1,0),FALSE) * 100</f>
        <v>100</v>
      </c>
    </row>
    <row r="23" spans="1:15">
      <c r="A23" s="1" t="s">
        <v>962</v>
      </c>
      <c r="B23" s="19" t="s">
        <v>1086</v>
      </c>
      <c r="C23" s="44">
        <f ca="1">IF(ISERROR($C$5 / ((VLOOKUP($A23,Model!$1:$1048576,MATCH(C$14,Model!$1:$1,0),FALSE) * VLOOKUP($A21,Model!$1:$1048576,MATCH(C$14,Model!$1:$1,0),FALSE)))),"n.a.",$C$5 / ((VLOOKUP($A23,Model!$1:$1048576,MATCH(C$14,Model!$1:$1,0),FALSE) * VLOOKUP($A21,Model!$1:$1048576,MATCH(C$14,Model!$1:$1,0),FALSE))))</f>
        <v>1.3429534776304863</v>
      </c>
      <c r="D23" s="44">
        <f ca="1">IF(ISERROR($C$5 / ((VLOOKUP($A23,Model!$1:$1048576,MATCH(D$14,Model!$1:$1,0),FALSE) * VLOOKUP($A21,Model!$1:$1048576,MATCH(D$14,Model!$1:$1,0),FALSE)))),"n.a.",$C$5 / ((VLOOKUP($A23,Model!$1:$1048576,MATCH(D$14,Model!$1:$1,0),FALSE) * VLOOKUP($A21,Model!$1:$1048576,MATCH(D$14,Model!$1:$1,0),FALSE))))</f>
        <v>1.2557894805763075</v>
      </c>
      <c r="E23" s="44">
        <f ca="1">IF(ISERROR($C$5 / ((VLOOKUP($A23,Model!$1:$1048576,MATCH(E$14,Model!$1:$1,0),FALSE) * VLOOKUP($A21,Model!$1:$1048576,MATCH(E$14,Model!$1:$1,0),FALSE)))),"n.a.",$C$5 / ((VLOOKUP($A23,Model!$1:$1048576,MATCH(E$14,Model!$1:$1,0),FALSE) * VLOOKUP($A21,Model!$1:$1048576,MATCH(E$14,Model!$1:$1,0),FALSE))))</f>
        <v>1.1810408268902728</v>
      </c>
      <c r="F23" s="44">
        <f ca="1">IF(ISERROR($C$5 / ((VLOOKUP($A23,Model!$1:$1048576,MATCH(F$14,Model!$1:$1,0),FALSE) * VLOOKUP($A21,Model!$1:$1048576,MATCH(F$14,Model!$1:$1,0),FALSE)))),"n.a.",$C$5 / ((VLOOKUP($A23,Model!$1:$1048576,MATCH(F$14,Model!$1:$1,0),FALSE) * VLOOKUP($A21,Model!$1:$1048576,MATCH(F$14,Model!$1:$1,0),FALSE))))</f>
        <v>1.0831507359659593</v>
      </c>
      <c r="G23" s="44">
        <f ca="1">IF(ISERROR($C$5 / ((VLOOKUP($A23,Model!$1:$1048576,MATCH(G$14,Model!$1:$1,0),FALSE) * VLOOKUP($A21,Model!$1:$1048576,MATCH(G$14,Model!$1:$1,0),FALSE)))),"n.a.",$C$5 / ((VLOOKUP($A23,Model!$1:$1048576,MATCH(G$14,Model!$1:$1,0),FALSE) * VLOOKUP($A21,Model!$1:$1048576,MATCH(G$14,Model!$1:$1,0),FALSE))))</f>
        <v>0.97773015450204603</v>
      </c>
      <c r="I23" s="44">
        <f>$C$5/((VLOOKUP($A23,Model!1:1048576,MATCH(I$14,Model!1:1,0),FALSE)))</f>
        <v>1.2557894805763075</v>
      </c>
      <c r="J23" s="44">
        <f>$C$5/((VLOOKUP($A23,Model!1:1048576,MATCH(J$14,Model!1:1,0),FALSE)))</f>
        <v>1.2313288932823279</v>
      </c>
      <c r="K23" s="44">
        <f>$C$5/((VLOOKUP($A23,Model!1:1048576,MATCH(K$14,Model!1:1,0),FALSE)))</f>
        <v>1.181040826890273</v>
      </c>
      <c r="L23" s="44">
        <f>$C$5/((VLOOKUP($A23,Model!1:1048576,MATCH(L$14,Model!1:1,0),FALSE)))</f>
        <v>1.1308408989474641</v>
      </c>
    </row>
    <row r="24" spans="1:15">
      <c r="A24" s="1" t="s">
        <v>1015</v>
      </c>
      <c r="B24" s="19" t="s">
        <v>1087</v>
      </c>
      <c r="C24" s="42">
        <f ca="1">VLOOKUP($A24,Model!$1:$1048576,MATCH(C$14,Model!$1:$1,0),FALSE)</f>
        <v>1212.0297869999999</v>
      </c>
      <c r="D24" s="42">
        <f ca="1">VLOOKUP($A24,Model!$1:$1048576,MATCH(D$14,Model!$1:$1,0),FALSE)</f>
        <v>1217.1424766938851</v>
      </c>
      <c r="E24" s="42">
        <f ca="1">VLOOKUP($A24,Model!$1:$1048576,MATCH(E$14,Model!$1:$1,0),FALSE)</f>
        <v>1265.1829524017603</v>
      </c>
      <c r="F24" s="42">
        <f ca="1">VLOOKUP($A24,Model!$1:$1048576,MATCH(F$14,Model!$1:$1,0),FALSE)</f>
        <v>1266.1282853024047</v>
      </c>
      <c r="G24" s="42">
        <f ca="1">VLOOKUP($A24,Model!$1:$1048576,MATCH(G$14,Model!$1:$1,0),FALSE)</f>
        <v>1325.5298494825181</v>
      </c>
      <c r="H24" s="42"/>
      <c r="I24" s="42">
        <f>VLOOKUP($A24,Model!$1:$1048576,MATCH(I$14,Model!$1:$1,0),FALSE)</f>
        <v>1215.295395089337</v>
      </c>
      <c r="J24" s="42">
        <f>VLOOKUP($A24,Model!$1:$1048576,MATCH(J$14,Model!$1:$1,0),FALSE)</f>
        <v>1264.221951</v>
      </c>
      <c r="K24" s="42">
        <f>VLOOKUP($A24,Model!$1:$1048576,MATCH(K$14,Model!$1:$1,0),FALSE)</f>
        <v>1266.1282853024047</v>
      </c>
      <c r="L24" s="42">
        <f>VLOOKUP($A24,Model!$1:$1048576,MATCH(L$14,Model!$1:$1,0),FALSE)</f>
        <v>1266.1282853024047</v>
      </c>
    </row>
    <row r="25" spans="1:15">
      <c r="B25" s="19" t="s">
        <v>1088</v>
      </c>
      <c r="C25" s="21" t="s">
        <v>1089</v>
      </c>
      <c r="D25" s="21" t="s">
        <v>1089</v>
      </c>
      <c r="E25" s="21" t="s">
        <v>1089</v>
      </c>
      <c r="F25" s="21" t="s">
        <v>1089</v>
      </c>
      <c r="G25" s="21" t="s">
        <v>1089</v>
      </c>
      <c r="I25" s="21" t="s">
        <v>1089</v>
      </c>
      <c r="J25" s="21" t="s">
        <v>1089</v>
      </c>
      <c r="K25" s="21" t="s">
        <v>1089</v>
      </c>
      <c r="L25" s="21" t="s">
        <v>1089</v>
      </c>
    </row>
    <row r="26" spans="1:15">
      <c r="N26" s="645"/>
    </row>
    <row r="27" spans="1:15">
      <c r="N27" s="645"/>
    </row>
    <row r="28" spans="1:15">
      <c r="B28" s="2" t="s">
        <v>1090</v>
      </c>
      <c r="C28" s="87"/>
      <c r="D28" s="87"/>
      <c r="E28" s="87"/>
      <c r="F28" s="87"/>
      <c r="G28" s="87"/>
      <c r="H28" s="87"/>
      <c r="I28" s="87"/>
      <c r="J28" s="87"/>
      <c r="K28" s="87"/>
      <c r="L28" s="87"/>
      <c r="N28" s="644"/>
    </row>
    <row r="29" spans="1:15">
      <c r="F29" s="18"/>
      <c r="K29" s="18"/>
      <c r="N29" s="644"/>
    </row>
    <row r="30" spans="1:15">
      <c r="B30" s="6" t="s">
        <v>1091</v>
      </c>
      <c r="C30" s="11" t="str">
        <f ca="1">C$14</f>
        <v>FY24A</v>
      </c>
      <c r="D30" s="11" t="str">
        <f ca="1">D$14</f>
        <v>FY25A</v>
      </c>
      <c r="E30" s="11" t="str">
        <f ca="1">E$14</f>
        <v>FY26E</v>
      </c>
      <c r="F30" s="11" t="str">
        <f ca="1">F$14</f>
        <v>FY27E</v>
      </c>
      <c r="G30" s="11" t="str">
        <f ca="1">G$14</f>
        <v>FY28E</v>
      </c>
      <c r="H30" s="21"/>
      <c r="I30" s="11" t="str">
        <f>I$14</f>
        <v>2H25A</v>
      </c>
      <c r="J30" s="11" t="str">
        <f>J$14</f>
        <v>1H26A</v>
      </c>
      <c r="K30" s="11" t="str">
        <f>K$14</f>
        <v>2H26E</v>
      </c>
      <c r="L30" s="11" t="str">
        <f>L$14</f>
        <v>1H27E</v>
      </c>
      <c r="N30" s="501"/>
    </row>
    <row r="31" spans="1:15" s="24" customFormat="1">
      <c r="A31" s="1" t="s">
        <v>1058</v>
      </c>
      <c r="B31" s="24" t="s">
        <v>525</v>
      </c>
      <c r="C31" s="526">
        <f ca="1">VLOOKUP($A31,Model!$1:$1048576,MATCH(C$14,Model!$1:$1,0),FALSE)</f>
        <v>13130</v>
      </c>
      <c r="D31" s="526">
        <f ca="1">VLOOKUP($A31,Model!$1:$1048576,MATCH(D$14,Model!$1:$1,0),FALSE)</f>
        <v>13918.161643835616</v>
      </c>
      <c r="E31" s="526">
        <f ca="1">VLOOKUP($A31,Model!$1:$1048576,MATCH(E$14,Model!$1:$1,0),FALSE)</f>
        <v>16064.106111372053</v>
      </c>
      <c r="F31" s="526">
        <f ca="1">VLOOKUP($A31,Model!$1:$1048576,MATCH(F$14,Model!$1:$1,0),FALSE)</f>
        <v>18491.235945503497</v>
      </c>
      <c r="G31" s="526">
        <f ca="1">VLOOKUP($A31,Model!$1:$1048576,MATCH(G$14,Model!$1:$1,0),FALSE)</f>
        <v>21084.634811143165</v>
      </c>
      <c r="H31" s="570"/>
      <c r="I31" s="526">
        <f>VLOOKUP($A31,Model!$1:$1048576,MATCH(I$14,Model!$1:$1,0),FALSE)</f>
        <v>14205</v>
      </c>
      <c r="J31" s="526">
        <f>VLOOKUP($A31,Model!$1:$1048576,MATCH(J$14,Model!$1:$1,0),FALSE)</f>
        <v>15419</v>
      </c>
      <c r="K31" s="526">
        <f>VLOOKUP($A31,Model!$1:$1048576,MATCH(K$14,Model!$1:$1,0),FALSE)</f>
        <v>16719.904589230937</v>
      </c>
      <c r="L31" s="526">
        <f>VLOOKUP($A31,Model!$1:$1048576,MATCH(L$14,Model!$1:$1,0),FALSE)</f>
        <v>17817.450963744683</v>
      </c>
      <c r="N31" s="526"/>
      <c r="O31" s="526"/>
    </row>
    <row r="32" spans="1:15">
      <c r="A32" s="1" t="s">
        <v>924</v>
      </c>
      <c r="B32" s="19" t="s">
        <v>1092</v>
      </c>
      <c r="C32" s="17">
        <f ca="1">VLOOKUP($A32,Model!$1:$1048576,MATCH(C$14,Model!$1:$1,0),FALSE) * 100</f>
        <v>2.9332421444583758</v>
      </c>
      <c r="D32" s="17">
        <f ca="1">VLOOKUP($A32,Model!$1:$1048576,MATCH(D$14,Model!$1:$1,0),FALSE) * 100</f>
        <v>2.9259006501203264</v>
      </c>
      <c r="E32" s="17">
        <f ca="1">VLOOKUP($A32,Model!$1:$1048576,MATCH(E$14,Model!$1:$1,0),FALSE) * 100</f>
        <v>3.0906833146576291</v>
      </c>
      <c r="F32" s="17">
        <f ca="1">VLOOKUP($A32,Model!$1:$1048576,MATCH(F$14,Model!$1:$1,0),FALSE) * 100</f>
        <v>3.1820960953146584</v>
      </c>
      <c r="G32" s="17">
        <f ca="1">VLOOKUP($A32,Model!$1:$1048576,MATCH(G$14,Model!$1:$1,0),FALSE) * 100</f>
        <v>3.2068547637801612</v>
      </c>
      <c r="H32" s="17"/>
      <c r="I32" s="17">
        <f>VLOOKUP($A32,Model!$1:$1048576,MATCH(I$14,Model!$1:$1,0),FALSE) * 100</f>
        <v>3.0422522611873113</v>
      </c>
      <c r="J32" s="17">
        <f>VLOOKUP($A32,Model!$1:$1048576,MATCH(J$14,Model!$1:$1,0),FALSE) * 100</f>
        <v>3.0297705823137457</v>
      </c>
      <c r="K32" s="17">
        <f>VLOOKUP($A32,Model!$1:$1048576,MATCH(K$14,Model!$1:$1,0),FALSE) * 100</f>
        <v>3.1497806064230458</v>
      </c>
      <c r="L32" s="17">
        <f>VLOOKUP($A32,Model!$1:$1048576,MATCH(L$14,Model!$1:$1,0),FALSE) * 100</f>
        <v>3.1806587737525196</v>
      </c>
      <c r="O32" s="656"/>
    </row>
    <row r="33" spans="1:25" s="24" customFormat="1">
      <c r="A33" s="1" t="s">
        <v>239</v>
      </c>
      <c r="B33" s="24" t="s">
        <v>482</v>
      </c>
      <c r="C33" s="526">
        <f ca="1">VLOOKUP($A33,Model!$1:$1048576,MATCH(C$14,Model!$1:$1,0),FALSE)</f>
        <v>386</v>
      </c>
      <c r="D33" s="526">
        <f ca="1">VLOOKUP($A33,Model!$1:$1048576,MATCH(D$14,Model!$1:$1,0),FALSE)</f>
        <v>407.30000000000007</v>
      </c>
      <c r="E33" s="526">
        <f ca="1">VLOOKUP($A33,Model!$1:$1048576,MATCH(E$14,Model!$1:$1,0),FALSE)</f>
        <v>496.65588082654779</v>
      </c>
      <c r="F33" s="526">
        <f ca="1">VLOOKUP($A33,Model!$1:$1048576,MATCH(F$14,Model!$1:$1,0),FALSE)</f>
        <v>588.58658057956927</v>
      </c>
      <c r="G33" s="526">
        <f ca="1">VLOOKUP($A33,Model!$1:$1048576,MATCH(G$14,Model!$1:$1,0),FALSE)</f>
        <v>676.28219589083756</v>
      </c>
      <c r="H33" s="570"/>
      <c r="I33" s="526">
        <f>VLOOKUP($A33,Model!$1:$1048576,MATCH(I$14,Model!$1:$1,0),FALSE)</f>
        <v>214.30000000000004</v>
      </c>
      <c r="J33" s="526">
        <f>VLOOKUP($A33,Model!$1:$1048576,MATCH(J$14,Model!$1:$1,0),FALSE)</f>
        <v>235.49999999999997</v>
      </c>
      <c r="K33" s="526">
        <f>VLOOKUP($A33,Model!$1:$1048576,MATCH(K$14,Model!$1:$1,0),FALSE)</f>
        <v>261.15588082654779</v>
      </c>
      <c r="L33" s="526">
        <f>VLOOKUP($A33,Model!$1:$1048576,MATCH(L$14,Model!$1:$1,0),FALSE)</f>
        <v>285.68511339748289</v>
      </c>
      <c r="N33" s="529"/>
      <c r="O33" s="526"/>
      <c r="Q33" s="649"/>
    </row>
    <row r="34" spans="1:25">
      <c r="A34" s="1" t="s">
        <v>993</v>
      </c>
      <c r="B34" s="19" t="s">
        <v>533</v>
      </c>
      <c r="C34" s="44">
        <f ca="1">VLOOKUP($A34,Model!$1:$1048576,MATCH(C$14,Model!$1:$1,0),FALSE)</f>
        <v>0</v>
      </c>
      <c r="D34" s="44">
        <f ca="1">VLOOKUP($A34,Model!$1:$1048576,MATCH(D$14,Model!$1:$1,0),FALSE)</f>
        <v>0</v>
      </c>
      <c r="E34" s="44">
        <f ca="1">VLOOKUP($A34,Model!$1:$1048576,MATCH(E$14,Model!$1:$1,0),FALSE)</f>
        <v>0</v>
      </c>
      <c r="F34" s="44">
        <f ca="1">VLOOKUP($A34,Model!$1:$1048576,MATCH(F$14,Model!$1:$1,0),FALSE)</f>
        <v>0</v>
      </c>
      <c r="G34" s="44">
        <f ca="1">VLOOKUP($A34,Model!$1:$1048576,MATCH(G$14,Model!$1:$1,0),FALSE)</f>
        <v>0</v>
      </c>
      <c r="H34" s="44"/>
      <c r="I34" s="44">
        <f>VLOOKUP($A34,Model!$1:$1048576,MATCH(I$14,Model!$1:$1,0),FALSE)</f>
        <v>0</v>
      </c>
      <c r="J34" s="44">
        <f>VLOOKUP($A34,Model!$1:$1048576,MATCH(J$14,Model!$1:$1,0),FALSE)</f>
        <v>0</v>
      </c>
      <c r="K34" s="44">
        <f>VLOOKUP($A34,Model!$1:$1048576,MATCH(K$14,Model!$1:$1,0),FALSE)</f>
        <v>0</v>
      </c>
      <c r="L34" s="44">
        <f>VLOOKUP($A34,Model!$1:$1048576,MATCH(L$14,Model!$1:$1,0),FALSE)</f>
        <v>0</v>
      </c>
      <c r="N34" s="44"/>
      <c r="O34" s="44"/>
    </row>
    <row r="35" spans="1:25">
      <c r="A35" s="1" t="s">
        <v>994</v>
      </c>
      <c r="B35" s="19" t="s">
        <v>534</v>
      </c>
      <c r="C35" s="44">
        <f ca="1">VLOOKUP($A35,Model!$1:$1048576,MATCH(C$14,Model!$1:$1,0),FALSE)</f>
        <v>6.2</v>
      </c>
      <c r="D35" s="44">
        <f ca="1">VLOOKUP($A35,Model!$1:$1048576,MATCH(D$14,Model!$1:$1,0),FALSE)</f>
        <v>9.1999999999999993</v>
      </c>
      <c r="E35" s="44">
        <f ca="1">VLOOKUP($A35,Model!$1:$1048576,MATCH(E$14,Model!$1:$1,0),FALSE)</f>
        <v>12.709503677336699</v>
      </c>
      <c r="F35" s="44">
        <f ca="1">VLOOKUP($A35,Model!$1:$1048576,MATCH(F$14,Model!$1:$1,0),FALSE)</f>
        <v>15.271071386891737</v>
      </c>
      <c r="G35" s="44">
        <f ca="1">VLOOKUP($A35,Model!$1:$1048576,MATCH(G$14,Model!$1:$1,0),FALSE)</f>
        <v>18.15550656753976</v>
      </c>
      <c r="H35" s="44"/>
      <c r="I35" s="44">
        <f>VLOOKUP($A35,Model!$1:$1048576,MATCH(I$14,Model!$1:$1,0),FALSE)</f>
        <v>4.8</v>
      </c>
      <c r="J35" s="44">
        <f>VLOOKUP($A35,Model!$1:$1048576,MATCH(J$14,Model!$1:$1,0),FALSE)</f>
        <v>6.1</v>
      </c>
      <c r="K35" s="44">
        <f>VLOOKUP($A35,Model!$1:$1048576,MATCH(K$14,Model!$1:$1,0),FALSE)</f>
        <v>6.6095036773366989</v>
      </c>
      <c r="L35" s="44">
        <f>VLOOKUP($A35,Model!$1:$1048576,MATCH(L$14,Model!$1:$1,0),FALSE)</f>
        <v>7.3610062181883835</v>
      </c>
      <c r="N35" s="44"/>
      <c r="O35" s="44"/>
    </row>
    <row r="36" spans="1:25">
      <c r="A36" s="1" t="s">
        <v>995</v>
      </c>
      <c r="B36" s="19" t="s">
        <v>535</v>
      </c>
      <c r="C36" s="44">
        <f ca="1">VLOOKUP($A36,Model!$1:$1048576,MATCH(C$14,Model!$1:$1,0),FALSE)</f>
        <v>0</v>
      </c>
      <c r="D36" s="44">
        <f ca="1">VLOOKUP($A36,Model!$1:$1048576,MATCH(D$14,Model!$1:$1,0),FALSE)</f>
        <v>0</v>
      </c>
      <c r="E36" s="44">
        <f ca="1">VLOOKUP($A36,Model!$1:$1048576,MATCH(E$14,Model!$1:$1,0),FALSE)</f>
        <v>0</v>
      </c>
      <c r="F36" s="44">
        <f ca="1">VLOOKUP($A36,Model!$1:$1048576,MATCH(F$14,Model!$1:$1,0),FALSE)</f>
        <v>0</v>
      </c>
      <c r="G36" s="44">
        <f ca="1">VLOOKUP($A36,Model!$1:$1048576,MATCH(G$14,Model!$1:$1,0),FALSE)</f>
        <v>0</v>
      </c>
      <c r="H36" s="44"/>
      <c r="I36" s="44">
        <f>VLOOKUP($A36,Model!$1:$1048576,MATCH(I$14,Model!$1:$1,0),FALSE)</f>
        <v>0</v>
      </c>
      <c r="J36" s="44">
        <f>VLOOKUP($A36,Model!$1:$1048576,MATCH(J$14,Model!$1:$1,0),FALSE)</f>
        <v>0</v>
      </c>
      <c r="K36" s="44">
        <f>VLOOKUP($A36,Model!$1:$1048576,MATCH(K$14,Model!$1:$1,0),FALSE)</f>
        <v>0</v>
      </c>
      <c r="L36" s="44">
        <f>VLOOKUP($A36,Model!$1:$1048576,MATCH(L$14,Model!$1:$1,0),FALSE)</f>
        <v>0</v>
      </c>
      <c r="N36" s="44"/>
      <c r="O36" s="44"/>
    </row>
    <row r="37" spans="1:25">
      <c r="A37" s="1" t="s">
        <v>996</v>
      </c>
      <c r="B37" s="19" t="s">
        <v>431</v>
      </c>
      <c r="C37" s="44">
        <f ca="1">VLOOKUP($A37,Model!$1:$1048576,MATCH(C$14,Model!$1:$1,0),FALSE)</f>
        <v>0</v>
      </c>
      <c r="D37" s="44">
        <f ca="1">VLOOKUP($A37,Model!$1:$1048576,MATCH(D$14,Model!$1:$1,0),FALSE)</f>
        <v>0</v>
      </c>
      <c r="E37" s="44">
        <f ca="1">VLOOKUP($A37,Model!$1:$1048576,MATCH(E$14,Model!$1:$1,0),FALSE)</f>
        <v>0</v>
      </c>
      <c r="F37" s="44">
        <f ca="1">VLOOKUP($A37,Model!$1:$1048576,MATCH(F$14,Model!$1:$1,0),FALSE)</f>
        <v>0</v>
      </c>
      <c r="G37" s="44">
        <f ca="1">VLOOKUP($A37,Model!$1:$1048576,MATCH(G$14,Model!$1:$1,0),FALSE)</f>
        <v>0</v>
      </c>
      <c r="H37" s="44"/>
      <c r="I37" s="44">
        <f>VLOOKUP($A37,Model!$1:$1048576,MATCH(I$14,Model!$1:$1,0),FALSE)</f>
        <v>0</v>
      </c>
      <c r="J37" s="44">
        <f>VLOOKUP($A37,Model!$1:$1048576,MATCH(J$14,Model!$1:$1,0),FALSE)</f>
        <v>0</v>
      </c>
      <c r="K37" s="44">
        <f>VLOOKUP($A37,Model!$1:$1048576,MATCH(K$14,Model!$1:$1,0),FALSE)</f>
        <v>0</v>
      </c>
      <c r="L37" s="44">
        <f>VLOOKUP($A37,Model!$1:$1048576,MATCH(L$14,Model!$1:$1,0),FALSE)</f>
        <v>0</v>
      </c>
      <c r="N37" s="44"/>
      <c r="O37" s="44"/>
    </row>
    <row r="38" spans="1:25">
      <c r="A38" s="1" t="s">
        <v>997</v>
      </c>
      <c r="B38" s="19" t="s">
        <v>780</v>
      </c>
      <c r="C38" s="44">
        <f ca="1">VLOOKUP($A38,Model!$1:$1048576,MATCH(C$14,Model!$1:$1,0),FALSE)</f>
        <v>0</v>
      </c>
      <c r="D38" s="44">
        <f ca="1">VLOOKUP($A38,Model!$1:$1048576,MATCH(D$14,Model!$1:$1,0),FALSE)</f>
        <v>0</v>
      </c>
      <c r="E38" s="44">
        <f ca="1">VLOOKUP($A38,Model!$1:$1048576,MATCH(E$14,Model!$1:$1,0),FALSE)</f>
        <v>0</v>
      </c>
      <c r="F38" s="44">
        <f ca="1">VLOOKUP($A38,Model!$1:$1048576,MATCH(F$14,Model!$1:$1,0),FALSE)</f>
        <v>0</v>
      </c>
      <c r="G38" s="44">
        <f ca="1">VLOOKUP($A38,Model!$1:$1048576,MATCH(G$14,Model!$1:$1,0),FALSE)</f>
        <v>0</v>
      </c>
      <c r="H38" s="44"/>
      <c r="I38" s="44">
        <f>VLOOKUP($A38,Model!$1:$1048576,MATCH(I$14,Model!$1:$1,0),FALSE)</f>
        <v>0</v>
      </c>
      <c r="J38" s="44">
        <f>VLOOKUP($A38,Model!$1:$1048576,MATCH(J$14,Model!$1:$1,0),FALSE)</f>
        <v>0</v>
      </c>
      <c r="K38" s="44">
        <f>VLOOKUP($A38,Model!$1:$1048576,MATCH(K$14,Model!$1:$1,0),FALSE)</f>
        <v>0</v>
      </c>
      <c r="L38" s="44">
        <f>VLOOKUP($A38,Model!$1:$1048576,MATCH(L$14,Model!$1:$1,0),FALSE)</f>
        <v>0</v>
      </c>
      <c r="N38" s="44"/>
      <c r="O38" s="44"/>
    </row>
    <row r="39" spans="1:25">
      <c r="A39" s="1" t="s">
        <v>804</v>
      </c>
      <c r="B39" s="19" t="s">
        <v>800</v>
      </c>
      <c r="C39" s="44">
        <f ca="1">VLOOKUP($A39,Model!$1:$1048576,MATCH(C$14,Model!$1:$1,0),FALSE)</f>
        <v>0</v>
      </c>
      <c r="D39" s="44">
        <f ca="1">VLOOKUP($A39,Model!$1:$1048576,MATCH(D$14,Model!$1:$1,0),FALSE)</f>
        <v>0</v>
      </c>
      <c r="E39" s="44">
        <f ca="1">VLOOKUP($A39,Model!$1:$1048576,MATCH(E$14,Model!$1:$1,0),FALSE)</f>
        <v>0</v>
      </c>
      <c r="F39" s="44">
        <f ca="1">VLOOKUP($A39,Model!$1:$1048576,MATCH(F$14,Model!$1:$1,0),FALSE)</f>
        <v>0</v>
      </c>
      <c r="G39" s="44">
        <f ca="1">VLOOKUP($A39,Model!$1:$1048576,MATCH(G$14,Model!$1:$1,0),FALSE)</f>
        <v>0</v>
      </c>
      <c r="H39" s="44"/>
      <c r="I39" s="44">
        <f>VLOOKUP($A39,Model!$1:$1048576,MATCH(I$14,Model!$1:$1,0),FALSE)</f>
        <v>0</v>
      </c>
      <c r="J39" s="44">
        <f>VLOOKUP($A39,Model!$1:$1048576,MATCH(J$14,Model!$1:$1,0),FALSE)</f>
        <v>0</v>
      </c>
      <c r="K39" s="44">
        <f>VLOOKUP($A39,Model!$1:$1048576,MATCH(K$14,Model!$1:$1,0),FALSE)</f>
        <v>0</v>
      </c>
      <c r="L39" s="44">
        <f>VLOOKUP($A39,Model!$1:$1048576,MATCH(L$14,Model!$1:$1,0),FALSE)</f>
        <v>0</v>
      </c>
      <c r="N39" s="44"/>
      <c r="O39" s="44"/>
    </row>
    <row r="40" spans="1:25">
      <c r="B40" s="19" t="s">
        <v>655</v>
      </c>
      <c r="C40" s="44">
        <f ca="1">C41-SUM(C33:C39)</f>
        <v>4.5</v>
      </c>
      <c r="D40" s="44">
        <f ca="1">D41-SUM(D33:D39)</f>
        <v>6.4000000000000341</v>
      </c>
      <c r="E40" s="44">
        <f ca="1">E41-SUM(E33:E39)</f>
        <v>8.3229999999999791</v>
      </c>
      <c r="F40" s="44">
        <f ca="1">F41-SUM(F33:F39)</f>
        <v>8.8298707000000149</v>
      </c>
      <c r="G40" s="44">
        <f ca="1">G41-SUM(G33:G39)</f>
        <v>9.3676098256299838</v>
      </c>
      <c r="H40" s="44"/>
      <c r="I40" s="44">
        <f>I41-SUM(I33:I39)</f>
        <v>2.8999999999999773</v>
      </c>
      <c r="J40" s="44">
        <f>J41-SUM(J33:J39)</f>
        <v>4.0999999999999943</v>
      </c>
      <c r="K40" s="44">
        <f>K41-SUM(K33:K39)</f>
        <v>4.2230000000000132</v>
      </c>
      <c r="L40" s="44">
        <f>L41-SUM(L33:L39)</f>
        <v>4.3496900000000096</v>
      </c>
      <c r="N40" s="44"/>
      <c r="O40" s="44"/>
      <c r="Q40" s="44"/>
      <c r="R40" s="44"/>
    </row>
    <row r="41" spans="1:25" s="24" customFormat="1">
      <c r="A41" s="1" t="s">
        <v>810</v>
      </c>
      <c r="B41" s="24" t="s">
        <v>636</v>
      </c>
      <c r="C41" s="526">
        <f ca="1">VLOOKUP($A41,Model!$1:$1048576,MATCH(C$14,Model!$1:$1,0),FALSE)</f>
        <v>396.7</v>
      </c>
      <c r="D41" s="526">
        <f ca="1">VLOOKUP($A41,Model!$1:$1048576,MATCH(D$14,Model!$1:$1,0),FALSE)</f>
        <v>422.90000000000009</v>
      </c>
      <c r="E41" s="526">
        <f ca="1">VLOOKUP($A41,Model!$1:$1048576,MATCH(E$14,Model!$1:$1,0),FALSE)</f>
        <v>517.68838450388444</v>
      </c>
      <c r="F41" s="526">
        <f ca="1">VLOOKUP($A41,Model!$1:$1048576,MATCH(F$14,Model!$1:$1,0),FALSE)</f>
        <v>612.68752266646106</v>
      </c>
      <c r="G41" s="526">
        <f ca="1">VLOOKUP($A41,Model!$1:$1048576,MATCH(G$14,Model!$1:$1,0),FALSE)</f>
        <v>703.8053122840073</v>
      </c>
      <c r="H41" s="570"/>
      <c r="I41" s="526">
        <f>VLOOKUP($A41,Model!$1:$1048576,MATCH(I$14,Model!$1:$1,0),FALSE)</f>
        <v>222.00000000000003</v>
      </c>
      <c r="J41" s="526">
        <f>VLOOKUP($A41,Model!$1:$1048576,MATCH(J$14,Model!$1:$1,0),FALSE)</f>
        <v>245.69999999999996</v>
      </c>
      <c r="K41" s="526">
        <f>VLOOKUP($A41,Model!$1:$1048576,MATCH(K$14,Model!$1:$1,0),FALSE)</f>
        <v>271.9883845038845</v>
      </c>
      <c r="L41" s="526">
        <f>VLOOKUP($A41,Model!$1:$1048576,MATCH(L$14,Model!$1:$1,0),FALSE)</f>
        <v>297.39580961567128</v>
      </c>
      <c r="M41" s="55"/>
      <c r="N41" s="44"/>
      <c r="O41" s="44"/>
      <c r="P41" s="19"/>
      <c r="Q41" s="541"/>
      <c r="R41" s="541"/>
    </row>
    <row r="42" spans="1:25">
      <c r="B42" s="19" t="s">
        <v>637</v>
      </c>
      <c r="C42" s="529">
        <f ca="1">C43-C41</f>
        <v>-222.3</v>
      </c>
      <c r="D42" s="529">
        <f ca="1">D43-D41</f>
        <v>-221.8</v>
      </c>
      <c r="E42" s="529">
        <f ca="1">E43-E41</f>
        <v>-241.17899426068226</v>
      </c>
      <c r="F42" s="529">
        <f ca="1">F43-F41</f>
        <v>-261.03035490664001</v>
      </c>
      <c r="G42" s="529">
        <f ca="1">G43-G41</f>
        <v>-279.24412444473876</v>
      </c>
      <c r="H42" s="570"/>
      <c r="I42" s="529">
        <f>I43-I41</f>
        <v>-106.4</v>
      </c>
      <c r="J42" s="529">
        <f>J43-J41</f>
        <v>-119.1</v>
      </c>
      <c r="K42" s="529">
        <f>K43-K41</f>
        <v>-122.07899426068229</v>
      </c>
      <c r="L42" s="529">
        <f>L43-L41</f>
        <v>-129.31413078883736</v>
      </c>
      <c r="M42" s="550"/>
      <c r="N42" s="44"/>
      <c r="O42" s="44"/>
      <c r="Q42" s="529"/>
      <c r="R42" s="529"/>
    </row>
    <row r="43" spans="1:25" s="24" customFormat="1">
      <c r="A43" s="1" t="s">
        <v>98</v>
      </c>
      <c r="B43" s="24" t="s">
        <v>638</v>
      </c>
      <c r="C43" s="526">
        <f ca="1">VLOOKUP($A43,Model!$1:$1048576,MATCH(C$14,Model!$1:$1,0),FALSE)</f>
        <v>174.39999999999998</v>
      </c>
      <c r="D43" s="526">
        <f ca="1">VLOOKUP($A43,Model!$1:$1048576,MATCH(D$14,Model!$1:$1,0),FALSE)</f>
        <v>201.10000000000008</v>
      </c>
      <c r="E43" s="526">
        <f ca="1">VLOOKUP($A43,Model!$1:$1048576,MATCH(E$14,Model!$1:$1,0),FALSE)</f>
        <v>276.50939024320218</v>
      </c>
      <c r="F43" s="526">
        <f ca="1">VLOOKUP($A43,Model!$1:$1048576,MATCH(F$14,Model!$1:$1,0),FALSE)</f>
        <v>351.65716775982105</v>
      </c>
      <c r="G43" s="526">
        <f ca="1">VLOOKUP($A43,Model!$1:$1048576,MATCH(G$14,Model!$1:$1,0),FALSE)</f>
        <v>424.56118783926854</v>
      </c>
      <c r="H43" s="570"/>
      <c r="I43" s="526">
        <f>VLOOKUP($A43,Model!$1:$1048576,MATCH(I$14,Model!$1:$1,0),FALSE)</f>
        <v>115.60000000000002</v>
      </c>
      <c r="J43" s="526">
        <f>VLOOKUP($A43,Model!$1:$1048576,MATCH(J$14,Model!$1:$1,0),FALSE)</f>
        <v>126.59999999999997</v>
      </c>
      <c r="K43" s="526">
        <f>VLOOKUP($A43,Model!$1:$1048576,MATCH(K$14,Model!$1:$1,0),FALSE)</f>
        <v>149.90939024320221</v>
      </c>
      <c r="L43" s="526">
        <f>VLOOKUP($A43,Model!$1:$1048576,MATCH(L$14,Model!$1:$1,0),FALSE)</f>
        <v>168.08167882683392</v>
      </c>
      <c r="N43" s="44"/>
      <c r="O43" s="44"/>
      <c r="P43" s="19"/>
      <c r="Q43" s="541"/>
      <c r="R43" s="541"/>
    </row>
    <row r="44" spans="1:25">
      <c r="B44" s="19" t="s">
        <v>639</v>
      </c>
      <c r="C44" s="529">
        <f ca="1">C45-C43</f>
        <v>-70.099999999999994</v>
      </c>
      <c r="D44" s="529">
        <f ca="1">D45-D43</f>
        <v>-75.5</v>
      </c>
      <c r="E44" s="529">
        <f ca="1">E45-E43</f>
        <v>-84.077375357122577</v>
      </c>
      <c r="F44" s="529">
        <f ca="1">F45-F43</f>
        <v>-117.75052196034142</v>
      </c>
      <c r="G44" s="529">
        <f ca="1">G45-G43</f>
        <v>-133.54752314828727</v>
      </c>
      <c r="H44" s="570"/>
      <c r="I44" s="529">
        <f>I45-I43</f>
        <v>-46.7</v>
      </c>
      <c r="J44" s="529">
        <f>J45-J43</f>
        <v>-40.099999999999994</v>
      </c>
      <c r="K44" s="529">
        <f>K45-K43</f>
        <v>-43.977375357122568</v>
      </c>
      <c r="L44" s="529">
        <f>L45-L43</f>
        <v>-53.104365810233844</v>
      </c>
      <c r="M44" s="88"/>
      <c r="N44" s="44"/>
      <c r="O44" s="44"/>
      <c r="Q44" s="68"/>
      <c r="R44" s="68"/>
    </row>
    <row r="45" spans="1:25" s="24" customFormat="1">
      <c r="A45" s="1" t="s">
        <v>286</v>
      </c>
      <c r="B45" s="24" t="s">
        <v>645</v>
      </c>
      <c r="C45" s="526">
        <f ca="1">VLOOKUP($A45,Model!$1:$1048576,MATCH(C$14,Model!$1:$1,0),FALSE)</f>
        <v>104.29999999999998</v>
      </c>
      <c r="D45" s="526">
        <f ca="1">VLOOKUP($A45,Model!$1:$1048576,MATCH(D$14,Model!$1:$1,0),FALSE)</f>
        <v>125.60000000000008</v>
      </c>
      <c r="E45" s="526">
        <f ca="1">VLOOKUP($A45,Model!$1:$1048576,MATCH(E$14,Model!$1:$1,0),FALSE)</f>
        <v>192.4320148860796</v>
      </c>
      <c r="F45" s="526">
        <f ca="1">VLOOKUP($A45,Model!$1:$1048576,MATCH(F$14,Model!$1:$1,0),FALSE)</f>
        <v>233.90664579947963</v>
      </c>
      <c r="G45" s="526">
        <f ca="1">VLOOKUP($A45,Model!$1:$1048576,MATCH(G$14,Model!$1:$1,0),FALSE)</f>
        <v>291.01366469098127</v>
      </c>
      <c r="H45" s="570"/>
      <c r="I45" s="526">
        <f>VLOOKUP($A45,Model!$1:$1048576,MATCH(I$14,Model!$1:$1,0),FALSE)</f>
        <v>68.90000000000002</v>
      </c>
      <c r="J45" s="526">
        <f>VLOOKUP($A45,Model!$1:$1048576,MATCH(J$14,Model!$1:$1,0),FALSE)</f>
        <v>86.499999999999972</v>
      </c>
      <c r="K45" s="526">
        <f>VLOOKUP($A45,Model!$1:$1048576,MATCH(K$14,Model!$1:$1,0),FALSE)</f>
        <v>105.93201488607964</v>
      </c>
      <c r="L45" s="526">
        <f>VLOOKUP($A45,Model!$1:$1048576,MATCH(L$14,Model!$1:$1,0),FALSE)</f>
        <v>114.97731301660008</v>
      </c>
      <c r="N45" s="44"/>
      <c r="O45" s="44"/>
      <c r="P45" s="19"/>
      <c r="Q45" s="637"/>
      <c r="R45" s="637"/>
      <c r="S45" s="541"/>
      <c r="T45" s="646"/>
      <c r="U45" s="647"/>
      <c r="V45" s="637"/>
      <c r="X45" s="647"/>
      <c r="Y45" s="637"/>
    </row>
    <row r="46" spans="1:25">
      <c r="A46" s="1" t="s">
        <v>688</v>
      </c>
      <c r="B46" s="19" t="s">
        <v>646</v>
      </c>
      <c r="C46" s="44">
        <f ca="1">VLOOKUP($A46,Model!$1:$1048576,MATCH(C$14,Model!$1:$1,0),FALSE)</f>
        <v>-34.4</v>
      </c>
      <c r="D46" s="44">
        <f ca="1">VLOOKUP($A46,Model!$1:$1048576,MATCH(D$14,Model!$1:$1,0),FALSE)</f>
        <v>-39.200000000000003</v>
      </c>
      <c r="E46" s="44">
        <f ca="1">VLOOKUP($A46,Model!$1:$1048576,MATCH(E$14,Model!$1:$1,0),FALSE)</f>
        <v>-59.069693372047098</v>
      </c>
      <c r="F46" s="44">
        <f ca="1">VLOOKUP($A46,Model!$1:$1048576,MATCH(F$14,Model!$1:$1,0),FALSE)</f>
        <v>-71.342931112799178</v>
      </c>
      <c r="G46" s="44">
        <f ca="1">VLOOKUP($A46,Model!$1:$1048576,MATCH(G$14,Model!$1:$1,0),FALSE)</f>
        <v>-88.175104980893735</v>
      </c>
      <c r="H46" s="44"/>
      <c r="I46" s="44">
        <f>VLOOKUP($A46,Model!$1:$1048576,MATCH(I$14,Model!$1:$1,0),FALSE)</f>
        <v>-23.4</v>
      </c>
      <c r="J46" s="44">
        <f>VLOOKUP($A46,Model!$1:$1048576,MATCH(J$14,Model!$1:$1,0),FALSE)</f>
        <v>-26.6</v>
      </c>
      <c r="K46" s="44">
        <f>VLOOKUP($A46,Model!$1:$1048576,MATCH(K$14,Model!$1:$1,0),FALSE)</f>
        <v>-32.469693372047097</v>
      </c>
      <c r="L46" s="44">
        <f>VLOOKUP($A46,Model!$1:$1048576,MATCH(L$14,Model!$1:$1,0),FALSE)</f>
        <v>-35.127230648435742</v>
      </c>
      <c r="N46" s="44"/>
      <c r="O46" s="44"/>
      <c r="Q46" s="441"/>
      <c r="R46" s="100"/>
    </row>
    <row r="47" spans="1:25">
      <c r="A47" s="1" t="s">
        <v>689</v>
      </c>
      <c r="B47" s="19" t="s">
        <v>158</v>
      </c>
      <c r="C47" s="44">
        <f ca="1">VLOOKUP($A47,Model!$1:$1048576,MATCH(C$14,Model!$1:$1,0),FALSE)</f>
        <v>0</v>
      </c>
      <c r="D47" s="44">
        <f ca="1">VLOOKUP($A47,Model!$1:$1048576,MATCH(D$14,Model!$1:$1,0),FALSE)</f>
        <v>0</v>
      </c>
      <c r="E47" s="44">
        <f ca="1">VLOOKUP($A47,Model!$1:$1048576,MATCH(E$14,Model!$1:$1,0),FALSE)</f>
        <v>0</v>
      </c>
      <c r="F47" s="44">
        <f ca="1">VLOOKUP($A47,Model!$1:$1048576,MATCH(F$14,Model!$1:$1,0),FALSE)</f>
        <v>0</v>
      </c>
      <c r="G47" s="44">
        <f ca="1">VLOOKUP($A47,Model!$1:$1048576,MATCH(G$14,Model!$1:$1,0),FALSE)</f>
        <v>0</v>
      </c>
      <c r="H47" s="44"/>
      <c r="I47" s="44">
        <f>VLOOKUP($A47,Model!$1:$1048576,MATCH(I$14,Model!$1:$1,0),FALSE)</f>
        <v>0</v>
      </c>
      <c r="J47" s="44">
        <f>VLOOKUP($A47,Model!$1:$1048576,MATCH(J$14,Model!$1:$1,0),FALSE)</f>
        <v>0</v>
      </c>
      <c r="K47" s="44">
        <f>VLOOKUP($A47,Model!$1:$1048576,MATCH(K$14,Model!$1:$1,0),FALSE)</f>
        <v>0</v>
      </c>
      <c r="L47" s="44">
        <f>VLOOKUP($A47,Model!$1:$1048576,MATCH(L$14,Model!$1:$1,0),FALSE)</f>
        <v>0</v>
      </c>
      <c r="N47" s="44"/>
      <c r="O47" s="44"/>
    </row>
    <row r="48" spans="1:25">
      <c r="A48" s="1" t="s">
        <v>690</v>
      </c>
      <c r="B48" s="19" t="s">
        <v>778</v>
      </c>
      <c r="C48" s="44">
        <f ca="1">VLOOKUP($A48,Model!$1:$1048576,MATCH(C$14,Model!$1:$1,0),FALSE)</f>
        <v>0</v>
      </c>
      <c r="D48" s="44">
        <f ca="1">VLOOKUP($A48,Model!$1:$1048576,MATCH(D$14,Model!$1:$1,0),FALSE)</f>
        <v>0</v>
      </c>
      <c r="E48" s="44">
        <f ca="1">VLOOKUP($A48,Model!$1:$1048576,MATCH(E$14,Model!$1:$1,0),FALSE)</f>
        <v>0</v>
      </c>
      <c r="F48" s="44">
        <f ca="1">VLOOKUP($A48,Model!$1:$1048576,MATCH(F$14,Model!$1:$1,0),FALSE)</f>
        <v>0</v>
      </c>
      <c r="G48" s="44">
        <f ca="1">VLOOKUP($A48,Model!$1:$1048576,MATCH(G$14,Model!$1:$1,0),FALSE)</f>
        <v>0</v>
      </c>
      <c r="H48" s="44"/>
      <c r="I48" s="44">
        <f>VLOOKUP($A48,Model!$1:$1048576,MATCH(I$14,Model!$1:$1,0),FALSE)</f>
        <v>0</v>
      </c>
      <c r="J48" s="44">
        <f>VLOOKUP($A48,Model!$1:$1048576,MATCH(J$14,Model!$1:$1,0),FALSE)</f>
        <v>0</v>
      </c>
      <c r="K48" s="44">
        <f>VLOOKUP($A48,Model!$1:$1048576,MATCH(K$14,Model!$1:$1,0),FALSE)</f>
        <v>0</v>
      </c>
      <c r="L48" s="44">
        <f>VLOOKUP($A48,Model!$1:$1048576,MATCH(L$14,Model!$1:$1,0),FALSE)</f>
        <v>0</v>
      </c>
      <c r="N48" s="44"/>
      <c r="O48" s="44"/>
    </row>
    <row r="49" spans="1:20" s="24" customFormat="1">
      <c r="A49" s="1"/>
      <c r="B49" s="24" t="s">
        <v>354</v>
      </c>
      <c r="C49" s="541">
        <f ca="1">C45+C46+C47+C48</f>
        <v>69.899999999999977</v>
      </c>
      <c r="D49" s="541">
        <f ca="1">D45+D46+D47+D48</f>
        <v>86.400000000000077</v>
      </c>
      <c r="E49" s="541">
        <f ca="1">E45+E46+E47+E48</f>
        <v>133.36232151403249</v>
      </c>
      <c r="F49" s="541">
        <f ca="1">F45+F46+F47+F48</f>
        <v>162.56371468668044</v>
      </c>
      <c r="G49" s="541">
        <f ca="1">G45+G46+G47+G48</f>
        <v>202.83855971008754</v>
      </c>
      <c r="H49" s="570"/>
      <c r="I49" s="541">
        <f>I45+I46+I47+I48</f>
        <v>45.500000000000021</v>
      </c>
      <c r="J49" s="541">
        <f>J45+J46+J47+J48</f>
        <v>59.89999999999997</v>
      </c>
      <c r="K49" s="541">
        <f>K45+K46+K47+K48</f>
        <v>73.462321514032539</v>
      </c>
      <c r="L49" s="541">
        <f>L45+L46+L47+L48</f>
        <v>79.850082368164337</v>
      </c>
      <c r="N49" s="44"/>
      <c r="O49" s="44"/>
      <c r="P49" s="19"/>
      <c r="Q49" s="551"/>
    </row>
    <row r="50" spans="1:20">
      <c r="B50" s="19" t="s">
        <v>779</v>
      </c>
      <c r="C50" s="529">
        <f ca="1">C52/100*C51-C49</f>
        <v>3.5</v>
      </c>
      <c r="D50" s="529">
        <f ca="1">D52/100*D51-D49</f>
        <v>2.4000000000000057</v>
      </c>
      <c r="E50" s="529">
        <f ca="1">E52/100*E51-E49</f>
        <v>2.8000000000000114</v>
      </c>
      <c r="F50" s="529">
        <f ca="1">F52/100*F51-F49</f>
        <v>2.8000000000000114</v>
      </c>
      <c r="G50" s="529">
        <f ca="1">G52/100*G51-G49</f>
        <v>2.8000000000000114</v>
      </c>
      <c r="H50" s="529"/>
      <c r="I50" s="529">
        <f>I52/100*I51-I49</f>
        <v>1</v>
      </c>
      <c r="J50" s="529">
        <f>J52/100*J51-J49</f>
        <v>1.3999999999999986</v>
      </c>
      <c r="K50" s="529">
        <f>K52/100*K51-K49</f>
        <v>1.4000000000000199</v>
      </c>
      <c r="L50" s="529">
        <f>L52/100*L51-L49</f>
        <v>1.4000000000000199</v>
      </c>
      <c r="N50" s="44"/>
      <c r="O50" s="44"/>
    </row>
    <row r="51" spans="1:20">
      <c r="A51" s="1" t="s">
        <v>1015</v>
      </c>
      <c r="B51" s="19" t="s">
        <v>554</v>
      </c>
      <c r="C51" s="44">
        <f ca="1">VLOOKUP($A51,Model!$1:$1048576,MATCH(C$14,Model!$1:$1,0),FALSE)</f>
        <v>1212.0297869999999</v>
      </c>
      <c r="D51" s="44">
        <f ca="1">VLOOKUP($A51,Model!$1:$1048576,MATCH(D$14,Model!$1:$1,0),FALSE)</f>
        <v>1217.1424766938851</v>
      </c>
      <c r="E51" s="44">
        <f ca="1">VLOOKUP($A51,Model!$1:$1048576,MATCH(E$14,Model!$1:$1,0),FALSE)</f>
        <v>1265.1829524017603</v>
      </c>
      <c r="F51" s="44">
        <f ca="1">VLOOKUP($A51,Model!$1:$1048576,MATCH(F$14,Model!$1:$1,0),FALSE)</f>
        <v>1266.1282853024047</v>
      </c>
      <c r="G51" s="44">
        <f ca="1">VLOOKUP($A51,Model!$1:$1048576,MATCH(G$14,Model!$1:$1,0),FALSE)</f>
        <v>1325.5298494825181</v>
      </c>
      <c r="H51" s="570"/>
      <c r="I51" s="44">
        <f>VLOOKUP($A51,Model!$1:$1048576,MATCH(I$14,Model!$1:$1,0),FALSE)</f>
        <v>1215.295395089337</v>
      </c>
      <c r="J51" s="44">
        <f>VLOOKUP($A51,Model!$1:$1048576,MATCH(J$14,Model!$1:$1,0),FALSE)</f>
        <v>1264.221951</v>
      </c>
      <c r="K51" s="44">
        <f>VLOOKUP($A51,Model!$1:$1048576,MATCH(K$14,Model!$1:$1,0),FALSE)</f>
        <v>1266.1282853024047</v>
      </c>
      <c r="L51" s="44">
        <f>VLOOKUP($A51,Model!$1:$1048576,MATCH(L$14,Model!$1:$1,0),FALSE)</f>
        <v>1266.1282853024047</v>
      </c>
      <c r="N51" s="44"/>
      <c r="O51" s="44"/>
      <c r="T51" s="548"/>
    </row>
    <row r="52" spans="1:20" s="24" customFormat="1">
      <c r="A52" s="1" t="s">
        <v>107</v>
      </c>
      <c r="B52" s="24" t="s">
        <v>555</v>
      </c>
      <c r="C52" s="526">
        <f ca="1">VLOOKUP($A52,Model!$1:$1048576,MATCH(C$14,Model!$1:$1,0),FALSE) * 100</f>
        <v>6.0559567749303165</v>
      </c>
      <c r="D52" s="526">
        <f ca="1">VLOOKUP($A52,Model!$1:$1048576,MATCH(D$14,Model!$1:$1,0),FALSE) * 100</f>
        <v>7.2957769283680616</v>
      </c>
      <c r="E52" s="526">
        <f ca="1">VLOOKUP($A52,Model!$1:$1048576,MATCH(E$14,Model!$1:$1,0),FALSE) * 100</f>
        <v>10.762263375075417</v>
      </c>
      <c r="F52" s="526">
        <f ca="1">VLOOKUP($A52,Model!$1:$1048576,MATCH(F$14,Model!$1:$1,0),FALSE) * 100</f>
        <v>13.060581349162787</v>
      </c>
      <c r="G52" s="526">
        <f ca="1">VLOOKUP($A52,Model!$1:$1048576,MATCH(G$14,Model!$1:$1,0),FALSE) * 100</f>
        <v>15.513687586165492</v>
      </c>
      <c r="H52" s="570"/>
      <c r="I52" s="526">
        <f>VLOOKUP($A52,Model!$1:$1048576,MATCH(I$14,Model!$1:$1,0),FALSE) * 100</f>
        <v>3.8262302472216456</v>
      </c>
      <c r="J52" s="526">
        <f>VLOOKUP($A52,Model!$1:$1048576,MATCH(J$14,Model!$1:$1,0),FALSE) * 100</f>
        <v>4.8488321177710647</v>
      </c>
      <c r="K52" s="526">
        <f>VLOOKUP($A52,Model!$1:$1048576,MATCH(K$14,Model!$1:$1,0),FALSE) * 100</f>
        <v>5.9126963975970472</v>
      </c>
      <c r="L52" s="526">
        <f>VLOOKUP($A52,Model!$1:$1048576,MATCH(L$14,Model!$1:$1,0),FALSE) * 100</f>
        <v>6.4172077435864576</v>
      </c>
      <c r="N52" s="44"/>
      <c r="O52" s="44"/>
      <c r="P52" s="19"/>
    </row>
    <row r="53" spans="1:20">
      <c r="A53" s="1" t="s">
        <v>106</v>
      </c>
      <c r="B53" s="19" t="s">
        <v>556</v>
      </c>
      <c r="C53" s="44">
        <f ca="1">VLOOKUP($A53,Model!$1:$1048576,MATCH(C$14,Model!$1:$1,0),FALSE) * 100</f>
        <v>-7.180315524165648</v>
      </c>
      <c r="D53" s="44">
        <f ca="1">VLOOKUP($A53,Model!$1:$1048576,MATCH(D$14,Model!$1:$1,0),FALSE) * 100</f>
        <v>20.472737826831853</v>
      </c>
      <c r="E53" s="44">
        <f ca="1">VLOOKUP($A53,Model!$1:$1048576,MATCH(E$14,Model!$1:$1,0),FALSE) * 100</f>
        <v>47.513602468143844</v>
      </c>
      <c r="F53" s="44">
        <f ca="1">VLOOKUP($A53,Model!$1:$1048576,MATCH(F$14,Model!$1:$1,0),FALSE) * 100</f>
        <v>21.355340359074447</v>
      </c>
      <c r="G53" s="44">
        <f ca="1">VLOOKUP($A53,Model!$1:$1048576,MATCH(G$14,Model!$1:$1,0),FALSE) * 100</f>
        <v>18.782519486852365</v>
      </c>
      <c r="H53" s="44"/>
      <c r="I53" s="44">
        <f>VLOOKUP($A53,Model!$1:$1048576,MATCH(I$14,Model!$1:$1,0),FALSE) * 100</f>
        <v>10.266001360854338</v>
      </c>
      <c r="J53" s="44">
        <f>VLOOKUP($A53,Model!$1:$1048576,MATCH(J$14,Model!$1:$1,0),FALSE) * 100</f>
        <v>26.726093425558073</v>
      </c>
      <c r="K53" s="44">
        <f>VLOOKUP($A53,Model!$1:$1048576,MATCH(K$14,Model!$1:$1,0),FALSE) * 100</f>
        <v>21.940629289409696</v>
      </c>
      <c r="L53" s="44">
        <f>VLOOKUP($A53,Model!$1:$1048576,MATCH(L$14,Model!$1:$1,0),FALSE) * 100</f>
        <v>8.5326780213921936</v>
      </c>
      <c r="N53" s="44"/>
      <c r="O53" s="44"/>
    </row>
    <row r="54" spans="1:20" s="24" customFormat="1">
      <c r="A54" s="1" t="s">
        <v>981</v>
      </c>
      <c r="B54" s="24" t="s">
        <v>557</v>
      </c>
      <c r="C54" s="526">
        <f ca="1">VLOOKUP($A54,Model!$1:$1048576,MATCH(C$14,Model!$1:$1,0),FALSE) * 100</f>
        <v>0</v>
      </c>
      <c r="D54" s="526">
        <f ca="1">VLOOKUP($A54,Model!$1:$1048576,MATCH(D$14,Model!$1:$1,0),FALSE) * 100</f>
        <v>0</v>
      </c>
      <c r="E54" s="526">
        <f ca="1">VLOOKUP($A54,Model!$1:$1048576,MATCH(E$14,Model!$1:$1,0),FALSE) * 100</f>
        <v>0</v>
      </c>
      <c r="F54" s="526">
        <f ca="1">VLOOKUP($A54,Model!$1:$1048576,MATCH(F$14,Model!$1:$1,0),FALSE) * 100</f>
        <v>0</v>
      </c>
      <c r="G54" s="526">
        <f ca="1">VLOOKUP($A54,Model!$1:$1048576,MATCH(G$14,Model!$1:$1,0),FALSE) * 100</f>
        <v>0</v>
      </c>
      <c r="H54" s="526"/>
      <c r="I54" s="526">
        <f>VLOOKUP($A54,Model!$1:$1048576,MATCH(I$14,Model!$1:$1,0),FALSE) * 100</f>
        <v>0</v>
      </c>
      <c r="J54" s="526">
        <f>VLOOKUP($A54,Model!$1:$1048576,MATCH(J$14,Model!$1:$1,0),FALSE) * 100</f>
        <v>0</v>
      </c>
      <c r="K54" s="526">
        <f>VLOOKUP($A54,Model!$1:$1048576,MATCH(K$14,Model!$1:$1,0),FALSE) * 100</f>
        <v>0</v>
      </c>
      <c r="L54" s="526">
        <f>VLOOKUP($A54,Model!$1:$1048576,MATCH(L$14,Model!$1:$1,0),FALSE) * 100</f>
        <v>0</v>
      </c>
      <c r="N54" s="44"/>
      <c r="O54" s="44"/>
      <c r="P54" s="19"/>
    </row>
    <row r="55" spans="1:20">
      <c r="D55" s="648"/>
      <c r="E55" s="648"/>
      <c r="F55" s="68"/>
      <c r="G55" s="648"/>
      <c r="I55" s="88"/>
      <c r="J55" s="548"/>
      <c r="K55" s="549"/>
      <c r="M55" s="548"/>
      <c r="N55" s="44"/>
      <c r="O55" s="44"/>
    </row>
    <row r="56" spans="1:20">
      <c r="D56" s="88"/>
      <c r="E56" s="648"/>
      <c r="F56" s="529"/>
      <c r="G56" s="68"/>
      <c r="K56" s="549"/>
      <c r="L56" s="548"/>
      <c r="M56" s="88"/>
      <c r="N56" s="44"/>
      <c r="O56" s="44"/>
    </row>
    <row r="57" spans="1:20">
      <c r="B57" s="2" t="s">
        <v>1093</v>
      </c>
      <c r="C57" s="87"/>
      <c r="D57" s="87"/>
      <c r="E57" s="87"/>
      <c r="F57" s="87"/>
      <c r="G57" s="87"/>
      <c r="H57" s="87"/>
      <c r="I57" s="87"/>
      <c r="J57" s="87"/>
      <c r="K57" s="87"/>
      <c r="L57" s="87"/>
      <c r="N57" s="44"/>
      <c r="O57" s="44"/>
    </row>
    <row r="58" spans="1:20">
      <c r="F58" s="529"/>
      <c r="N58" s="44"/>
      <c r="O58" s="44"/>
    </row>
    <row r="59" spans="1:20">
      <c r="B59" s="6" t="s">
        <v>1094</v>
      </c>
      <c r="C59" s="11" t="str">
        <f ca="1">C$14</f>
        <v>FY24A</v>
      </c>
      <c r="D59" s="11" t="str">
        <f ca="1">D$14</f>
        <v>FY25A</v>
      </c>
      <c r="E59" s="11" t="str">
        <f ca="1">E$14</f>
        <v>FY26E</v>
      </c>
      <c r="F59" s="11" t="str">
        <f ca="1">F$14</f>
        <v>FY27E</v>
      </c>
      <c r="G59" s="11" t="str">
        <f ca="1">G$14</f>
        <v>FY28E</v>
      </c>
      <c r="H59" s="21"/>
      <c r="I59" s="11" t="str">
        <f>I$14</f>
        <v>2H25A</v>
      </c>
      <c r="J59" s="11" t="str">
        <f>J$14</f>
        <v>1H26A</v>
      </c>
      <c r="K59" s="11" t="str">
        <f>K$14</f>
        <v>2H26E</v>
      </c>
      <c r="L59" s="11" t="str">
        <f>L$14</f>
        <v>1H27E</v>
      </c>
    </row>
    <row r="60" spans="1:20">
      <c r="A60" s="1" t="s">
        <v>886</v>
      </c>
      <c r="B60" s="19" t="s">
        <v>1065</v>
      </c>
      <c r="C60" s="44">
        <f ca="1">VLOOKUP($A60,Model!$1:$1048576,MATCH(C$14,Model!$1:$1,0),FALSE)</f>
        <v>1142.2</v>
      </c>
      <c r="D60" s="44">
        <f ca="1">VLOOKUP($A60,Model!$1:$1048576,MATCH(D$14,Model!$1:$1,0),FALSE)</f>
        <v>1156.9000000000001</v>
      </c>
      <c r="E60" s="44">
        <f ca="1">VLOOKUP($A60,Model!$1:$1048576,MATCH(E$14,Model!$1:$1,0),FALSE)</f>
        <v>1183.2639524000001</v>
      </c>
      <c r="F60" s="44">
        <f ca="1">VLOOKUP($A60,Model!$1:$1048576,MATCH(F$14,Model!$1:$1,0),FALSE)</f>
        <v>1231.0678160769601</v>
      </c>
      <c r="G60" s="44">
        <f ca="1">VLOOKUP($A60,Model!$1:$1048576,MATCH(G$14,Model!$1:$1,0),FALSE)</f>
        <v>1304.0378081353178</v>
      </c>
      <c r="H60" s="44"/>
      <c r="I60" s="44">
        <f>VLOOKUP($A60,Model!$1:$1048576,MATCH(I$14,Model!$1:$1,0),FALSE)</f>
        <v>1156.9000000000001</v>
      </c>
      <c r="J60" s="44">
        <f>VLOOKUP($A60,Model!$1:$1048576,MATCH(J$14,Model!$1:$1,0),FALSE)</f>
        <v>1170.7</v>
      </c>
      <c r="K60" s="44">
        <f>VLOOKUP($A60,Model!$1:$1048576,MATCH(K$14,Model!$1:$1,0),FALSE)</f>
        <v>1183.2639524000001</v>
      </c>
      <c r="L60" s="44">
        <f>VLOOKUP($A60,Model!$1:$1048576,MATCH(L$14,Model!$1:$1,0),FALSE)</f>
        <v>1206.9292314480001</v>
      </c>
    </row>
    <row r="61" spans="1:20">
      <c r="B61" s="19" t="s">
        <v>899</v>
      </c>
      <c r="C61" s="44">
        <f ca="1">C63-C60-C62</f>
        <v>9569.1999999999989</v>
      </c>
      <c r="D61" s="44">
        <f ca="1">D63-D60-D62</f>
        <v>11308.4</v>
      </c>
      <c r="E61" s="44">
        <f ca="1">E63-E60-E62</f>
        <v>13347.8436</v>
      </c>
      <c r="F61" s="44">
        <f ca="1">F63-F60-F62</f>
        <v>15429.005646780792</v>
      </c>
      <c r="G61" s="44">
        <f ca="1">G63-G60-G62</f>
        <v>17671.135668202889</v>
      </c>
      <c r="H61" s="44"/>
      <c r="I61" s="44">
        <f>I63-I60-I62</f>
        <v>11308.4</v>
      </c>
      <c r="J61" s="44">
        <f>J63-J60-J62</f>
        <v>12223.3</v>
      </c>
      <c r="K61" s="44">
        <f>K63-K60-K62</f>
        <v>13347.8436</v>
      </c>
      <c r="L61" s="44">
        <f>L63-L60-L62</f>
        <v>14255.230007927999</v>
      </c>
    </row>
    <row r="62" spans="1:20">
      <c r="A62" s="1" t="s">
        <v>735</v>
      </c>
      <c r="B62" s="19" t="s">
        <v>1061</v>
      </c>
      <c r="C62" s="44">
        <f ca="1">VLOOKUP($A62,Model!$1:$1048576,MATCH(C$14,Model!$1:$1,0),FALSE)</f>
        <v>0</v>
      </c>
      <c r="D62" s="44">
        <f ca="1">VLOOKUP($A62,Model!$1:$1048576,MATCH(D$14,Model!$1:$1,0),FALSE)</f>
        <v>0</v>
      </c>
      <c r="E62" s="44">
        <f ca="1">VLOOKUP($A62,Model!$1:$1048576,MATCH(E$14,Model!$1:$1,0),FALSE)</f>
        <v>0</v>
      </c>
      <c r="F62" s="44">
        <f ca="1">VLOOKUP($A62,Model!$1:$1048576,MATCH(F$14,Model!$1:$1,0),FALSE)</f>
        <v>0</v>
      </c>
      <c r="G62" s="44">
        <f ca="1">VLOOKUP($A62,Model!$1:$1048576,MATCH(G$14,Model!$1:$1,0),FALSE)</f>
        <v>0</v>
      </c>
      <c r="H62" s="44"/>
      <c r="I62" s="44">
        <f>VLOOKUP($A62,Model!$1:$1048576,MATCH(I$14,Model!$1:$1,0),FALSE)</f>
        <v>0</v>
      </c>
      <c r="J62" s="44">
        <f>VLOOKUP($A62,Model!$1:$1048576,MATCH(J$14,Model!$1:$1,0),FALSE)</f>
        <v>0</v>
      </c>
      <c r="K62" s="44">
        <f>VLOOKUP($A62,Model!$1:$1048576,MATCH(K$14,Model!$1:$1,0),FALSE)</f>
        <v>0</v>
      </c>
      <c r="L62" s="44">
        <f>VLOOKUP($A62,Model!$1:$1048576,MATCH(L$14,Model!$1:$1,0),FALSE)</f>
        <v>0</v>
      </c>
    </row>
    <row r="63" spans="1:20" s="24" customFormat="1">
      <c r="A63" s="1" t="s">
        <v>736</v>
      </c>
      <c r="B63" s="24" t="s">
        <v>1062</v>
      </c>
      <c r="C63" s="526">
        <f ca="1">C72-C69-C66</f>
        <v>10711.4</v>
      </c>
      <c r="D63" s="526">
        <f ca="1">D72-D69-D66</f>
        <v>12465.3</v>
      </c>
      <c r="E63" s="526">
        <f ca="1">E72-E69-E66</f>
        <v>14531.107552400001</v>
      </c>
      <c r="F63" s="526">
        <f ca="1">F72-F69-F66</f>
        <v>16660.073462857752</v>
      </c>
      <c r="G63" s="526">
        <f ca="1">G72-G69-G66</f>
        <v>18975.173476338208</v>
      </c>
      <c r="H63" s="526"/>
      <c r="I63" s="526">
        <f>I72-I69-I66</f>
        <v>12465.3</v>
      </c>
      <c r="J63" s="526">
        <f>J72-J69-J66</f>
        <v>13394</v>
      </c>
      <c r="K63" s="526">
        <f>K72-K69-K66</f>
        <v>14531.107552400001</v>
      </c>
      <c r="L63" s="526">
        <f>L72-L69-L66</f>
        <v>15462.159239376</v>
      </c>
    </row>
    <row r="64" spans="1:20" s="57" customFormat="1">
      <c r="A64" s="1" t="s">
        <v>607</v>
      </c>
      <c r="B64" s="57" t="s">
        <v>1095</v>
      </c>
      <c r="C64" s="44" t="str">
        <f ca="1">IF(ISERROR((C63 / (VLOOKUP($A63,Model!$1:$1048576,MATCH(A$14,Model!$1:$1,0),FALSE) + VLOOKUP($A64,Model!$1:$1048576,MATCH(A$14,Model!$1:$1,0),FALSE)) - 1) * 100),"n.a.",(C63 / (VLOOKUP($A63,Model!$1:$1048576,MATCH(A$14,Model!$1:$1,0),FALSE) + VLOOKUP($A64,Model!$1:$1048576,MATCH(A$14,Model!$1:$1,0),FALSE)) - 1) * 100)</f>
        <v>n.a.</v>
      </c>
      <c r="D64" s="90">
        <f ca="1">(D63 / C63 - 1) * 100</f>
        <v>16.374143435965415</v>
      </c>
      <c r="E64" s="90">
        <f ca="1">(E63 / D63 - 1) * 100</f>
        <v>16.572465583660257</v>
      </c>
      <c r="F64" s="90">
        <f ca="1">(F63 / E63 - 1) * 100</f>
        <v>14.651091823390461</v>
      </c>
      <c r="G64" s="90">
        <f ca="1">(G63 / F63 - 1) * 100</f>
        <v>13.896097268969299</v>
      </c>
      <c r="H64" s="90"/>
      <c r="I64" s="44">
        <f>IF(ISERROR((I63 / (VLOOKUP($A63,Model!$1:$1048576,MATCH(H$14,Model!$1:$1,0),FALSE) + VLOOKUP($A64,Model!$1:$1048576,MATCH(H$14,Model!$1:$1,0),FALSE)) - 1) * 100),"n.a.",(I63 / (VLOOKUP($A63,Model!$1:$1048576,MATCH(H$14,Model!$1:$1,0),FALSE) + VLOOKUP($A64,Model!$1:$1048576,MATCH(H$14,Model!$1:$1,0),FALSE)) - 1) * 100)</f>
        <v>7.0267624861551026</v>
      </c>
      <c r="J64" s="90">
        <f>IF(ISERROR((J63 / I63 - 1) * 100),"n.a.",(J63 / I63 - 1) * 100)</f>
        <v>7.4502819827842126</v>
      </c>
      <c r="K64" s="90">
        <f>IF(ISERROR((K63 / J63 - 1) * 100),"n.a.",(K63 / J63 - 1) * 100)</f>
        <v>8.4896786053456843</v>
      </c>
      <c r="L64" s="90">
        <f>IF(ISERROR((L63 / K63 - 1) * 100),"n.a.",(L63 / K63 - 1) * 100)</f>
        <v>6.4073002255235822</v>
      </c>
    </row>
    <row r="65" spans="1:15">
      <c r="A65" s="1" t="s">
        <v>612</v>
      </c>
      <c r="B65" s="19" t="s">
        <v>558</v>
      </c>
      <c r="C65" s="44">
        <f ca="1">VLOOKUP($A65,Model!$1:$1048576,MATCH(C$14,Model!$1:$1,0),FALSE)</f>
        <v>8228</v>
      </c>
      <c r="D65" s="44">
        <f ca="1">VLOOKUP($A65,Model!$1:$1048576,MATCH(D$14,Model!$1:$1,0),FALSE)</f>
        <v>9879.2000000000007</v>
      </c>
      <c r="E65" s="44">
        <f ca="1">VLOOKUP($A65,Model!$1:$1048576,MATCH(E$14,Model!$1:$1,0),FALSE)</f>
        <v>11998.09</v>
      </c>
      <c r="F65" s="44">
        <f ca="1">VLOOKUP($A65,Model!$1:$1048576,MATCH(F$14,Model!$1:$1,0),FALSE)</f>
        <v>14188.941234000002</v>
      </c>
      <c r="G65" s="44">
        <f ca="1">VLOOKUP($A65,Model!$1:$1048576,MATCH(G$14,Model!$1:$1,0),FALSE)</f>
        <v>16498.4667917105</v>
      </c>
      <c r="H65" s="44"/>
      <c r="I65" s="44">
        <f>VLOOKUP($A65,Model!$1:$1048576,MATCH(I$14,Model!$1:$1,0),FALSE)</f>
        <v>9879.2000000000007</v>
      </c>
      <c r="J65" s="44">
        <f>VLOOKUP($A65,Model!$1:$1048576,MATCH(J$14,Model!$1:$1,0),FALSE)</f>
        <v>10858</v>
      </c>
      <c r="K65" s="44">
        <f>VLOOKUP($A65,Model!$1:$1048576,MATCH(K$14,Model!$1:$1,0),FALSE)</f>
        <v>11998.09</v>
      </c>
      <c r="L65" s="44">
        <f>VLOOKUP($A65,Model!$1:$1048576,MATCH(L$14,Model!$1:$1,0),FALSE)</f>
        <v>12957.9372</v>
      </c>
    </row>
    <row r="66" spans="1:15" s="24" customFormat="1">
      <c r="A66" s="1" t="s">
        <v>602</v>
      </c>
      <c r="B66" s="24" t="s">
        <v>1063</v>
      </c>
      <c r="C66" s="526">
        <f ca="1">VLOOKUP($A66,Model!$1:$1048576,MATCH(C$14,Model!$1:$1,0),FALSE)</f>
        <v>0</v>
      </c>
      <c r="D66" s="526">
        <f ca="1">VLOOKUP($A66,Model!$1:$1048576,MATCH(D$14,Model!$1:$1,0),FALSE)</f>
        <v>0</v>
      </c>
      <c r="E66" s="526">
        <f ca="1">VLOOKUP($A66,Model!$1:$1048576,MATCH(E$14,Model!$1:$1,0),FALSE)</f>
        <v>0</v>
      </c>
      <c r="F66" s="526">
        <f ca="1">VLOOKUP($A66,Model!$1:$1048576,MATCH(F$14,Model!$1:$1,0),FALSE)</f>
        <v>0</v>
      </c>
      <c r="G66" s="526">
        <f ca="1">VLOOKUP($A66,Model!$1:$1048576,MATCH(G$14,Model!$1:$1,0),FALSE)</f>
        <v>0</v>
      </c>
      <c r="H66" s="526"/>
      <c r="I66" s="526">
        <f>VLOOKUP($A66,Model!$1:$1048576,MATCH(I$14,Model!$1:$1,0),FALSE)</f>
        <v>0</v>
      </c>
      <c r="J66" s="526">
        <f>VLOOKUP($A66,Model!$1:$1048576,MATCH(J$14,Model!$1:$1,0),FALSE)</f>
        <v>0</v>
      </c>
      <c r="K66" s="526">
        <f>VLOOKUP($A66,Model!$1:$1048576,MATCH(K$14,Model!$1:$1,0),FALSE)</f>
        <v>0</v>
      </c>
      <c r="L66" s="526">
        <f>VLOOKUP($A66,Model!$1:$1048576,MATCH(L$14,Model!$1:$1,0),FALSE)</f>
        <v>0</v>
      </c>
    </row>
    <row r="67" spans="1:15" s="57" customFormat="1">
      <c r="A67" s="89"/>
      <c r="B67" s="57" t="s">
        <v>1096</v>
      </c>
      <c r="C67" s="90" t="str">
        <f ca="1">IF(ISERROR((C66 / VLOOKUP($A66,Model!$1:$1048576,MATCH(A$14,Model!$1:$1,0),FALSE) - 1) * 100),"n.a.",(C66 / VLOOKUP($A66,Model!$1:$1048576,MATCH(A$14,Model!$1:$1,0),FALSE) - 1) * 100)</f>
        <v>n.a.</v>
      </c>
      <c r="D67" s="90" t="str">
        <f ca="1">IF(ISERROR((D66 / C66 - 1) * 100),"n.a.",(D66 / C66 - 1) * 100)</f>
        <v>n.a.</v>
      </c>
      <c r="E67" s="90" t="str">
        <f ca="1">IF(ISERROR((E66 / D66 - 1) * 100),"n.a.",(E66 / D66 - 1) * 100)</f>
        <v>n.a.</v>
      </c>
      <c r="F67" s="90" t="str">
        <f ca="1">IF(ISERROR((F66 / E66 - 1) * 100),"n.a.",(F66 / E66 - 1) * 100)</f>
        <v>n.a.</v>
      </c>
      <c r="G67" s="90" t="str">
        <f ca="1">IF(ISERROR((G66 / F66 - 1) * 100),"n.a.",(G66 / F66 - 1) * 100)</f>
        <v>n.a.</v>
      </c>
      <c r="H67" s="90"/>
      <c r="I67" s="90" t="str">
        <f>IF(ISERROR((I66 / VLOOKUP($A66,Model!$1:$1048576,MATCH(H$14,Model!$1:$1,0),FALSE) - 1) * 100),"n.a.",(I66 / VLOOKUP($A66,Model!$1:$1048576,MATCH(H$14,Model!$1:$1,0),FALSE) - 1) * 100)</f>
        <v>n.a.</v>
      </c>
      <c r="J67" s="90" t="str">
        <f>IF(ISERROR((J66 / I66 - 1) * 100),"n.a.",(J66 / I66 - 1) * 100)</f>
        <v>n.a.</v>
      </c>
      <c r="K67" s="90" t="str">
        <f>IF(ISERROR((K66 / J66 - 1) * 100),"n.a.",(K66 / J66 - 1) * 100)</f>
        <v>n.a.</v>
      </c>
      <c r="L67" s="90" t="str">
        <f>IF(ISERROR((L66 / K66 - 1) * 100),"n.a.",(L66 / K66 - 1) * 100)</f>
        <v>n.a.</v>
      </c>
    </row>
    <row r="68" spans="1:15">
      <c r="A68" s="1" t="s">
        <v>248</v>
      </c>
      <c r="B68" s="19" t="s">
        <v>457</v>
      </c>
      <c r="C68" s="44">
        <f ca="1">VLOOKUP($A68,Model!$1:$1048576,MATCH(C$14,Model!$1:$1,0),FALSE)</f>
        <v>0</v>
      </c>
      <c r="D68" s="44">
        <f ca="1">VLOOKUP($A68,Model!$1:$1048576,MATCH(D$14,Model!$1:$1,0),FALSE)</f>
        <v>0</v>
      </c>
      <c r="E68" s="44">
        <f ca="1">VLOOKUP($A68,Model!$1:$1048576,MATCH(E$14,Model!$1:$1,0),FALSE)</f>
        <v>0</v>
      </c>
      <c r="F68" s="44">
        <f ca="1">VLOOKUP($A68,Model!$1:$1048576,MATCH(F$14,Model!$1:$1,0),FALSE)</f>
        <v>0</v>
      </c>
      <c r="G68" s="44">
        <f ca="1">VLOOKUP($A68,Model!$1:$1048576,MATCH(G$14,Model!$1:$1,0),FALSE)</f>
        <v>0</v>
      </c>
      <c r="H68" s="44"/>
      <c r="I68" s="44">
        <f>VLOOKUP($A68,Model!$1:$1048576,MATCH(I$14,Model!$1:$1,0),FALSE)</f>
        <v>0</v>
      </c>
      <c r="J68" s="44">
        <f>VLOOKUP($A68,Model!$1:$1048576,MATCH(J$14,Model!$1:$1,0),FALSE)</f>
        <v>0</v>
      </c>
      <c r="K68" s="44">
        <f>VLOOKUP($A68,Model!$1:$1048576,MATCH(K$14,Model!$1:$1,0),FALSE)</f>
        <v>0</v>
      </c>
      <c r="L68" s="44">
        <f>VLOOKUP($A68,Model!$1:$1048576,MATCH(L$14,Model!$1:$1,0),FALSE)</f>
        <v>0</v>
      </c>
    </row>
    <row r="69" spans="1:15" s="24" customFormat="1">
      <c r="A69" s="1" t="s">
        <v>597</v>
      </c>
      <c r="B69" s="24" t="s">
        <v>1064</v>
      </c>
      <c r="C69" s="526">
        <f ca="1">VLOOKUP($A69,Model!$1:$1048576,MATCH(C$14,Model!$1:$1,0),FALSE)</f>
        <v>0</v>
      </c>
      <c r="D69" s="526">
        <f ca="1">VLOOKUP($A69,Model!$1:$1048576,MATCH(D$14,Model!$1:$1,0),FALSE)</f>
        <v>0</v>
      </c>
      <c r="E69" s="526">
        <f ca="1">VLOOKUP($A69,Model!$1:$1048576,MATCH(E$14,Model!$1:$1,0),FALSE)</f>
        <v>0</v>
      </c>
      <c r="F69" s="526">
        <f ca="1">VLOOKUP($A69,Model!$1:$1048576,MATCH(F$14,Model!$1:$1,0),FALSE)</f>
        <v>0</v>
      </c>
      <c r="G69" s="526">
        <f ca="1">VLOOKUP($A69,Model!$1:$1048576,MATCH(G$14,Model!$1:$1,0),FALSE)</f>
        <v>0</v>
      </c>
      <c r="H69" s="526"/>
      <c r="I69" s="526">
        <f>VLOOKUP($A69,Model!$1:$1048576,MATCH(I$14,Model!$1:$1,0),FALSE)</f>
        <v>0</v>
      </c>
      <c r="J69" s="526">
        <f>VLOOKUP($A69,Model!$1:$1048576,MATCH(J$14,Model!$1:$1,0),FALSE)</f>
        <v>0</v>
      </c>
      <c r="K69" s="526">
        <f>VLOOKUP($A69,Model!$1:$1048576,MATCH(K$14,Model!$1:$1,0),FALSE)</f>
        <v>0</v>
      </c>
      <c r="L69" s="526">
        <f>VLOOKUP($A69,Model!$1:$1048576,MATCH(L$14,Model!$1:$1,0),FALSE)</f>
        <v>0</v>
      </c>
    </row>
    <row r="70" spans="1:15" s="57" customFormat="1">
      <c r="A70" s="1"/>
      <c r="B70" s="57" t="s">
        <v>1097</v>
      </c>
      <c r="C70" s="90" t="str">
        <f ca="1">IF(ISERROR((C69 / VLOOKUP($A69,Model!$1:$1048576,MATCH(A$14,Model!$1:$1,0),FALSE) - 1) * 100),"n.a.",(C69 / VLOOKUP($A69,Model!$1:$1048576,MATCH(A$14,Model!$1:$1,0),FALSE) - 1) * 100)</f>
        <v>n.a.</v>
      </c>
      <c r="D70" s="90" t="str">
        <f ca="1">IF(ISERROR((D69 / C69 - 1) * 100),"n.a.",(D69 / C69 - 1) * 100)</f>
        <v>n.a.</v>
      </c>
      <c r="E70" s="90" t="str">
        <f ca="1">IF(ISERROR((E69 / D69 - 1) * 100),"n.a.",(E69 / D69 - 1) * 100)</f>
        <v>n.a.</v>
      </c>
      <c r="F70" s="90" t="str">
        <f ca="1">IF(ISERROR((F69 / E69 - 1) * 100),"n.a.",(F69 / E69 - 1) * 100)</f>
        <v>n.a.</v>
      </c>
      <c r="G70" s="90" t="str">
        <f ca="1">IF(ISERROR((G69 / F69 - 1) * 100),"n.a.",(G69 / F69 - 1) * 100)</f>
        <v>n.a.</v>
      </c>
      <c r="H70" s="90"/>
      <c r="I70" s="90" t="str">
        <f>IF(ISERROR((I69 / VLOOKUP($A69,Model!$1:$1048576,MATCH(H$14,Model!$1:$1,0),FALSE) - 1) * 100),"n.a.",(I69 / VLOOKUP($A69,Model!$1:$1048576,MATCH(H$14,Model!$1:$1,0),FALSE) - 1) * 100)</f>
        <v>n.a.</v>
      </c>
      <c r="J70" s="90" t="str">
        <f>IF(ISERROR((J69 / I69 - 1) * 100),"n.a.",(J69 / I69 - 1) * 100)</f>
        <v>n.a.</v>
      </c>
      <c r="K70" s="90" t="str">
        <f>IF(ISERROR((K69 / J69 - 1) * 100),"n.a.",(K69 / J69 - 1) * 100)</f>
        <v>n.a.</v>
      </c>
      <c r="L70" s="90" t="str">
        <f>IF(ISERROR((L69 / K69 - 1) * 100),"n.a.",(L69 / K69 - 1) * 100)</f>
        <v>n.a.</v>
      </c>
    </row>
    <row r="71" spans="1:15">
      <c r="A71" s="1" t="s">
        <v>245</v>
      </c>
      <c r="B71" s="19" t="s">
        <v>468</v>
      </c>
      <c r="C71" s="44">
        <f ca="1">VLOOKUP($A71,Model!$1:$1048576,MATCH(C$14,Model!$1:$1,0),FALSE)</f>
        <v>0</v>
      </c>
      <c r="D71" s="44">
        <f ca="1">VLOOKUP($A71,Model!$1:$1048576,MATCH(D$14,Model!$1:$1,0),FALSE)</f>
        <v>0</v>
      </c>
      <c r="E71" s="44">
        <f ca="1">VLOOKUP($A71,Model!$1:$1048576,MATCH(E$14,Model!$1:$1,0),FALSE)</f>
        <v>0</v>
      </c>
      <c r="F71" s="44">
        <f ca="1">VLOOKUP($A71,Model!$1:$1048576,MATCH(F$14,Model!$1:$1,0),FALSE)</f>
        <v>0</v>
      </c>
      <c r="G71" s="44">
        <f ca="1">VLOOKUP($A71,Model!$1:$1048576,MATCH(G$14,Model!$1:$1,0),FALSE)</f>
        <v>0</v>
      </c>
      <c r="H71" s="44"/>
      <c r="I71" s="44">
        <f>VLOOKUP($A71,Model!$1:$1048576,MATCH(I$14,Model!$1:$1,0),FALSE)</f>
        <v>0</v>
      </c>
      <c r="J71" s="44">
        <f>VLOOKUP($A71,Model!$1:$1048576,MATCH(J$14,Model!$1:$1,0),FALSE)</f>
        <v>0</v>
      </c>
      <c r="K71" s="44">
        <f>VLOOKUP($A71,Model!$1:$1048576,MATCH(K$14,Model!$1:$1,0),FALSE)</f>
        <v>0</v>
      </c>
      <c r="L71" s="44">
        <f>VLOOKUP($A71,Model!$1:$1048576,MATCH(L$14,Model!$1:$1,0),FALSE)</f>
        <v>0</v>
      </c>
    </row>
    <row r="72" spans="1:15" s="24" customFormat="1">
      <c r="A72" s="1" t="s">
        <v>609</v>
      </c>
      <c r="B72" s="24" t="s">
        <v>1098</v>
      </c>
      <c r="C72" s="526">
        <f ca="1">VLOOKUP($A72,Model!$1:$1048576,MATCH(C$14,Model!$1:$1,0),FALSE)</f>
        <v>10711.4</v>
      </c>
      <c r="D72" s="526">
        <f ca="1">VLOOKUP($A72,Model!$1:$1048576,MATCH(D$14,Model!$1:$1,0),FALSE)</f>
        <v>12465.3</v>
      </c>
      <c r="E72" s="526">
        <f ca="1">VLOOKUP($A72,Model!$1:$1048576,MATCH(E$14,Model!$1:$1,0),FALSE)</f>
        <v>14531.107552400001</v>
      </c>
      <c r="F72" s="526">
        <f ca="1">VLOOKUP($A72,Model!$1:$1048576,MATCH(F$14,Model!$1:$1,0),FALSE)</f>
        <v>16660.073462857752</v>
      </c>
      <c r="G72" s="526">
        <f ca="1">VLOOKUP($A72,Model!$1:$1048576,MATCH(G$14,Model!$1:$1,0),FALSE)</f>
        <v>18975.173476338208</v>
      </c>
      <c r="H72" s="526"/>
      <c r="I72" s="526">
        <f>VLOOKUP($A72,Model!$1:$1048576,MATCH(I$14,Model!$1:$1,0),FALSE)</f>
        <v>12465.3</v>
      </c>
      <c r="J72" s="526">
        <f>VLOOKUP($A72,Model!$1:$1048576,MATCH(J$14,Model!$1:$1,0),FALSE)</f>
        <v>13394</v>
      </c>
      <c r="K72" s="526">
        <f>VLOOKUP($A72,Model!$1:$1048576,MATCH(K$14,Model!$1:$1,0),FALSE)</f>
        <v>14531.107552400001</v>
      </c>
      <c r="L72" s="526">
        <f>VLOOKUP($A72,Model!$1:$1048576,MATCH(L$14,Model!$1:$1,0),FALSE)</f>
        <v>15462.159239376</v>
      </c>
      <c r="N72" s="19"/>
      <c r="O72" s="550"/>
    </row>
    <row r="73" spans="1:15" s="57" customFormat="1">
      <c r="A73" s="1"/>
      <c r="B73" s="57" t="s">
        <v>1099</v>
      </c>
      <c r="C73" s="90" t="str">
        <f ca="1">IF(ISERROR((C72 / VLOOKUP($A72,Model!$1:$1048576,MATCH(A$14,Model!$1:$1,0),FALSE) - 1) * 100),"n.a.",(C72 / VLOOKUP($A72,Model!$1:$1048576,MATCH(A$14,Model!$1:$1,0),FALSE) - 1) * 100)</f>
        <v>n.a.</v>
      </c>
      <c r="D73" s="90">
        <f ca="1">IF(ISERROR((D72 / C72 - 1) * 100),"n.a.",(D72 / C72 - 1) * 100)</f>
        <v>16.374143435965415</v>
      </c>
      <c r="E73" s="90">
        <f ca="1">IF(ISERROR((E72 / D72 - 1) * 100),"n.a.",(E72 / D72 - 1) * 100)</f>
        <v>16.572465583660257</v>
      </c>
      <c r="F73" s="90">
        <f ca="1">IF(ISERROR((F72 / E72 - 1) * 100),"n.a.",(F72 / E72 - 1) * 100)</f>
        <v>14.651091823390461</v>
      </c>
      <c r="G73" s="90">
        <f ca="1">IF(ISERROR((G72 / F72 - 1) * 100),"n.a.",(G72 / F72 - 1) * 100)</f>
        <v>13.896097268969299</v>
      </c>
      <c r="H73" s="90"/>
      <c r="I73" s="90">
        <f>IF(ISERROR((I72 / VLOOKUP($A72,Model!$1:$1048576,MATCH(H$14,Model!$1:$1,0),FALSE) - 1) * 100),"n.a.",(I72 / VLOOKUP($A72,Model!$1:$1048576,MATCH(H$14,Model!$1:$1,0),FALSE) - 1) * 100)</f>
        <v>7.0267624861551026</v>
      </c>
      <c r="J73" s="90">
        <f>IF(ISERROR((J72 / I72 - 1) * 100),"n.a.",(J72 / I72 - 1) * 100)</f>
        <v>7.4502819827842126</v>
      </c>
      <c r="K73" s="90">
        <f>IF(ISERROR((K72 / J72 - 1) * 100),"n.a.",(K72 / J72 - 1) * 100)</f>
        <v>8.4896786053456843</v>
      </c>
      <c r="L73" s="90">
        <f>IF(ISERROR((L72 / K72 - 1) * 100),"n.a.",(L72 / K72 - 1) * 100)</f>
        <v>6.4073002255235822</v>
      </c>
    </row>
    <row r="74" spans="1:15" s="24" customFormat="1">
      <c r="A74" s="1" t="s">
        <v>892</v>
      </c>
      <c r="B74" s="24" t="s">
        <v>569</v>
      </c>
      <c r="C74" s="526">
        <f ca="1">VLOOKUP($A74,Model!$1:$1048576,MATCH(C$14,Model!$1:$1,0),FALSE)</f>
        <v>9611</v>
      </c>
      <c r="D74" s="526">
        <f ca="1">VLOOKUP($A74,Model!$1:$1048576,MATCH(D$14,Model!$1:$1,0),FALSE)</f>
        <v>11548</v>
      </c>
      <c r="E74" s="526">
        <f ca="1">VLOOKUP($A74,Model!$1:$1048576,MATCH(E$14,Model!$1:$1,0),FALSE)</f>
        <v>13959.902708202582</v>
      </c>
      <c r="F74" s="526">
        <f ca="1">VLOOKUP($A74,Model!$1:$1048576,MATCH(F$14,Model!$1:$1,0),FALSE)</f>
        <v>16044.269595977121</v>
      </c>
      <c r="G74" s="526">
        <f ca="1">VLOOKUP($A74,Model!$1:$1048576,MATCH(G$14,Model!$1:$1,0),FALSE)</f>
        <v>18530.028791559409</v>
      </c>
      <c r="H74" s="526"/>
      <c r="I74" s="526">
        <f>VLOOKUP($A74,Model!$1:$1048576,MATCH(I$14,Model!$1:$1,0),FALSE)</f>
        <v>11548</v>
      </c>
      <c r="J74" s="526">
        <f>VLOOKUP($A74,Model!$1:$1048576,MATCH(J$14,Model!$1:$1,0),FALSE)</f>
        <v>12714</v>
      </c>
      <c r="K74" s="526">
        <f>VLOOKUP($A74,Model!$1:$1048576,MATCH(K$14,Model!$1:$1,0),FALSE)</f>
        <v>13959.902708202582</v>
      </c>
      <c r="L74" s="526">
        <f>VLOOKUP($A74,Model!$1:$1048576,MATCH(L$14,Model!$1:$1,0),FALSE)</f>
        <v>14948.747433014558</v>
      </c>
    </row>
    <row r="75" spans="1:15">
      <c r="J75" s="552"/>
    </row>
    <row r="77" spans="1:15">
      <c r="B77" s="2" t="s">
        <v>1100</v>
      </c>
      <c r="C77" s="87"/>
      <c r="D77" s="87"/>
      <c r="E77" s="87"/>
      <c r="F77" s="87"/>
      <c r="G77" s="87"/>
      <c r="H77" s="87"/>
      <c r="I77" s="87"/>
      <c r="J77" s="87"/>
      <c r="K77" s="87"/>
      <c r="L77" s="87"/>
    </row>
    <row r="79" spans="1:15">
      <c r="B79" s="6" t="s">
        <v>1101</v>
      </c>
      <c r="C79" s="11" t="str">
        <f ca="1">C$14</f>
        <v>FY24A</v>
      </c>
      <c r="D79" s="11" t="str">
        <f ca="1">D$14</f>
        <v>FY25A</v>
      </c>
      <c r="E79" s="11" t="str">
        <f ca="1">E$14</f>
        <v>FY26E</v>
      </c>
      <c r="F79" s="11" t="str">
        <f ca="1">F$14</f>
        <v>FY27E</v>
      </c>
      <c r="G79" s="11" t="str">
        <f ca="1">G$14</f>
        <v>FY28E</v>
      </c>
      <c r="H79" s="21"/>
      <c r="I79" s="11" t="str">
        <f>I$14</f>
        <v>2H25A</v>
      </c>
      <c r="J79" s="11" t="str">
        <f>J$14</f>
        <v>1H26A</v>
      </c>
      <c r="K79" s="11" t="str">
        <f>K$14</f>
        <v>2H26E</v>
      </c>
      <c r="L79" s="11" t="str">
        <f>L$14</f>
        <v>1H27E</v>
      </c>
    </row>
    <row r="80" spans="1:15" s="24" customFormat="1">
      <c r="A80" s="1"/>
      <c r="B80" s="24" t="s">
        <v>721</v>
      </c>
    </row>
    <row r="81" spans="1:13">
      <c r="A81" s="1" t="s">
        <v>998</v>
      </c>
      <c r="B81" s="19" t="s">
        <v>722</v>
      </c>
      <c r="C81" s="44">
        <f ca="1">VLOOKUP($A81,Model!$1:$1048576,MATCH(C$14,Model!$1:$1,0),FALSE) * 100</f>
        <v>4.5507812500000018</v>
      </c>
      <c r="D81" s="44">
        <f ca="1">VLOOKUP($A81,Model!$1:$1048576,MATCH(D$14,Model!$1:$1,0),FALSE) * 100</f>
        <v>5.3079649771260664</v>
      </c>
      <c r="E81" s="44">
        <f ca="1">VLOOKUP($A81,Model!$1:$1048576,MATCH(E$14,Model!$1:$1,0),FALSE) * 100</f>
        <v>7.6673445890296925</v>
      </c>
      <c r="F81" s="44">
        <f ca="1">VLOOKUP($A81,Model!$1:$1048576,MATCH(F$14,Model!$1:$1,0),FALSE) * 100</f>
        <v>8.6230333594489554</v>
      </c>
      <c r="G81" s="44">
        <f ca="1">VLOOKUP($A81,Model!$1:$1048576,MATCH(G$14,Model!$1:$1,0),FALSE) * 100</f>
        <v>9.3230835767189877</v>
      </c>
      <c r="H81" s="44"/>
      <c r="I81" s="44">
        <f>VLOOKUP($A81,Model!$1:$1048576,MATCH(I$14,Model!$1:$1,0),FALSE) * 100</f>
        <v>5.5373653377434451</v>
      </c>
      <c r="J81" s="44">
        <f>VLOOKUP($A81,Model!$1:$1048576,MATCH(J$14,Model!$1:$1,0),FALSE) * 100</f>
        <v>6.9446738495159162</v>
      </c>
      <c r="K81" s="44">
        <f>VLOOKUP($A81,Model!$1:$1048576,MATCH(K$14,Model!$1:$1,0),FALSE) * 100</f>
        <v>8.3826559616330822</v>
      </c>
      <c r="L81" s="44">
        <f>VLOOKUP($A81,Model!$1:$1048576,MATCH(L$14,Model!$1:$1,0),FALSE) * 100</f>
        <v>8.5893204838928394</v>
      </c>
    </row>
    <row r="82" spans="1:13">
      <c r="A82" s="1" t="s">
        <v>999</v>
      </c>
      <c r="B82" s="19" t="s">
        <v>592</v>
      </c>
      <c r="C82" s="44">
        <f ca="1">VLOOKUP($A82,Model!$1:$1048576,MATCH(C$14,Model!$1:$1,0),FALSE) * 100</f>
        <v>4.5507812499999991</v>
      </c>
      <c r="D82" s="44">
        <f ca="1">VLOOKUP($A82,Model!$1:$1048576,MATCH(D$14,Model!$1:$1,0),FALSE) * 100</f>
        <v>5.3079649771260691</v>
      </c>
      <c r="E82" s="44">
        <f ca="1">VLOOKUP($A82,Model!$1:$1048576,MATCH(E$14,Model!$1:$1,0),FALSE) * 100</f>
        <v>7.6673445890296898</v>
      </c>
      <c r="F82" s="44">
        <f ca="1">VLOOKUP($A82,Model!$1:$1048576,MATCH(F$14,Model!$1:$1,0),FALSE) * 100</f>
        <v>8.6230333594489608</v>
      </c>
      <c r="G82" s="44">
        <f ca="1">VLOOKUP($A82,Model!$1:$1048576,MATCH(G$14,Model!$1:$1,0),FALSE) * 100</f>
        <v>9.3230835767189912</v>
      </c>
      <c r="H82" s="44"/>
      <c r="I82" s="44">
        <f>VLOOKUP($A82,Model!$1:$1048576,MATCH(I$14,Model!$1:$1,0),FALSE) * 100</f>
        <v>5.5373653377434451</v>
      </c>
      <c r="J82" s="44">
        <f>VLOOKUP($A82,Model!$1:$1048576,MATCH(J$14,Model!$1:$1,0),FALSE) * 100</f>
        <v>6.9446738495159162</v>
      </c>
      <c r="K82" s="44">
        <f>VLOOKUP($A82,Model!$1:$1048576,MATCH(K$14,Model!$1:$1,0),FALSE) * 100</f>
        <v>8.3826559616330822</v>
      </c>
      <c r="L82" s="44">
        <f>VLOOKUP($A82,Model!$1:$1048576,MATCH(L$14,Model!$1:$1,0),FALSE) * 100</f>
        <v>8.5893204838928394</v>
      </c>
    </row>
    <row r="83" spans="1:13">
      <c r="A83" s="1" t="s">
        <v>1000</v>
      </c>
      <c r="B83" s="19" t="s">
        <v>593</v>
      </c>
      <c r="C83" s="44">
        <f ca="1">VLOOKUP($A83,Model!$1:$1048576,MATCH(C$14,Model!$1:$1,0),FALSE) * 100</f>
        <v>4.6985279290179456</v>
      </c>
      <c r="D83" s="44">
        <f ca="1">VLOOKUP($A83,Model!$1:$1048576,MATCH(D$14,Model!$1:$1,0),FALSE) * 100</f>
        <v>5.4682074610444893</v>
      </c>
      <c r="E83" s="44">
        <f ca="1">VLOOKUP($A83,Model!$1:$1048576,MATCH(E$14,Model!$1:$1,0),FALSE) * 100</f>
        <v>7.8672653531403043</v>
      </c>
      <c r="F83" s="44">
        <f ca="1">VLOOKUP($A83,Model!$1:$1048576,MATCH(F$14,Model!$1:$1,0),FALSE) * 100</f>
        <v>8.8300581161412239</v>
      </c>
      <c r="G83" s="44">
        <f ca="1">VLOOKUP($A83,Model!$1:$1048576,MATCH(G$14,Model!$1:$1,0),FALSE) * 100</f>
        <v>9.5164160239341467</v>
      </c>
      <c r="H83" s="44"/>
      <c r="I83" s="44">
        <f>VLOOKUP($A83,Model!$1:$1048576,MATCH(I$14,Model!$1:$1,0),FALSE) * 100</f>
        <v>5.7052164555516169</v>
      </c>
      <c r="J83" s="44">
        <f>VLOOKUP($A83,Model!$1:$1048576,MATCH(J$14,Model!$1:$1,0),FALSE) * 100</f>
        <v>7.1363244085893731</v>
      </c>
      <c r="K83" s="44">
        <f>VLOOKUP($A83,Model!$1:$1048576,MATCH(K$14,Model!$1:$1,0),FALSE) * 100</f>
        <v>8.5976897686868092</v>
      </c>
      <c r="L83" s="44">
        <f>VLOOKUP($A83,Model!$1:$1048576,MATCH(L$14,Model!$1:$1,0),FALSE) * 100</f>
        <v>8.8002441881835818</v>
      </c>
    </row>
    <row r="84" spans="1:13">
      <c r="A84" s="1" t="s">
        <v>887</v>
      </c>
      <c r="B84" s="19" t="s">
        <v>594</v>
      </c>
      <c r="C84" s="17">
        <f ca="1">VLOOKUP($A84,Model!$1:$1048576,MATCH(C$14,Model!$1:$1,0),FALSE) * 100</f>
        <v>0.79922649655422306</v>
      </c>
      <c r="D84" s="17">
        <f ca="1">VLOOKUP($A84,Model!$1:$1048576,MATCH(D$14,Model!$1:$1,0),FALSE) * 100</f>
        <v>0.81411662112172678</v>
      </c>
      <c r="E84" s="17">
        <f ca="1">VLOOKUP($A84,Model!$1:$1048576,MATCH(E$14,Model!$1:$1,0),FALSE) * 100</f>
        <v>1.0468878024226878</v>
      </c>
      <c r="F84" s="17">
        <f ca="1">VLOOKUP($A84,Model!$1:$1048576,MATCH(F$14,Model!$1:$1,0),FALSE) * 100</f>
        <v>1.0852267904408885</v>
      </c>
      <c r="G84" s="17">
        <f ca="1">VLOOKUP($A84,Model!$1:$1048576,MATCH(G$14,Model!$1:$1,0),FALSE) * 100</f>
        <v>1.1770998528572345</v>
      </c>
      <c r="H84" s="17"/>
      <c r="I84" s="17">
        <f>VLOOKUP($A84,Model!$1:$1048576,MATCH(I$14,Model!$1:$1,0),FALSE) * 100</f>
        <v>0.82713552372134569</v>
      </c>
      <c r="J84" s="17">
        <f>VLOOKUP($A84,Model!$1:$1048576,MATCH(J$14,Model!$1:$1,0),FALSE) * 100</f>
        <v>0.97950185116822464</v>
      </c>
      <c r="K84" s="17">
        <f>VLOOKUP($A84,Model!$1:$1048576,MATCH(K$14,Model!$1:$1,0),FALSE) * 100</f>
        <v>1.1107654713115225</v>
      </c>
      <c r="L84" s="17">
        <f>VLOOKUP($A84,Model!$1:$1048576,MATCH(L$14,Model!$1:$1,0),FALSE) * 100</f>
        <v>1.0958537354438189</v>
      </c>
    </row>
    <row r="85" spans="1:13">
      <c r="A85" s="1" t="s">
        <v>888</v>
      </c>
      <c r="B85" s="19" t="s">
        <v>498</v>
      </c>
      <c r="C85" s="17">
        <f ca="1">VLOOKUP($A85,Model!$1:$1048576,MATCH(C$14,Model!$1:$1,0),FALSE) * 100</f>
        <v>0.52814506989044185</v>
      </c>
      <c r="D85" s="17">
        <f ca="1">VLOOKUP($A85,Model!$1:$1048576,MATCH(D$14,Model!$1:$1,0),FALSE) * 100</f>
        <v>0.61807529205997913</v>
      </c>
      <c r="E85" s="17">
        <f ca="1">VLOOKUP($A85,Model!$1:$1048576,MATCH(E$14,Model!$1:$1,0),FALSE) * 100</f>
        <v>0.82696833000485781</v>
      </c>
      <c r="F85" s="17">
        <f ca="1">VLOOKUP($A85,Model!$1:$1048576,MATCH(F$14,Model!$1:$1,0),FALSE) * 100</f>
        <v>0.87533478756227789</v>
      </c>
      <c r="G85" s="17">
        <f ca="1">VLOOKUP($A85,Model!$1:$1048576,MATCH(G$14,Model!$1:$1,0),FALSE) * 100</f>
        <v>0.95807171147287118</v>
      </c>
      <c r="H85" s="17"/>
      <c r="I85" s="17">
        <f>VLOOKUP($A85,Model!$1:$1048576,MATCH(I$14,Model!$1:$1,0),FALSE) * 100</f>
        <v>0.64316657539891275</v>
      </c>
      <c r="J85" s="17">
        <f>VLOOKUP($A85,Model!$1:$1048576,MATCH(J$14,Model!$1:$1,0),FALSE) * 100</f>
        <v>0.76858583159907723</v>
      </c>
      <c r="K85" s="17">
        <f>VLOOKUP($A85,Model!$1:$1048576,MATCH(K$14,Model!$1:$1,0),FALSE) * 100</f>
        <v>0.88272183331274834</v>
      </c>
      <c r="L85" s="17">
        <f>VLOOKUP($A85,Model!$1:$1048576,MATCH(L$14,Model!$1:$1,0),FALSE) * 100</f>
        <v>0.88569371521839502</v>
      </c>
    </row>
    <row r="86" spans="1:13">
      <c r="A86" s="1" t="s">
        <v>889</v>
      </c>
      <c r="B86" s="19" t="s">
        <v>499</v>
      </c>
      <c r="C86" s="17">
        <f ca="1">VLOOKUP($A86,Model!$1:$1048576,MATCH(C$14,Model!$1:$1,0),FALSE) * 100</f>
        <v>0.53007954984946926</v>
      </c>
      <c r="D86" s="17">
        <f ca="1">VLOOKUP($A86,Model!$1:$1048576,MATCH(D$14,Model!$1:$1,0),FALSE) * 100</f>
        <v>0.6201915659571553</v>
      </c>
      <c r="E86" s="17">
        <f ca="1">VLOOKUP($A86,Model!$1:$1048576,MATCH(E$14,Model!$1:$1,0),FALSE) * 100</f>
        <v>0.82924111748610907</v>
      </c>
      <c r="F86" s="17">
        <f ca="1">VLOOKUP($A86,Model!$1:$1048576,MATCH(F$14,Model!$1:$1,0),FALSE) * 100</f>
        <v>0.87742303460392723</v>
      </c>
      <c r="G86" s="17">
        <f ca="1">VLOOKUP($A86,Model!$1:$1048576,MATCH(G$14,Model!$1:$1,0),FALSE) * 100</f>
        <v>0.96007607002477291</v>
      </c>
      <c r="H86" s="17"/>
      <c r="I86" s="17">
        <f>VLOOKUP($A86,Model!$1:$1048576,MATCH(I$14,Model!$1:$1,0),FALSE) * 100</f>
        <v>0.64537195059810359</v>
      </c>
      <c r="J86" s="17">
        <f>VLOOKUP($A86,Model!$1:$1048576,MATCH(J$14,Model!$1:$1,0),FALSE) * 100</f>
        <v>0.77087702171212191</v>
      </c>
      <c r="K86" s="17">
        <f>VLOOKUP($A86,Model!$1:$1048576,MATCH(K$14,Model!$1:$1,0),FALSE) * 100</f>
        <v>0.88505280168593159</v>
      </c>
      <c r="L86" s="17">
        <f>VLOOKUP($A86,Model!$1:$1048576,MATCH(L$14,Model!$1:$1,0),FALSE) * 100</f>
        <v>0.88788810443247834</v>
      </c>
    </row>
    <row r="87" spans="1:13">
      <c r="A87" s="1" t="s">
        <v>1009</v>
      </c>
      <c r="B87" s="19" t="s">
        <v>563</v>
      </c>
      <c r="C87" s="44">
        <f ca="1">VLOOKUP($A87,Model!$1:$1048576,MATCH(C$14,Model!$1:$1,0),FALSE)</f>
        <v>3.5785123966942147</v>
      </c>
      <c r="D87" s="44">
        <f ca="1">VLOOKUP($A87,Model!$1:$1048576,MATCH(D$14,Model!$1:$1,0),FALSE)</f>
        <v>4.1025641025641031</v>
      </c>
      <c r="E87" s="44">
        <f ca="1">VLOOKUP($A87,Model!$1:$1048576,MATCH(E$14,Model!$1:$1,0),FALSE)</f>
        <v>3.2347578477734817</v>
      </c>
      <c r="F87" s="44">
        <f ca="1">VLOOKUP($A87,Model!$1:$1048576,MATCH(F$14,Model!$1:$1,0),FALSE)</f>
        <v>3.2294270466378889</v>
      </c>
      <c r="G87" s="44">
        <f ca="1">VLOOKUP($A87,Model!$1:$1048576,MATCH(G$14,Model!$1:$1,0),FALSE)</f>
        <v>3.2268930710871557</v>
      </c>
      <c r="H87" s="44"/>
      <c r="I87" s="44">
        <f>VLOOKUP($A87,Model!$1:$1048576,MATCH(I$14,Model!$1:$1,0),FALSE)</f>
        <v>3.8991383119752534</v>
      </c>
      <c r="J87" s="44">
        <f>VLOOKUP($A87,Model!$1:$1048576,MATCH(J$14,Model!$1:$1,0),FALSE)</f>
        <v>3.2171993911719943</v>
      </c>
      <c r="K87" s="44">
        <f>VLOOKUP($A87,Model!$1:$1048576,MATCH(K$14,Model!$1:$1,0),FALSE)</f>
        <v>3.2171993911719938</v>
      </c>
      <c r="L87" s="44">
        <f>VLOOKUP($A87,Model!$1:$1048576,MATCH(L$14,Model!$1:$1,0),FALSE)</f>
        <v>3.2171993911719947</v>
      </c>
    </row>
    <row r="88" spans="1:13">
      <c r="A88" s="1" t="s">
        <v>674</v>
      </c>
      <c r="B88" s="19" t="s">
        <v>773</v>
      </c>
      <c r="C88" s="44">
        <f ca="1">VLOOKUP($A88,Model!$1:$1048576,MATCH(C$14,Model!$1:$1,0),FALSE) * 100</f>
        <v>18.684719535783366</v>
      </c>
      <c r="D88" s="44">
        <f ca="1">VLOOKUP($A88,Model!$1:$1048576,MATCH(D$14,Model!$1:$1,0),FALSE) * 100</f>
        <v>18.502715283165244</v>
      </c>
      <c r="E88" s="44">
        <f ca="1">VLOOKUP($A88,Model!$1:$1048576,MATCH(E$14,Model!$1:$1,0),FALSE) * 100</f>
        <v>15.504810323082193</v>
      </c>
      <c r="F88" s="44">
        <f ca="1">VLOOKUP($A88,Model!$1:$1048576,MATCH(F$14,Model!$1:$1,0),FALSE) * 100</f>
        <v>13.286813019793179</v>
      </c>
      <c r="G88" s="44">
        <f ca="1">VLOOKUP($A88,Model!$1:$1048576,MATCH(G$14,Model!$1:$1,0),FALSE) * 100</f>
        <v>11.854780688631946</v>
      </c>
      <c r="H88" s="44"/>
      <c r="I88" s="44">
        <f>VLOOKUP($A88,Model!$1:$1048576,MATCH(I$14,Model!$1:$1,0),FALSE) * 100</f>
        <v>18.628189222719669</v>
      </c>
      <c r="J88" s="44">
        <f>VLOOKUP($A88,Model!$1:$1048576,MATCH(J$14,Model!$1:$1,0),FALSE) * 100</f>
        <v>16.175180739665272</v>
      </c>
      <c r="K88" s="44">
        <f>VLOOKUP($A88,Model!$1:$1048576,MATCH(K$14,Model!$1:$1,0),FALSE) * 100</f>
        <v>14.832184353688685</v>
      </c>
      <c r="L88" s="44">
        <f>VLOOKUP($A88,Model!$1:$1048576,MATCH(L$14,Model!$1:$1,0),FALSE) * 100</f>
        <v>13.665344524424473</v>
      </c>
    </row>
    <row r="89" spans="1:13">
      <c r="A89" s="1" t="s">
        <v>811</v>
      </c>
      <c r="B89" s="19" t="s">
        <v>500</v>
      </c>
      <c r="C89" s="44">
        <f ca="1">VLOOKUP($A89,Model!$1:$1048576,MATCH(C$14,Model!$1:$1,0),FALSE) * 100</f>
        <v>2.6972523317368284</v>
      </c>
      <c r="D89" s="44">
        <f ca="1">VLOOKUP($A89,Model!$1:$1048576,MATCH(D$14,Model!$1:$1,0),FALSE) * 100</f>
        <v>3.6888153227713403</v>
      </c>
      <c r="E89" s="44">
        <f ca="1">VLOOKUP($A89,Model!$1:$1048576,MATCH(E$14,Model!$1:$1,0),FALSE) * 100</f>
        <v>4.062772955103628</v>
      </c>
      <c r="F89" s="44">
        <f ca="1">VLOOKUP($A89,Model!$1:$1048576,MATCH(F$14,Model!$1:$1,0),FALSE) * 100</f>
        <v>3.9336433655450769</v>
      </c>
      <c r="G89" s="44">
        <f ca="1">VLOOKUP($A89,Model!$1:$1048576,MATCH(G$14,Model!$1:$1,0),FALSE) * 100</f>
        <v>3.9106150398113693</v>
      </c>
      <c r="H89" s="44"/>
      <c r="I89" s="44">
        <f>VLOOKUP($A89,Model!$1:$1048576,MATCH(I$14,Model!$1:$1,0),FALSE) * 100</f>
        <v>3.4684684684684686</v>
      </c>
      <c r="J89" s="44">
        <f>VLOOKUP($A89,Model!$1:$1048576,MATCH(J$14,Model!$1:$1,0),FALSE) * 100</f>
        <v>4.1514041514041518</v>
      </c>
      <c r="K89" s="44">
        <f>VLOOKUP($A89,Model!$1:$1048576,MATCH(K$14,Model!$1:$1,0),FALSE) * 100</f>
        <v>3.9827081943574658</v>
      </c>
      <c r="L89" s="44">
        <f>VLOOKUP($A89,Model!$1:$1048576,MATCH(L$14,Model!$1:$1,0),FALSE) * 100</f>
        <v>3.9377475537810289</v>
      </c>
    </row>
    <row r="90" spans="1:13" s="24" customFormat="1">
      <c r="A90" s="1" t="s">
        <v>812</v>
      </c>
      <c r="B90" s="19" t="s">
        <v>471</v>
      </c>
      <c r="C90" s="44">
        <f ca="1">VLOOKUP($A90,Model!$1:$1048576,MATCH(C$14,Model!$1:$1,0),FALSE) * 100</f>
        <v>56.037307789261412</v>
      </c>
      <c r="D90" s="44">
        <f ca="1">VLOOKUP($A90,Model!$1:$1048576,MATCH(D$14,Model!$1:$1,0),FALSE) * 100</f>
        <v>52.44738708914636</v>
      </c>
      <c r="E90" s="44">
        <f ca="1">VLOOKUP($A90,Model!$1:$1048576,MATCH(E$14,Model!$1:$1,0),FALSE) * 100</f>
        <v>46.587677351851539</v>
      </c>
      <c r="F90" s="44">
        <f ca="1">VLOOKUP($A90,Model!$1:$1048576,MATCH(F$14,Model!$1:$1,0),FALSE) * 100</f>
        <v>42.604157135535701</v>
      </c>
      <c r="G90" s="44">
        <f ca="1">VLOOKUP($A90,Model!$1:$1048576,MATCH(G$14,Model!$1:$1,0),FALSE) * 100</f>
        <v>39.676330878851772</v>
      </c>
      <c r="H90" s="44"/>
      <c r="I90" s="44">
        <f>VLOOKUP($A90,Model!$1:$1048576,MATCH(I$14,Model!$1:$1,0),FALSE) * 100</f>
        <v>47.927927927927925</v>
      </c>
      <c r="J90" s="44">
        <f>VLOOKUP($A90,Model!$1:$1048576,MATCH(J$14,Model!$1:$1,0),FALSE) * 100</f>
        <v>48.473748473748479</v>
      </c>
      <c r="K90" s="44">
        <f>VLOOKUP($A90,Model!$1:$1048576,MATCH(K$14,Model!$1:$1,0),FALSE) * 100</f>
        <v>44.88389990747519</v>
      </c>
      <c r="L90" s="44">
        <f>VLOOKUP($A90,Model!$1:$1048576,MATCH(L$14,Model!$1:$1,0),FALSE) * 100</f>
        <v>43.482163032475746</v>
      </c>
      <c r="M90" s="541"/>
    </row>
    <row r="91" spans="1:13">
      <c r="A91" s="1" t="s">
        <v>813</v>
      </c>
      <c r="B91" s="19" t="s">
        <v>407</v>
      </c>
      <c r="C91" s="44">
        <f ca="1">VLOOKUP($A91,Model!$1:$1048576,MATCH(C$14,Model!$1:$1,0),FALSE) * 100</f>
        <v>-4.0687989054382312</v>
      </c>
      <c r="D91" s="44">
        <f ca="1">VLOOKUP($A91,Model!$1:$1048576,MATCH(D$14,Model!$1:$1,0),FALSE) * 100</f>
        <v>6.8294082954505448</v>
      </c>
      <c r="E91" s="44">
        <f ca="1">VLOOKUP($A91,Model!$1:$1048576,MATCH(E$14,Model!$1:$1,0),FALSE) * 100</f>
        <v>13.676752333461838</v>
      </c>
      <c r="F91" s="44">
        <f ca="1">VLOOKUP($A91,Model!$1:$1048576,MATCH(F$14,Model!$1:$1,0),FALSE) * 100</f>
        <v>10.119675390089267</v>
      </c>
      <c r="G91" s="44">
        <f ca="1">VLOOKUP($A91,Model!$1:$1048576,MATCH(G$14,Model!$1:$1,0),FALSE) * 100</f>
        <v>7.8941764211129639</v>
      </c>
      <c r="H91" s="44"/>
      <c r="I91" s="44">
        <f>VLOOKUP($A91,Model!$1:$1048576,MATCH(I$14,Model!$1:$1,0),FALSE) * 100</f>
        <v>18.301697819086215</v>
      </c>
      <c r="J91" s="44">
        <f>VLOOKUP($A91,Model!$1:$1048576,MATCH(J$14,Model!$1:$1,0),FALSE) * 100</f>
        <v>-1.2604145498882557</v>
      </c>
      <c r="K91" s="44">
        <f>VLOOKUP($A91,Model!$1:$1048576,MATCH(K$14,Model!$1:$1,0),FALSE) * 100</f>
        <v>8.1981285655269289</v>
      </c>
      <c r="L91" s="44">
        <f>VLOOKUP($A91,Model!$1:$1048576,MATCH(L$14,Model!$1:$1,0),FALSE) * 100</f>
        <v>3.414761690438195</v>
      </c>
    </row>
    <row r="92" spans="1:13">
      <c r="A92" s="1" t="s">
        <v>2099</v>
      </c>
      <c r="B92" s="19" t="s">
        <v>2101</v>
      </c>
      <c r="C92" s="42">
        <f ca="1">VLOOKUP($A92,Model!$1:$1048576,MATCH(C$14,Model!$1:$1,0),FALSE) * 100</f>
        <v>130.18230432668935</v>
      </c>
      <c r="D92" s="42">
        <f ca="1">VLOOKUP($A92,Model!$1:$1048576,MATCH(D$14,Model!$1:$1,0),FALSE) * 100</f>
        <v>126.17722082759737</v>
      </c>
      <c r="E92" s="42">
        <f ca="1">VLOOKUP($A92,Model!$1:$1048576,MATCH(E$14,Model!$1:$1,0),FALSE) * 100</f>
        <v>121.11183990451815</v>
      </c>
      <c r="F92" s="42">
        <f ca="1">VLOOKUP($A92,Model!$1:$1048576,MATCH(F$14,Model!$1:$1,0),FALSE) * 100</f>
        <v>117.41590290709179</v>
      </c>
      <c r="G92" s="42">
        <f ca="1">VLOOKUP($A92,Model!$1:$1048576,MATCH(G$14,Model!$1:$1,0),FALSE) * 100</f>
        <v>115.01173845967377</v>
      </c>
      <c r="H92" s="42"/>
      <c r="I92" s="42">
        <f>VLOOKUP($A92,Model!$1:$1048576,MATCH(I$14,Model!$1:$1,0),FALSE) * 100</f>
        <v>126.17722082759737</v>
      </c>
      <c r="J92" s="42">
        <f>VLOOKUP($A92,Model!$1:$1048576,MATCH(J$14,Model!$1:$1,0),FALSE) * 100</f>
        <v>123.35605083809173</v>
      </c>
      <c r="K92" s="42">
        <f>VLOOKUP($A92,Model!$1:$1048576,MATCH(K$14,Model!$1:$1,0),FALSE) * 100</f>
        <v>121.11183990451815</v>
      </c>
      <c r="L92" s="42">
        <f>VLOOKUP($A92,Model!$1:$1048576,MATCH(L$14,Model!$1:$1,0),FALSE) * 100</f>
        <v>119.32577694060748</v>
      </c>
    </row>
    <row r="93" spans="1:13">
      <c r="B93" s="24" t="s">
        <v>570</v>
      </c>
    </row>
    <row r="94" spans="1:13">
      <c r="A94" s="1" t="s">
        <v>815</v>
      </c>
      <c r="B94" s="19" t="s">
        <v>421</v>
      </c>
      <c r="C94" s="17">
        <f ca="1">VLOOKUP($A94,Model!$1:$1048576,MATCH(C$14,Model!$1:$1,0),FALSE) * 100</f>
        <v>0.35704916401686765</v>
      </c>
      <c r="D94" s="17">
        <f ca="1">VLOOKUP($A94,Model!$1:$1048576,MATCH(D$14,Model!$1:$1,0),FALSE) * 100</f>
        <v>0.37287612744439624</v>
      </c>
      <c r="E94" s="17">
        <f ca="1">VLOOKUP($A94,Model!$1:$1048576,MATCH(E$14,Model!$1:$1,0),FALSE) * 100</f>
        <v>0.59611853956945182</v>
      </c>
      <c r="F94" s="17">
        <f ca="1">VLOOKUP($A94,Model!$1:$1048576,MATCH(F$14,Model!$1:$1,0),FALSE) * 100</f>
        <v>0.68084972659604792</v>
      </c>
      <c r="G94" s="17">
        <f ca="1">VLOOKUP($A94,Model!$1:$1048576,MATCH(G$14,Model!$1:$1,0),FALSE) * 100</f>
        <v>0.76085873592407904</v>
      </c>
      <c r="H94" s="17"/>
      <c r="I94" s="17">
        <f>VLOOKUP($A94,Model!$1:$1048576,MATCH(I$14,Model!$1:$1,0),FALSE) * 100</f>
        <v>0.38523676625207848</v>
      </c>
      <c r="J94" s="17">
        <f>VLOOKUP($A94,Model!$1:$1048576,MATCH(J$14,Model!$1:$1,0),FALSE) * 100</f>
        <v>0.57022160968498226</v>
      </c>
      <c r="K94" s="17">
        <f>VLOOKUP($A94,Model!$1:$1048576,MATCH(K$14,Model!$1:$1,0),FALSE) * 100</f>
        <v>0.6202216096849823</v>
      </c>
      <c r="L94" s="17">
        <f>VLOOKUP($A94,Model!$1:$1048576,MATCH(L$14,Model!$1:$1,0),FALSE) * 100</f>
        <v>0.66022160968498234</v>
      </c>
    </row>
    <row r="95" spans="1:13">
      <c r="A95" s="1" t="s">
        <v>816</v>
      </c>
      <c r="B95" s="19" t="s">
        <v>859</v>
      </c>
      <c r="C95" s="17">
        <f ca="1">VLOOKUP($A95,Model!$1:$1048576,MATCH(C$14,Model!$1:$1,0),FALSE) * 100</f>
        <v>0.31898420563641994</v>
      </c>
      <c r="D95" s="17">
        <f ca="1">VLOOKUP($A95,Model!$1:$1048576,MATCH(D$14,Model!$1:$1,0),FALSE) * 100</f>
        <v>0.33628355663755016</v>
      </c>
      <c r="E95" s="17">
        <f ca="1">VLOOKUP($A95,Model!$1:$1048576,MATCH(E$14,Model!$1:$1,0),FALSE) * 100</f>
        <v>0.5443554528713902</v>
      </c>
      <c r="F95" s="17">
        <f ca="1">VLOOKUP($A95,Model!$1:$1048576,MATCH(F$14,Model!$1:$1,0),FALSE) * 100</f>
        <v>0.62762263053967293</v>
      </c>
      <c r="G95" s="17">
        <f ca="1">VLOOKUP($A95,Model!$1:$1048576,MATCH(G$14,Model!$1:$1,0),FALSE) * 100</f>
        <v>0.70587622041212772</v>
      </c>
      <c r="H95" s="17"/>
      <c r="I95" s="17">
        <f>VLOOKUP($A95,Model!$1:$1048576,MATCH(I$14,Model!$1:$1,0),FALSE) * 100</f>
        <v>0.34871680551802431</v>
      </c>
      <c r="J95" s="17">
        <f>VLOOKUP($A95,Model!$1:$1048576,MATCH(J$14,Model!$1:$1,0),FALSE) * 100</f>
        <v>0.51889586541878929</v>
      </c>
      <c r="K95" s="17">
        <f>VLOOKUP($A95,Model!$1:$1048576,MATCH(K$14,Model!$1:$1,0),FALSE) * 100</f>
        <v>0.56821170343622474</v>
      </c>
      <c r="L95" s="17">
        <f>VLOOKUP($A95,Model!$1:$1048576,MATCH(L$14,Model!$1:$1,0),FALSE) * 100</f>
        <v>0.60715056219324892</v>
      </c>
    </row>
    <row r="96" spans="1:13">
      <c r="A96" s="1" t="s">
        <v>817</v>
      </c>
      <c r="B96" s="19" t="s">
        <v>350</v>
      </c>
      <c r="C96" s="17">
        <f ca="1">VLOOKUP($A96,Model!$1:$1048576,MATCH(C$14,Model!$1:$1,0),FALSE) * 100</f>
        <v>0.81000473778583892</v>
      </c>
      <c r="D96" s="17">
        <f ca="1">VLOOKUP($A96,Model!$1:$1048576,MATCH(D$14,Model!$1:$1,0),FALSE) * 100</f>
        <v>0.72744567498842161</v>
      </c>
      <c r="E96" s="17">
        <f ca="1">VLOOKUP($A96,Model!$1:$1048576,MATCH(E$14,Model!$1:$1,0),FALSE) * 100</f>
        <v>0.68783758030488285</v>
      </c>
      <c r="F96" s="17">
        <f ca="1">VLOOKUP($A96,Model!$1:$1048576,MATCH(F$14,Model!$1:$1,0),FALSE) * 100</f>
        <v>0.82956249368099277</v>
      </c>
      <c r="G96" s="17">
        <f ca="1">VLOOKUP($A96,Model!$1:$1048576,MATCH(G$14,Model!$1:$1,0),FALSE) * 100</f>
        <v>0.81941299748768703</v>
      </c>
      <c r="H96" s="17"/>
      <c r="I96" s="17">
        <f>VLOOKUP($A96,Model!$1:$1048576,MATCH(I$14,Model!$1:$1,0),FALSE) * 100</f>
        <v>0.88189004823392481</v>
      </c>
      <c r="J96" s="17">
        <f>VLOOKUP($A96,Model!$1:$1048576,MATCH(J$14,Model!$1:$1,0),FALSE) * 100</f>
        <v>0.68053233774904132</v>
      </c>
      <c r="K96" s="17">
        <f>VLOOKUP($A96,Model!$1:$1048576,MATCH(K$14,Model!$1:$1,0),FALSE) * 100</f>
        <v>0.69463679450980664</v>
      </c>
      <c r="L96" s="17">
        <f>VLOOKUP($A96,Model!$1:$1048576,MATCH(L$14,Model!$1:$1,0),FALSE) * 100</f>
        <v>0.77251095373218659</v>
      </c>
    </row>
    <row r="97" spans="1:16">
      <c r="A97" s="1" t="s">
        <v>818</v>
      </c>
      <c r="B97" s="19" t="s">
        <v>349</v>
      </c>
      <c r="C97" s="17">
        <f ca="1">VLOOKUP($A97,Model!$1:$1048576,MATCH(C$14,Model!$1:$1,0),FALSE) * 100</f>
        <v>0.72365025291627949</v>
      </c>
      <c r="D97" s="17">
        <f ca="1">VLOOKUP($A97,Model!$1:$1048576,MATCH(D$14,Model!$1:$1,0),FALSE) * 100</f>
        <v>0.65605706785878637</v>
      </c>
      <c r="E97" s="17">
        <f ca="1">VLOOKUP($A97,Model!$1:$1048576,MATCH(E$14,Model!$1:$1,0),FALSE) * 100</f>
        <v>0.62811020405313589</v>
      </c>
      <c r="F97" s="17">
        <f ca="1">VLOOKUP($A97,Model!$1:$1048576,MATCH(F$14,Model!$1:$1,0),FALSE) * 100</f>
        <v>0.76470941258087843</v>
      </c>
      <c r="G97" s="17">
        <f ca="1">VLOOKUP($A97,Model!$1:$1048576,MATCH(G$14,Model!$1:$1,0),FALSE) * 100</f>
        <v>0.76019913068448475</v>
      </c>
      <c r="H97" s="17"/>
      <c r="I97" s="17">
        <f>VLOOKUP($A97,Model!$1:$1048576,MATCH(I$14,Model!$1:$1,0),FALSE) * 100</f>
        <v>0.7982879812593987</v>
      </c>
      <c r="J97" s="17">
        <f>VLOOKUP($A97,Model!$1:$1048576,MATCH(J$14,Model!$1:$1,0),FALSE) * 100</f>
        <v>0.61927750605040033</v>
      </c>
      <c r="K97" s="17">
        <f>VLOOKUP($A97,Model!$1:$1048576,MATCH(K$14,Model!$1:$1,0),FALSE) * 100</f>
        <v>0.63638665617982748</v>
      </c>
      <c r="L97" s="17">
        <f>VLOOKUP($A97,Model!$1:$1048576,MATCH(L$14,Model!$1:$1,0),FALSE) * 100</f>
        <v>0.71041367470951577</v>
      </c>
    </row>
    <row r="98" spans="1:16">
      <c r="A98" s="1" t="s">
        <v>819</v>
      </c>
      <c r="B98" s="19" t="s">
        <v>622</v>
      </c>
      <c r="C98" s="17">
        <f ca="1">VLOOKUP($A98,Model!$1:$1048576,MATCH(C$14,Model!$1:$1,0),FALSE) * 100</f>
        <v>1.3585252685699956</v>
      </c>
      <c r="D98" s="17">
        <f ca="1">VLOOKUP($A98,Model!$1:$1048576,MATCH(D$14,Model!$1:$1,0),FALSE) * 100</f>
        <v>1.6368363340525625</v>
      </c>
      <c r="E98" s="17">
        <f ca="1">VLOOKUP($A98,Model!$1:$1048576,MATCH(E$14,Model!$1:$1,0),FALSE) * 100</f>
        <v>1.5409306532510574</v>
      </c>
      <c r="F98" s="17">
        <f ca="1">VLOOKUP($A98,Model!$1:$1048576,MATCH(F$14,Model!$1:$1,0),FALSE) * 100</f>
        <v>1.569567169098117</v>
      </c>
      <c r="G98" s="17">
        <f ca="1">VLOOKUP($A98,Model!$1:$1048576,MATCH(G$14,Model!$1:$1,0),FALSE) * 100</f>
        <v>1.6413500398280827</v>
      </c>
      <c r="H98" s="17"/>
      <c r="I98" s="17">
        <f>VLOOKUP($A98,Model!$1:$1048576,MATCH(I$14,Model!$1:$1,0),FALSE) * 100</f>
        <v>1.6368363340525625</v>
      </c>
      <c r="J98" s="17">
        <f>VLOOKUP($A98,Model!$1:$1048576,MATCH(J$14,Model!$1:$1,0),FALSE) * 100</f>
        <v>1.5470453969059093</v>
      </c>
      <c r="K98" s="17">
        <f>VLOOKUP($A98,Model!$1:$1048576,MATCH(K$14,Model!$1:$1,0),FALSE) * 100</f>
        <v>1.5409306532510574</v>
      </c>
      <c r="L98" s="17">
        <f>VLOOKUP($A98,Model!$1:$1048576,MATCH(L$14,Model!$1:$1,0),FALSE) * 100</f>
        <v>1.5875235926431006</v>
      </c>
    </row>
    <row r="99" spans="1:16">
      <c r="A99" s="1" t="s">
        <v>820</v>
      </c>
      <c r="B99" s="19" t="s">
        <v>345</v>
      </c>
      <c r="C99" s="17">
        <f ca="1">VLOOKUP($A99,Model!$1:$1048576,MATCH(C$14,Model!$1:$1,0),FALSE) * 100</f>
        <v>2.3124894971712382</v>
      </c>
      <c r="D99" s="17">
        <f ca="1">VLOOKUP($A99,Model!$1:$1048576,MATCH(D$14,Model!$1:$1,0),FALSE) * 100</f>
        <v>2.4323522097342223</v>
      </c>
      <c r="E99" s="17">
        <f ca="1">VLOOKUP($A99,Model!$1:$1048576,MATCH(E$14,Model!$1:$1,0),FALSE) * 100</f>
        <v>2.5323522097342219</v>
      </c>
      <c r="F99" s="17">
        <f ca="1">VLOOKUP($A99,Model!$1:$1048576,MATCH(F$14,Model!$1:$1,0),FALSE) * 100</f>
        <v>2.6323522097342225</v>
      </c>
      <c r="G99" s="17">
        <f ca="1">VLOOKUP($A99,Model!$1:$1048576,MATCH(G$14,Model!$1:$1,0),FALSE) * 100</f>
        <v>2.7323522097342221</v>
      </c>
      <c r="H99" s="17"/>
      <c r="I99" s="17">
        <f>VLOOKUP($A99,Model!$1:$1048576,MATCH(I$14,Model!$1:$1,0),FALSE) * 100</f>
        <v>2.4323522097342223</v>
      </c>
      <c r="J99" s="17">
        <f>VLOOKUP($A99,Model!$1:$1048576,MATCH(J$14,Model!$1:$1,0),FALSE) * 100</f>
        <v>2.6593997312229356</v>
      </c>
      <c r="K99" s="17">
        <f>VLOOKUP($A99,Model!$1:$1048576,MATCH(K$14,Model!$1:$1,0),FALSE) * 100</f>
        <v>2.5323522097342219</v>
      </c>
      <c r="L99" s="17">
        <f>VLOOKUP($A99,Model!$1:$1048576,MATCH(L$14,Model!$1:$1,0),FALSE) * 100</f>
        <v>2.5823522097342217</v>
      </c>
    </row>
    <row r="100" spans="1:16">
      <c r="A100" s="1" t="s">
        <v>821</v>
      </c>
      <c r="B100" s="19" t="s">
        <v>294</v>
      </c>
      <c r="C100" s="17">
        <f ca="1">VLOOKUP($A100,Model!$1:$1048576,MATCH(C$14,Model!$1:$1,0),FALSE) * 100</f>
        <v>2.5772552283841432</v>
      </c>
      <c r="D100" s="17">
        <f ca="1">VLOOKUP($A100,Model!$1:$1048576,MATCH(D$14,Model!$1:$1,0),FALSE) * 100</f>
        <v>2.6255628680290957</v>
      </c>
      <c r="E100" s="17">
        <f ca="1">VLOOKUP($A100,Model!$1:$1048576,MATCH(E$14,Model!$1:$1,0),FALSE) * 100</f>
        <v>2.6359698265364</v>
      </c>
      <c r="F100" s="17">
        <f ca="1">VLOOKUP($A100,Model!$1:$1048576,MATCH(F$14,Model!$1:$1,0),FALSE) * 100</f>
        <v>2.7333859563968037</v>
      </c>
      <c r="G100" s="17">
        <f ca="1">VLOOKUP($A100,Model!$1:$1048576,MATCH(G$14,Model!$1:$1,0),FALSE) * 100</f>
        <v>2.7979911829267965</v>
      </c>
      <c r="H100" s="17"/>
      <c r="I100" s="17">
        <f>VLOOKUP($A100,Model!$1:$1048576,MATCH(I$14,Model!$1:$1,0),FALSE) * 100</f>
        <v>2.6255628680290957</v>
      </c>
      <c r="J100" s="17">
        <f>VLOOKUP($A100,Model!$1:$1048576,MATCH(J$14,Model!$1:$1,0),FALSE) * 100</f>
        <v>2.8016359918200409</v>
      </c>
      <c r="K100" s="17">
        <f>VLOOKUP($A100,Model!$1:$1048576,MATCH(K$14,Model!$1:$1,0),FALSE) * 100</f>
        <v>2.6359698265364</v>
      </c>
      <c r="L100" s="17">
        <f>VLOOKUP($A100,Model!$1:$1048576,MATCH(L$14,Model!$1:$1,0),FALSE) * 100</f>
        <v>2.6710425912261879</v>
      </c>
    </row>
    <row r="101" spans="1:16">
      <c r="A101" s="1" t="s">
        <v>822</v>
      </c>
      <c r="B101" s="19" t="s">
        <v>512</v>
      </c>
      <c r="C101" s="44">
        <f ca="1">VLOOKUP($A101,Model!$1:$1048576,MATCH(C$14,Model!$1:$1,0),FALSE) * 100</f>
        <v>27.769230769230766</v>
      </c>
      <c r="D101" s="44">
        <f ca="1">VLOOKUP($A101,Model!$1:$1048576,MATCH(D$14,Model!$1:$1,0),FALSE) * 100</f>
        <v>36.628849270664503</v>
      </c>
      <c r="E101" s="44">
        <f ca="1">VLOOKUP($A101,Model!$1:$1048576,MATCH(E$14,Model!$1:$1,0),FALSE) * 100</f>
        <v>34.908485877030316</v>
      </c>
      <c r="F101" s="44">
        <f ca="1">VLOOKUP($A101,Model!$1:$1048576,MATCH(F$14,Model!$1:$1,0),FALSE) * 100</f>
        <v>24.628632222907623</v>
      </c>
      <c r="G101" s="44">
        <f ca="1">VLOOKUP($A101,Model!$1:$1048576,MATCH(G$14,Model!$1:$1,0),FALSE) * 100</f>
        <v>11.281283642615511</v>
      </c>
      <c r="H101" s="44"/>
      <c r="I101" s="44">
        <f>VLOOKUP($A101,Model!$1:$1048576,MATCH(I$14,Model!$1:$1,0),FALSE) * 100</f>
        <v>36.628849270664503</v>
      </c>
      <c r="J101" s="44">
        <f>VLOOKUP($A101,Model!$1:$1048576,MATCH(J$14,Model!$1:$1,0),FALSE) * 100</f>
        <v>38.445267054468538</v>
      </c>
      <c r="K101" s="44">
        <f>VLOOKUP($A101,Model!$1:$1048576,MATCH(K$14,Model!$1:$1,0),FALSE) * 100</f>
        <v>34.908485877030316</v>
      </c>
      <c r="L101" s="44">
        <f>VLOOKUP($A101,Model!$1:$1048576,MATCH(L$14,Model!$1:$1,0),FALSE) * 100</f>
        <v>29.376094589859065</v>
      </c>
    </row>
    <row r="102" spans="1:16">
      <c r="A102" s="1" t="s">
        <v>823</v>
      </c>
      <c r="B102" s="19" t="s">
        <v>348</v>
      </c>
      <c r="C102" s="17">
        <f ca="1">VLOOKUP($A102,Model!$1:$1048576,MATCH(C$14,Model!$1:$1,0),FALSE) * 100</f>
        <v>1.1808719642185346</v>
      </c>
      <c r="D102" s="17">
        <f ca="1">VLOOKUP($A102,Model!$1:$1048576,MATCH(D$14,Model!$1:$1,0),FALSE) * 100</f>
        <v>1.0434721092285382</v>
      </c>
      <c r="E102" s="17">
        <f ca="1">VLOOKUP($A102,Model!$1:$1048576,MATCH(E$14,Model!$1:$1,0),FALSE) * 100</f>
        <v>0.93656393451065378</v>
      </c>
      <c r="F102" s="17">
        <f ca="1">VLOOKUP($A102,Model!$1:$1048576,MATCH(F$14,Model!$1:$1,0),FALSE) * 100</f>
        <v>1.0258413863612272</v>
      </c>
      <c r="G102" s="17">
        <f ca="1">VLOOKUP($A102,Model!$1:$1048576,MATCH(G$14,Model!$1:$1,0),FALSE) * 100</f>
        <v>1.1020359320088082</v>
      </c>
      <c r="H102" s="17"/>
      <c r="I102" s="17">
        <f>VLOOKUP($A102,Model!$1:$1048576,MATCH(I$14,Model!$1:$1,0),FALSE) * 100</f>
        <v>1.0434721092285382</v>
      </c>
      <c r="J102" s="17">
        <f>VLOOKUP($A102,Model!$1:$1048576,MATCH(J$14,Model!$1:$1,0),FALSE) * 100</f>
        <v>0.97682295288506382</v>
      </c>
      <c r="K102" s="17">
        <f>VLOOKUP($A102,Model!$1:$1048576,MATCH(K$14,Model!$1:$1,0),FALSE) * 100</f>
        <v>0.93656393451065378</v>
      </c>
      <c r="L102" s="17">
        <f>VLOOKUP($A102,Model!$1:$1048576,MATCH(L$14,Model!$1:$1,0),FALSE) * 100</f>
        <v>0.96842113144745579</v>
      </c>
    </row>
    <row r="103" spans="1:16">
      <c r="A103" s="1" t="s">
        <v>824</v>
      </c>
      <c r="B103" s="19" t="s">
        <v>295</v>
      </c>
      <c r="C103" s="17">
        <f ca="1">VLOOKUP($A103,Model!$1:$1048576,MATCH(C$14,Model!$1:$1,0),FALSE) * 100</f>
        <v>1.2933501201785511</v>
      </c>
      <c r="D103" s="17">
        <f ca="1">VLOOKUP($A103,Model!$1:$1048576,MATCH(D$14,Model!$1:$1,0),FALSE) * 100</f>
        <v>1.1240236235473424</v>
      </c>
      <c r="E103" s="17">
        <f ca="1">VLOOKUP($A103,Model!$1:$1048576,MATCH(E$14,Model!$1:$1,0),FALSE) * 100</f>
        <v>0.98587493357526823</v>
      </c>
      <c r="F103" s="17">
        <f ca="1">VLOOKUP($A103,Model!$1:$1048576,MATCH(F$14,Model!$1:$1,0),FALSE) * 100</f>
        <v>1.0870050223745542</v>
      </c>
      <c r="G103" s="17">
        <f ca="1">VLOOKUP($A103,Model!$1:$1048576,MATCH(G$14,Model!$1:$1,0),FALSE) * 100</f>
        <v>1.1574836283593908</v>
      </c>
      <c r="H103" s="17"/>
      <c r="I103" s="17">
        <f>VLOOKUP($A103,Model!$1:$1048576,MATCH(I$14,Model!$1:$1,0),FALSE) * 100</f>
        <v>1.1240236235473424</v>
      </c>
      <c r="J103" s="17">
        <f>VLOOKUP($A103,Model!$1:$1048576,MATCH(J$14,Model!$1:$1,0),FALSE) * 100</f>
        <v>1.0330507008132894</v>
      </c>
      <c r="K103" s="17">
        <f>VLOOKUP($A103,Model!$1:$1048576,MATCH(K$14,Model!$1:$1,0),FALSE) * 100</f>
        <v>0.98587493357526823</v>
      </c>
      <c r="L103" s="17">
        <f>VLOOKUP($A103,Model!$1:$1048576,MATCH(L$14,Model!$1:$1,0),FALSE) * 100</f>
        <v>1.0188599584473463</v>
      </c>
      <c r="P103" s="681"/>
    </row>
    <row r="104" spans="1:16">
      <c r="A104" s="1" t="s">
        <v>825</v>
      </c>
      <c r="B104" s="19" t="s">
        <v>261</v>
      </c>
      <c r="C104" s="17">
        <f ca="1">VLOOKUP($A104,Model!$1:$1048576,MATCH(C$14,Model!$1:$1,0),FALSE) * 100</f>
        <v>1.1757361356778691</v>
      </c>
      <c r="D104" s="17">
        <f ca="1">VLOOKUP($A104,Model!$1:$1048576,MATCH(D$14,Model!$1:$1,0),FALSE) * 100</f>
        <v>1.0218219605126431</v>
      </c>
      <c r="E104" s="17">
        <f ca="1">VLOOKUP($A104,Model!$1:$1048576,MATCH(E$14,Model!$1:$1,0),FALSE) * 100</f>
        <v>0.89550114929550528</v>
      </c>
      <c r="F104" s="17">
        <f ca="1">VLOOKUP($A104,Model!$1:$1048576,MATCH(F$14,Model!$1:$1,0),FALSE) * 100</f>
        <v>0.9865025296531662</v>
      </c>
      <c r="G104" s="17">
        <f ca="1">VLOOKUP($A104,Model!$1:$1048576,MATCH(G$14,Model!$1:$1,0),FALSE) * 100</f>
        <v>1.0509550030830361</v>
      </c>
      <c r="H104" s="17"/>
      <c r="I104" s="17">
        <f>VLOOKUP($A104,Model!$1:$1048576,MATCH(I$14,Model!$1:$1,0),FALSE) * 100</f>
        <v>1.0218219605126431</v>
      </c>
      <c r="J104" s="17">
        <f>VLOOKUP($A104,Model!$1:$1048576,MATCH(J$14,Model!$1:$1,0),FALSE) * 100</f>
        <v>0.93912222746578566</v>
      </c>
      <c r="K104" s="17">
        <f>VLOOKUP($A104,Model!$1:$1048576,MATCH(K$14,Model!$1:$1,0),FALSE) * 100</f>
        <v>0.89550114929550528</v>
      </c>
      <c r="L104" s="17">
        <f>VLOOKUP($A104,Model!$1:$1048576,MATCH(L$14,Model!$1:$1,0),FALSE) * 100</f>
        <v>0.92349315788375941</v>
      </c>
    </row>
    <row r="105" spans="1:16">
      <c r="A105" s="1" t="s">
        <v>826</v>
      </c>
      <c r="B105" s="19" t="s">
        <v>262</v>
      </c>
      <c r="C105" s="17">
        <f ca="1">VLOOKUP($A105,Model!$1:$1048576,MATCH(C$14,Model!$1:$1,0),FALSE) * 100</f>
        <v>1.5581239811060486</v>
      </c>
      <c r="D105" s="17">
        <f ca="1">VLOOKUP($A105,Model!$1:$1048576,MATCH(D$14,Model!$1:$1,0),FALSE) * 100</f>
        <v>1.643026422836122</v>
      </c>
      <c r="E105" s="17">
        <f ca="1">VLOOKUP($A105,Model!$1:$1048576,MATCH(E$14,Model!$1:$1,0),FALSE) * 100</f>
        <v>1.4744794939756301</v>
      </c>
      <c r="F105" s="17">
        <f ca="1">VLOOKUP($A105,Model!$1:$1048576,MATCH(F$14,Model!$1:$1,0),FALSE) * 100</f>
        <v>1.4124043119299052</v>
      </c>
      <c r="G105" s="17">
        <f ca="1">VLOOKUP($A105,Model!$1:$1048576,MATCH(G$14,Model!$1:$1,0),FALSE) * 100</f>
        <v>1.2872012855699968</v>
      </c>
      <c r="H105" s="17"/>
      <c r="I105" s="17">
        <f>VLOOKUP($A105,Model!$1:$1048576,MATCH(I$14,Model!$1:$1,0),FALSE) * 100</f>
        <v>1.643026422836122</v>
      </c>
      <c r="J105" s="17">
        <f>VLOOKUP($A105,Model!$1:$1048576,MATCH(J$14,Model!$1:$1,0),FALSE) * 100</f>
        <v>1.5715886871794034</v>
      </c>
      <c r="K105" s="17">
        <f>VLOOKUP($A105,Model!$1:$1048576,MATCH(K$14,Model!$1:$1,0),FALSE) * 100</f>
        <v>1.4744794939756301</v>
      </c>
      <c r="L105" s="17">
        <f>VLOOKUP($A105,Model!$1:$1048576,MATCH(L$14,Model!$1:$1,0),FALSE) * 100</f>
        <v>1.4347735636586219</v>
      </c>
    </row>
    <row r="106" spans="1:16" s="24" customFormat="1">
      <c r="A106" s="1" t="s">
        <v>827</v>
      </c>
      <c r="B106" s="19" t="s">
        <v>369</v>
      </c>
      <c r="C106" s="17">
        <f ca="1">VLOOKUP($A106,Model!$1:$1048576,MATCH(C$14,Model!$1:$1,0),FALSE) * 100</f>
        <v>1.7065354240586015</v>
      </c>
      <c r="D106" s="17">
        <f ca="1">VLOOKUP($A106,Model!$1:$1048576,MATCH(D$14,Model!$1:$1,0),FALSE) * 100</f>
        <v>1.7698609258906459</v>
      </c>
      <c r="E106" s="17">
        <f ca="1">VLOOKUP($A106,Model!$1:$1048576,MATCH(E$14,Model!$1:$1,0),FALSE) * 100</f>
        <v>1.5521122687057558</v>
      </c>
      <c r="F106" s="17">
        <f ca="1">VLOOKUP($A106,Model!$1:$1048576,MATCH(F$14,Model!$1:$1,0),FALSE) * 100</f>
        <v>1.4966159497006926</v>
      </c>
      <c r="G106" s="17">
        <f ca="1">VLOOKUP($A106,Model!$1:$1048576,MATCH(G$14,Model!$1:$1,0),FALSE) * 100</f>
        <v>1.3519653680752433</v>
      </c>
      <c r="H106" s="17"/>
      <c r="I106" s="17">
        <f>VLOOKUP($A106,Model!$1:$1048576,MATCH(I$14,Model!$1:$1,0),FALSE) * 100</f>
        <v>1.7698609258906459</v>
      </c>
      <c r="J106" s="17">
        <f>VLOOKUP($A106,Model!$1:$1048576,MATCH(J$14,Model!$1:$1,0),FALSE) * 100</f>
        <v>1.662052258176155</v>
      </c>
      <c r="K106" s="17">
        <f>VLOOKUP($A106,Model!$1:$1048576,MATCH(K$14,Model!$1:$1,0),FALSE) * 100</f>
        <v>1.5521122687057558</v>
      </c>
      <c r="L106" s="17">
        <f>VLOOKUP($A106,Model!$1:$1048576,MATCH(L$14,Model!$1:$1,0),FALSE) * 100</f>
        <v>1.5095016888630235</v>
      </c>
    </row>
    <row r="107" spans="1:16">
      <c r="A107" s="1" t="s">
        <v>828</v>
      </c>
      <c r="B107" s="19" t="s">
        <v>370</v>
      </c>
      <c r="C107" s="17">
        <f ca="1">VLOOKUP($A107,Model!$1:$1048576,MATCH(C$14,Model!$1:$1,0),FALSE) * 100</f>
        <v>1.551347414420976</v>
      </c>
      <c r="D107" s="17">
        <f ca="1">VLOOKUP($A107,Model!$1:$1048576,MATCH(D$14,Model!$1:$1,0),FALSE) * 100</f>
        <v>1.6089366124004159</v>
      </c>
      <c r="E107" s="17">
        <f ca="1">VLOOKUP($A107,Model!$1:$1048576,MATCH(E$14,Model!$1:$1,0),FALSE) * 100</f>
        <v>1.4098322952802234</v>
      </c>
      <c r="F107" s="17">
        <f ca="1">VLOOKUP($A107,Model!$1:$1048576,MATCH(F$14,Model!$1:$1,0),FALSE) * 100</f>
        <v>1.3582415811417237</v>
      </c>
      <c r="G107" s="17">
        <f ca="1">VLOOKUP($A107,Model!$1:$1048576,MATCH(G$14,Model!$1:$1,0),FALSE) * 100</f>
        <v>1.2275376798094197</v>
      </c>
      <c r="H107" s="17"/>
      <c r="I107" s="17">
        <f>VLOOKUP($A107,Model!$1:$1048576,MATCH(I$14,Model!$1:$1,0),FALSE) * 100</f>
        <v>1.6089366124004159</v>
      </c>
      <c r="J107" s="17">
        <f>VLOOKUP($A107,Model!$1:$1048576,MATCH(J$14,Model!$1:$1,0),FALSE) * 100</f>
        <v>1.5109328299512348</v>
      </c>
      <c r="K107" s="17">
        <f>VLOOKUP($A107,Model!$1:$1048576,MATCH(K$14,Model!$1:$1,0),FALSE) * 100</f>
        <v>1.4098322952802234</v>
      </c>
      <c r="L107" s="17">
        <f>VLOOKUP($A107,Model!$1:$1048576,MATCH(L$14,Model!$1:$1,0),FALSE) * 100</f>
        <v>1.3682100959226409</v>
      </c>
    </row>
    <row r="108" spans="1:16">
      <c r="B108" s="24" t="s">
        <v>620</v>
      </c>
      <c r="K108" s="18"/>
    </row>
    <row r="109" spans="1:16">
      <c r="A109" s="1" t="s">
        <v>954</v>
      </c>
      <c r="B109" s="19" t="s">
        <v>543</v>
      </c>
      <c r="C109" s="44">
        <f ca="1">VLOOKUP($A109,Model!$1:$1048576,MATCH(C$14,Model!$1:$1,0),FALSE) * 100</f>
        <v>14.681094579128082</v>
      </c>
      <c r="D109" s="44">
        <f ca="1">VLOOKUP($A109,Model!$1:$1048576,MATCH(D$14,Model!$1:$1,0),FALSE) * 100</f>
        <v>13.136473848285418</v>
      </c>
      <c r="E109" s="44">
        <f ca="1">VLOOKUP($A109,Model!$1:$1048576,MATCH(E$14,Model!$1:$1,0),FALSE) * 100</f>
        <v>11.998238469217315</v>
      </c>
      <c r="F109" s="44">
        <f ca="1">VLOOKUP($A109,Model!$1:$1048576,MATCH(F$14,Model!$1:$1,0),FALSE) * 100</f>
        <v>11.475267122743221</v>
      </c>
      <c r="G109" s="44">
        <f ca="1">VLOOKUP($A109,Model!$1:$1048576,MATCH(G$14,Model!$1:$1,0),FALSE) * 100</f>
        <v>11.820594512136259</v>
      </c>
      <c r="H109" s="44"/>
      <c r="I109" s="44">
        <f>VLOOKUP($A109,Model!$1:$1048576,MATCH(I$14,Model!$1:$1,0),FALSE) * 100</f>
        <v>13.136473848285418</v>
      </c>
      <c r="J109" s="44">
        <f>VLOOKUP($A109,Model!$1:$1048576,MATCH(J$14,Model!$1:$1,0),FALSE) * 100</f>
        <v>12.576687116564417</v>
      </c>
      <c r="K109" s="44">
        <f>VLOOKUP($A109,Model!$1:$1048576,MATCH(K$14,Model!$1:$1,0),FALSE) * 100</f>
        <v>11.998238469217313</v>
      </c>
      <c r="L109" s="44">
        <f>VLOOKUP($A109,Model!$1:$1048576,MATCH(L$14,Model!$1:$1,0),FALSE) * 100</f>
        <v>11.752944102270202</v>
      </c>
      <c r="N109" s="501"/>
    </row>
    <row r="110" spans="1:16">
      <c r="A110" s="1" t="s">
        <v>955</v>
      </c>
      <c r="B110" s="19" t="s">
        <v>544</v>
      </c>
      <c r="C110" s="44">
        <f ca="1">VLOOKUP($A110,Model!$1:$1048576,MATCH(C$14,Model!$1:$1,0),FALSE) * 100</f>
        <v>15.461450421392156</v>
      </c>
      <c r="D110" s="44">
        <f ca="1">VLOOKUP($A110,Model!$1:$1048576,MATCH(D$14,Model!$1:$1,0),FALSE) * 100</f>
        <v>13.785936958780741</v>
      </c>
      <c r="E110" s="44">
        <f ca="1">VLOOKUP($A110,Model!$1:$1048576,MATCH(E$14,Model!$1:$1,0),FALSE) * 100</f>
        <v>12.535491497176682</v>
      </c>
      <c r="F110" s="44">
        <f ca="1">VLOOKUP($A110,Model!$1:$1048576,MATCH(F$14,Model!$1:$1,0),FALSE) * 100</f>
        <v>11.942723740517865</v>
      </c>
      <c r="G110" s="44">
        <f ca="1">VLOOKUP($A110,Model!$1:$1048576,MATCH(G$14,Model!$1:$1,0),FALSE) * 100</f>
        <v>12.225342938831435</v>
      </c>
      <c r="H110" s="44"/>
      <c r="I110" s="44">
        <f>VLOOKUP($A110,Model!$1:$1048576,MATCH(I$14,Model!$1:$1,0),FALSE) * 100</f>
        <v>13.785936958780741</v>
      </c>
      <c r="J110" s="44">
        <f>VLOOKUP($A110,Model!$1:$1048576,MATCH(J$14,Model!$1:$1,0),FALSE) * 100</f>
        <v>13.166588013213781</v>
      </c>
      <c r="K110" s="44">
        <f>VLOOKUP($A110,Model!$1:$1048576,MATCH(K$14,Model!$1:$1,0),FALSE) * 100</f>
        <v>12.535491497176679</v>
      </c>
      <c r="L110" s="44">
        <f>VLOOKUP($A110,Model!$1:$1048576,MATCH(L$14,Model!$1:$1,0),FALSE) * 100</f>
        <v>12.254658378573788</v>
      </c>
    </row>
    <row r="111" spans="1:16">
      <c r="A111" s="1" t="s">
        <v>956</v>
      </c>
      <c r="B111" s="19" t="s">
        <v>652</v>
      </c>
      <c r="C111" s="44">
        <f ca="1">VLOOKUP($A111,Model!$1:$1048576,MATCH(C$14,Model!$1:$1,0),FALSE) * 100</f>
        <v>17.500780355842263</v>
      </c>
      <c r="D111" s="44">
        <f ca="1">VLOOKUP($A111,Model!$1:$1048576,MATCH(D$14,Model!$1:$1,0),FALSE) * 100</f>
        <v>16.548320055420852</v>
      </c>
      <c r="E111" s="44">
        <f ca="1">VLOOKUP($A111,Model!$1:$1048576,MATCH(E$14,Model!$1:$1,0),FALSE) * 100</f>
        <v>15.959208051114986</v>
      </c>
      <c r="F111" s="44">
        <f ca="1">VLOOKUP($A111,Model!$1:$1048576,MATCH(F$14,Model!$1:$1,0),FALSE) * 100</f>
        <v>15.067520033104012</v>
      </c>
      <c r="G111" s="44">
        <f ca="1">VLOOKUP($A111,Model!$1:$1048576,MATCH(G$14,Model!$1:$1,0),FALSE) * 100</f>
        <v>15.069400086448493</v>
      </c>
      <c r="H111" s="44"/>
      <c r="I111" s="44">
        <f>VLOOKUP($A111,Model!$1:$1048576,MATCH(I$14,Model!$1:$1,0),FALSE) * 100</f>
        <v>16.548320055420852</v>
      </c>
      <c r="J111" s="44">
        <f>VLOOKUP($A111,Model!$1:$1048576,MATCH(J$14,Model!$1:$1,0),FALSE) * 100</f>
        <v>16.894761680037753</v>
      </c>
      <c r="K111" s="44">
        <f>VLOOKUP($A111,Model!$1:$1048576,MATCH(K$14,Model!$1:$1,0),FALSE) * 100</f>
        <v>15.959208051114986</v>
      </c>
      <c r="L111" s="44">
        <f>VLOOKUP($A111,Model!$1:$1048576,MATCH(L$14,Model!$1:$1,0),FALSE) * 100</f>
        <v>15.513266294265637</v>
      </c>
    </row>
    <row r="112" spans="1:16">
      <c r="A112" s="1" t="s">
        <v>1010</v>
      </c>
      <c r="B112" s="19" t="s">
        <v>653</v>
      </c>
      <c r="C112" s="44">
        <f ca="1">VLOOKUP($A112,Model!$1:$1048576,MATCH(C$14,Model!$1:$1,0),FALSE) * 100</f>
        <v>0</v>
      </c>
      <c r="D112" s="44">
        <f ca="1">VLOOKUP($A112,Model!$1:$1048576,MATCH(D$14,Model!$1:$1,0),FALSE) * 100</f>
        <v>0</v>
      </c>
      <c r="E112" s="44">
        <f ca="1">VLOOKUP($A112,Model!$1:$1048576,MATCH(E$14,Model!$1:$1,0),FALSE) * 100</f>
        <v>0</v>
      </c>
      <c r="F112" s="44">
        <f ca="1">VLOOKUP($A112,Model!$1:$1048576,MATCH(F$14,Model!$1:$1,0),FALSE) * 100</f>
        <v>0</v>
      </c>
      <c r="G112" s="44">
        <f ca="1">VLOOKUP($A112,Model!$1:$1048576,MATCH(G$14,Model!$1:$1,0),FALSE) * 100</f>
        <v>0</v>
      </c>
      <c r="H112" s="44"/>
      <c r="I112" s="44">
        <f>VLOOKUP($A112,Model!$1:$1048576,MATCH(I$14,Model!$1:$1,0),FALSE) * 100</f>
        <v>0</v>
      </c>
      <c r="J112" s="44">
        <f>VLOOKUP($A112,Model!$1:$1048576,MATCH(J$14,Model!$1:$1,0),FALSE) * 100</f>
        <v>0</v>
      </c>
      <c r="K112" s="44">
        <f>VLOOKUP($A112,Model!$1:$1048576,MATCH(K$14,Model!$1:$1,0),FALSE) * 100</f>
        <v>0</v>
      </c>
      <c r="L112" s="44">
        <f>VLOOKUP($A112,Model!$1:$1048576,MATCH(L$14,Model!$1:$1,0),FALSE) * 100</f>
        <v>0</v>
      </c>
    </row>
    <row r="113" spans="1:15">
      <c r="A113" s="1" t="s">
        <v>1072</v>
      </c>
      <c r="B113" s="19" t="s">
        <v>1102</v>
      </c>
      <c r="C113" s="42">
        <f ca="1">VLOOKUP($A113,Model!$1:$1048576,MATCH(C$14,Model!$1:$1,0),FALSE)</f>
        <v>75.5</v>
      </c>
      <c r="D113" s="42">
        <f ca="1">VLOOKUP($A113,Model!$1:$1048576,MATCH(D$14,Model!$1:$1,0),FALSE)</f>
        <v>0</v>
      </c>
      <c r="E113" s="42">
        <f ca="1">VLOOKUP($A113,Model!$1:$1048576,MATCH(E$14,Model!$1:$1,0),FALSE)</f>
        <v>32.469693372047097</v>
      </c>
      <c r="F113" s="42">
        <f ca="1">VLOOKUP($A113,Model!$1:$1048576,MATCH(F$14,Model!$1:$1,0),FALSE)</f>
        <v>103.81262448484628</v>
      </c>
      <c r="G113" s="42">
        <f ca="1">VLOOKUP($A113,Model!$1:$1048576,MATCH(G$14,Model!$1:$1,0),FALSE)</f>
        <v>191.98772946574002</v>
      </c>
      <c r="H113" s="44"/>
      <c r="I113" s="44"/>
      <c r="J113" s="44"/>
      <c r="K113" s="44"/>
      <c r="L113" s="44"/>
    </row>
    <row r="114" spans="1:15">
      <c r="A114" s="1" t="s">
        <v>1011</v>
      </c>
      <c r="B114" s="19" t="s">
        <v>654</v>
      </c>
      <c r="C114" s="44">
        <f ca="1">VLOOKUP($A114,Model!$1:$1048576,MATCH(C$14,Model!$1:$1,0),FALSE) * 100</f>
        <v>0</v>
      </c>
      <c r="D114" s="44">
        <f ca="1">VLOOKUP($A114,Model!$1:$1048576,MATCH(D$14,Model!$1:$1,0),FALSE) * 100</f>
        <v>0</v>
      </c>
      <c r="E114" s="44">
        <f ca="1">VLOOKUP($A114,Model!$1:$1048576,MATCH(E$14,Model!$1:$1,0),FALSE) * 100</f>
        <v>0</v>
      </c>
      <c r="F114" s="44">
        <f ca="1">VLOOKUP($A114,Model!$1:$1048576,MATCH(F$14,Model!$1:$1,0),FALSE) * 100</f>
        <v>0</v>
      </c>
      <c r="G114" s="44">
        <f ca="1">VLOOKUP($A114,Model!$1:$1048576,MATCH(G$14,Model!$1:$1,0),FALSE) * 100</f>
        <v>-71.143493186304454</v>
      </c>
      <c r="H114" s="44"/>
      <c r="I114" s="44">
        <f>VLOOKUP($A114,Model!$1:$1048576,MATCH(I$14,Model!$1:$1,0),FALSE) * 100</f>
        <v>0</v>
      </c>
      <c r="J114" s="44">
        <f>VLOOKUP($A114,Model!$1:$1048576,MATCH(J$14,Model!$1:$1,0),FALSE) * 100</f>
        <v>0</v>
      </c>
      <c r="K114" s="44">
        <f>VLOOKUP($A114,Model!$1:$1048576,MATCH(K$14,Model!$1:$1,0),FALSE) * 100</f>
        <v>0</v>
      </c>
      <c r="L114" s="44">
        <f>VLOOKUP($A114,Model!$1:$1048576,MATCH(L$14,Model!$1:$1,0),FALSE) * 100</f>
        <v>0</v>
      </c>
    </row>
    <row r="115" spans="1:15">
      <c r="A115" s="1" t="s">
        <v>1012</v>
      </c>
      <c r="B115" s="19" t="s">
        <v>545</v>
      </c>
      <c r="C115" s="44">
        <f ca="1">VLOOKUP($A115,Model!$1:$1048576,MATCH(C$14,Model!$1:$1,0),FALSE) * 100</f>
        <v>0</v>
      </c>
      <c r="D115" s="44">
        <f ca="1">VLOOKUP($A115,Model!$1:$1048576,MATCH(D$14,Model!$1:$1,0),FALSE) * 100</f>
        <v>0</v>
      </c>
      <c r="E115" s="44">
        <f ca="1">VLOOKUP($A115,Model!$1:$1048576,MATCH(E$14,Model!$1:$1,0),FALSE) * 100</f>
        <v>0</v>
      </c>
      <c r="F115" s="44">
        <f ca="1">VLOOKUP($A115,Model!$1:$1048576,MATCH(F$14,Model!$1:$1,0),FALSE) * 100</f>
        <v>0</v>
      </c>
      <c r="G115" s="44">
        <f ca="1">VLOOKUP($A115,Model!$1:$1048576,MATCH(G$14,Model!$1:$1,0),FALSE) * 100</f>
        <v>0</v>
      </c>
      <c r="H115" s="44"/>
      <c r="I115" s="44">
        <f>VLOOKUP($A115,Model!$1:$1048576,MATCH(I$14,Model!$1:$1,0),FALSE) * 100</f>
        <v>0</v>
      </c>
      <c r="J115" s="44">
        <f>VLOOKUP($A115,Model!$1:$1048576,MATCH(J$14,Model!$1:$1,0),FALSE) * 100</f>
        <v>0</v>
      </c>
      <c r="K115" s="44">
        <f>VLOOKUP($A115,Model!$1:$1048576,MATCH(K$14,Model!$1:$1,0),FALSE) * 100</f>
        <v>0</v>
      </c>
      <c r="L115" s="44">
        <f>VLOOKUP($A115,Model!$1:$1048576,MATCH(L$14,Model!$1:$1,0),FALSE) * 100</f>
        <v>0</v>
      </c>
    </row>
    <row r="118" spans="1:15">
      <c r="B118" s="2" t="s">
        <v>1103</v>
      </c>
      <c r="C118" s="87"/>
      <c r="D118" s="87"/>
      <c r="E118" s="87"/>
      <c r="F118" s="87"/>
      <c r="G118" s="87"/>
      <c r="H118" s="87"/>
      <c r="I118" s="87"/>
      <c r="J118" s="87"/>
      <c r="K118" s="87"/>
      <c r="L118" s="87"/>
    </row>
    <row r="120" spans="1:15">
      <c r="B120" s="91" t="s">
        <v>705</v>
      </c>
      <c r="C120" s="553">
        <f ca="1">(EOMONTH(DATE(C121,MONTH($C$10),15),0)-G$2)/(EOMONTH(DATE(C121,MONTH($C$10),15),0)-EOMONTH(DATE(C121-1,MONTH(C$10),15),0))</f>
        <v>0.83013698630136989</v>
      </c>
      <c r="D120" s="553">
        <f ca="1">1-C120</f>
        <v>0.16986301369863011</v>
      </c>
      <c r="E120" s="11" t="s">
        <v>706</v>
      </c>
      <c r="F120" s="92" t="s">
        <v>1104</v>
      </c>
      <c r="G120" s="11" t="s">
        <v>707</v>
      </c>
      <c r="H120" s="11" t="s">
        <v>1105</v>
      </c>
      <c r="I120" s="11" t="s">
        <v>1105</v>
      </c>
      <c r="J120" s="11"/>
      <c r="K120" s="93"/>
      <c r="L120" s="93"/>
      <c r="M120" s="112"/>
    </row>
    <row r="121" spans="1:15">
      <c r="B121" s="91"/>
      <c r="C121" s="11">
        <f ca="1">IF(MONTH($G$2)&lt;=MONTH($C$10),YEAR($G$2),YEAR($G$2)+1)</f>
        <v>2027</v>
      </c>
      <c r="D121" s="11">
        <f ca="1">C121+1</f>
        <v>2028</v>
      </c>
      <c r="E121" s="11" t="s">
        <v>855</v>
      </c>
      <c r="F121" s="11" t="s">
        <v>1106</v>
      </c>
      <c r="G121" s="11" t="s">
        <v>1107</v>
      </c>
      <c r="H121" s="11" t="s">
        <v>1108</v>
      </c>
      <c r="I121" s="11" t="s">
        <v>2518</v>
      </c>
      <c r="J121" s="11" t="s">
        <v>856</v>
      </c>
      <c r="K121" s="93" t="s">
        <v>857</v>
      </c>
      <c r="L121" s="93"/>
      <c r="M121" s="112"/>
    </row>
    <row r="122" spans="1:15">
      <c r="A122" s="1" t="s">
        <v>107</v>
      </c>
      <c r="B122" s="19" t="s">
        <v>858</v>
      </c>
      <c r="C122" s="17">
        <f ca="1">VLOOKUP($A122,Model!$1:$1048576,MATCH("FY"&amp;RIGHT(Summary!C$121,2)&amp;"E",Model!$1:$1,0),FALSE)</f>
        <v>0.13060581349162786</v>
      </c>
      <c r="D122" s="17">
        <f ca="1">VLOOKUP($A122,Model!$1:$1048576,MATCH("FY"&amp;RIGHT(Summary!D$121,2)&amp;"E",Model!$1:$1,0),FALSE)</f>
        <v>0.15513687586165492</v>
      </c>
      <c r="E122" s="17">
        <f ca="1">SUMPRODUCT(C122:D122,C$120:D$120)</f>
        <v>0.13477273367502973</v>
      </c>
      <c r="F122" s="94">
        <v>22.010999999999999</v>
      </c>
      <c r="G122" s="95">
        <f ca="1">IF(ISERROR((((VLOOKUP("AD_ProfitabilityROTECash",Model!$1:$1048576,MATCH("FY"&amp;RIGHT(Summary!$C$121,2)&amp;"E",Model!$1:$1,0),FALSE)-$G$4)/($G$8-$G$4))/VLOOKUP("AD_ProfitabilityROTECash",Model!$1:$1048576,MATCH("FY"&amp;RIGHT(Summary!$C$121,2)&amp;"E",Model!$1:$1,0),FALSE)*C120+((VLOOKUP("AD_ProfitabilityROTECash",Model!$1:$1048576,MATCH("FY"&amp;RIGHT($D$121,2)&amp;"E",Model!$1:$1,0),FALSE)-$G$4)/($G$8-$G$4))/VLOOKUP("AD_ProfitabilityROTECash",Model!$1:$1048576,MATCH("FY"&amp;RIGHT(Summary!$D$121,2)&amp;"E",Model!$1:$1,0),FALSE)*D120)/(((AVERAGE(INDIRECT(ADDRESS(ROW(Model!$785:$785),MATCH("FY"&amp;RIGHT(Summary!$C$121,2)&amp;"E",Model!$1:$1,0)-14,,,"Model")&amp;":"&amp;ADDRESS(ROW(Model!$785:$785),MATCH("FY"&amp;RIGHT(Summary!$C$121,2)&amp;"E",Model!$1:$1,0),,,)))-$G$4)/($G$8-$G$4))/(AVERAGE(INDIRECT(ADDRESS(ROW(Model!$785:$785),MATCH("FY"&amp;RIGHT(Summary!$C$121,2)&amp;"E",Model!$1:$1,0)-14,,,"Model")&amp;":"&amp;ADDRESS(ROW(Model!$785:$785),MATCH("FY21E",Model!$1:$1,0),,,)))))),1,(((VLOOKUP("AD_ProfitabilityROTECash",Model!$1:$1048576,MATCH("FY"&amp;RIGHT(Summary!$C$121,2)&amp;"E",Model!$1:$1,0),FALSE)-$G$4)/($G$8-$G$4))/VLOOKUP("AD_ProfitabilityROTECash",Model!$1:$1048576,MATCH("FY"&amp;RIGHT(Summary!$C$121,2)&amp;"E",Model!$1:$1,0),FALSE)*C120+((VLOOKUP("AD_ProfitabilityROTECash",Model!$1:$1048576,MATCH("FY"&amp;RIGHT($D$121,2)&amp;"E",Model!$1:$1,0),FALSE)-$G$4)/($G$8-$G$4))/VLOOKUP("AD_ProfitabilityROTECash",Model!$1:$1048576,MATCH("FY"&amp;RIGHT(Summary!$D$121,2)&amp;"E",Model!$1:$1,0),FALSE)*D120)/(((AVERAGE(INDIRECT(ADDRESS(ROW(Model!$785:$785),MATCH("FY"&amp;RIGHT(Summary!$C$121,2)&amp;"E",Model!$1:$1,0)-14,,,"Model")&amp;":"&amp;ADDRESS(ROW(Model!$785:$785),MATCH("FY"&amp;RIGHT(Summary!$C$121,2)&amp;"E",Model!$1:$1,0),,,)))-$G$4)/($G$8-$G$4))/(AVERAGE(INDIRECT(ADDRESS(ROW(Model!$785:$785),MATCH("FY"&amp;RIGHT(Summary!$C$121,2)&amp;"E",Model!$1:$1,0)-14,,,"Model")&amp;":"&amp;ADDRESS(ROW(Model!$785:$785),MATCH("FY21E",Model!$1:$1,0),,,))))))</f>
        <v>1</v>
      </c>
      <c r="H122" s="96" t="s">
        <v>213</v>
      </c>
      <c r="I122" s="96" t="s">
        <v>213</v>
      </c>
      <c r="J122" s="96">
        <f ca="1">C122*F122*G122</f>
        <v>2.8747645607642207</v>
      </c>
      <c r="K122" s="97" t="s">
        <v>2595</v>
      </c>
    </row>
    <row r="123" spans="1:15">
      <c r="A123" s="1" t="s">
        <v>951</v>
      </c>
      <c r="B123" s="19" t="s">
        <v>728</v>
      </c>
      <c r="C123" s="17">
        <f ca="1">VLOOKUP($A123,Model!$1:$1048576,MATCH("FY"&amp;RIGHT(Summary!C$121,2)&amp;"E",Model!$1:$1,0),FALSE)</f>
        <v>0.31364539730929031</v>
      </c>
      <c r="D123" s="17">
        <f ca="1">VLOOKUP($A123,Model!$1:$1048576,MATCH("FY"&amp;RIGHT(Summary!D$121,2)&amp;"E",Model!$1:$1,0),FALSE)</f>
        <v>0.36169952086132401</v>
      </c>
      <c r="E123" s="17">
        <f ca="1">SUMPRODUCT(C123:D123,C$120:D$120)</f>
        <v>0.32180801555648503</v>
      </c>
      <c r="F123" s="94">
        <v>4.4000000000000004</v>
      </c>
      <c r="G123" s="95">
        <f ca="1">G$122</f>
        <v>1</v>
      </c>
      <c r="H123" s="96" t="s">
        <v>213</v>
      </c>
      <c r="I123" s="96" t="s">
        <v>213</v>
      </c>
      <c r="J123" s="96">
        <f ca="1">E123*F123*G123</f>
        <v>1.4159552684485341</v>
      </c>
      <c r="K123" s="97" t="s">
        <v>2596</v>
      </c>
    </row>
    <row r="124" spans="1:15">
      <c r="A124" s="1" t="s">
        <v>2452</v>
      </c>
      <c r="B124" s="19" t="s">
        <v>729</v>
      </c>
      <c r="C124" s="17">
        <f ca="1">VLOOKUP($A124,Model!$1:$1048576,MATCH("FY"&amp;RIGHT(Summary!C$121,2)&amp;"E",Model!$1:$1,0),FALSE)</f>
        <v>1.7104691977926514</v>
      </c>
      <c r="D124" s="17">
        <f ca="1">VLOOKUP($A124,Model!$1:$1048576,MATCH("FY"&amp;RIGHT(Summary!D$121-1,2)&amp;"E",Model!$1:$1,0),FALSE)</f>
        <v>1.7104691977926514</v>
      </c>
      <c r="E124" s="17">
        <f ca="1">SUMPRODUCT(C124:D124,C$120:D$120)</f>
        <v>1.7104691977926514</v>
      </c>
      <c r="F124" s="385">
        <f>(VLOOKUP("AD_ProfitabilityROTECashOptimised",Model!$1:$1048576,MATCH($G$3,Model!$1:$1,0),FALSE)-$G$4)/($G$8-$G$4)</f>
        <v>1.1257747504468973</v>
      </c>
      <c r="G124" s="98">
        <v>1</v>
      </c>
      <c r="H124" s="96">
        <f ca="1">SUMPRODUCT(D138:G138,D143:G143)</f>
        <v>0.3538970547768796</v>
      </c>
      <c r="I124" s="96">
        <v>0</v>
      </c>
      <c r="J124" s="96">
        <f ca="1">C124*F124*G124+H124+I124</f>
        <v>2.2795000890690065</v>
      </c>
      <c r="K124" s="97" t="s">
        <v>2195</v>
      </c>
      <c r="N124" s="19" t="s">
        <v>2212</v>
      </c>
      <c r="O124" s="683">
        <f>VLOOKUP("AD_ProfitabilityROTECashOptimised",Model!$1:$1048576,MATCH($G$3,Model!$1:$1,0),FALSE)</f>
        <v>0.11731352953664556</v>
      </c>
    </row>
    <row r="125" spans="1:15">
      <c r="A125" s="1" t="s">
        <v>963</v>
      </c>
      <c r="B125" s="19" t="s">
        <v>2531</v>
      </c>
      <c r="C125" s="17">
        <f ca="1">VLOOKUP($A125,Model!$1:$1048576,MATCH("FY"&amp;RIGHT(Summary!C$121,2)&amp;"E",Model!$1:$1,0),FALSE)</f>
        <v>1.7100987397662342</v>
      </c>
      <c r="D125" s="17">
        <f ca="1">VLOOKUP($A125,Model!$1:$1048576,MATCH("FY"&amp;RIGHT(Summary!D$121-1,2)&amp;"E",Model!$1:$1,0),FALSE)</f>
        <v>1.7100987397662342</v>
      </c>
      <c r="E125" s="17">
        <f ca="1">SUMPRODUCT(C125:D125,C$120:D$120)</f>
        <v>1.7100987397662342</v>
      </c>
      <c r="F125" s="94">
        <v>1.2</v>
      </c>
      <c r="G125" s="98">
        <v>1</v>
      </c>
      <c r="H125" s="96" t="s">
        <v>213</v>
      </c>
      <c r="I125" s="96" t="s">
        <v>213</v>
      </c>
      <c r="J125" s="96">
        <f ca="1">C125*F125*G125</f>
        <v>2.0521184877194809</v>
      </c>
      <c r="K125" s="97" t="str">
        <f>"Sustainable ROTE = "&amp;TEXT(VLOOKUP("AD_ProfitabilityROTECash",Model!$1:$1048576,MATCH($G$3,Model!$1:$1,0),FALSE),"0.0%")</f>
        <v>Sustainable ROTE = 11.6%</v>
      </c>
      <c r="M125" s="441"/>
      <c r="N125" s="19" t="s">
        <v>2624</v>
      </c>
      <c r="O125" s="44">
        <v>1.1000000000000001</v>
      </c>
    </row>
    <row r="126" spans="1:15">
      <c r="C126" s="21"/>
      <c r="D126" s="21"/>
      <c r="E126" s="21"/>
      <c r="F126" s="21"/>
      <c r="G126" s="21"/>
      <c r="H126" s="21"/>
      <c r="J126" s="671"/>
    </row>
    <row r="127" spans="1:15">
      <c r="B127" s="91" t="s">
        <v>730</v>
      </c>
      <c r="C127" s="11" t="str">
        <f ca="1">C$14</f>
        <v>FY24A</v>
      </c>
      <c r="D127" s="11" t="str">
        <f ca="1">D$14</f>
        <v>FY25A</v>
      </c>
      <c r="E127" s="11" t="str">
        <f ca="1">E$14</f>
        <v>FY26E</v>
      </c>
      <c r="F127" s="11" t="str">
        <f ca="1">F$14</f>
        <v>FY27E</v>
      </c>
      <c r="G127" s="11" t="str">
        <f ca="1">G$14</f>
        <v>FY28E</v>
      </c>
      <c r="H127" s="21"/>
    </row>
    <row r="128" spans="1:15">
      <c r="A128" s="1" t="s">
        <v>754</v>
      </c>
      <c r="B128" s="19" t="s">
        <v>2245</v>
      </c>
      <c r="C128" s="42">
        <f ca="1">VLOOKUP($A128,Model!$1:$1048576,MATCH(C$127,Model!$1:$1,0),FALSE)</f>
        <v>1109.300833</v>
      </c>
      <c r="D128" s="42">
        <f ca="1">VLOOKUP($A128,Model!$1:$1048576,MATCH(D$127,Model!$1:$1,0),FALSE)</f>
        <v>1117.685772</v>
      </c>
      <c r="E128" s="42">
        <f ca="1">VLOOKUP($A128,Model!$1:$1048576,MATCH(E$127,Model!$1:$1,0),FALSE)</f>
        <v>1121.061604</v>
      </c>
      <c r="F128" s="42">
        <f ca="1">VLOOKUP($A128,Model!$1:$1048576,MATCH(F$127,Model!$1:$1,0),FALSE)</f>
        <v>1121.061604</v>
      </c>
      <c r="G128" s="42">
        <f ca="1">VLOOKUP($A128,Model!$1:$1048576,MATCH(G$127,Model!$1:$1,0),FALSE)</f>
        <v>1191.061604</v>
      </c>
      <c r="H128" s="21"/>
    </row>
    <row r="129" spans="1:43">
      <c r="C129" s="42"/>
      <c r="D129" s="42"/>
      <c r="E129" s="42"/>
      <c r="F129" s="42"/>
      <c r="G129" s="42"/>
      <c r="H129" s="21"/>
    </row>
    <row r="130" spans="1:43">
      <c r="A130" s="1" t="s">
        <v>748</v>
      </c>
      <c r="B130" s="19" t="s">
        <v>2246</v>
      </c>
      <c r="C130" s="42">
        <f ca="1">VLOOKUP($A130,Model!$1:$1048576,MATCH(C$127,Model!$1:$1,0),FALSE)</f>
        <v>193.2310845814427</v>
      </c>
      <c r="D130" s="42">
        <f ca="1">VLOOKUP($A130,Model!$1:$1048576,MATCH(D$127,Model!$1:$1,0),FALSE)</f>
        <v>213.90681063165709</v>
      </c>
      <c r="E130" s="42">
        <f ca="1">VLOOKUP($A130,Model!$1:$1048576,MATCH(E$127,Model!$1:$1,0),FALSE)</f>
        <v>236.79483936924419</v>
      </c>
      <c r="F130" s="42">
        <f ca="1">VLOOKUP($A130,Model!$1:$1048576,MATCH(F$127,Model!$1:$1,0),FALSE)</f>
        <v>262.13188718175309</v>
      </c>
      <c r="G130" s="42">
        <f ca="1">VLOOKUP($A130,Model!$1:$1048576,MATCH(G$127,Model!$1:$1,0),FALSE)</f>
        <v>434.4864360167453</v>
      </c>
      <c r="H130" s="21"/>
      <c r="I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  <c r="W130" s="99"/>
      <c r="X130" s="99"/>
      <c r="Y130" s="99"/>
      <c r="Z130" s="99"/>
      <c r="AA130" s="99"/>
      <c r="AB130" s="99"/>
      <c r="AC130" s="99"/>
      <c r="AD130" s="99"/>
      <c r="AE130" s="99"/>
      <c r="AF130" s="99"/>
      <c r="AG130" s="99"/>
      <c r="AH130" s="99"/>
      <c r="AI130" s="99"/>
      <c r="AJ130" s="99"/>
      <c r="AK130" s="99"/>
      <c r="AL130" s="99"/>
      <c r="AM130" s="99"/>
      <c r="AN130" s="99"/>
      <c r="AO130" s="99"/>
      <c r="AP130" s="99"/>
      <c r="AQ130" s="99"/>
    </row>
    <row r="131" spans="1:43">
      <c r="A131" s="1" t="s">
        <v>6</v>
      </c>
      <c r="B131" s="19" t="s">
        <v>2247</v>
      </c>
      <c r="C131" s="42">
        <f ca="1">VLOOKUP($A131,Model!$1:$1048576,MATCH(C$127,Model!$1:$1,0),FALSE)</f>
        <v>1485.384419735328</v>
      </c>
      <c r="D131" s="42">
        <f ca="1">VLOOKUP($A131,Model!$1:$1048576,MATCH(D$127,Model!$1:$1,0),FALSE)</f>
        <v>1644.3205526470085</v>
      </c>
      <c r="E131" s="42">
        <f ca="1">VLOOKUP($A131,Model!$1:$1048576,MATCH(E$127,Model!$1:$1,0),FALSE)</f>
        <v>1820.2628517802382</v>
      </c>
      <c r="F131" s="42">
        <f ca="1">VLOOKUP($A131,Model!$1:$1048576,MATCH(F$127,Model!$1:$1,0),FALSE)</f>
        <v>2015.0309769207236</v>
      </c>
      <c r="G131" s="42">
        <f ca="1">VLOOKUP($A131,Model!$1:$1048576,MATCH(G$127,Model!$1:$1,0),FALSE)</f>
        <v>2230.6392914512408</v>
      </c>
      <c r="H131" s="21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100"/>
      <c r="AE131" s="100"/>
      <c r="AF131" s="100"/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</row>
    <row r="132" spans="1:43">
      <c r="B132" s="24" t="s">
        <v>2248</v>
      </c>
      <c r="C132" s="55">
        <f ca="1">C130+C131</f>
        <v>1678.6155043167707</v>
      </c>
      <c r="D132" s="55">
        <f ca="1">D130+D131</f>
        <v>1858.2273632786655</v>
      </c>
      <c r="E132" s="55">
        <f ca="1">E130+E131</f>
        <v>2057.0576911494823</v>
      </c>
      <c r="F132" s="55">
        <f ca="1">F130+F131</f>
        <v>2277.1628641024768</v>
      </c>
      <c r="G132" s="55">
        <f ca="1">G130+G131</f>
        <v>2665.1257274679861</v>
      </c>
      <c r="H132" s="21"/>
      <c r="J132" s="99"/>
    </row>
    <row r="133" spans="1:43" s="57" customFormat="1">
      <c r="A133" s="89"/>
      <c r="B133" s="57" t="s">
        <v>1109</v>
      </c>
      <c r="C133" s="101">
        <f ca="1">C132/C$128</f>
        <v>1.5132193669927323</v>
      </c>
      <c r="D133" s="101">
        <f ca="1">D132/D$128</f>
        <v>1.6625668947664347</v>
      </c>
      <c r="E133" s="101">
        <f ca="1">E132/E$128</f>
        <v>1.8349194047943527</v>
      </c>
      <c r="F133" s="101">
        <f ca="1">F132/F$128</f>
        <v>2.0312557811073484</v>
      </c>
      <c r="G133" s="101">
        <f ca="1">G132/G$128</f>
        <v>2.2376052745866084</v>
      </c>
      <c r="H133" s="59"/>
    </row>
    <row r="134" spans="1:43">
      <c r="B134" s="24"/>
      <c r="C134" s="21"/>
      <c r="D134" s="21"/>
      <c r="E134" s="21"/>
      <c r="F134" s="21"/>
      <c r="G134" s="21"/>
      <c r="H134" s="21"/>
    </row>
    <row r="135" spans="1:43">
      <c r="A135" s="1" t="s">
        <v>750</v>
      </c>
      <c r="B135" s="19" t="s">
        <v>2249</v>
      </c>
      <c r="C135" s="42">
        <f ca="1">VLOOKUP($A135,Model!$1:$1048576,MATCH(C$127,Model!$1:$1,0),FALSE)</f>
        <v>74.397819060478739</v>
      </c>
      <c r="D135" s="42">
        <f ca="1">VLOOKUP($A135,Model!$1:$1048576,MATCH(D$127,Model!$1:$1,0),FALSE)</f>
        <v>82.358385699949949</v>
      </c>
      <c r="E135" s="42">
        <f ca="1">VLOOKUP($A135,Model!$1:$1048576,MATCH(E$127,Model!$1:$1,0),FALSE)</f>
        <v>91.170732969844593</v>
      </c>
      <c r="F135" s="42">
        <f ca="1">VLOOKUP($A135,Model!$1:$1048576,MATCH(F$127,Model!$1:$1,0),FALSE)</f>
        <v>100.92600139761797</v>
      </c>
      <c r="G135" s="42">
        <f ca="1">VLOOKUP($A135,Model!$1:$1048576,MATCH(G$127,Model!$1:$1,0),FALSE)</f>
        <v>111.72508354716308</v>
      </c>
      <c r="H135" s="21"/>
    </row>
    <row r="136" spans="1:43">
      <c r="A136" s="1" t="s">
        <v>751</v>
      </c>
      <c r="B136" s="19" t="s">
        <v>2250</v>
      </c>
      <c r="C136" s="42">
        <f ca="1">VLOOKUP($A136,Model!$1:$1048576,MATCH(C$127,Model!$1:$1,0),FALSE)</f>
        <v>249.35323045610212</v>
      </c>
      <c r="D136" s="42">
        <f ca="1">VLOOKUP($A136,Model!$1:$1048576,MATCH(D$127,Model!$1:$1,0),FALSE)</f>
        <v>276.03402611490509</v>
      </c>
      <c r="E136" s="42">
        <f ca="1">VLOOKUP($A136,Model!$1:$1048576,MATCH(E$127,Model!$1:$1,0),FALSE)</f>
        <v>305.5696669091999</v>
      </c>
      <c r="F136" s="42">
        <f ca="1">VLOOKUP($A136,Model!$1:$1048576,MATCH(F$127,Model!$1:$1,0),FALSE)</f>
        <v>338.26562126848427</v>
      </c>
      <c r="G136" s="42">
        <f ca="1">VLOOKUP($A136,Model!$1:$1048576,MATCH(G$127,Model!$1:$1,0),FALSE)</f>
        <v>374.4600427442121</v>
      </c>
      <c r="H136" s="21"/>
    </row>
    <row r="137" spans="1:43">
      <c r="B137" s="24" t="s">
        <v>2248</v>
      </c>
      <c r="C137" s="55">
        <f ca="1">C135+C136</f>
        <v>323.75104951658085</v>
      </c>
      <c r="D137" s="55">
        <f ca="1">D135+D136</f>
        <v>358.39241181485505</v>
      </c>
      <c r="E137" s="55">
        <f ca="1">E135+E136</f>
        <v>396.7403998790445</v>
      </c>
      <c r="F137" s="55">
        <f ca="1">F135+F136</f>
        <v>439.19162266610226</v>
      </c>
      <c r="G137" s="55">
        <f ca="1">G135+G136</f>
        <v>486.18512629137518</v>
      </c>
      <c r="H137" s="21"/>
    </row>
    <row r="138" spans="1:43" s="57" customFormat="1">
      <c r="A138" s="89"/>
      <c r="B138" s="57" t="s">
        <v>2251</v>
      </c>
      <c r="C138" s="101">
        <f ca="1">C137/C$128</f>
        <v>0.29185144361699117</v>
      </c>
      <c r="D138" s="101">
        <f ca="1">D137/D$128</f>
        <v>0.32065578787277882</v>
      </c>
      <c r="E138" s="101">
        <f ca="1">E137/E$128</f>
        <v>0.3538970547768796</v>
      </c>
      <c r="F138" s="101">
        <f ca="1">F137/F$128</f>
        <v>0.39176403963800571</v>
      </c>
      <c r="G138" s="101">
        <f ca="1">G137/G$128</f>
        <v>0.40819477738061244</v>
      </c>
      <c r="H138" s="59"/>
    </row>
    <row r="139" spans="1:43">
      <c r="B139" s="24"/>
      <c r="C139" s="21"/>
      <c r="D139" s="21"/>
      <c r="E139" s="21"/>
      <c r="F139" s="21"/>
      <c r="G139" s="21"/>
      <c r="H139" s="21"/>
    </row>
    <row r="140" spans="1:43">
      <c r="B140" s="24" t="s">
        <v>2252</v>
      </c>
      <c r="C140" s="55">
        <f ca="1">C132+C137</f>
        <v>2002.3665538333516</v>
      </c>
      <c r="D140" s="55">
        <f ca="1">D132+D137</f>
        <v>2216.6197750935207</v>
      </c>
      <c r="E140" s="55">
        <f ca="1">E132+E137</f>
        <v>2453.7980910285269</v>
      </c>
      <c r="F140" s="55">
        <f ca="1">F132+F137</f>
        <v>2716.3544867685791</v>
      </c>
      <c r="G140" s="55">
        <f ca="1">G132+G137</f>
        <v>3151.3108537593612</v>
      </c>
      <c r="H140" s="21"/>
    </row>
    <row r="141" spans="1:43" s="106" customFormat="1">
      <c r="A141" s="102"/>
      <c r="B141" s="103" t="s">
        <v>2253</v>
      </c>
      <c r="C141" s="104">
        <f ca="1">C140/C128</f>
        <v>1.8050708106097235</v>
      </c>
      <c r="D141" s="104">
        <f ca="1">D140/D128</f>
        <v>1.9832226826392139</v>
      </c>
      <c r="E141" s="104">
        <f ca="1">E140/E128</f>
        <v>2.1888164595712323</v>
      </c>
      <c r="F141" s="104">
        <f ca="1">F140/F128</f>
        <v>2.4230198207453539</v>
      </c>
      <c r="G141" s="104">
        <f ca="1">G140/G128</f>
        <v>2.6458000519672207</v>
      </c>
      <c r="H141" s="105"/>
    </row>
    <row r="142" spans="1:43">
      <c r="C142" s="21"/>
      <c r="D142" s="21"/>
      <c r="E142" s="21"/>
      <c r="F142" s="21"/>
      <c r="G142" s="21"/>
      <c r="H142" s="21"/>
    </row>
    <row r="143" spans="1:43">
      <c r="B143" s="19" t="s">
        <v>731</v>
      </c>
      <c r="C143" s="172">
        <f ca="1">IF(MID(C127,3,2)+2000+1=$C$121,100%,0%)</f>
        <v>0</v>
      </c>
      <c r="D143" s="172">
        <f t="shared" ref="D143:G143" ca="1" si="0">IF(MID(D127,3,2)+2000+1=$C$121,100%,0%)</f>
        <v>0</v>
      </c>
      <c r="E143" s="172">
        <f t="shared" ca="1" si="0"/>
        <v>1</v>
      </c>
      <c r="F143" s="172">
        <f t="shared" ca="1" si="0"/>
        <v>0</v>
      </c>
      <c r="G143" s="172">
        <f t="shared" ca="1" si="0"/>
        <v>0</v>
      </c>
      <c r="H143" s="21"/>
    </row>
    <row r="144" spans="1:43">
      <c r="C144" s="21"/>
      <c r="D144" s="21"/>
      <c r="E144" s="21"/>
      <c r="F144" s="21"/>
      <c r="G144" s="21"/>
      <c r="H144" s="21"/>
    </row>
    <row r="145" spans="2:43">
      <c r="B145" s="107" t="s">
        <v>2254</v>
      </c>
      <c r="C145" s="108"/>
      <c r="D145" s="108"/>
      <c r="E145" s="108"/>
      <c r="F145" s="108"/>
      <c r="G145" s="109">
        <f ca="1">SUMPRODUCT(D141:G141,D143:G143)</f>
        <v>2.1888164595712323</v>
      </c>
      <c r="H145" s="13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24"/>
      <c r="AO145" s="24"/>
      <c r="AP145" s="24"/>
      <c r="AQ145" s="24"/>
    </row>
    <row r="146" spans="2:43">
      <c r="B146" s="24"/>
      <c r="C146" s="13"/>
      <c r="D146" s="13"/>
      <c r="E146" s="13"/>
      <c r="F146" s="13"/>
      <c r="G146" s="110"/>
      <c r="H146" s="13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24"/>
      <c r="AO146" s="24"/>
      <c r="AP146" s="24"/>
      <c r="AQ146" s="24"/>
    </row>
    <row r="147" spans="2:43">
      <c r="B147" s="91" t="s">
        <v>723</v>
      </c>
      <c r="C147" s="11" t="s">
        <v>856</v>
      </c>
      <c r="D147" s="11" t="s">
        <v>2098</v>
      </c>
      <c r="E147" s="21"/>
      <c r="F147" s="21"/>
      <c r="G147" s="21"/>
      <c r="H147" s="21"/>
    </row>
    <row r="148" spans="2:43">
      <c r="B148" s="19" t="s">
        <v>729</v>
      </c>
      <c r="C148" s="96">
        <f ca="1">J125</f>
        <v>2.0521184877194809</v>
      </c>
      <c r="D148" s="376">
        <v>0.5</v>
      </c>
      <c r="E148" s="96"/>
      <c r="F148" s="160"/>
      <c r="G148" s="21"/>
      <c r="H148" s="21"/>
    </row>
    <row r="149" spans="2:43">
      <c r="B149" s="19" t="s">
        <v>724</v>
      </c>
      <c r="C149" s="96">
        <f ca="1">G145</f>
        <v>2.1888164595712323</v>
      </c>
      <c r="D149" s="98">
        <v>0</v>
      </c>
      <c r="E149" s="96"/>
      <c r="F149" s="160"/>
      <c r="G149" s="21"/>
      <c r="H149" s="21"/>
      <c r="O149" s="441"/>
    </row>
    <row r="150" spans="2:43">
      <c r="B150" s="19" t="s">
        <v>2514</v>
      </c>
      <c r="C150" s="96">
        <f ca="1">RIM!AB44</f>
        <v>2.3169815103464897</v>
      </c>
      <c r="D150" s="98">
        <v>0.5</v>
      </c>
      <c r="E150" s="96"/>
      <c r="F150" s="160"/>
      <c r="G150" s="21"/>
      <c r="H150" s="21"/>
    </row>
    <row r="151" spans="2:43">
      <c r="B151" s="19" t="s">
        <v>858</v>
      </c>
      <c r="C151" s="96">
        <f ca="1">J122</f>
        <v>2.8747645607642207</v>
      </c>
      <c r="D151" s="98">
        <v>0</v>
      </c>
      <c r="E151" s="96"/>
      <c r="F151" s="160"/>
      <c r="G151" s="21"/>
      <c r="H151" s="21"/>
    </row>
    <row r="152" spans="2:43">
      <c r="B152" s="19" t="s">
        <v>728</v>
      </c>
      <c r="C152" s="96"/>
      <c r="D152" s="98">
        <v>0</v>
      </c>
      <c r="E152" s="96"/>
      <c r="F152" s="160"/>
      <c r="G152" s="21"/>
      <c r="H152" s="21"/>
    </row>
    <row r="153" spans="2:43">
      <c r="B153" s="24" t="s">
        <v>725</v>
      </c>
      <c r="C153" s="159">
        <f ca="1">IF(ISERROR(SUMPRODUCT(C148:C152,D148:D152)),C148,SUMPRODUCT(C148:C152,D148:D152))</f>
        <v>2.1845499990329853</v>
      </c>
      <c r="D153" s="158">
        <v>1</v>
      </c>
      <c r="E153" s="13"/>
      <c r="F153" s="160"/>
      <c r="G153" s="13"/>
      <c r="H153" s="13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24"/>
      <c r="AO153" s="24"/>
      <c r="AP153" s="24"/>
      <c r="AQ153" s="24"/>
    </row>
    <row r="154" spans="2:43">
      <c r="B154" s="57" t="s">
        <v>726</v>
      </c>
      <c r="C154" s="171">
        <f ca="1">C153/C5-1</f>
        <v>0.15279683326278914</v>
      </c>
      <c r="D154" s="59"/>
      <c r="E154" s="59"/>
      <c r="F154" s="160"/>
      <c r="G154" s="59"/>
      <c r="H154" s="59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</row>
    <row r="155" spans="2:43">
      <c r="B155" s="57"/>
      <c r="C155" s="554"/>
      <c r="D155" s="171"/>
      <c r="E155" s="171"/>
      <c r="F155" s="59"/>
      <c r="G155" s="59"/>
      <c r="H155" s="59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</row>
    <row r="156" spans="2:43">
      <c r="B156" s="57"/>
      <c r="C156" s="171"/>
      <c r="D156" s="171"/>
      <c r="E156" s="171"/>
      <c r="F156" s="59"/>
      <c r="G156" s="59"/>
      <c r="H156" s="59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</row>
    <row r="157" spans="2:43">
      <c r="C157" s="18"/>
      <c r="D157" s="68"/>
      <c r="E157" s="68"/>
    </row>
    <row r="158" spans="2:43">
      <c r="C158" s="648"/>
      <c r="D158" s="648"/>
    </row>
  </sheetData>
  <phoneticPr fontId="11" type="noConversion"/>
  <dataValidations count="1">
    <dataValidation type="list" allowBlank="1" showInputMessage="1" showErrorMessage="1" sqref="C7" xr:uid="{00000000-0002-0000-0600-000000000000}">
      <formula1>$AU$2:$AU$4</formula1>
    </dataValidation>
  </dataValidations>
  <pageMargins left="0.75" right="0.75" top="1" bottom="1" header="0.5" footer="0.5"/>
  <pageSetup paperSize="9" scale="10" orientation="landscape" horizontalDpi="300" verticalDpi="300" r:id="rId1"/>
  <headerFooter alignWithMargins="0"/>
  <customProperties>
    <customPr name="Qube.Worksheet.ID" r:id="rId2"/>
    <customPr name="Qube.Worksheet.Visibility" r:id="rId3"/>
    <customPr name="SHEET_UNIQUE_ID" r:id="rId4"/>
  </customProperties>
  <ignoredErrors>
    <ignoredError sqref="C153" formulaRange="1"/>
  </ignoredErrors>
  <drawing r:id="rId5"/>
  <legacy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pageSetUpPr autoPageBreaks="0"/>
  </sheetPr>
  <dimension ref="A1:DP2525"/>
  <sheetViews>
    <sheetView zoomScaleNormal="100" workbookViewId="0">
      <pane xSplit="41" ySplit="5" topLeftCell="AX6" activePane="bottomRight" state="frozen"/>
      <selection pane="topRight" activeCell="AP1" sqref="AP1"/>
      <selection pane="bottomLeft" activeCell="A6" sqref="A6"/>
      <selection pane="bottomRight" activeCell="DC269" sqref="DC269"/>
    </sheetView>
  </sheetViews>
  <sheetFormatPr defaultColWidth="10.75" defaultRowHeight="12.75" outlineLevelRow="3" outlineLevelCol="1"/>
  <cols>
    <col min="1" max="1" width="4" style="1" customWidth="1"/>
    <col min="2" max="2" width="27.375" style="19" bestFit="1" customWidth="1"/>
    <col min="3" max="19" width="10.75" style="21" hidden="1" customWidth="1" outlineLevel="1"/>
    <col min="20" max="20" width="10.75" style="21" hidden="1" customWidth="1" outlineLevel="1" collapsed="1"/>
    <col min="21" max="41" width="10.75" style="21" hidden="1" customWidth="1" outlineLevel="1"/>
    <col min="42" max="42" width="10.75" style="21" customWidth="1" collapsed="1"/>
    <col min="43" max="51" width="10.75" style="21" customWidth="1"/>
    <col min="52" max="52" width="10.75" style="22" customWidth="1"/>
    <col min="53" max="59" width="10.75" style="21" customWidth="1"/>
    <col min="60" max="69" width="10.75" style="21" hidden="1" customWidth="1" outlineLevel="1"/>
    <col min="70" max="70" width="4" style="21" customWidth="1" collapsed="1"/>
    <col min="71" max="98" width="10.75" style="21" hidden="1" customWidth="1" outlineLevel="1"/>
    <col min="99" max="99" width="10.75" style="21" customWidth="1" collapsed="1"/>
    <col min="100" max="103" width="10.75" style="21" customWidth="1"/>
    <col min="104" max="104" width="10.75" style="22" customWidth="1"/>
    <col min="105" max="108" width="10.75" style="21" customWidth="1"/>
    <col min="109" max="110" width="10.75" style="21" customWidth="1" outlineLevel="1"/>
    <col min="111" max="113" width="10.75" customWidth="1" outlineLevel="1"/>
    <col min="114" max="114" width="10.75" style="19" customWidth="1" outlineLevel="1"/>
    <col min="115" max="16384" width="10.75" style="19"/>
  </cols>
  <sheetData>
    <row r="1" spans="1:113" s="5" customFormat="1" ht="12">
      <c r="A1" s="1"/>
      <c r="B1" s="2" t="s">
        <v>643</v>
      </c>
      <c r="C1" s="3" t="s">
        <v>130</v>
      </c>
      <c r="D1" s="3" t="str">
        <f t="shared" ref="D1:T1" si="0">IF(LEFT(C1,1)="1","2H"&amp;TEXT(MID(C1,3,2),"00")&amp;"A","1H"&amp;TEXT(MID(C1,3,2)+1,"00")&amp;"A")</f>
        <v>1H02A</v>
      </c>
      <c r="E1" s="3" t="str">
        <f t="shared" si="0"/>
        <v>2H02A</v>
      </c>
      <c r="F1" s="3" t="str">
        <f t="shared" si="0"/>
        <v>1H03A</v>
      </c>
      <c r="G1" s="3" t="str">
        <f t="shared" si="0"/>
        <v>2H03A</v>
      </c>
      <c r="H1" s="3" t="str">
        <f t="shared" si="0"/>
        <v>1H04A</v>
      </c>
      <c r="I1" s="3" t="str">
        <f t="shared" si="0"/>
        <v>2H04A</v>
      </c>
      <c r="J1" s="3" t="str">
        <f t="shared" si="0"/>
        <v>1H05A</v>
      </c>
      <c r="K1" s="3" t="str">
        <f t="shared" si="0"/>
        <v>2H05A</v>
      </c>
      <c r="L1" s="3" t="str">
        <f t="shared" si="0"/>
        <v>1H06A</v>
      </c>
      <c r="M1" s="3" t="str">
        <f t="shared" si="0"/>
        <v>2H06A</v>
      </c>
      <c r="N1" s="3" t="str">
        <f t="shared" si="0"/>
        <v>1H07A</v>
      </c>
      <c r="O1" s="3" t="str">
        <f t="shared" si="0"/>
        <v>2H07A</v>
      </c>
      <c r="P1" s="3" t="str">
        <f t="shared" si="0"/>
        <v>1H08A</v>
      </c>
      <c r="Q1" s="3" t="str">
        <f t="shared" si="0"/>
        <v>2H08A</v>
      </c>
      <c r="R1" s="3" t="str">
        <f t="shared" si="0"/>
        <v>1H09A</v>
      </c>
      <c r="S1" s="3" t="str">
        <f t="shared" si="0"/>
        <v>2H09A</v>
      </c>
      <c r="T1" s="3" t="str">
        <f t="shared" si="0"/>
        <v>1H10A</v>
      </c>
      <c r="U1" s="3" t="str">
        <f>IF(LEFT(T1,1)="1","2H"&amp;TEXT(MID(T1,3,2),"00")&amp;"A","1H"&amp;TEXT(MID(T1,3,2)+1,"00")&amp;"A")</f>
        <v>2H10A</v>
      </c>
      <c r="V1" s="3" t="str">
        <f>IF(LEFT(U1,1)="1","2H"&amp;TEXT(MID(U1,3,2),"00")&amp;"A","1H"&amp;TEXT(MID(U1,3,2)+1,"00")&amp;"A")</f>
        <v>1H11A</v>
      </c>
      <c r="W1" s="3" t="str">
        <f>IF(LEFT(V1,1)="1","2H"&amp;TEXT(MID(V1,3,2),"00")&amp;"A","1H"&amp;TEXT(MID(V1,3,2)+1,"00")&amp;"A")</f>
        <v>2H11A</v>
      </c>
      <c r="X1" s="3" t="str">
        <f>IF(LEFT(W1,1)="1","2H"&amp;TEXT(MID(W1,3,2),"00")&amp;"A","1H"&amp;TEXT(MID(W1,3,2)+1,"00")&amp;"A")</f>
        <v>1H12A</v>
      </c>
      <c r="Y1" s="3" t="str">
        <f>IF(LEFT(X1,1)="1","2H"&amp;TEXT(MID(X1,3,2),"00")&amp;"A","1H"&amp;TEXT(MID(X1,3,2)+1,"00")&amp;"A")</f>
        <v>2H12A</v>
      </c>
      <c r="Z1" s="3" t="str">
        <f>IF(LEFT(Y1,1)="1","2H"&amp;TEXT(MID(Y1,3,2),"00")&amp;"E","1H"&amp;TEXT(MID(Y1,3,2)+1,"00")&amp;"A")</f>
        <v>1H13A</v>
      </c>
      <c r="AA1" s="3" t="str">
        <f>IF(LEFT(Z1,1)="1","2H"&amp;TEXT(MID(Z1,3,2),"00")&amp;"A","1H"&amp;TEXT(MID(Z1,3,2)+1,"00")&amp;"A")</f>
        <v>2H13A</v>
      </c>
      <c r="AB1" s="3" t="str">
        <f>IF(LEFT(AA1,1)="1","2H"&amp;TEXT(MID(AA1,3,2),"00")&amp;"E","1H"&amp;TEXT(MID(AA1,3,2)+1,"00")&amp;"A")</f>
        <v>1H14A</v>
      </c>
      <c r="AC1" s="3" t="str">
        <f>IF(LEFT(AB1,1)="1","2H"&amp;TEXT(MID(AB1,3,2),"00")&amp;"A","1H"&amp;TEXT(MID(AB1,3,2)+1,"00")&amp;"E")</f>
        <v>2H14A</v>
      </c>
      <c r="AD1" s="3" t="str">
        <f>IF(LEFT(AC1,1)="1","2H"&amp;TEXT(MID(AC1,3,2),"00")&amp;"E","1H"&amp;TEXT(MID(AC1,3,2)+1,"00")&amp;"A")</f>
        <v>1H15A</v>
      </c>
      <c r="AE1" s="3" t="str">
        <f t="shared" ref="AE1:AP1" si="1">IF(LEFT(AD1,1)="1","2H"&amp;TEXT(MID(AD1,3,2),"00")&amp;"A","1H"&amp;TEXT(MID(AD1,3,2)+1,"00")&amp;"A")</f>
        <v>2H15A</v>
      </c>
      <c r="AF1" s="3" t="str">
        <f t="shared" si="1"/>
        <v>1H16A</v>
      </c>
      <c r="AG1" s="3" t="str">
        <f t="shared" si="1"/>
        <v>2H16A</v>
      </c>
      <c r="AH1" s="3" t="str">
        <f t="shared" si="1"/>
        <v>1H17A</v>
      </c>
      <c r="AI1" s="3" t="str">
        <f t="shared" si="1"/>
        <v>2H17A</v>
      </c>
      <c r="AJ1" s="3" t="str">
        <f t="shared" si="1"/>
        <v>1H18A</v>
      </c>
      <c r="AK1" s="3" t="str">
        <f t="shared" si="1"/>
        <v>2H18A</v>
      </c>
      <c r="AL1" s="3" t="str">
        <f t="shared" si="1"/>
        <v>1H19A</v>
      </c>
      <c r="AM1" s="3" t="str">
        <f t="shared" si="1"/>
        <v>2H19A</v>
      </c>
      <c r="AN1" s="3" t="str">
        <f t="shared" si="1"/>
        <v>1H20A</v>
      </c>
      <c r="AO1" s="3" t="str">
        <f t="shared" si="1"/>
        <v>2H20A</v>
      </c>
      <c r="AP1" s="3" t="str">
        <f t="shared" si="1"/>
        <v>1H21A</v>
      </c>
      <c r="AQ1" s="3" t="str">
        <f t="shared" ref="AQ1" si="2">IF(LEFT(AP1,1)="1","2H"&amp;TEXT(MID(AP1,3,2),"00")&amp;"A","1H"&amp;TEXT(MID(AP1,3,2)+1,"00")&amp;"A")</f>
        <v>2H21A</v>
      </c>
      <c r="AR1" s="3" t="str">
        <f t="shared" ref="AR1:AX1" si="3">IF(LEFT(AQ1,1)="1","2H"&amp;TEXT(MID(AQ1,3,2),"00")&amp;"A","1H"&amp;TEXT(MID(AQ1,3,2)+1,"00")&amp;"A")</f>
        <v>1H22A</v>
      </c>
      <c r="AS1" s="3" t="str">
        <f t="shared" si="3"/>
        <v>2H22A</v>
      </c>
      <c r="AT1" s="3" t="str">
        <f t="shared" si="3"/>
        <v>1H23A</v>
      </c>
      <c r="AU1" s="3" t="str">
        <f t="shared" si="3"/>
        <v>2H23A</v>
      </c>
      <c r="AV1" s="3" t="str">
        <f t="shared" si="3"/>
        <v>1H24A</v>
      </c>
      <c r="AW1" s="3" t="str">
        <f t="shared" si="3"/>
        <v>2H24A</v>
      </c>
      <c r="AX1" s="3" t="str">
        <f t="shared" si="3"/>
        <v>1H25A</v>
      </c>
      <c r="AY1" s="3" t="str">
        <f>IF(LEFT(AX1,1)="1","2H"&amp;TEXT(MID(AX1,3,2),"00")&amp;"A","1H"&amp;TEXT(MID(AX1,3,2)+1,"00")&amp;"A")</f>
        <v>2H25A</v>
      </c>
      <c r="AZ1" s="4" t="str">
        <f>IF(LEFT(AY1,1)="1","2H"&amp;TEXT(MID(AY1,3,2),"00")&amp;"A","1H"&amp;TEXT(MID(AY1,3,2)+1,"00")&amp;"A")</f>
        <v>1H26A</v>
      </c>
      <c r="BA1" s="3" t="str">
        <f t="shared" ref="BA1:BI1" si="4">IF(LEFT(AZ1,1)="1","2H"&amp;TEXT(MID(AZ1,3,2),"00")&amp;"E","1H"&amp;TEXT(MID(AZ1,3,2)+1,"00")&amp;"E")</f>
        <v>2H26E</v>
      </c>
      <c r="BB1" s="3" t="str">
        <f t="shared" si="4"/>
        <v>1H27E</v>
      </c>
      <c r="BC1" s="3" t="str">
        <f t="shared" si="4"/>
        <v>2H27E</v>
      </c>
      <c r="BD1" s="3" t="str">
        <f t="shared" si="4"/>
        <v>1H28E</v>
      </c>
      <c r="BE1" s="3" t="str">
        <f t="shared" si="4"/>
        <v>2H28E</v>
      </c>
      <c r="BF1" s="3" t="str">
        <f t="shared" si="4"/>
        <v>1H29E</v>
      </c>
      <c r="BG1" s="3" t="str">
        <f t="shared" si="4"/>
        <v>2H29E</v>
      </c>
      <c r="BH1" s="3" t="str">
        <f t="shared" si="4"/>
        <v>1H30E</v>
      </c>
      <c r="BI1" s="3" t="str">
        <f t="shared" si="4"/>
        <v>2H30E</v>
      </c>
      <c r="BJ1" s="3" t="str">
        <f t="shared" ref="BJ1" si="5">IF(LEFT(BI1,1)="1","2H"&amp;TEXT(MID(BI1,3,2),"00")&amp;"E","1H"&amp;TEXT(MID(BI1,3,2)+1,"00")&amp;"E")</f>
        <v>1H31E</v>
      </c>
      <c r="BK1" s="3" t="str">
        <f t="shared" ref="BK1" si="6">IF(LEFT(BJ1,1)="1","2H"&amp;TEXT(MID(BJ1,3,2),"00")&amp;"E","1H"&amp;TEXT(MID(BJ1,3,2)+1,"00")&amp;"E")</f>
        <v>2H31E</v>
      </c>
      <c r="BL1" s="3" t="str">
        <f t="shared" ref="BL1" si="7">IF(LEFT(BK1,1)="1","2H"&amp;TEXT(MID(BK1,3,2),"00")&amp;"E","1H"&amp;TEXT(MID(BK1,3,2)+1,"00")&amp;"E")</f>
        <v>1H32E</v>
      </c>
      <c r="BM1" s="3" t="str">
        <f t="shared" ref="BM1" si="8">IF(LEFT(BL1,1)="1","2H"&amp;TEXT(MID(BL1,3,2),"00")&amp;"E","1H"&amp;TEXT(MID(BL1,3,2)+1,"00")&amp;"E")</f>
        <v>2H32E</v>
      </c>
      <c r="BN1" s="3" t="str">
        <f t="shared" ref="BN1" si="9">IF(LEFT(BM1,1)="1","2H"&amp;TEXT(MID(BM1,3,2),"00")&amp;"E","1H"&amp;TEXT(MID(BM1,3,2)+1,"00")&amp;"E")</f>
        <v>1H33E</v>
      </c>
      <c r="BO1" s="3" t="str">
        <f t="shared" ref="BO1" si="10">IF(LEFT(BN1,1)="1","2H"&amp;TEXT(MID(BN1,3,2),"00")&amp;"E","1H"&amp;TEXT(MID(BN1,3,2)+1,"00")&amp;"E")</f>
        <v>2H33E</v>
      </c>
      <c r="BP1" s="3" t="str">
        <f t="shared" ref="BP1" si="11">IF(LEFT(BO1,1)="1","2H"&amp;TEXT(MID(BO1,3,2),"00")&amp;"E","1H"&amp;TEXT(MID(BO1,3,2)+1,"00")&amp;"E")</f>
        <v>1H34E</v>
      </c>
      <c r="BQ1" s="3" t="str">
        <f t="shared" ref="BQ1" si="12">IF(LEFT(BP1,1)="1","2H"&amp;TEXT(MID(BP1,3,2),"00")&amp;"E","1H"&amp;TEXT(MID(BP1,3,2)+1,"00")&amp;"E")</f>
        <v>2H34E</v>
      </c>
      <c r="BR1" s="3"/>
      <c r="BS1" s="3" t="s">
        <v>206</v>
      </c>
      <c r="BT1" s="3" t="str">
        <f t="shared" ref="BT1:BZ1" si="13">"FY"&amp;TEXT(MID(BS1,3,2)+1,"00")&amp;"A"</f>
        <v>FY93A</v>
      </c>
      <c r="BU1" s="3" t="str">
        <f t="shared" si="13"/>
        <v>FY94A</v>
      </c>
      <c r="BV1" s="3" t="str">
        <f t="shared" si="13"/>
        <v>FY95A</v>
      </c>
      <c r="BW1" s="3" t="str">
        <f t="shared" si="13"/>
        <v>FY96A</v>
      </c>
      <c r="BX1" s="3" t="str">
        <f t="shared" si="13"/>
        <v>FY97A</v>
      </c>
      <c r="BY1" s="3" t="str">
        <f t="shared" si="13"/>
        <v>FY98A</v>
      </c>
      <c r="BZ1" s="3" t="str">
        <f t="shared" si="13"/>
        <v>FY99A</v>
      </c>
      <c r="CA1" s="3" t="s">
        <v>207</v>
      </c>
      <c r="CB1" s="3" t="str">
        <f>"FY"&amp;TEXT(MID(CA1,3,2)+1,"00")&amp;"A"</f>
        <v>FY01A</v>
      </c>
      <c r="CC1" s="3" t="str">
        <f>"FY"&amp;TEXT(MID(CB1,3,2)+1,"00")&amp;"A"</f>
        <v>FY02A</v>
      </c>
      <c r="CD1" s="3" t="str">
        <f t="shared" ref="CD1:CR1" si="14">"FY"&amp;TEXT(MID(CC1,3,2)+1,"00")&amp;"A"</f>
        <v>FY03A</v>
      </c>
      <c r="CE1" s="3" t="str">
        <f t="shared" si="14"/>
        <v>FY04A</v>
      </c>
      <c r="CF1" s="3" t="str">
        <f t="shared" si="14"/>
        <v>FY05A</v>
      </c>
      <c r="CG1" s="3" t="str">
        <f t="shared" si="14"/>
        <v>FY06A</v>
      </c>
      <c r="CH1" s="3" t="str">
        <f t="shared" si="14"/>
        <v>FY07A</v>
      </c>
      <c r="CI1" s="3" t="str">
        <f t="shared" si="14"/>
        <v>FY08A</v>
      </c>
      <c r="CJ1" s="3" t="str">
        <f t="shared" si="14"/>
        <v>FY09A</v>
      </c>
      <c r="CK1" s="3" t="str">
        <f t="shared" si="14"/>
        <v>FY10A</v>
      </c>
      <c r="CL1" s="3" t="str">
        <f t="shared" si="14"/>
        <v>FY11A</v>
      </c>
      <c r="CM1" s="3" t="str">
        <f t="shared" si="14"/>
        <v>FY12A</v>
      </c>
      <c r="CN1" s="3" t="str">
        <f t="shared" si="14"/>
        <v>FY13A</v>
      </c>
      <c r="CO1" s="3" t="str">
        <f t="shared" si="14"/>
        <v>FY14A</v>
      </c>
      <c r="CP1" s="3" t="str">
        <f t="shared" si="14"/>
        <v>FY15A</v>
      </c>
      <c r="CQ1" s="3" t="str">
        <f t="shared" si="14"/>
        <v>FY16A</v>
      </c>
      <c r="CR1" s="3" t="str">
        <f t="shared" si="14"/>
        <v>FY17A</v>
      </c>
      <c r="CS1" s="3" t="str">
        <f t="shared" ref="CS1:CY1" si="15">"FY"&amp;TEXT(MID(CR1,3,2)+1,"00")&amp;"A"</f>
        <v>FY18A</v>
      </c>
      <c r="CT1" s="3" t="str">
        <f t="shared" si="15"/>
        <v>FY19A</v>
      </c>
      <c r="CU1" s="3" t="str">
        <f t="shared" si="15"/>
        <v>FY20A</v>
      </c>
      <c r="CV1" s="3" t="str">
        <f t="shared" si="15"/>
        <v>FY21A</v>
      </c>
      <c r="CW1" s="3" t="str">
        <f t="shared" si="15"/>
        <v>FY22A</v>
      </c>
      <c r="CX1" s="3" t="str">
        <f t="shared" si="15"/>
        <v>FY23A</v>
      </c>
      <c r="CY1" s="3" t="str">
        <f t="shared" si="15"/>
        <v>FY24A</v>
      </c>
      <c r="CZ1" s="4" t="str">
        <f>"FY"&amp;TEXT(MID(CY1,3,2)+1,"00")&amp;"A"</f>
        <v>FY25A</v>
      </c>
      <c r="DA1" s="3" t="str">
        <f t="shared" ref="DA1:DI1" si="16">"FY"&amp;TEXT(MID(CZ1,3,2)+1,"00")&amp;"E"</f>
        <v>FY26E</v>
      </c>
      <c r="DB1" s="3" t="str">
        <f t="shared" si="16"/>
        <v>FY27E</v>
      </c>
      <c r="DC1" s="3" t="str">
        <f t="shared" si="16"/>
        <v>FY28E</v>
      </c>
      <c r="DD1" s="3" t="str">
        <f t="shared" si="16"/>
        <v>FY29E</v>
      </c>
      <c r="DE1" s="3" t="str">
        <f t="shared" si="16"/>
        <v>FY30E</v>
      </c>
      <c r="DF1" s="3" t="str">
        <f t="shared" si="16"/>
        <v>FY31E</v>
      </c>
      <c r="DG1" s="3" t="str">
        <f t="shared" si="16"/>
        <v>FY32E</v>
      </c>
      <c r="DH1" s="3" t="str">
        <f t="shared" si="16"/>
        <v>FY33E</v>
      </c>
      <c r="DI1" s="3" t="str">
        <f t="shared" si="16"/>
        <v>FY34E</v>
      </c>
    </row>
    <row r="2" spans="1:113" s="9" customFormat="1" ht="12">
      <c r="A2" s="1"/>
      <c r="B2" s="6" t="s">
        <v>795</v>
      </c>
      <c r="C2" s="7" t="str">
        <f>RIGHT(C1,1)</f>
        <v>A</v>
      </c>
      <c r="D2" s="7" t="str">
        <f t="shared" ref="D2:BI2" si="17">RIGHT(D1,1)</f>
        <v>A</v>
      </c>
      <c r="E2" s="7" t="str">
        <f t="shared" si="17"/>
        <v>A</v>
      </c>
      <c r="F2" s="7" t="str">
        <f t="shared" si="17"/>
        <v>A</v>
      </c>
      <c r="G2" s="7" t="str">
        <f t="shared" si="17"/>
        <v>A</v>
      </c>
      <c r="H2" s="7" t="str">
        <f t="shared" si="17"/>
        <v>A</v>
      </c>
      <c r="I2" s="7" t="str">
        <f t="shared" si="17"/>
        <v>A</v>
      </c>
      <c r="J2" s="7" t="str">
        <f t="shared" si="17"/>
        <v>A</v>
      </c>
      <c r="K2" s="7" t="str">
        <f t="shared" si="17"/>
        <v>A</v>
      </c>
      <c r="L2" s="7" t="str">
        <f t="shared" si="17"/>
        <v>A</v>
      </c>
      <c r="M2" s="7" t="str">
        <f t="shared" si="17"/>
        <v>A</v>
      </c>
      <c r="N2" s="7" t="str">
        <f t="shared" si="17"/>
        <v>A</v>
      </c>
      <c r="O2" s="7" t="str">
        <f t="shared" si="17"/>
        <v>A</v>
      </c>
      <c r="P2" s="7" t="str">
        <f t="shared" si="17"/>
        <v>A</v>
      </c>
      <c r="Q2" s="7" t="str">
        <f t="shared" si="17"/>
        <v>A</v>
      </c>
      <c r="R2" s="7" t="str">
        <f t="shared" si="17"/>
        <v>A</v>
      </c>
      <c r="S2" s="7" t="str">
        <f t="shared" si="17"/>
        <v>A</v>
      </c>
      <c r="T2" s="7" t="str">
        <f t="shared" si="17"/>
        <v>A</v>
      </c>
      <c r="U2" s="7" t="str">
        <f t="shared" si="17"/>
        <v>A</v>
      </c>
      <c r="V2" s="7" t="str">
        <f t="shared" si="17"/>
        <v>A</v>
      </c>
      <c r="W2" s="7" t="str">
        <f t="shared" si="17"/>
        <v>A</v>
      </c>
      <c r="X2" s="7" t="str">
        <f t="shared" si="17"/>
        <v>A</v>
      </c>
      <c r="Y2" s="7" t="str">
        <f t="shared" si="17"/>
        <v>A</v>
      </c>
      <c r="Z2" s="7" t="str">
        <f t="shared" si="17"/>
        <v>A</v>
      </c>
      <c r="AA2" s="7" t="str">
        <f t="shared" si="17"/>
        <v>A</v>
      </c>
      <c r="AB2" s="7" t="str">
        <f t="shared" si="17"/>
        <v>A</v>
      </c>
      <c r="AC2" s="7" t="str">
        <f t="shared" si="17"/>
        <v>A</v>
      </c>
      <c r="AD2" s="7" t="str">
        <f t="shared" si="17"/>
        <v>A</v>
      </c>
      <c r="AE2" s="7" t="str">
        <f t="shared" si="17"/>
        <v>A</v>
      </c>
      <c r="AF2" s="7" t="str">
        <f t="shared" si="17"/>
        <v>A</v>
      </c>
      <c r="AG2" s="7" t="str">
        <f t="shared" si="17"/>
        <v>A</v>
      </c>
      <c r="AH2" s="7" t="str">
        <f t="shared" si="17"/>
        <v>A</v>
      </c>
      <c r="AI2" s="7" t="str">
        <f t="shared" si="17"/>
        <v>A</v>
      </c>
      <c r="AJ2" s="7" t="str">
        <f t="shared" si="17"/>
        <v>A</v>
      </c>
      <c r="AK2" s="7" t="str">
        <f t="shared" si="17"/>
        <v>A</v>
      </c>
      <c r="AL2" s="7" t="str">
        <f t="shared" si="17"/>
        <v>A</v>
      </c>
      <c r="AM2" s="7" t="str">
        <f t="shared" si="17"/>
        <v>A</v>
      </c>
      <c r="AN2" s="7" t="str">
        <f t="shared" si="17"/>
        <v>A</v>
      </c>
      <c r="AO2" s="7" t="str">
        <f t="shared" si="17"/>
        <v>A</v>
      </c>
      <c r="AP2" s="7" t="str">
        <f t="shared" si="17"/>
        <v>A</v>
      </c>
      <c r="AQ2" s="7" t="str">
        <f t="shared" si="17"/>
        <v>A</v>
      </c>
      <c r="AR2" s="7" t="str">
        <f t="shared" si="17"/>
        <v>A</v>
      </c>
      <c r="AS2" s="7" t="str">
        <f t="shared" ref="AS2:AT2" si="18">RIGHT(AS1,1)</f>
        <v>A</v>
      </c>
      <c r="AT2" s="7" t="str">
        <f t="shared" si="18"/>
        <v>A</v>
      </c>
      <c r="AU2" s="7" t="str">
        <f t="shared" ref="AU2:AV2" si="19">RIGHT(AU1,1)</f>
        <v>A</v>
      </c>
      <c r="AV2" s="7" t="str">
        <f t="shared" si="19"/>
        <v>A</v>
      </c>
      <c r="AW2" s="7" t="str">
        <f t="shared" ref="AW2:AX2" si="20">RIGHT(AW1,1)</f>
        <v>A</v>
      </c>
      <c r="AX2" s="7" t="str">
        <f t="shared" si="20"/>
        <v>A</v>
      </c>
      <c r="AY2" s="7" t="str">
        <f t="shared" si="17"/>
        <v>A</v>
      </c>
      <c r="AZ2" s="8" t="str">
        <f t="shared" si="17"/>
        <v>A</v>
      </c>
      <c r="BA2" s="7" t="str">
        <f t="shared" si="17"/>
        <v>E</v>
      </c>
      <c r="BB2" s="7" t="str">
        <f t="shared" si="17"/>
        <v>E</v>
      </c>
      <c r="BC2" s="7" t="str">
        <f t="shared" si="17"/>
        <v>E</v>
      </c>
      <c r="BD2" s="7" t="str">
        <f t="shared" si="17"/>
        <v>E</v>
      </c>
      <c r="BE2" s="7" t="str">
        <f t="shared" si="17"/>
        <v>E</v>
      </c>
      <c r="BF2" s="7" t="str">
        <f t="shared" si="17"/>
        <v>E</v>
      </c>
      <c r="BG2" s="7" t="str">
        <f t="shared" si="17"/>
        <v>E</v>
      </c>
      <c r="BH2" s="7" t="str">
        <f t="shared" si="17"/>
        <v>E</v>
      </c>
      <c r="BI2" s="7" t="str">
        <f t="shared" si="17"/>
        <v>E</v>
      </c>
      <c r="BJ2" s="7" t="str">
        <f t="shared" ref="BJ2:BK2" si="21">RIGHT(BJ1,1)</f>
        <v>E</v>
      </c>
      <c r="BK2" s="7" t="str">
        <f t="shared" si="21"/>
        <v>E</v>
      </c>
      <c r="BL2" s="7" t="str">
        <f t="shared" ref="BL2:BM2" si="22">RIGHT(BL1,1)</f>
        <v>E</v>
      </c>
      <c r="BM2" s="7" t="str">
        <f t="shared" si="22"/>
        <v>E</v>
      </c>
      <c r="BN2" s="7" t="str">
        <f t="shared" ref="BN2:BO2" si="23">RIGHT(BN1,1)</f>
        <v>E</v>
      </c>
      <c r="BO2" s="7" t="str">
        <f t="shared" si="23"/>
        <v>E</v>
      </c>
      <c r="BP2" s="7" t="str">
        <f t="shared" ref="BP2:BQ2" si="24">RIGHT(BP1,1)</f>
        <v>E</v>
      </c>
      <c r="BQ2" s="7" t="str">
        <f t="shared" si="24"/>
        <v>E</v>
      </c>
      <c r="BR2" s="7"/>
      <c r="BS2" s="7" t="str">
        <f t="shared" ref="BS2:DF2" si="25">RIGHT(BS1,1)</f>
        <v>A</v>
      </c>
      <c r="BT2" s="7" t="str">
        <f t="shared" si="25"/>
        <v>A</v>
      </c>
      <c r="BU2" s="7" t="str">
        <f t="shared" si="25"/>
        <v>A</v>
      </c>
      <c r="BV2" s="7" t="str">
        <f t="shared" si="25"/>
        <v>A</v>
      </c>
      <c r="BW2" s="7" t="str">
        <f t="shared" si="25"/>
        <v>A</v>
      </c>
      <c r="BX2" s="7" t="str">
        <f t="shared" si="25"/>
        <v>A</v>
      </c>
      <c r="BY2" s="7" t="str">
        <f t="shared" si="25"/>
        <v>A</v>
      </c>
      <c r="BZ2" s="7" t="str">
        <f t="shared" si="25"/>
        <v>A</v>
      </c>
      <c r="CA2" s="7" t="str">
        <f t="shared" si="25"/>
        <v>A</v>
      </c>
      <c r="CB2" s="7" t="str">
        <f t="shared" si="25"/>
        <v>A</v>
      </c>
      <c r="CC2" s="7" t="str">
        <f t="shared" si="25"/>
        <v>A</v>
      </c>
      <c r="CD2" s="7" t="str">
        <f t="shared" si="25"/>
        <v>A</v>
      </c>
      <c r="CE2" s="7" t="str">
        <f t="shared" si="25"/>
        <v>A</v>
      </c>
      <c r="CF2" s="7" t="str">
        <f t="shared" si="25"/>
        <v>A</v>
      </c>
      <c r="CG2" s="7" t="str">
        <f t="shared" si="25"/>
        <v>A</v>
      </c>
      <c r="CH2" s="7" t="str">
        <f t="shared" si="25"/>
        <v>A</v>
      </c>
      <c r="CI2" s="7" t="str">
        <f t="shared" si="25"/>
        <v>A</v>
      </c>
      <c r="CJ2" s="7" t="str">
        <f t="shared" si="25"/>
        <v>A</v>
      </c>
      <c r="CK2" s="7" t="str">
        <f t="shared" si="25"/>
        <v>A</v>
      </c>
      <c r="CL2" s="7" t="str">
        <f t="shared" si="25"/>
        <v>A</v>
      </c>
      <c r="CM2" s="7" t="str">
        <f t="shared" si="25"/>
        <v>A</v>
      </c>
      <c r="CN2" s="7" t="str">
        <f t="shared" si="25"/>
        <v>A</v>
      </c>
      <c r="CO2" s="7" t="str">
        <f t="shared" si="25"/>
        <v>A</v>
      </c>
      <c r="CP2" s="7" t="str">
        <f t="shared" si="25"/>
        <v>A</v>
      </c>
      <c r="CQ2" s="7" t="str">
        <f t="shared" si="25"/>
        <v>A</v>
      </c>
      <c r="CR2" s="7" t="str">
        <f t="shared" si="25"/>
        <v>A</v>
      </c>
      <c r="CS2" s="7" t="str">
        <f t="shared" si="25"/>
        <v>A</v>
      </c>
      <c r="CT2" s="7" t="str">
        <f t="shared" si="25"/>
        <v>A</v>
      </c>
      <c r="CU2" s="7" t="str">
        <f t="shared" si="25"/>
        <v>A</v>
      </c>
      <c r="CV2" s="7" t="str">
        <f t="shared" si="25"/>
        <v>A</v>
      </c>
      <c r="CW2" s="7" t="str">
        <f t="shared" ref="CW2:CX2" si="26">RIGHT(CW1,1)</f>
        <v>A</v>
      </c>
      <c r="CX2" s="7" t="str">
        <f t="shared" si="26"/>
        <v>A</v>
      </c>
      <c r="CY2" s="7" t="str">
        <f t="shared" ref="CY2" si="27">RIGHT(CY1,1)</f>
        <v>A</v>
      </c>
      <c r="CZ2" s="8" t="str">
        <f t="shared" si="25"/>
        <v>A</v>
      </c>
      <c r="DA2" s="7" t="str">
        <f t="shared" si="25"/>
        <v>E</v>
      </c>
      <c r="DB2" s="7" t="str">
        <f t="shared" si="25"/>
        <v>E</v>
      </c>
      <c r="DC2" s="7" t="str">
        <f t="shared" si="25"/>
        <v>E</v>
      </c>
      <c r="DD2" s="7" t="str">
        <f t="shared" si="25"/>
        <v>E</v>
      </c>
      <c r="DE2" s="7" t="str">
        <f t="shared" si="25"/>
        <v>E</v>
      </c>
      <c r="DF2" s="7" t="str">
        <f t="shared" si="25"/>
        <v>E</v>
      </c>
      <c r="DG2" s="7" t="str">
        <f t="shared" ref="DG2:DH2" si="28">RIGHT(DG1,1)</f>
        <v>E</v>
      </c>
      <c r="DH2" s="7" t="str">
        <f t="shared" si="28"/>
        <v>E</v>
      </c>
      <c r="DI2" s="7" t="str">
        <f t="shared" ref="DI2" si="29">RIGHT(DI1,1)</f>
        <v>E</v>
      </c>
    </row>
    <row r="3" spans="1:113" s="5" customFormat="1" ht="12">
      <c r="A3" s="1"/>
      <c r="B3" s="6" t="s">
        <v>644</v>
      </c>
      <c r="C3" s="7">
        <f>IF(LEFT(C1,1)="1",DATE(MID(C1,3,2)+1999,12,31),DATE(MID(C1,3,2)+2000,6,30))</f>
        <v>37072</v>
      </c>
      <c r="D3" s="7">
        <f t="shared" ref="D3:BI3" si="30">IF(LEFT(D1,1)="1",DATE(MID(D1,3,2)+1999,12,31),DATE(MID(D1,3,2)+2000,6,30))</f>
        <v>37256</v>
      </c>
      <c r="E3" s="7">
        <f t="shared" si="30"/>
        <v>37437</v>
      </c>
      <c r="F3" s="7">
        <f t="shared" si="30"/>
        <v>37621</v>
      </c>
      <c r="G3" s="7">
        <f t="shared" si="30"/>
        <v>37802</v>
      </c>
      <c r="H3" s="7">
        <f t="shared" si="30"/>
        <v>37986</v>
      </c>
      <c r="I3" s="7">
        <f t="shared" si="30"/>
        <v>38168</v>
      </c>
      <c r="J3" s="7">
        <f t="shared" si="30"/>
        <v>38352</v>
      </c>
      <c r="K3" s="7">
        <f t="shared" si="30"/>
        <v>38533</v>
      </c>
      <c r="L3" s="7">
        <f t="shared" si="30"/>
        <v>38717</v>
      </c>
      <c r="M3" s="7">
        <f t="shared" si="30"/>
        <v>38898</v>
      </c>
      <c r="N3" s="7">
        <f t="shared" si="30"/>
        <v>39082</v>
      </c>
      <c r="O3" s="7">
        <f t="shared" si="30"/>
        <v>39263</v>
      </c>
      <c r="P3" s="7">
        <f t="shared" si="30"/>
        <v>39447</v>
      </c>
      <c r="Q3" s="7">
        <f t="shared" si="30"/>
        <v>39629</v>
      </c>
      <c r="R3" s="7">
        <f t="shared" si="30"/>
        <v>39813</v>
      </c>
      <c r="S3" s="7">
        <f t="shared" si="30"/>
        <v>39994</v>
      </c>
      <c r="T3" s="7">
        <f t="shared" si="30"/>
        <v>40178</v>
      </c>
      <c r="U3" s="7">
        <f t="shared" si="30"/>
        <v>40359</v>
      </c>
      <c r="V3" s="7">
        <f t="shared" si="30"/>
        <v>40543</v>
      </c>
      <c r="W3" s="7">
        <f t="shared" si="30"/>
        <v>40724</v>
      </c>
      <c r="X3" s="7">
        <f t="shared" si="30"/>
        <v>40908</v>
      </c>
      <c r="Y3" s="7">
        <f t="shared" si="30"/>
        <v>41090</v>
      </c>
      <c r="Z3" s="7">
        <f t="shared" si="30"/>
        <v>41274</v>
      </c>
      <c r="AA3" s="7">
        <f t="shared" si="30"/>
        <v>41455</v>
      </c>
      <c r="AB3" s="7">
        <f t="shared" si="30"/>
        <v>41639</v>
      </c>
      <c r="AC3" s="7">
        <f t="shared" si="30"/>
        <v>41820</v>
      </c>
      <c r="AD3" s="7">
        <f t="shared" si="30"/>
        <v>42004</v>
      </c>
      <c r="AE3" s="7">
        <f t="shared" si="30"/>
        <v>42185</v>
      </c>
      <c r="AF3" s="7">
        <f t="shared" si="30"/>
        <v>42369</v>
      </c>
      <c r="AG3" s="7">
        <f t="shared" si="30"/>
        <v>42551</v>
      </c>
      <c r="AH3" s="7">
        <f t="shared" si="30"/>
        <v>42735</v>
      </c>
      <c r="AI3" s="7">
        <f t="shared" si="30"/>
        <v>42916</v>
      </c>
      <c r="AJ3" s="7">
        <f t="shared" si="30"/>
        <v>43100</v>
      </c>
      <c r="AK3" s="7">
        <f t="shared" si="30"/>
        <v>43281</v>
      </c>
      <c r="AL3" s="7">
        <f t="shared" si="30"/>
        <v>43465</v>
      </c>
      <c r="AM3" s="7">
        <f t="shared" si="30"/>
        <v>43646</v>
      </c>
      <c r="AN3" s="7">
        <f t="shared" si="30"/>
        <v>43830</v>
      </c>
      <c r="AO3" s="7">
        <f t="shared" si="30"/>
        <v>44012</v>
      </c>
      <c r="AP3" s="7">
        <f t="shared" si="30"/>
        <v>44196</v>
      </c>
      <c r="AQ3" s="7">
        <f t="shared" si="30"/>
        <v>44377</v>
      </c>
      <c r="AR3" s="7">
        <f t="shared" si="30"/>
        <v>44561</v>
      </c>
      <c r="AS3" s="7">
        <f t="shared" ref="AS3:AT3" si="31">IF(LEFT(AS1,1)="1",DATE(MID(AS1,3,2)+1999,12,31),DATE(MID(AS1,3,2)+2000,6,30))</f>
        <v>44742</v>
      </c>
      <c r="AT3" s="7">
        <f t="shared" si="31"/>
        <v>44926</v>
      </c>
      <c r="AU3" s="7">
        <f t="shared" ref="AU3:AV3" si="32">IF(LEFT(AU1,1)="1",DATE(MID(AU1,3,2)+1999,12,31),DATE(MID(AU1,3,2)+2000,6,30))</f>
        <v>45107</v>
      </c>
      <c r="AV3" s="7">
        <f t="shared" si="32"/>
        <v>45291</v>
      </c>
      <c r="AW3" s="7">
        <f t="shared" ref="AW3:AX3" si="33">IF(LEFT(AW1,1)="1",DATE(MID(AW1,3,2)+1999,12,31),DATE(MID(AW1,3,2)+2000,6,30))</f>
        <v>45473</v>
      </c>
      <c r="AX3" s="7">
        <f t="shared" si="33"/>
        <v>45657</v>
      </c>
      <c r="AY3" s="7">
        <f t="shared" si="30"/>
        <v>45838</v>
      </c>
      <c r="AZ3" s="8">
        <f t="shared" si="30"/>
        <v>46022</v>
      </c>
      <c r="BA3" s="7">
        <f t="shared" si="30"/>
        <v>46203</v>
      </c>
      <c r="BB3" s="7">
        <f t="shared" si="30"/>
        <v>46387</v>
      </c>
      <c r="BC3" s="7">
        <f t="shared" si="30"/>
        <v>46568</v>
      </c>
      <c r="BD3" s="7">
        <f t="shared" si="30"/>
        <v>46752</v>
      </c>
      <c r="BE3" s="7">
        <f t="shared" si="30"/>
        <v>46934</v>
      </c>
      <c r="BF3" s="7">
        <f t="shared" si="30"/>
        <v>47118</v>
      </c>
      <c r="BG3" s="7">
        <f t="shared" si="30"/>
        <v>47299</v>
      </c>
      <c r="BH3" s="7">
        <f t="shared" si="30"/>
        <v>47483</v>
      </c>
      <c r="BI3" s="7">
        <f t="shared" si="30"/>
        <v>47664</v>
      </c>
      <c r="BJ3" s="7">
        <f t="shared" ref="BJ3:BK3" si="34">IF(LEFT(BJ1,1)="1",DATE(MID(BJ1,3,2)+1999,12,31),DATE(MID(BJ1,3,2)+2000,6,30))</f>
        <v>47848</v>
      </c>
      <c r="BK3" s="7">
        <f t="shared" si="34"/>
        <v>48029</v>
      </c>
      <c r="BL3" s="7">
        <f t="shared" ref="BL3:BM3" si="35">IF(LEFT(BL1,1)="1",DATE(MID(BL1,3,2)+1999,12,31),DATE(MID(BL1,3,2)+2000,6,30))</f>
        <v>48213</v>
      </c>
      <c r="BM3" s="7">
        <f t="shared" si="35"/>
        <v>48395</v>
      </c>
      <c r="BN3" s="7">
        <f t="shared" ref="BN3:BO3" si="36">IF(LEFT(BN1,1)="1",DATE(MID(BN1,3,2)+1999,12,31),DATE(MID(BN1,3,2)+2000,6,30))</f>
        <v>48579</v>
      </c>
      <c r="BO3" s="7">
        <f t="shared" si="36"/>
        <v>48760</v>
      </c>
      <c r="BP3" s="7">
        <f t="shared" ref="BP3:BQ3" si="37">IF(LEFT(BP1,1)="1",DATE(MID(BP1,3,2)+1999,12,31),DATE(MID(BP1,3,2)+2000,6,30))</f>
        <v>48944</v>
      </c>
      <c r="BQ3" s="7">
        <f t="shared" si="37"/>
        <v>49125</v>
      </c>
      <c r="BR3" s="10"/>
      <c r="BS3" s="7">
        <f t="shared" ref="BS3:CT3" si="38">IF(LEFT(BS1,1)="1",DATE(MID(BS1,3,2)+1999,12,31),DATE(MID(BS1,3,2)+2000,6,30))</f>
        <v>70310</v>
      </c>
      <c r="BT3" s="7">
        <f t="shared" si="38"/>
        <v>70675</v>
      </c>
      <c r="BU3" s="7">
        <f t="shared" si="38"/>
        <v>71040</v>
      </c>
      <c r="BV3" s="7">
        <f t="shared" si="38"/>
        <v>71405</v>
      </c>
      <c r="BW3" s="7">
        <f t="shared" si="38"/>
        <v>71771</v>
      </c>
      <c r="BX3" s="7">
        <f t="shared" si="38"/>
        <v>72136</v>
      </c>
      <c r="BY3" s="7">
        <f t="shared" si="38"/>
        <v>72501</v>
      </c>
      <c r="BZ3" s="7">
        <f t="shared" si="38"/>
        <v>72866</v>
      </c>
      <c r="CA3" s="7">
        <f t="shared" si="38"/>
        <v>36707</v>
      </c>
      <c r="CB3" s="7">
        <f t="shared" si="38"/>
        <v>37072</v>
      </c>
      <c r="CC3" s="7">
        <f t="shared" si="38"/>
        <v>37437</v>
      </c>
      <c r="CD3" s="7">
        <f t="shared" si="38"/>
        <v>37802</v>
      </c>
      <c r="CE3" s="7">
        <f t="shared" si="38"/>
        <v>38168</v>
      </c>
      <c r="CF3" s="7">
        <f t="shared" si="38"/>
        <v>38533</v>
      </c>
      <c r="CG3" s="7">
        <f t="shared" si="38"/>
        <v>38898</v>
      </c>
      <c r="CH3" s="7">
        <f t="shared" si="38"/>
        <v>39263</v>
      </c>
      <c r="CI3" s="7">
        <f t="shared" si="38"/>
        <v>39629</v>
      </c>
      <c r="CJ3" s="7">
        <f t="shared" si="38"/>
        <v>39994</v>
      </c>
      <c r="CK3" s="7">
        <f t="shared" si="38"/>
        <v>40359</v>
      </c>
      <c r="CL3" s="7">
        <f t="shared" si="38"/>
        <v>40724</v>
      </c>
      <c r="CM3" s="7">
        <f t="shared" si="38"/>
        <v>41090</v>
      </c>
      <c r="CN3" s="7">
        <f t="shared" si="38"/>
        <v>41455</v>
      </c>
      <c r="CO3" s="7">
        <f t="shared" si="38"/>
        <v>41820</v>
      </c>
      <c r="CP3" s="7">
        <f t="shared" si="38"/>
        <v>42185</v>
      </c>
      <c r="CQ3" s="7">
        <f t="shared" si="38"/>
        <v>42551</v>
      </c>
      <c r="CR3" s="7">
        <f t="shared" si="38"/>
        <v>42916</v>
      </c>
      <c r="CS3" s="7">
        <f t="shared" si="38"/>
        <v>43281</v>
      </c>
      <c r="CT3" s="7">
        <f t="shared" si="38"/>
        <v>43646</v>
      </c>
      <c r="CU3" s="7">
        <f>IF(LEFT(CU1,1)="1",DATE(MID(CU1,3,2)+1999,12,31),DATE(MID(CU1,3,2)+2000,6,30))</f>
        <v>44012</v>
      </c>
      <c r="CV3" s="7">
        <f t="shared" ref="CV3:DF3" si="39">IF(LEFT(CV1,1)="1",DATE(MID(CV1,3,2)+1999,12,31),DATE(MID(CV1,3,2)+2000,6,30))</f>
        <v>44377</v>
      </c>
      <c r="CW3" s="7">
        <f t="shared" ref="CW3:CX3" si="40">IF(LEFT(CW1,1)="1",DATE(MID(CW1,3,2)+1999,12,31),DATE(MID(CW1,3,2)+2000,6,30))</f>
        <v>44742</v>
      </c>
      <c r="CX3" s="7">
        <f t="shared" si="40"/>
        <v>45107</v>
      </c>
      <c r="CY3" s="7">
        <f t="shared" ref="CY3" si="41">IF(LEFT(CY1,1)="1",DATE(MID(CY1,3,2)+1999,12,31),DATE(MID(CY1,3,2)+2000,6,30))</f>
        <v>45473</v>
      </c>
      <c r="CZ3" s="8">
        <f t="shared" si="39"/>
        <v>45838</v>
      </c>
      <c r="DA3" s="7">
        <f t="shared" si="39"/>
        <v>46203</v>
      </c>
      <c r="DB3" s="7">
        <f t="shared" si="39"/>
        <v>46568</v>
      </c>
      <c r="DC3" s="7">
        <f t="shared" si="39"/>
        <v>46934</v>
      </c>
      <c r="DD3" s="7">
        <f t="shared" si="39"/>
        <v>47299</v>
      </c>
      <c r="DE3" s="7">
        <f t="shared" si="39"/>
        <v>47664</v>
      </c>
      <c r="DF3" s="7">
        <f t="shared" si="39"/>
        <v>48029</v>
      </c>
      <c r="DG3" s="7">
        <f t="shared" ref="DG3:DH3" si="42">IF(LEFT(DG1,1)="1",DATE(MID(DG1,3,2)+1999,12,31),DATE(MID(DG1,3,2)+2000,6,30))</f>
        <v>48395</v>
      </c>
      <c r="DH3" s="7">
        <f t="shared" si="42"/>
        <v>48760</v>
      </c>
      <c r="DI3" s="7">
        <f t="shared" ref="DI3" si="43">IF(LEFT(DI1,1)="1",DATE(MID(DI1,3,2)+1999,12,31),DATE(MID(DI1,3,2)+2000,6,30))</f>
        <v>49125</v>
      </c>
    </row>
    <row r="4" spans="1:113" s="5" customFormat="1" ht="12">
      <c r="A4" s="1"/>
      <c r="B4" s="6" t="s">
        <v>537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 t="str">
        <f t="shared" ref="AQ4:BI4" si="44">IF(AND(AQ325="Ok",AQ391="Ok",AQ639="Ok",AQ725="Ok"),"Ok","Error")</f>
        <v>Ok</v>
      </c>
      <c r="AR4" s="11" t="str">
        <f t="shared" si="44"/>
        <v>Ok</v>
      </c>
      <c r="AS4" s="11" t="str">
        <f t="shared" ref="AS4:AT4" si="45">IF(AND(AS325="Ok",AS391="Ok",AS639="Ok",AS725="Ok"),"Ok","Error")</f>
        <v>Ok</v>
      </c>
      <c r="AT4" s="11" t="str">
        <f t="shared" si="45"/>
        <v>Ok</v>
      </c>
      <c r="AU4" s="11" t="str">
        <f t="shared" ref="AU4:AV4" si="46">IF(AND(AU325="Ok",AU391="Ok",AU639="Ok",AU725="Ok"),"Ok","Error")</f>
        <v>Ok</v>
      </c>
      <c r="AV4" s="11" t="str">
        <f t="shared" si="46"/>
        <v>Ok</v>
      </c>
      <c r="AW4" s="11" t="str">
        <f t="shared" ref="AW4:AX4" si="47">IF(AND(AW325="Ok",AW391="Ok",AW639="Ok",AW725="Ok"),"Ok","Error")</f>
        <v>Ok</v>
      </c>
      <c r="AX4" s="11" t="str">
        <f t="shared" si="47"/>
        <v>Ok</v>
      </c>
      <c r="AY4" s="11" t="str">
        <f t="shared" si="44"/>
        <v>Ok</v>
      </c>
      <c r="AZ4" s="12" t="str">
        <f t="shared" si="44"/>
        <v>Ok</v>
      </c>
      <c r="BA4" s="11" t="str">
        <f t="shared" si="44"/>
        <v>Ok</v>
      </c>
      <c r="BB4" s="11" t="str">
        <f t="shared" si="44"/>
        <v>Ok</v>
      </c>
      <c r="BC4" s="11" t="str">
        <f t="shared" si="44"/>
        <v>Ok</v>
      </c>
      <c r="BD4" s="11" t="str">
        <f t="shared" si="44"/>
        <v>Ok</v>
      </c>
      <c r="BE4" s="11" t="str">
        <f t="shared" si="44"/>
        <v>Ok</v>
      </c>
      <c r="BF4" s="11" t="str">
        <f t="shared" si="44"/>
        <v>Ok</v>
      </c>
      <c r="BG4" s="11" t="str">
        <f t="shared" si="44"/>
        <v>Ok</v>
      </c>
      <c r="BH4" s="11" t="str">
        <f t="shared" si="44"/>
        <v>Ok</v>
      </c>
      <c r="BI4" s="11" t="str">
        <f t="shared" si="44"/>
        <v>Ok</v>
      </c>
      <c r="BJ4" s="11" t="str">
        <f t="shared" ref="BJ4:BK4" si="48">IF(AND(BJ325="Ok",BJ391="Ok",BJ639="Ok",BJ725="Ok"),"Ok","Error")</f>
        <v>Ok</v>
      </c>
      <c r="BK4" s="11" t="str">
        <f t="shared" si="48"/>
        <v>Ok</v>
      </c>
      <c r="BL4" s="11" t="str">
        <f t="shared" ref="BL4:BM4" si="49">IF(AND(BL325="Ok",BL391="Ok",BL639="Ok",BL725="Ok"),"Ok","Error")</f>
        <v>Ok</v>
      </c>
      <c r="BM4" s="11" t="str">
        <f t="shared" si="49"/>
        <v>Ok</v>
      </c>
      <c r="BN4" s="11" t="str">
        <f t="shared" ref="BN4:BO4" si="50">IF(AND(BN325="Ok",BN391="Ok",BN639="Ok",BN725="Ok"),"Ok","Error")</f>
        <v>Ok</v>
      </c>
      <c r="BO4" s="11" t="str">
        <f t="shared" si="50"/>
        <v>Ok</v>
      </c>
      <c r="BP4" s="11" t="str">
        <f t="shared" ref="BP4:BQ4" si="51">IF(AND(BP325="Ok",BP391="Ok",BP639="Ok",BP725="Ok"),"Ok","Error")</f>
        <v>Ok</v>
      </c>
      <c r="BQ4" s="11" t="str">
        <f t="shared" si="51"/>
        <v>Ok</v>
      </c>
      <c r="BR4" s="13"/>
      <c r="BS4" s="11"/>
      <c r="BT4" s="11" t="str">
        <f>IF(AND(BT325="Ok",BT391="Ok",BT639="Ok",BT725="Ok"),"Ok","Error")</f>
        <v>Error</v>
      </c>
      <c r="BU4" s="11" t="str">
        <f t="shared" ref="BU4:CS4" si="52">IF(AND(BU325="Ok",BU391="Ok",BU639="Ok",BU655="Ok",BU725="Ok"),"Ok","Error")</f>
        <v>Error</v>
      </c>
      <c r="BV4" s="11" t="str">
        <f t="shared" si="52"/>
        <v>Error</v>
      </c>
      <c r="BW4" s="11" t="str">
        <f t="shared" si="52"/>
        <v>Error</v>
      </c>
      <c r="BX4" s="11" t="str">
        <f t="shared" si="52"/>
        <v>Error</v>
      </c>
      <c r="BY4" s="11" t="str">
        <f t="shared" si="52"/>
        <v>Error</v>
      </c>
      <c r="BZ4" s="11" t="str">
        <f t="shared" si="52"/>
        <v>Error</v>
      </c>
      <c r="CA4" s="11" t="str">
        <f t="shared" si="52"/>
        <v>Error</v>
      </c>
      <c r="CB4" s="11" t="str">
        <f t="shared" si="52"/>
        <v>Error</v>
      </c>
      <c r="CC4" s="11" t="str">
        <f t="shared" si="52"/>
        <v>Error</v>
      </c>
      <c r="CD4" s="11" t="str">
        <f t="shared" si="52"/>
        <v>Error</v>
      </c>
      <c r="CE4" s="11" t="str">
        <f t="shared" si="52"/>
        <v>Error</v>
      </c>
      <c r="CF4" s="11" t="str">
        <f t="shared" si="52"/>
        <v>Error</v>
      </c>
      <c r="CG4" s="11" t="str">
        <f t="shared" si="52"/>
        <v>Error</v>
      </c>
      <c r="CH4" s="11" t="str">
        <f t="shared" si="52"/>
        <v>Error</v>
      </c>
      <c r="CI4" s="11" t="str">
        <f t="shared" si="52"/>
        <v>Error</v>
      </c>
      <c r="CJ4" s="11" t="str">
        <f t="shared" si="52"/>
        <v>Error</v>
      </c>
      <c r="CK4" s="11" t="str">
        <f t="shared" si="52"/>
        <v>Error</v>
      </c>
      <c r="CL4" s="11" t="str">
        <f t="shared" si="52"/>
        <v>Error</v>
      </c>
      <c r="CM4" s="11" t="str">
        <f t="shared" si="52"/>
        <v>Error</v>
      </c>
      <c r="CN4" s="11" t="str">
        <f t="shared" si="52"/>
        <v>Error</v>
      </c>
      <c r="CO4" s="11" t="str">
        <f t="shared" si="52"/>
        <v>Error</v>
      </c>
      <c r="CP4" s="11" t="str">
        <f t="shared" si="52"/>
        <v>Error</v>
      </c>
      <c r="CQ4" s="11" t="str">
        <f t="shared" si="52"/>
        <v>Error</v>
      </c>
      <c r="CR4" s="11" t="str">
        <f t="shared" si="52"/>
        <v>Error</v>
      </c>
      <c r="CS4" s="11" t="str">
        <f t="shared" si="52"/>
        <v>Error</v>
      </c>
      <c r="CT4" s="11"/>
      <c r="CU4" s="11"/>
      <c r="CV4" s="11"/>
      <c r="CW4" s="11" t="str">
        <f t="shared" ref="CW4:DI4" ca="1" si="53">IF(AND(CW325="Ok",CW391="Ok",CW639="Ok",CW655="Ok",CW725="Ok"),"Ok","Error")</f>
        <v>Ok</v>
      </c>
      <c r="CX4" s="11" t="str">
        <f t="shared" ca="1" si="53"/>
        <v>Ok</v>
      </c>
      <c r="CY4" s="11" t="str">
        <f t="shared" ca="1" si="53"/>
        <v>Ok</v>
      </c>
      <c r="CZ4" s="12" t="str">
        <f t="shared" ca="1" si="53"/>
        <v>Ok</v>
      </c>
      <c r="DA4" s="11" t="str">
        <f t="shared" ca="1" si="53"/>
        <v>Ok</v>
      </c>
      <c r="DB4" s="11" t="str">
        <f t="shared" ca="1" si="53"/>
        <v>Ok</v>
      </c>
      <c r="DC4" s="11" t="str">
        <f t="shared" ca="1" si="53"/>
        <v>Ok</v>
      </c>
      <c r="DD4" s="11" t="str">
        <f t="shared" ca="1" si="53"/>
        <v>Ok</v>
      </c>
      <c r="DE4" s="11" t="str">
        <f t="shared" ca="1" si="53"/>
        <v>Ok</v>
      </c>
      <c r="DF4" s="11" t="str">
        <f t="shared" ca="1" si="53"/>
        <v>Ok</v>
      </c>
      <c r="DG4" s="11" t="str">
        <f t="shared" ca="1" si="53"/>
        <v>Ok</v>
      </c>
      <c r="DH4" s="11" t="str">
        <f t="shared" ca="1" si="53"/>
        <v>Ok</v>
      </c>
      <c r="DI4" s="11" t="str">
        <f t="shared" ca="1" si="53"/>
        <v>Ok</v>
      </c>
    </row>
    <row r="5" spans="1:113" s="18" customFormat="1" ht="12">
      <c r="A5" s="1" t="s">
        <v>1014</v>
      </c>
      <c r="B5" s="6" t="s">
        <v>538</v>
      </c>
      <c r="C5" s="14">
        <f>E5</f>
        <v>2.0165745856353592</v>
      </c>
      <c r="D5" s="14">
        <f>IF(LEFT(D$1,1)="2",(D3-A3)/(D3-C3),(E3-C3)/(D3-C3))</f>
        <v>1.9836956521739131</v>
      </c>
      <c r="E5" s="14">
        <f t="shared" ref="E5:AD5" si="54">IF(LEFT(E$1,1)="2",(E3-C3)/(E3-D3),(F3-D3)/(E3-D3))</f>
        <v>2.0165745856353592</v>
      </c>
      <c r="F5" s="14">
        <f t="shared" si="54"/>
        <v>1.9836956521739131</v>
      </c>
      <c r="G5" s="14">
        <f t="shared" si="54"/>
        <v>2.0165745856353592</v>
      </c>
      <c r="H5" s="14">
        <f t="shared" si="54"/>
        <v>1.9891304347826086</v>
      </c>
      <c r="I5" s="14">
        <f t="shared" si="54"/>
        <v>2.0109890109890109</v>
      </c>
      <c r="J5" s="14">
        <f t="shared" si="54"/>
        <v>1.9836956521739131</v>
      </c>
      <c r="K5" s="14">
        <f t="shared" si="54"/>
        <v>2.0165745856353592</v>
      </c>
      <c r="L5" s="14">
        <f t="shared" si="54"/>
        <v>1.9836956521739131</v>
      </c>
      <c r="M5" s="14">
        <f t="shared" si="54"/>
        <v>2.0165745856353592</v>
      </c>
      <c r="N5" s="14">
        <f t="shared" si="54"/>
        <v>1.9836956521739131</v>
      </c>
      <c r="O5" s="14">
        <f t="shared" si="54"/>
        <v>2.0165745856353592</v>
      </c>
      <c r="P5" s="14">
        <f t="shared" si="54"/>
        <v>1.9891304347826086</v>
      </c>
      <c r="Q5" s="14">
        <f t="shared" si="54"/>
        <v>2.0109890109890109</v>
      </c>
      <c r="R5" s="14">
        <f t="shared" si="54"/>
        <v>1.9836956521739131</v>
      </c>
      <c r="S5" s="14">
        <f t="shared" si="54"/>
        <v>2.0165745856353592</v>
      </c>
      <c r="T5" s="14">
        <f t="shared" si="54"/>
        <v>1.9836956521739131</v>
      </c>
      <c r="U5" s="14">
        <f t="shared" si="54"/>
        <v>2.0165745856353592</v>
      </c>
      <c r="V5" s="14">
        <f t="shared" si="54"/>
        <v>1.9836956521739131</v>
      </c>
      <c r="W5" s="14">
        <f t="shared" si="54"/>
        <v>2.0165745856353592</v>
      </c>
      <c r="X5" s="14">
        <f t="shared" si="54"/>
        <v>1.9891304347826086</v>
      </c>
      <c r="Y5" s="14">
        <f>IF(LEFT(Y$1,1)="2",(Y3-W3)/(Y3-X3),(Z3-X3)/(Y3-X3))</f>
        <v>2.0109890109890109</v>
      </c>
      <c r="Z5" s="14">
        <f>IF(LEFT(Z$1,1)="2",(Z3-X3)/(Z3-Y3),(AA3-Y3)/(Z3-Y3))</f>
        <v>1.9836956521739131</v>
      </c>
      <c r="AA5" s="14">
        <f t="shared" si="54"/>
        <v>2.0165745856353592</v>
      </c>
      <c r="AB5" s="14">
        <f t="shared" si="54"/>
        <v>1.9836956521739131</v>
      </c>
      <c r="AC5" s="14">
        <f t="shared" si="54"/>
        <v>2.0165745856353592</v>
      </c>
      <c r="AD5" s="14">
        <f t="shared" si="54"/>
        <v>1.9836956521739131</v>
      </c>
      <c r="AE5" s="14">
        <f>IF(LEFT(AE$1,1)="2",(AE3-AC3)/(AE3-AD3),(BR3-AD3)/(AE3-AD3))</f>
        <v>2.0165745856353592</v>
      </c>
      <c r="AF5" s="14">
        <f>IF(LEFT(AF$1,1)="2",(AF3-AD3)/(AF3-AE3),(AG3-AE3)/(AF3-AE3))</f>
        <v>1.9891304347826086</v>
      </c>
      <c r="AG5" s="14">
        <f>IF(LEFT(AG$1,1)="2",(AG3-AE3)/(AG3-AF3),(BT3-AF3)/(AG3-AF3))</f>
        <v>2.0109890109890109</v>
      </c>
      <c r="AH5" s="14">
        <f>IF(LEFT(AH$1,1)="2",(AH3-AF3)/(AH3-AG3),(AI3-AG3)/(AH3-AG3))</f>
        <v>1.9836956521739131</v>
      </c>
      <c r="AI5" s="14">
        <f>IF(LEFT(AI$1,1)="2",(AI3-AG3)/(AI3-AH3),(BV3-AH3)/(AI3-AH3))</f>
        <v>2.0165745856353592</v>
      </c>
      <c r="AJ5" s="14">
        <f>IF(LEFT(AJ$1,1)="2",(AJ3-AH3)/(AJ3-AI3),(AK3-AI3)/(AJ3-AI3))</f>
        <v>1.9836956521739131</v>
      </c>
      <c r="AK5" s="14">
        <f>IF(LEFT(AK$1,1)="2",(AK3-AI3)/(AK3-AJ3),(BX3-AJ3)/(AK3-AJ3))</f>
        <v>2.0165745856353592</v>
      </c>
      <c r="AL5" s="14">
        <f>IF(LEFT(AL$1,1)="2",(AL3-AJ3)/(AL3-AK3),(AM3-AK3)/(AL3-AK3))</f>
        <v>1.9836956521739131</v>
      </c>
      <c r="AM5" s="14">
        <f>IF(LEFT(AM$1,1)="2",(AM3-AK3)/(AM3-AL3),(AN3-AL3)/(AM3-AL3))</f>
        <v>2.0165745856353592</v>
      </c>
      <c r="AN5" s="14">
        <f>IF(LEFT(AN$1,1)="2",(AN3-AL3)/(AN3-AM3),(AO3-AM3)/(AN3-AM3))</f>
        <v>1.9891304347826086</v>
      </c>
      <c r="AO5" s="14">
        <f>IF(LEFT(AO$1,1)="2",(AO3-AM3)/(AO3-AN3),(AP3-AN3)/(AO3-AN3))</f>
        <v>2.0109890109890109</v>
      </c>
      <c r="AP5" s="14">
        <f>IF(LEFT(AP$1,1)="2",(AP3-AN3)/(AP3-AO3),(AQ3-AO3)/(AP3-AO3))</f>
        <v>1.9836956521739131</v>
      </c>
      <c r="AQ5" s="14">
        <f>IF(LEFT(AQ$1,1)="2",(AQ3-AO3)/(AQ3-AP3),(CD3-AP3)/(AQ3-AP3))</f>
        <v>2.0165745856353592</v>
      </c>
      <c r="AR5" s="14">
        <f t="shared" ref="AR5:AX5" si="55">IF(LEFT(AR$1,1)="2",(AR3-AP3)/(AR3-AQ3),(AS3-AQ3)/(AR3-AQ3))</f>
        <v>1.9836956521739131</v>
      </c>
      <c r="AS5" s="14">
        <f t="shared" si="55"/>
        <v>2.0165745856353592</v>
      </c>
      <c r="AT5" s="14">
        <f t="shared" si="55"/>
        <v>1.9836956521739131</v>
      </c>
      <c r="AU5" s="14">
        <f t="shared" si="55"/>
        <v>2.0165745856353592</v>
      </c>
      <c r="AV5" s="14">
        <f t="shared" si="55"/>
        <v>1.9891304347826086</v>
      </c>
      <c r="AW5" s="14">
        <f t="shared" si="55"/>
        <v>2.0109890109890109</v>
      </c>
      <c r="AX5" s="14">
        <f t="shared" si="55"/>
        <v>1.9836956521739131</v>
      </c>
      <c r="AY5" s="14">
        <f>IF(LEFT(AY$1,1)="2",(AY3-AW3)/(AY3-AX3),(CL3-AX3)/(AY3-AX3))</f>
        <v>2.0165745856353592</v>
      </c>
      <c r="AZ5" s="15">
        <f>IF(LEFT(AZ$1,1)="2",(AZ3-AX3)/(AZ3-AY3),(BA3-AY3)/(AZ3-AY3))</f>
        <v>1.9836956521739131</v>
      </c>
      <c r="BA5" s="14">
        <f>IF(LEFT(BA$1,1)="2",(BA3-AY3)/(BA3-AZ3),(CN3-AZ3)/(BA3-AZ3))</f>
        <v>2.0165745856353592</v>
      </c>
      <c r="BB5" s="14">
        <f>IF(LEFT(BB$1,1)="2",(BB3-AZ3)/(BB3-BA3),(BC3-BA3)/(BB3-BA3))</f>
        <v>1.9836956521739131</v>
      </c>
      <c r="BC5" s="14">
        <f>IF(LEFT(BC$1,1)="2",(BC3-BA3)/(BC3-BB3),(CP3-BB3)/(BC3-BB3))</f>
        <v>2.0165745856353592</v>
      </c>
      <c r="BD5" s="14">
        <f>IF(LEFT(BD$1,1)="2",(BD3-BB3)/(BD3-BC3),(BE3-BC3)/(BD3-BC3))</f>
        <v>1.9891304347826086</v>
      </c>
      <c r="BE5" s="14">
        <f>IF(LEFT(BE$1,1)="2",(BE3-BC3)/(BE3-BD3),(CR3-BD3)/(BE3-BD3))</f>
        <v>2.0109890109890109</v>
      </c>
      <c r="BF5" s="14">
        <f>IF(LEFT(BF$1,1)="2",(BF3-BD3)/(BF3-BE3),(BG3-BE3)/(BF3-BE3))</f>
        <v>1.9836956521739131</v>
      </c>
      <c r="BG5" s="14">
        <f>IF(LEFT(BG$1,1)="2",(BG3-BE3)/(BG3-BF3),(CT3-BF3)/(BG3-BF3))</f>
        <v>2.0165745856353592</v>
      </c>
      <c r="BH5" s="14">
        <f>IF(LEFT(BH$1,1)="2",(BH3-BF3)/(BH3-BG3),(BI3-BG3)/(BH3-BG3))</f>
        <v>1.9836956521739131</v>
      </c>
      <c r="BI5" s="14">
        <f>IF(LEFT(BI$1,1)="2",(BI3-BG3)/(BI3-BH3),(CV3-BH3)/(BI3-BH3))</f>
        <v>2.0165745856353592</v>
      </c>
      <c r="BJ5" s="14">
        <f>IF(LEFT(BJ$1,1)="2",(BJ3-BH3)/(BJ3-BI3),(BK3-BI3)/(BJ3-BI3))</f>
        <v>1.9836956521739131</v>
      </c>
      <c r="BK5" s="14">
        <f>IF(LEFT(BK$1,1)="2",(BK3-BI3)/(BK3-BJ3),(CX3-BJ3)/(BK3-BJ3))</f>
        <v>2.0165745856353592</v>
      </c>
      <c r="BL5" s="14">
        <f>IF(LEFT(BL$1,1)="2",(BL3-BJ3)/(BL3-BK3),(BM3-BK3)/(BL3-BK3))</f>
        <v>1.9891304347826086</v>
      </c>
      <c r="BM5" s="14">
        <f>IF(LEFT(BM$1,1)="2",(BM3-BK3)/(BM3-BL3),(CZ3-BL3)/(BM3-BL3))</f>
        <v>2.0109890109890109</v>
      </c>
      <c r="BN5" s="14">
        <f>IF(LEFT(BN$1,1)="2",(BN3-BL3)/(BN3-BM3),(BO3-BM3)/(BN3-BM3))</f>
        <v>1.9836956521739131</v>
      </c>
      <c r="BO5" s="14">
        <f>IF(LEFT(BO$1,1)="2",(BO3-BM3)/(BO3-BN3),(DB3-BN3)/(BO3-BN3))</f>
        <v>2.0165745856353592</v>
      </c>
      <c r="BP5" s="14">
        <f>IF(LEFT(BP$1,1)="2",(BP3-BN3)/(BP3-BO3),(BQ3-BO3)/(BP3-BO3))</f>
        <v>1.9836956521739131</v>
      </c>
      <c r="BQ5" s="14">
        <f>IF(LEFT(BQ$1,1)="2",(BQ3-BO3)/(BQ3-BP3),(DD3-BP3)/(BQ3-BP3))</f>
        <v>2.0165745856353592</v>
      </c>
      <c r="BR5" s="16"/>
      <c r="BS5" s="14">
        <v>1</v>
      </c>
      <c r="BT5" s="14">
        <v>1</v>
      </c>
      <c r="BU5" s="14">
        <v>1</v>
      </c>
      <c r="BV5" s="14">
        <v>1</v>
      </c>
      <c r="BW5" s="14">
        <v>1</v>
      </c>
      <c r="BX5" s="14">
        <v>1</v>
      </c>
      <c r="BY5" s="14">
        <v>1</v>
      </c>
      <c r="BZ5" s="14">
        <v>1</v>
      </c>
      <c r="CA5" s="14">
        <v>1</v>
      </c>
      <c r="CB5" s="14">
        <v>1</v>
      </c>
      <c r="CC5" s="14">
        <v>1</v>
      </c>
      <c r="CD5" s="14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5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</row>
    <row r="6" spans="1:113" s="18" customFormat="1" ht="12">
      <c r="A6" s="1"/>
      <c r="B6" s="19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20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20"/>
      <c r="DA6" s="17"/>
      <c r="DB6" s="17"/>
      <c r="DC6" s="17"/>
      <c r="DD6" s="17"/>
      <c r="DE6" s="17"/>
      <c r="DF6" s="17"/>
      <c r="DG6" s="17"/>
      <c r="DH6" s="17"/>
      <c r="DI6" s="17"/>
    </row>
    <row r="7" spans="1:113" s="5" customFormat="1" ht="12" hidden="1" outlineLevel="3">
      <c r="A7" s="1"/>
      <c r="B7" s="2" t="s">
        <v>539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4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4"/>
      <c r="DA7" s="3"/>
      <c r="DB7" s="3"/>
      <c r="DC7" s="3"/>
      <c r="DD7" s="3"/>
      <c r="DE7" s="3"/>
      <c r="DF7" s="3"/>
      <c r="DG7" s="3"/>
      <c r="DH7" s="3"/>
      <c r="DI7" s="3"/>
    </row>
    <row r="8" spans="1:113" ht="12" hidden="1" outlineLevel="3">
      <c r="DG8" s="21"/>
      <c r="DH8" s="21"/>
      <c r="DI8" s="21"/>
    </row>
    <row r="9" spans="1:113" s="24" customFormat="1" ht="12" hidden="1" outlineLevel="3">
      <c r="A9" s="1"/>
      <c r="B9" s="19" t="s">
        <v>540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2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23"/>
      <c r="DA9" s="13"/>
      <c r="DB9" s="13"/>
      <c r="DC9" s="13"/>
      <c r="DD9" s="13"/>
      <c r="DE9" s="13"/>
      <c r="DF9" s="13"/>
      <c r="DG9" s="13"/>
      <c r="DH9" s="13"/>
      <c r="DI9" s="13"/>
    </row>
    <row r="10" spans="1:113" s="28" customFormat="1" ht="12" hidden="1" outlineLevel="3">
      <c r="A10" s="1"/>
      <c r="B10" s="25" t="s">
        <v>302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7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7"/>
      <c r="DA10" s="26"/>
      <c r="DB10" s="26"/>
      <c r="DC10" s="26"/>
      <c r="DD10" s="26"/>
      <c r="DE10" s="26"/>
      <c r="DF10" s="26"/>
      <c r="DG10" s="26"/>
      <c r="DH10" s="26"/>
      <c r="DI10" s="26"/>
    </row>
    <row r="11" spans="1:113" s="29" customFormat="1" ht="12" hidden="1" outlineLevel="3">
      <c r="A11" s="1"/>
      <c r="B11" s="29" t="s">
        <v>303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1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1"/>
      <c r="DA11" s="30"/>
      <c r="DB11" s="30"/>
      <c r="DC11" s="30"/>
      <c r="DD11" s="30"/>
      <c r="DE11" s="30"/>
      <c r="DF11" s="30"/>
      <c r="DG11" s="30"/>
      <c r="DH11" s="30"/>
      <c r="DI11" s="30"/>
    </row>
    <row r="12" spans="1:113" s="35" customFormat="1" ht="12" hidden="1" outlineLevel="3">
      <c r="A12" s="1"/>
      <c r="B12" s="32" t="s">
        <v>304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4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4"/>
      <c r="DA12" s="33"/>
      <c r="DB12" s="33"/>
      <c r="DC12" s="33"/>
      <c r="DD12" s="33"/>
      <c r="DE12" s="33"/>
      <c r="DF12" s="33"/>
      <c r="DG12" s="33"/>
      <c r="DH12" s="33"/>
      <c r="DI12" s="33"/>
    </row>
    <row r="13" spans="1:113" ht="12" hidden="1" outlineLevel="3">
      <c r="DG13" s="21"/>
      <c r="DH13" s="21"/>
      <c r="DI13" s="21"/>
    </row>
    <row r="14" spans="1:113" s="36" customFormat="1" ht="12" collapsed="1">
      <c r="A14" s="1" t="s">
        <v>982</v>
      </c>
      <c r="B14" s="2" t="s">
        <v>131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4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4"/>
      <c r="DA14" s="3"/>
      <c r="DB14" s="3"/>
      <c r="DC14" s="3"/>
      <c r="DD14" s="3"/>
      <c r="DE14" s="3"/>
      <c r="DF14" s="3"/>
      <c r="DG14" s="3"/>
      <c r="DH14" s="3"/>
      <c r="DI14" s="3"/>
    </row>
    <row r="15" spans="1:113" ht="12" hidden="1" outlineLevel="1">
      <c r="DG15" s="19"/>
      <c r="DH15" s="19"/>
      <c r="DI15" s="19"/>
    </row>
    <row r="16" spans="1:113" ht="12" hidden="1" outlineLevel="1">
      <c r="B16" s="24" t="s">
        <v>208</v>
      </c>
      <c r="DG16" s="19"/>
      <c r="DH16" s="19"/>
      <c r="DI16" s="19"/>
    </row>
    <row r="17" spans="1:113" ht="12" hidden="1" outlineLevel="1">
      <c r="A17" s="1" t="s">
        <v>798</v>
      </c>
      <c r="B17" s="19" t="s">
        <v>209</v>
      </c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615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118">
        <f>VLOOKUP(RIGHT($A17,LEN($A17)-4),[1]Sheet1!$2:$65536,MATCH(AP$3,[1]Sheet1!$2:$2,0),FALSE)</f>
        <v>0.56304500000000002</v>
      </c>
      <c r="AQ17" s="118">
        <f>VLOOKUP(RIGHT($A17,LEN($A17)-4),[1]Sheet1!$2:$65536,MATCH(AQ$3,[1]Sheet1!$2:$2,0),FALSE)</f>
        <v>0.54215000000000002</v>
      </c>
      <c r="AR17" s="118">
        <f>VLOOKUP(RIGHT($A17,LEN($A17)-4),[1]Sheet1!$2:$65536,MATCH(AR$3,[1]Sheet1!$2:$2,0),FALSE)</f>
        <v>0.53720000000000001</v>
      </c>
      <c r="AS17" s="118">
        <f>VLOOKUP(RIGHT($A17,LEN($A17)-4),[1]Sheet1!$2:$65536,MATCH(AS$3,[1]Sheet1!$2:$2,0),FALSE)</f>
        <v>0.56679999999999997</v>
      </c>
      <c r="AT17" s="118">
        <f>VLOOKUP(RIGHT($A17,LEN($A17)-4),[1]Sheet1!$2:$65536,MATCH(AT$3,[1]Sheet1!$2:$2,0),FALSE)</f>
        <v>0.56340000000000001</v>
      </c>
      <c r="AU17" s="118">
        <f>VLOOKUP(RIGHT($A17,LEN($A17)-4),[1]Sheet1!$2:$65536,MATCH(AU$3,[1]Sheet1!$2:$2,0),FALSE)</f>
        <v>0.52480000000000004</v>
      </c>
      <c r="AV17" s="118">
        <f>VLOOKUP(RIGHT($A17,LEN($A17)-4),[1]Sheet1!$2:$65536,MATCH(AV$3,[1]Sheet1!$2:$2,0),FALSE)</f>
        <v>0.53495000000000004</v>
      </c>
      <c r="AW17" s="118">
        <f>VLOOKUP(RIGHT($A17,LEN($A17)-4),[1]Sheet1!$2:$65536,MATCH(AW$3,[1]Sheet1!$2:$2,0),FALSE)</f>
        <v>0.52739999999999998</v>
      </c>
      <c r="AX17" s="118">
        <f>VLOOKUP(RIGHT($A17,LEN($A17)-4),[1]Sheet1!$2:$65536,MATCH(AX$3,[1]Sheet1!$2:$2,0),FALSE)</f>
        <v>0.49451459683461196</v>
      </c>
      <c r="AY17" s="118">
        <f>VLOOKUP(RIGHT($A17,LEN($A17)-4),[1]Sheet1!$2:$65536,MATCH(AY$3,[1]Sheet1!$2:$2,0),FALSE)</f>
        <v>0.47917734832838982</v>
      </c>
      <c r="AZ17" s="520">
        <f>VLOOKUP(RIGHT($A17,LEN($A17)-4),[1]Sheet1!$2:$65536,MATCH(AZ$3,[1]Sheet1!$2:$2,0),FALSE)</f>
        <v>0.49527998177369664</v>
      </c>
      <c r="BA17" s="118">
        <f>VLOOKUP(RIGHT($A17,LEN($A17)-4),[1]Sheet1!$2:$65536,MATCH(BA$3,[1]Sheet1!$2:$2,0),FALSE)</f>
        <v>0.47222222222222227</v>
      </c>
      <c r="BB17" s="118">
        <f>VLOOKUP(RIGHT($A17,LEN($A17)-4),[1]Sheet1!$2:$65536,MATCH(BB$3,[1]Sheet1!$2:$2,0),FALSE)</f>
        <v>0.4779411764705882</v>
      </c>
      <c r="BC17" s="118">
        <f>VLOOKUP(RIGHT($A17,LEN($A17)-4),[1]Sheet1!$2:$65536,MATCH(BC$3,[1]Sheet1!$2:$2,0),FALSE)</f>
        <v>0.49259259259259253</v>
      </c>
      <c r="BD17" s="118">
        <f>VLOOKUP(RIGHT($A17,LEN($A17)-4),[1]Sheet1!$2:$65536,MATCH(BD$3,[1]Sheet1!$2:$2,0),FALSE)</f>
        <v>0.5074626865671642</v>
      </c>
      <c r="BE17" s="118">
        <f>VLOOKUP(RIGHT($A17,LEN($A17)-4),[1]Sheet1!$2:$65536,MATCH(BE$3,[1]Sheet1!$2:$2,0),FALSE)</f>
        <v>0.52059925093632919</v>
      </c>
      <c r="BF17" s="118">
        <f>VLOOKUP(RIGHT($A17,LEN($A17)-4),[1]Sheet1!$2:$65536,MATCH(BF$3,[1]Sheet1!$2:$2,0),FALSE)</f>
        <v>0.53383458646616533</v>
      </c>
      <c r="BG17" s="118">
        <f>VLOOKUP(RIGHT($A17,LEN($A17)-4),[1]Sheet1!$2:$65536,MATCH(BG$3,[1]Sheet1!$2:$2,0),FALSE)</f>
        <v>0.55859969558599676</v>
      </c>
      <c r="BH17" s="118">
        <f>VLOOKUP(RIGHT($A17,LEN($A17)-4),[1]Sheet1!$2:$65536,MATCH(BH$3,[1]Sheet1!$2:$2,0),FALSE)</f>
        <v>0.58397534668721063</v>
      </c>
      <c r="BI17" s="118">
        <f>VLOOKUP(RIGHT($A17,LEN($A17)-4),[1]Sheet1!$2:$65536,MATCH(BI$3,[1]Sheet1!$2:$2,0),FALSE)</f>
        <v>0.60998439937597437</v>
      </c>
      <c r="BJ17" s="118">
        <f>VLOOKUP(RIGHT($A17,LEN($A17)-4),[1]Sheet1!$2:$65536,MATCH(BJ$3,[1]Sheet1!$2:$2,0),FALSE)</f>
        <v>0.6366508688783562</v>
      </c>
      <c r="BK17" s="118">
        <f>VLOOKUP(RIGHT($A17,LEN($A17)-4),[1]Sheet1!$2:$65536,MATCH(BK$3,[1]Sheet1!$2:$2,0),FALSE)</f>
        <v>0.6366508688783562</v>
      </c>
      <c r="BL17" s="118">
        <f>VLOOKUP(RIGHT($A17,LEN($A17)-4),[1]Sheet1!$2:$65536,MATCH(BL$3,[1]Sheet1!$2:$2,0),FALSE)</f>
        <v>0.6366508688783562</v>
      </c>
      <c r="BM17" s="118">
        <f>VLOOKUP(RIGHT($A17,LEN($A17)-4),[1]Sheet1!$2:$65536,MATCH(BM$3,[1]Sheet1!$2:$2,0),FALSE)</f>
        <v>0.6366508688783562</v>
      </c>
      <c r="BN17" s="118">
        <f>VLOOKUP(RIGHT($A17,LEN($A17)-4),[1]Sheet1!$2:$65536,MATCH(BN$3,[1]Sheet1!$2:$2,0),FALSE)</f>
        <v>0.6366508688783562</v>
      </c>
      <c r="BO17" s="118">
        <f>VLOOKUP(RIGHT($A17,LEN($A17)-4),[1]Sheet1!$2:$65536,MATCH(BO$3,[1]Sheet1!$2:$2,0),FALSE)</f>
        <v>0.6366508688783562</v>
      </c>
      <c r="BP17" s="118">
        <f>VLOOKUP(RIGHT($A17,LEN($A17)-4),[1]Sheet1!$2:$65536,MATCH(BP$3,[1]Sheet1!$2:$2,0),FALSE)</f>
        <v>0.6366508688783562</v>
      </c>
      <c r="BQ17" s="118">
        <f>VLOOKUP(RIGHT($A17,LEN($A17)-4),[1]Sheet1!$2:$65536,MATCH(BQ$3,[1]Sheet1!$2:$2,0),FALSE)</f>
        <v>0.6366508688783562</v>
      </c>
      <c r="BR17" s="38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118">
        <f>VLOOKUP(RIGHT($A17,LEN($A17)-4),[1]Sheet1!$2:$65536,MATCH(CT$3,[1]Sheet1!$2:$2,0),FALSE)</f>
        <v>0.55320000000000003</v>
      </c>
      <c r="CU17" s="118">
        <f>VLOOKUP(RIGHT($A17,LEN($A17)-4),[1]Sheet1!$2:$65536,MATCH(CU$3,[1]Sheet1!$2:$2,0),FALSE)</f>
        <v>0.55671000000000004</v>
      </c>
      <c r="CV17" s="118">
        <f>VLOOKUP(RIGHT($A17,LEN($A17)-4),[1]Sheet1!$2:$65536,MATCH(CV$3,[1]Sheet1!$2:$2,0),FALSE)</f>
        <v>0.54215000000000002</v>
      </c>
      <c r="CW17" s="118">
        <f>VLOOKUP(RIGHT($A17,LEN($A17)-4),[1]Sheet1!$2:$65536,MATCH(CW$3,[1]Sheet1!$2:$2,0),FALSE)</f>
        <v>0.56679999999999997</v>
      </c>
      <c r="CX17" s="118">
        <f>VLOOKUP(RIGHT($A17,LEN($A17)-4),[1]Sheet1!$2:$65536,MATCH(CX$3,[1]Sheet1!$2:$2,0),FALSE)</f>
        <v>0.52480000000000004</v>
      </c>
      <c r="CY17" s="118">
        <f>VLOOKUP(RIGHT($A17,LEN($A17)-4),[1]Sheet1!$2:$65536,MATCH(CY$3,[1]Sheet1!$2:$2,0),FALSE)</f>
        <v>0.52739999999999998</v>
      </c>
      <c r="CZ17" s="39">
        <f>AY17</f>
        <v>0.47917734832838982</v>
      </c>
      <c r="DA17" s="38">
        <f>BA17</f>
        <v>0.47222222222222227</v>
      </c>
      <c r="DB17" s="38">
        <f>BC17</f>
        <v>0.49259259259259253</v>
      </c>
      <c r="DC17" s="38">
        <f>BE17</f>
        <v>0.52059925093632919</v>
      </c>
      <c r="DD17" s="38">
        <f>BG17</f>
        <v>0.55859969558599676</v>
      </c>
      <c r="DE17" s="38">
        <f>BI17</f>
        <v>0.60998439937597437</v>
      </c>
      <c r="DF17" s="38">
        <f>BK17</f>
        <v>0.6366508688783562</v>
      </c>
      <c r="DG17" s="38">
        <f>BM17</f>
        <v>0.6366508688783562</v>
      </c>
      <c r="DH17" s="38">
        <f>BO17</f>
        <v>0.6366508688783562</v>
      </c>
      <c r="DI17" s="38">
        <f>BQ17</f>
        <v>0.6366508688783562</v>
      </c>
    </row>
    <row r="18" spans="1:113" ht="12" hidden="1" outlineLevel="1">
      <c r="A18" s="1" t="s">
        <v>799</v>
      </c>
      <c r="B18" s="19" t="s">
        <v>210</v>
      </c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118">
        <f>VLOOKUP(RIGHT($A18,LEN($A18)-4),[1]Sheet1!$2:$65536,MATCH(AP$3,[1]Sheet1!$2:$2,0),FALSE)</f>
        <v>0.76947500000000002</v>
      </c>
      <c r="AQ18" s="118">
        <f>VLOOKUP(RIGHT($A18,LEN($A18)-4),[1]Sheet1!$2:$65536,MATCH(AQ$3,[1]Sheet1!$2:$2,0),FALSE)</f>
        <v>0.74981500000000001</v>
      </c>
      <c r="AR18" s="118">
        <f>VLOOKUP(RIGHT($A18,LEN($A18)-4),[1]Sheet1!$2:$65536,MATCH(AR$3,[1]Sheet1!$2:$2,0),FALSE)</f>
        <v>0.72650000000000003</v>
      </c>
      <c r="AS18" s="118">
        <f>VLOOKUP(RIGHT($A18,LEN($A18)-4),[1]Sheet1!$2:$65536,MATCH(AS$3,[1]Sheet1!$2:$2,0),FALSE)</f>
        <v>0.69035000000000002</v>
      </c>
      <c r="AT18" s="118">
        <f>VLOOKUP(RIGHT($A18,LEN($A18)-4),[1]Sheet1!$2:$65536,MATCH(AT$3,[1]Sheet1!$2:$2,0),FALSE)</f>
        <v>0.68155500000000002</v>
      </c>
      <c r="AU18" s="118">
        <f>VLOOKUP(RIGHT($A18,LEN($A18)-4),[1]Sheet1!$2:$65536,MATCH(AU$3,[1]Sheet1!$2:$2,0),FALSE)</f>
        <v>0.66629000000000005</v>
      </c>
      <c r="AV18" s="118">
        <f>VLOOKUP(RIGHT($A18,LEN($A18)-4),[1]Sheet1!$2:$65536,MATCH(AV$3,[1]Sheet1!$2:$2,0),FALSE)</f>
        <v>0.68108000000000002</v>
      </c>
      <c r="AW18" s="118">
        <f>VLOOKUP(RIGHT($A18,LEN($A18)-4),[1]Sheet1!$2:$65536,MATCH(AW$3,[1]Sheet1!$2:$2,0),FALSE)</f>
        <v>0.66700000000000004</v>
      </c>
      <c r="AX18" s="118">
        <f>VLOOKUP(RIGHT($A18,LEN($A18)-4),[1]Sheet1!$2:$65536,MATCH(AX$3,[1]Sheet1!$2:$2,0),FALSE)</f>
        <v>0.61888500000000002</v>
      </c>
      <c r="AY18" s="118">
        <f>VLOOKUP(RIGHT($A18,LEN($A18)-4),[1]Sheet1!$2:$65536,MATCH(AY$3,[1]Sheet1!$2:$2,0),FALSE)</f>
        <v>0.6580649999999999</v>
      </c>
      <c r="AZ18" s="520">
        <f>VLOOKUP(RIGHT($A18,LEN($A18)-4),[1]Sheet1!$2:$65536,MATCH(AZ$3,[1]Sheet1!$2:$2,0),FALSE)</f>
        <v>0.66734500000000008</v>
      </c>
      <c r="BA18" s="118">
        <f>VLOOKUP(RIGHT($A18,LEN($A18)-4),[1]Sheet1!$2:$65536,MATCH(BA$3,[1]Sheet1!$2:$2,0),FALSE)</f>
        <v>0.68</v>
      </c>
      <c r="BB18" s="118">
        <f>VLOOKUP(RIGHT($A18,LEN($A18)-4),[1]Sheet1!$2:$65536,MATCH(BB$3,[1]Sheet1!$2:$2,0),FALSE)</f>
        <v>0.65</v>
      </c>
      <c r="BC18" s="118">
        <f>VLOOKUP(RIGHT($A18,LEN($A18)-4),[1]Sheet1!$2:$65536,MATCH(BC$3,[1]Sheet1!$2:$2,0),FALSE)</f>
        <v>0.66499999999999981</v>
      </c>
      <c r="BD18" s="118">
        <f>VLOOKUP(RIGHT($A18,LEN($A18)-4),[1]Sheet1!$2:$65536,MATCH(BD$3,[1]Sheet1!$2:$2,0),FALSE)</f>
        <v>0.68</v>
      </c>
      <c r="BE18" s="118">
        <f>VLOOKUP(RIGHT($A18,LEN($A18)-4),[1]Sheet1!$2:$65536,MATCH(BE$3,[1]Sheet1!$2:$2,0),FALSE)</f>
        <v>0.69499999999999973</v>
      </c>
      <c r="BF18" s="118">
        <f>VLOOKUP(RIGHT($A18,LEN($A18)-4),[1]Sheet1!$2:$65536,MATCH(BF$3,[1]Sheet1!$2:$2,0),FALSE)</f>
        <v>0.71</v>
      </c>
      <c r="BG18" s="118">
        <f>VLOOKUP(RIGHT($A18,LEN($A18)-4),[1]Sheet1!$2:$65536,MATCH(BG$3,[1]Sheet1!$2:$2,0),FALSE)</f>
        <v>0.73399999999999999</v>
      </c>
      <c r="BH18" s="118">
        <f>VLOOKUP(RIGHT($A18,LEN($A18)-4),[1]Sheet1!$2:$65536,MATCH(BH$3,[1]Sheet1!$2:$2,0),FALSE)</f>
        <v>0.75800000000000001</v>
      </c>
      <c r="BI18" s="118">
        <f>VLOOKUP(RIGHT($A18,LEN($A18)-4),[1]Sheet1!$2:$65536,MATCH(BI$3,[1]Sheet1!$2:$2,0),FALSE)</f>
        <v>0.78200000000000003</v>
      </c>
      <c r="BJ18" s="118">
        <f>VLOOKUP(RIGHT($A18,LEN($A18)-4),[1]Sheet1!$2:$65536,MATCH(BJ$3,[1]Sheet1!$2:$2,0),FALSE)</f>
        <v>0.80600000000000005</v>
      </c>
      <c r="BK18" s="118">
        <f>VLOOKUP(RIGHT($A18,LEN($A18)-4),[1]Sheet1!$2:$65536,MATCH(BK$3,[1]Sheet1!$2:$2,0),FALSE)</f>
        <v>0.80600000000000005</v>
      </c>
      <c r="BL18" s="118">
        <f>VLOOKUP(RIGHT($A18,LEN($A18)-4),[1]Sheet1!$2:$65536,MATCH(BL$3,[1]Sheet1!$2:$2,0),FALSE)</f>
        <v>0.80600000000000005</v>
      </c>
      <c r="BM18" s="118">
        <f>VLOOKUP(RIGHT($A18,LEN($A18)-4),[1]Sheet1!$2:$65536,MATCH(BM$3,[1]Sheet1!$2:$2,0),FALSE)</f>
        <v>0.80600000000000005</v>
      </c>
      <c r="BN18" s="118">
        <f>VLOOKUP(RIGHT($A18,LEN($A18)-4),[1]Sheet1!$2:$65536,MATCH(BN$3,[1]Sheet1!$2:$2,0),FALSE)</f>
        <v>0.80600000000000005</v>
      </c>
      <c r="BO18" s="118">
        <f>VLOOKUP(RIGHT($A18,LEN($A18)-4),[1]Sheet1!$2:$65536,MATCH(BO$3,[1]Sheet1!$2:$2,0),FALSE)</f>
        <v>0.80600000000000005</v>
      </c>
      <c r="BP18" s="118">
        <f>VLOOKUP(RIGHT($A18,LEN($A18)-4),[1]Sheet1!$2:$65536,MATCH(BP$3,[1]Sheet1!$2:$2,0),FALSE)</f>
        <v>0.80600000000000005</v>
      </c>
      <c r="BQ18" s="118">
        <f>VLOOKUP(RIGHT($A18,LEN($A18)-4),[1]Sheet1!$2:$65536,MATCH(BQ$3,[1]Sheet1!$2:$2,0),FALSE)</f>
        <v>0.80600000000000005</v>
      </c>
      <c r="BR18" s="38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118">
        <f>VLOOKUP(RIGHT($A18,LEN($A18)-4),[1]Sheet1!$2:$65536,MATCH(CT$3,[1]Sheet1!$2:$2,0),FALSE)</f>
        <v>0.70218999999999998</v>
      </c>
      <c r="CU18" s="118">
        <f>VLOOKUP(RIGHT($A18,LEN($A18)-4),[1]Sheet1!$2:$65536,MATCH(CU$3,[1]Sheet1!$2:$2,0),FALSE)</f>
        <v>0.69040000000000001</v>
      </c>
      <c r="CV18" s="118">
        <f>VLOOKUP(RIGHT($A18,LEN($A18)-4),[1]Sheet1!$2:$65536,MATCH(CV$3,[1]Sheet1!$2:$2,0),FALSE)</f>
        <v>0.74981500000000001</v>
      </c>
      <c r="CW18" s="118">
        <f>VLOOKUP(RIGHT($A18,LEN($A18)-4),[1]Sheet1!$2:$65536,MATCH(CW$3,[1]Sheet1!$2:$2,0),FALSE)</f>
        <v>0.69035000000000002</v>
      </c>
      <c r="CX18" s="118">
        <f>VLOOKUP(RIGHT($A18,LEN($A18)-4),[1]Sheet1!$2:$65536,MATCH(CX$3,[1]Sheet1!$2:$2,0),FALSE)</f>
        <v>0.66629000000000005</v>
      </c>
      <c r="CY18" s="118">
        <f>VLOOKUP(RIGHT($A18,LEN($A18)-4),[1]Sheet1!$2:$65536,MATCH(CY$3,[1]Sheet1!$2:$2,0),FALSE)</f>
        <v>0.66700000000000004</v>
      </c>
      <c r="CZ18" s="39">
        <f>AY18</f>
        <v>0.6580649999999999</v>
      </c>
      <c r="DA18" s="38">
        <f>BA18</f>
        <v>0.68</v>
      </c>
      <c r="DB18" s="38">
        <f>BC18</f>
        <v>0.66499999999999981</v>
      </c>
      <c r="DC18" s="38">
        <f>BE18</f>
        <v>0.69499999999999973</v>
      </c>
      <c r="DD18" s="38">
        <f>BG18</f>
        <v>0.73399999999999999</v>
      </c>
      <c r="DE18" s="38">
        <f>BI18</f>
        <v>0.78200000000000003</v>
      </c>
      <c r="DF18" s="38">
        <f>BK18</f>
        <v>0.80600000000000005</v>
      </c>
      <c r="DG18" s="38">
        <f>BM18</f>
        <v>0.80600000000000005</v>
      </c>
      <c r="DH18" s="38">
        <f>BO18</f>
        <v>0.80600000000000005</v>
      </c>
      <c r="DI18" s="38">
        <f>BQ18</f>
        <v>0.80600000000000005</v>
      </c>
    </row>
    <row r="19" spans="1:113" ht="12" hidden="1" outlineLevel="1">
      <c r="A19" s="1" t="s">
        <v>1116</v>
      </c>
      <c r="B19" s="19" t="s">
        <v>211</v>
      </c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118">
        <f>VLOOKUP(RIGHT($A19,LEN($A19)-4),[1]Sheet1!$2:$65536,MATCH(AP$3,[1]Sheet1!$2:$2,0),FALSE)</f>
        <v>1.07067</v>
      </c>
      <c r="AQ19" s="118">
        <f>VLOOKUP(RIGHT($A19,LEN($A19)-4),[1]Sheet1!$2:$65536,MATCH(AQ$3,[1]Sheet1!$2:$2,0),FALSE)</f>
        <v>1.0743149999999999</v>
      </c>
      <c r="AR19" s="118">
        <f>VLOOKUP(RIGHT($A19,LEN($A19)-4),[1]Sheet1!$2:$65536,MATCH(AR$3,[1]Sheet1!$2:$2,0),FALSE)</f>
        <v>1.0624</v>
      </c>
      <c r="AS19" s="118">
        <f>VLOOKUP(RIGHT($A19,LEN($A19)-4),[1]Sheet1!$2:$65536,MATCH(AS$3,[1]Sheet1!$2:$2,0),FALSE)</f>
        <v>1.10666</v>
      </c>
      <c r="AT19" s="118">
        <f>VLOOKUP(RIGHT($A19,LEN($A19)-4),[1]Sheet1!$2:$65536,MATCH(AT$3,[1]Sheet1!$2:$2,0),FALSE)</f>
        <v>1.0745499999999999</v>
      </c>
      <c r="AU19" s="118">
        <f>VLOOKUP(RIGHT($A19,LEN($A19)-4),[1]Sheet1!$2:$65536,MATCH(AU$3,[1]Sheet1!$2:$2,0),FALSE)</f>
        <v>1.0892550000000001</v>
      </c>
      <c r="AV19" s="118">
        <f>VLOOKUP(RIGHT($A19,LEN($A19)-4),[1]Sheet1!$2:$65536,MATCH(AV$3,[1]Sheet1!$2:$2,0),FALSE)</f>
        <v>1.077985</v>
      </c>
      <c r="AW19" s="118">
        <f>VLOOKUP(RIGHT($A19,LEN($A19)-4),[1]Sheet1!$2:$65536,MATCH(AW$3,[1]Sheet1!$2:$2,0),FALSE)</f>
        <v>1.0949</v>
      </c>
      <c r="AX19" s="118">
        <f>VLOOKUP(RIGHT($A19,LEN($A19)-4),[1]Sheet1!$2:$65536,MATCH(AX$3,[1]Sheet1!$2:$2,0),FALSE)</f>
        <v>1.1061000000000001</v>
      </c>
      <c r="AY19" s="118">
        <f>VLOOKUP(RIGHT($A19,LEN($A19)-4),[1]Sheet1!$2:$65536,MATCH(AY$3,[1]Sheet1!$2:$2,0),FALSE)</f>
        <v>1.0792999999999999</v>
      </c>
      <c r="AZ19" s="520">
        <f>VLOOKUP(RIGHT($A19,LEN($A19)-4),[1]Sheet1!$2:$65536,MATCH(AZ$3,[1]Sheet1!$2:$2,0),FALSE)</f>
        <v>1.1594</v>
      </c>
      <c r="BA19" s="118">
        <f>VLOOKUP(RIGHT($A19,LEN($A19)-4),[1]Sheet1!$2:$65536,MATCH(BA$3,[1]Sheet1!$2:$2,0),FALSE)</f>
        <v>1.0793650793650795</v>
      </c>
      <c r="BB19" s="118">
        <f>VLOOKUP(RIGHT($A19,LEN($A19)-4),[1]Sheet1!$2:$65536,MATCH(BB$3,[1]Sheet1!$2:$2,0),FALSE)</f>
        <v>1.1206896551724139</v>
      </c>
      <c r="BC19" s="118">
        <f>VLOOKUP(RIGHT($A19,LEN($A19)-4),[1]Sheet1!$2:$65536,MATCH(BC$3,[1]Sheet1!$2:$2,0),FALSE)</f>
        <v>1.1271186440677958</v>
      </c>
      <c r="BD19" s="118">
        <f>VLOOKUP(RIGHT($A19,LEN($A19)-4),[1]Sheet1!$2:$65536,MATCH(BD$3,[1]Sheet1!$2:$2,0),FALSE)</f>
        <v>1.1333333333333335</v>
      </c>
      <c r="BE19" s="118">
        <f>VLOOKUP(RIGHT($A19,LEN($A19)-4),[1]Sheet1!$2:$65536,MATCH(BE$3,[1]Sheet1!$2:$2,0),FALSE)</f>
        <v>1.1487603305785117</v>
      </c>
      <c r="BF19" s="118">
        <f>VLOOKUP(RIGHT($A19,LEN($A19)-4),[1]Sheet1!$2:$65536,MATCH(BF$3,[1]Sheet1!$2:$2,0),FALSE)</f>
        <v>1.1639344262295082</v>
      </c>
      <c r="BG19" s="118">
        <f>VLOOKUP(RIGHT($A19,LEN($A19)-4),[1]Sheet1!$2:$65536,MATCH(BG$3,[1]Sheet1!$2:$2,0),FALSE)</f>
        <v>1.1762820512820518</v>
      </c>
      <c r="BH19" s="118">
        <f>VLOOKUP(RIGHT($A19,LEN($A19)-4),[1]Sheet1!$2:$65536,MATCH(BH$3,[1]Sheet1!$2:$2,0),FALSE)</f>
        <v>1.1880877742946716</v>
      </c>
      <c r="BI19" s="118">
        <f>VLOOKUP(RIGHT($A19,LEN($A19)-4),[1]Sheet1!$2:$65536,MATCH(BI$3,[1]Sheet1!$2:$2,0),FALSE)</f>
        <v>1.199386503067486</v>
      </c>
      <c r="BJ19" s="118">
        <f>VLOOKUP(RIGHT($A19,LEN($A19)-4),[1]Sheet1!$2:$65536,MATCH(BJ$3,[1]Sheet1!$2:$2,0),FALSE)</f>
        <v>1.2102102102102119</v>
      </c>
      <c r="BK19" s="118">
        <f>VLOOKUP(RIGHT($A19,LEN($A19)-4),[1]Sheet1!$2:$65536,MATCH(BK$3,[1]Sheet1!$2:$2,0),FALSE)</f>
        <v>1.2102102102102119</v>
      </c>
      <c r="BL19" s="118">
        <f>VLOOKUP(RIGHT($A19,LEN($A19)-4),[1]Sheet1!$2:$65536,MATCH(BL$3,[1]Sheet1!$2:$2,0),FALSE)</f>
        <v>1.2102102102102119</v>
      </c>
      <c r="BM19" s="118">
        <f>VLOOKUP(RIGHT($A19,LEN($A19)-4),[1]Sheet1!$2:$65536,MATCH(BM$3,[1]Sheet1!$2:$2,0),FALSE)</f>
        <v>1.2102102102102119</v>
      </c>
      <c r="BN19" s="118">
        <f>VLOOKUP(RIGHT($A19,LEN($A19)-4),[1]Sheet1!$2:$65536,MATCH(BN$3,[1]Sheet1!$2:$2,0),FALSE)</f>
        <v>1.2102102102102119</v>
      </c>
      <c r="BO19" s="118">
        <f>VLOOKUP(RIGHT($A19,LEN($A19)-4),[1]Sheet1!$2:$65536,MATCH(BO$3,[1]Sheet1!$2:$2,0),FALSE)</f>
        <v>1.2102102102102119</v>
      </c>
      <c r="BP19" s="118">
        <f>VLOOKUP(RIGHT($A19,LEN($A19)-4),[1]Sheet1!$2:$65536,MATCH(BP$3,[1]Sheet1!$2:$2,0),FALSE)</f>
        <v>1.2102102102102119</v>
      </c>
      <c r="BQ19" s="118">
        <f>VLOOKUP(RIGHT($A19,LEN($A19)-4),[1]Sheet1!$2:$65536,MATCH(BQ$3,[1]Sheet1!$2:$2,0),FALSE)</f>
        <v>1.2102102102102119</v>
      </c>
      <c r="BR19" s="38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118">
        <f>VLOOKUP(RIGHT($A19,LEN($A19)-4),[1]Sheet1!$2:$65536,MATCH(CT$3,[1]Sheet1!$2:$2,0),FALSE)</f>
        <v>1.0453600000000001</v>
      </c>
      <c r="CU19" s="118">
        <f>VLOOKUP(RIGHT($A19,LEN($A19)-4),[1]Sheet1!$2:$65536,MATCH(CU$3,[1]Sheet1!$2:$2,0),FALSE)</f>
        <v>1.0695299999999999</v>
      </c>
      <c r="CV19" s="118">
        <f>VLOOKUP(RIGHT($A19,LEN($A19)-4),[1]Sheet1!$2:$65536,MATCH(CV$3,[1]Sheet1!$2:$2,0),FALSE)</f>
        <v>1.0743149999999999</v>
      </c>
      <c r="CW19" s="118">
        <f>VLOOKUP(RIGHT($A19,LEN($A19)-4),[1]Sheet1!$2:$65536,MATCH(CW$3,[1]Sheet1!$2:$2,0),FALSE)</f>
        <v>1.10666</v>
      </c>
      <c r="CX19" s="118">
        <f>VLOOKUP(RIGHT($A19,LEN($A19)-4),[1]Sheet1!$2:$65536,MATCH(CX$3,[1]Sheet1!$2:$2,0),FALSE)</f>
        <v>1.0892550000000001</v>
      </c>
      <c r="CY19" s="118">
        <f>VLOOKUP(RIGHT($A19,LEN($A19)-4),[1]Sheet1!$2:$65536,MATCH(CY$3,[1]Sheet1!$2:$2,0),FALSE)</f>
        <v>1.0949</v>
      </c>
      <c r="CZ19" s="39">
        <f>AY19</f>
        <v>1.0792999999999999</v>
      </c>
      <c r="DA19" s="38">
        <f>BA19</f>
        <v>1.0793650793650795</v>
      </c>
      <c r="DB19" s="38">
        <f>BC19</f>
        <v>1.1271186440677958</v>
      </c>
      <c r="DC19" s="38">
        <f>BE19</f>
        <v>1.1487603305785117</v>
      </c>
      <c r="DD19" s="38">
        <f>BG19</f>
        <v>1.1762820512820518</v>
      </c>
      <c r="DE19" s="38">
        <f>BI19</f>
        <v>1.199386503067486</v>
      </c>
      <c r="DF19" s="38">
        <f>BK19</f>
        <v>1.2102102102102119</v>
      </c>
      <c r="DG19" s="38">
        <f>BM19</f>
        <v>1.2102102102102119</v>
      </c>
      <c r="DH19" s="38">
        <f>BO19</f>
        <v>1.2102102102102119</v>
      </c>
      <c r="DI19" s="38">
        <f>BQ19</f>
        <v>1.2102102102102119</v>
      </c>
    </row>
    <row r="20" spans="1:113" ht="12" hidden="1" outlineLevel="1">
      <c r="A20" s="1" t="s">
        <v>1117</v>
      </c>
      <c r="B20" s="19" t="s">
        <v>212</v>
      </c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118">
        <f>VLOOKUP(RIGHT($A20,LEN($A20)-4),[1]Sheet1!$2:$65536,MATCH(AP$3,[1]Sheet1!$2:$2,0),FALSE)</f>
        <v>0.62980000000000003</v>
      </c>
      <c r="AQ20" s="118">
        <f>VLOOKUP(RIGHT($A20,LEN($A20)-4),[1]Sheet1!$2:$65536,MATCH(AQ$3,[1]Sheet1!$2:$2,0),FALSE)</f>
        <v>0.63229999999999997</v>
      </c>
      <c r="AR20" s="118">
        <f>VLOOKUP(RIGHT($A20,LEN($A20)-4),[1]Sheet1!$2:$65536,MATCH(AR$3,[1]Sheet1!$2:$2,0),FALSE)</f>
        <v>0.63934000000000002</v>
      </c>
      <c r="AS20" s="118">
        <f>VLOOKUP(RIGHT($A20,LEN($A20)-4),[1]Sheet1!$2:$65536,MATCH(AS$3,[1]Sheet1!$2:$2,0),FALSE)</f>
        <v>0.65869999999999995</v>
      </c>
      <c r="AT20" s="118">
        <f>VLOOKUP(RIGHT($A20,LEN($A20)-4),[1]Sheet1!$2:$65536,MATCH(AT$3,[1]Sheet1!$2:$2,0),FALSE)</f>
        <v>0.63680000000000003</v>
      </c>
      <c r="AU20" s="118">
        <f>VLOOKUP(RIGHT($A20,LEN($A20)-4),[1]Sheet1!$2:$65536,MATCH(AU$3,[1]Sheet1!$2:$2,0),FALSE)</f>
        <v>0.61070000000000002</v>
      </c>
      <c r="AV20" s="118">
        <f>VLOOKUP(RIGHT($A20,LEN($A20)-4),[1]Sheet1!$2:$65536,MATCH(AV$3,[1]Sheet1!$2:$2,0),FALSE)</f>
        <v>0.61714000000000002</v>
      </c>
      <c r="AW20" s="118">
        <f>VLOOKUP(RIGHT($A20,LEN($A20)-4),[1]Sheet1!$2:$65536,MATCH(AW$3,[1]Sheet1!$2:$2,0),FALSE)</f>
        <v>0.62260000000000004</v>
      </c>
      <c r="AX20" s="118">
        <f>VLOOKUP(RIGHT($A20,LEN($A20)-4),[1]Sheet1!$2:$65536,MATCH(AX$3,[1]Sheet1!$2:$2,0),FALSE)</f>
        <v>0.59771255405562906</v>
      </c>
      <c r="AY20" s="118">
        <f>VLOOKUP(RIGHT($A20,LEN($A20)-4),[1]Sheet1!$2:$65536,MATCH(AY$3,[1]Sheet1!$2:$2,0),FALSE)</f>
        <v>0.55828183183434665</v>
      </c>
      <c r="AZ20" s="520">
        <f>VLOOKUP(RIGHT($A20,LEN($A20)-4),[1]Sheet1!$2:$65536,MATCH(AZ$3,[1]Sheet1!$2:$2,0),FALSE)</f>
        <v>0.5681576069201596</v>
      </c>
      <c r="BA20" s="118">
        <f>VLOOKUP(RIGHT($A20,LEN($A20)-4),[1]Sheet1!$2:$65536,MATCH(BA$3,[1]Sheet1!$2:$2,0),FALSE)</f>
        <v>0.54400000000000004</v>
      </c>
      <c r="BB20" s="118">
        <f>VLOOKUP(RIGHT($A20,LEN($A20)-4),[1]Sheet1!$2:$65536,MATCH(BB$3,[1]Sheet1!$2:$2,0),FALSE)</f>
        <v>0.52</v>
      </c>
      <c r="BC20" s="118">
        <f>VLOOKUP(RIGHT($A20,LEN($A20)-4),[1]Sheet1!$2:$65536,MATCH(BC$3,[1]Sheet1!$2:$2,0),FALSE)</f>
        <v>0.53199999999999981</v>
      </c>
      <c r="BD20" s="118">
        <f>VLOOKUP(RIGHT($A20,LEN($A20)-4),[1]Sheet1!$2:$65536,MATCH(BD$3,[1]Sheet1!$2:$2,0),FALSE)</f>
        <v>0.54400000000000004</v>
      </c>
      <c r="BE20" s="118">
        <f>VLOOKUP(RIGHT($A20,LEN($A20)-4),[1]Sheet1!$2:$65536,MATCH(BE$3,[1]Sheet1!$2:$2,0),FALSE)</f>
        <v>0.55599999999999983</v>
      </c>
      <c r="BF20" s="118">
        <f>VLOOKUP(RIGHT($A20,LEN($A20)-4),[1]Sheet1!$2:$65536,MATCH(BF$3,[1]Sheet1!$2:$2,0),FALSE)</f>
        <v>0.56799999999999995</v>
      </c>
      <c r="BG20" s="118">
        <f>VLOOKUP(RIGHT($A20,LEN($A20)-4),[1]Sheet1!$2:$65536,MATCH(BG$3,[1]Sheet1!$2:$2,0),FALSE)</f>
        <v>0.59193548387096784</v>
      </c>
      <c r="BH20" s="118">
        <f>VLOOKUP(RIGHT($A20,LEN($A20)-4),[1]Sheet1!$2:$65536,MATCH(BH$3,[1]Sheet1!$2:$2,0),FALSE)</f>
        <v>0.6162601626016263</v>
      </c>
      <c r="BI20" s="118">
        <f>VLOOKUP(RIGHT($A20,LEN($A20)-4),[1]Sheet1!$2:$65536,MATCH(BI$3,[1]Sheet1!$2:$2,0),FALSE)</f>
        <v>0.64098360655737741</v>
      </c>
      <c r="BJ20" s="118">
        <f>VLOOKUP(RIGHT($A20,LEN($A20)-4),[1]Sheet1!$2:$65536,MATCH(BJ$3,[1]Sheet1!$2:$2,0),FALSE)</f>
        <v>0.66611570247933938</v>
      </c>
      <c r="BK20" s="118">
        <f>VLOOKUP(RIGHT($A20,LEN($A20)-4),[1]Sheet1!$2:$65536,MATCH(BK$3,[1]Sheet1!$2:$2,0),FALSE)</f>
        <v>0.66611570247933938</v>
      </c>
      <c r="BL20" s="118">
        <f>VLOOKUP(RIGHT($A20,LEN($A20)-4),[1]Sheet1!$2:$65536,MATCH(BL$3,[1]Sheet1!$2:$2,0),FALSE)</f>
        <v>0.66611570247933938</v>
      </c>
      <c r="BM20" s="118">
        <f>VLOOKUP(RIGHT($A20,LEN($A20)-4),[1]Sheet1!$2:$65536,MATCH(BM$3,[1]Sheet1!$2:$2,0),FALSE)</f>
        <v>0.66611570247933938</v>
      </c>
      <c r="BN20" s="118">
        <f>VLOOKUP(RIGHT($A20,LEN($A20)-4),[1]Sheet1!$2:$65536,MATCH(BN$3,[1]Sheet1!$2:$2,0),FALSE)</f>
        <v>0.66611570247933938</v>
      </c>
      <c r="BO20" s="118">
        <f>VLOOKUP(RIGHT($A20,LEN($A20)-4),[1]Sheet1!$2:$65536,MATCH(BO$3,[1]Sheet1!$2:$2,0),FALSE)</f>
        <v>0.66611570247933938</v>
      </c>
      <c r="BP20" s="118">
        <f>VLOOKUP(RIGHT($A20,LEN($A20)-4),[1]Sheet1!$2:$65536,MATCH(BP$3,[1]Sheet1!$2:$2,0),FALSE)</f>
        <v>0.66611570247933938</v>
      </c>
      <c r="BQ20" s="118">
        <f>VLOOKUP(RIGHT($A20,LEN($A20)-4),[1]Sheet1!$2:$65536,MATCH(BQ$3,[1]Sheet1!$2:$2,0),FALSE)</f>
        <v>0.66611570247933938</v>
      </c>
      <c r="BR20" s="38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118">
        <f>VLOOKUP(RIGHT($A20,LEN($A20)-4),[1]Sheet1!$2:$65536,MATCH(CT$3,[1]Sheet1!$2:$2,0),FALSE)</f>
        <v>0.61765000000000003</v>
      </c>
      <c r="CU20" s="118">
        <f>VLOOKUP(RIGHT($A20,LEN($A20)-4),[1]Sheet1!$2:$65536,MATCH(CU$3,[1]Sheet1!$2:$2,0),FALSE)</f>
        <v>0.61461999999999994</v>
      </c>
      <c r="CV20" s="118">
        <f>VLOOKUP(RIGHT($A20,LEN($A20)-4),[1]Sheet1!$2:$65536,MATCH(CV$3,[1]Sheet1!$2:$2,0),FALSE)</f>
        <v>0.63229999999999997</v>
      </c>
      <c r="CW20" s="118">
        <f>VLOOKUP(RIGHT($A20,LEN($A20)-4),[1]Sheet1!$2:$65536,MATCH(CW$3,[1]Sheet1!$2:$2,0),FALSE)</f>
        <v>0.65869999999999995</v>
      </c>
      <c r="CX20" s="118">
        <f>VLOOKUP(RIGHT($A20,LEN($A20)-4),[1]Sheet1!$2:$65536,MATCH(CX$3,[1]Sheet1!$2:$2,0),FALSE)</f>
        <v>0.61070000000000002</v>
      </c>
      <c r="CY20" s="118">
        <f>VLOOKUP(RIGHT($A20,LEN($A20)-4),[1]Sheet1!$2:$65536,MATCH(CY$3,[1]Sheet1!$2:$2,0),FALSE)</f>
        <v>0.62260000000000004</v>
      </c>
      <c r="CZ20" s="39">
        <f>AY20</f>
        <v>0.55828183183434665</v>
      </c>
      <c r="DA20" s="38">
        <f>BA20</f>
        <v>0.54400000000000004</v>
      </c>
      <c r="DB20" s="38">
        <f>BC20</f>
        <v>0.53199999999999981</v>
      </c>
      <c r="DC20" s="38">
        <f>BE20</f>
        <v>0.55599999999999983</v>
      </c>
      <c r="DD20" s="38">
        <f>BG20</f>
        <v>0.59193548387096784</v>
      </c>
      <c r="DE20" s="38">
        <f>BI20</f>
        <v>0.64098360655737741</v>
      </c>
      <c r="DF20" s="38">
        <f>BK20</f>
        <v>0.66611570247933938</v>
      </c>
      <c r="DG20" s="38">
        <f>BM20</f>
        <v>0.66611570247933938</v>
      </c>
      <c r="DH20" s="38">
        <f>BO20</f>
        <v>0.66611570247933938</v>
      </c>
      <c r="DI20" s="38">
        <f>BQ20</f>
        <v>0.66611570247933938</v>
      </c>
    </row>
    <row r="21" spans="1:113" ht="12" hidden="1" outlineLevel="1"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9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9"/>
      <c r="DA21" s="38"/>
      <c r="DB21" s="19"/>
      <c r="DC21" s="19"/>
      <c r="DD21" s="19"/>
      <c r="DE21" s="19"/>
      <c r="DF21" s="19"/>
      <c r="DG21" s="19"/>
      <c r="DH21" s="19"/>
      <c r="DI21" s="19"/>
    </row>
    <row r="22" spans="1:113" ht="12" hidden="1" outlineLevel="1">
      <c r="B22" s="24" t="s">
        <v>214</v>
      </c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9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9"/>
      <c r="DA22" s="38"/>
      <c r="DB22" s="19"/>
      <c r="DC22" s="19"/>
      <c r="DD22" s="19"/>
      <c r="DE22" s="19"/>
      <c r="DF22" s="19"/>
      <c r="DG22" s="19"/>
      <c r="DH22" s="19"/>
      <c r="DI22" s="19"/>
    </row>
    <row r="23" spans="1:113" ht="12" hidden="1" outlineLevel="1">
      <c r="A23" s="1" t="s">
        <v>568</v>
      </c>
      <c r="B23" s="19" t="s">
        <v>209</v>
      </c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615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>
        <f t="shared" ref="AP23:BI26" si="56">AVERAGE(AO17:AP17)</f>
        <v>0.56304500000000002</v>
      </c>
      <c r="AQ23" s="38">
        <f t="shared" si="56"/>
        <v>0.55259750000000007</v>
      </c>
      <c r="AR23" s="38">
        <f t="shared" si="56"/>
        <v>0.53967500000000002</v>
      </c>
      <c r="AS23" s="38">
        <f t="shared" si="56"/>
        <v>0.55200000000000005</v>
      </c>
      <c r="AT23" s="38">
        <f t="shared" si="56"/>
        <v>0.56509999999999994</v>
      </c>
      <c r="AU23" s="38">
        <f t="shared" si="56"/>
        <v>0.54410000000000003</v>
      </c>
      <c r="AV23" s="38">
        <f t="shared" si="56"/>
        <v>0.5298750000000001</v>
      </c>
      <c r="AW23" s="38">
        <f t="shared" si="56"/>
        <v>0.53117499999999995</v>
      </c>
      <c r="AX23" s="38">
        <f t="shared" si="56"/>
        <v>0.51095729841730597</v>
      </c>
      <c r="AY23" s="38">
        <f t="shared" si="56"/>
        <v>0.48684597258150086</v>
      </c>
      <c r="AZ23" s="39">
        <f t="shared" si="56"/>
        <v>0.48722866505104323</v>
      </c>
      <c r="BA23" s="38">
        <f t="shared" si="56"/>
        <v>0.48375110199795945</v>
      </c>
      <c r="BB23" s="38">
        <f t="shared" si="56"/>
        <v>0.47508169934640521</v>
      </c>
      <c r="BC23" s="38">
        <f t="shared" si="56"/>
        <v>0.48526688453159039</v>
      </c>
      <c r="BD23" s="38">
        <f t="shared" si="56"/>
        <v>0.50002763957987839</v>
      </c>
      <c r="BE23" s="38">
        <f t="shared" si="56"/>
        <v>0.5140309687517467</v>
      </c>
      <c r="BF23" s="38">
        <f t="shared" si="56"/>
        <v>0.52721691870124721</v>
      </c>
      <c r="BG23" s="38">
        <f t="shared" si="56"/>
        <v>0.54621714102608099</v>
      </c>
      <c r="BH23" s="38">
        <f t="shared" si="56"/>
        <v>0.57128752113660375</v>
      </c>
      <c r="BI23" s="38">
        <f t="shared" si="56"/>
        <v>0.5969798730315925</v>
      </c>
      <c r="BJ23" s="38">
        <f t="shared" ref="BJ23:BJ26" si="57">AVERAGE(BI17:BJ17)</f>
        <v>0.62331763412716534</v>
      </c>
      <c r="BK23" s="38">
        <f t="shared" ref="BK23:BK26" si="58">AVERAGE(BJ17:BK17)</f>
        <v>0.6366508688783562</v>
      </c>
      <c r="BL23" s="38">
        <f t="shared" ref="BL23:BL26" si="59">AVERAGE(BK17:BL17)</f>
        <v>0.6366508688783562</v>
      </c>
      <c r="BM23" s="38">
        <f t="shared" ref="BM23:BM26" si="60">AVERAGE(BL17:BM17)</f>
        <v>0.6366508688783562</v>
      </c>
      <c r="BN23" s="38">
        <f t="shared" ref="BN23:BN26" si="61">AVERAGE(BM17:BN17)</f>
        <v>0.6366508688783562</v>
      </c>
      <c r="BO23" s="38">
        <f t="shared" ref="BO23:BO26" si="62">AVERAGE(BN17:BO17)</f>
        <v>0.6366508688783562</v>
      </c>
      <c r="BP23" s="38">
        <f t="shared" ref="BP23:BP26" si="63">AVERAGE(BO17:BP17)</f>
        <v>0.6366508688783562</v>
      </c>
      <c r="BQ23" s="38">
        <f t="shared" ref="BQ23:BQ26" si="64">AVERAGE(BP17:BQ17)</f>
        <v>0.6366508688783562</v>
      </c>
      <c r="BR23" s="38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>
        <f t="shared" ref="CT23:CY26" si="65">AVERAGE(CS17:CT17)</f>
        <v>0.55320000000000003</v>
      </c>
      <c r="CU23" s="38">
        <f t="shared" si="65"/>
        <v>0.55495500000000009</v>
      </c>
      <c r="CV23" s="38">
        <f t="shared" si="65"/>
        <v>0.54943000000000008</v>
      </c>
      <c r="CW23" s="38">
        <f t="shared" si="65"/>
        <v>0.55447500000000005</v>
      </c>
      <c r="CX23" s="38">
        <f t="shared" si="65"/>
        <v>0.54580000000000006</v>
      </c>
      <c r="CY23" s="38">
        <f t="shared" si="65"/>
        <v>0.52610000000000001</v>
      </c>
      <c r="CZ23" s="39">
        <f>SUMPRODUCT(AX23:AY23,AX$5:AY$5)/SUM(AX$5:AY$5)</f>
        <v>0.49880254785898231</v>
      </c>
      <c r="DA23" s="38">
        <f>SUMPRODUCT(AZ23:BA23,AZ$5:BA$5)/SUM(AZ$5:BA$5)</f>
        <v>0.48547559216948866</v>
      </c>
      <c r="DB23" s="38">
        <f>SUMPRODUCT(BB23:BC23,BB$5:BC$5)/SUM(BB$5:BC$5)</f>
        <v>0.48021614886441638</v>
      </c>
      <c r="DC23" s="38">
        <f>SUMPRODUCT(BD23:BE23,BD$5:BE$5)/SUM(BD$5:BE$5)</f>
        <v>0.50706756462803071</v>
      </c>
      <c r="DD23" s="38">
        <f>SUMPRODUCT(BF23:BG23,BF$5:BG$5)/SUM(BF$5:BG$5)</f>
        <v>0.53679511296910865</v>
      </c>
      <c r="DE23" s="38">
        <f>SUMPRODUCT(BH23:BI23,BH$5:BI$5)/SUM(BH$5:BI$5)</f>
        <v>0.5842392820918858</v>
      </c>
      <c r="DF23" s="38">
        <f>SUMPRODUCT(BJ23:BK23,BJ$5:BK$5)/SUM(BJ$5:BK$5)</f>
        <v>0.6300390456181767</v>
      </c>
      <c r="DG23" s="38">
        <f>SUMPRODUCT(BL23:BM23,BL$5:BM$5)/SUM(BL$5:BM$5)</f>
        <v>0.63665086887835631</v>
      </c>
      <c r="DH23" s="38">
        <f>SUMPRODUCT(BN23:BO23,BN$5:BO$5)/SUM(BN$5:BO$5)</f>
        <v>0.6366508688783562</v>
      </c>
      <c r="DI23" s="38">
        <f>SUMPRODUCT(BP23:BQ23,BP$5:BQ$5)/SUM(BP$5:BQ$5)</f>
        <v>0.6366508688783562</v>
      </c>
    </row>
    <row r="24" spans="1:113" ht="12" hidden="1" outlineLevel="1">
      <c r="A24" s="1" t="s">
        <v>702</v>
      </c>
      <c r="B24" s="19" t="s">
        <v>210</v>
      </c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>
        <f t="shared" si="56"/>
        <v>0.76947500000000002</v>
      </c>
      <c r="AQ24" s="38">
        <f t="shared" si="56"/>
        <v>0.75964500000000001</v>
      </c>
      <c r="AR24" s="38">
        <f t="shared" si="56"/>
        <v>0.73815750000000002</v>
      </c>
      <c r="AS24" s="38">
        <f t="shared" si="56"/>
        <v>0.70842500000000008</v>
      </c>
      <c r="AT24" s="38">
        <f t="shared" si="56"/>
        <v>0.68595249999999997</v>
      </c>
      <c r="AU24" s="38">
        <f t="shared" si="56"/>
        <v>0.67392249999999998</v>
      </c>
      <c r="AV24" s="38">
        <f t="shared" si="56"/>
        <v>0.67368500000000009</v>
      </c>
      <c r="AW24" s="38">
        <f t="shared" si="56"/>
        <v>0.67403999999999997</v>
      </c>
      <c r="AX24" s="38">
        <f t="shared" si="56"/>
        <v>0.64294249999999997</v>
      </c>
      <c r="AY24" s="38">
        <f t="shared" si="56"/>
        <v>0.6384749999999999</v>
      </c>
      <c r="AZ24" s="39">
        <f t="shared" si="56"/>
        <v>0.66270499999999999</v>
      </c>
      <c r="BA24" s="38">
        <f t="shared" si="56"/>
        <v>0.67367250000000012</v>
      </c>
      <c r="BB24" s="38">
        <f t="shared" si="56"/>
        <v>0.66500000000000004</v>
      </c>
      <c r="BC24" s="38">
        <f t="shared" si="56"/>
        <v>0.65749999999999997</v>
      </c>
      <c r="BD24" s="38">
        <f t="shared" si="56"/>
        <v>0.67249999999999988</v>
      </c>
      <c r="BE24" s="38">
        <f t="shared" si="56"/>
        <v>0.68749999999999989</v>
      </c>
      <c r="BF24" s="38">
        <f t="shared" si="56"/>
        <v>0.7024999999999999</v>
      </c>
      <c r="BG24" s="38">
        <f t="shared" si="56"/>
        <v>0.72199999999999998</v>
      </c>
      <c r="BH24" s="38">
        <f t="shared" si="56"/>
        <v>0.746</v>
      </c>
      <c r="BI24" s="38">
        <f t="shared" si="56"/>
        <v>0.77</v>
      </c>
      <c r="BJ24" s="38">
        <f t="shared" si="57"/>
        <v>0.79400000000000004</v>
      </c>
      <c r="BK24" s="38">
        <f t="shared" si="58"/>
        <v>0.80600000000000005</v>
      </c>
      <c r="BL24" s="38">
        <f t="shared" si="59"/>
        <v>0.80600000000000005</v>
      </c>
      <c r="BM24" s="38">
        <f t="shared" si="60"/>
        <v>0.80600000000000005</v>
      </c>
      <c r="BN24" s="38">
        <f t="shared" si="61"/>
        <v>0.80600000000000005</v>
      </c>
      <c r="BO24" s="38">
        <f t="shared" si="62"/>
        <v>0.80600000000000005</v>
      </c>
      <c r="BP24" s="38">
        <f t="shared" si="63"/>
        <v>0.80600000000000005</v>
      </c>
      <c r="BQ24" s="38">
        <f t="shared" si="64"/>
        <v>0.80600000000000005</v>
      </c>
      <c r="BR24" s="38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>
        <f t="shared" si="65"/>
        <v>0.70218999999999998</v>
      </c>
      <c r="CU24" s="38">
        <f t="shared" si="65"/>
        <v>0.696295</v>
      </c>
      <c r="CV24" s="38">
        <f t="shared" si="65"/>
        <v>0.72010750000000001</v>
      </c>
      <c r="CW24" s="38">
        <f t="shared" si="65"/>
        <v>0.72008249999999996</v>
      </c>
      <c r="CX24" s="38">
        <f t="shared" si="65"/>
        <v>0.67832000000000003</v>
      </c>
      <c r="CY24" s="38">
        <f t="shared" si="65"/>
        <v>0.66664500000000004</v>
      </c>
      <c r="CZ24" s="39">
        <f>SUMPRODUCT(AX24:AY24,AX$5:AY$5)/SUM(AX$5:AY$5)</f>
        <v>0.64069039041095888</v>
      </c>
      <c r="DA24" s="38">
        <f>SUMPRODUCT(AZ24:BA24,AZ$5:BA$5)/SUM(AZ$5:BA$5)</f>
        <v>0.66823382191780822</v>
      </c>
      <c r="DB24" s="38">
        <f>SUMPRODUCT(BB24:BC24,BB$5:BC$5)/SUM(BB$5:BC$5)</f>
        <v>0.66121917808219177</v>
      </c>
      <c r="DC24" s="38">
        <f>SUMPRODUCT(BD24:BE24,BD$5:BE$5)/SUM(BD$5:BE$5)</f>
        <v>0.68004098360655729</v>
      </c>
      <c r="DD24" s="38">
        <f>SUMPRODUCT(BF24:BG24,BF$5:BG$5)/SUM(BF$5:BG$5)</f>
        <v>0.71233013698630132</v>
      </c>
      <c r="DE24" s="38">
        <f>SUMPRODUCT(BH24:BI24,BH$5:BI$5)/SUM(BH$5:BI$5)</f>
        <v>0.75809863013698631</v>
      </c>
      <c r="DF24" s="38">
        <f>SUMPRODUCT(BJ24:BK24,BJ$5:BK$5)/SUM(BJ$5:BK$5)</f>
        <v>0.80004931506849319</v>
      </c>
      <c r="DG24" s="38">
        <f>SUMPRODUCT(BL24:BM24,BL$5:BM$5)/SUM(BL$5:BM$5)</f>
        <v>0.80600000000000005</v>
      </c>
      <c r="DH24" s="38">
        <f>SUMPRODUCT(BN24:BO24,BN$5:BO$5)/SUM(BN$5:BO$5)</f>
        <v>0.80600000000000016</v>
      </c>
      <c r="DI24" s="38">
        <f>SUMPRODUCT(BP24:BQ24,BP$5:BQ$5)/SUM(BP$5:BQ$5)</f>
        <v>0.80600000000000016</v>
      </c>
    </row>
    <row r="25" spans="1:113" ht="12" hidden="1" outlineLevel="1">
      <c r="A25" s="1" t="s">
        <v>2416</v>
      </c>
      <c r="B25" s="19" t="s">
        <v>211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>
        <f t="shared" si="56"/>
        <v>1.07067</v>
      </c>
      <c r="AQ25" s="38">
        <f t="shared" si="56"/>
        <v>1.0724925000000001</v>
      </c>
      <c r="AR25" s="38">
        <f t="shared" si="56"/>
        <v>1.0683574999999998</v>
      </c>
      <c r="AS25" s="38">
        <f t="shared" si="56"/>
        <v>1.08453</v>
      </c>
      <c r="AT25" s="38">
        <f t="shared" si="56"/>
        <v>1.090605</v>
      </c>
      <c r="AU25" s="38">
        <f t="shared" si="56"/>
        <v>1.0819025</v>
      </c>
      <c r="AV25" s="38">
        <f t="shared" si="56"/>
        <v>1.08362</v>
      </c>
      <c r="AW25" s="38">
        <f t="shared" si="56"/>
        <v>1.0864425</v>
      </c>
      <c r="AX25" s="38">
        <f t="shared" si="56"/>
        <v>1.1005</v>
      </c>
      <c r="AY25" s="38">
        <f t="shared" si="56"/>
        <v>1.0927</v>
      </c>
      <c r="AZ25" s="39">
        <f t="shared" si="56"/>
        <v>1.1193499999999998</v>
      </c>
      <c r="BA25" s="38">
        <f t="shared" si="56"/>
        <v>1.1193825396825399</v>
      </c>
      <c r="BB25" s="38">
        <f t="shared" si="56"/>
        <v>1.1000273672687468</v>
      </c>
      <c r="BC25" s="38">
        <f t="shared" si="56"/>
        <v>1.1239041496201048</v>
      </c>
      <c r="BD25" s="38">
        <f t="shared" si="56"/>
        <v>1.1302259887005648</v>
      </c>
      <c r="BE25" s="38">
        <f t="shared" si="56"/>
        <v>1.1410468319559226</v>
      </c>
      <c r="BF25" s="38">
        <f t="shared" si="56"/>
        <v>1.1563473784040099</v>
      </c>
      <c r="BG25" s="38">
        <f t="shared" si="56"/>
        <v>1.17010823875578</v>
      </c>
      <c r="BH25" s="38">
        <f t="shared" si="56"/>
        <v>1.1821849127883617</v>
      </c>
      <c r="BI25" s="38">
        <f t="shared" si="56"/>
        <v>1.1937371386810787</v>
      </c>
      <c r="BJ25" s="38">
        <f t="shared" si="57"/>
        <v>1.2047983566388489</v>
      </c>
      <c r="BK25" s="38">
        <f t="shared" si="58"/>
        <v>1.2102102102102119</v>
      </c>
      <c r="BL25" s="38">
        <f t="shared" si="59"/>
        <v>1.2102102102102119</v>
      </c>
      <c r="BM25" s="38">
        <f t="shared" si="60"/>
        <v>1.2102102102102119</v>
      </c>
      <c r="BN25" s="38">
        <f t="shared" si="61"/>
        <v>1.2102102102102119</v>
      </c>
      <c r="BO25" s="38">
        <f t="shared" si="62"/>
        <v>1.2102102102102119</v>
      </c>
      <c r="BP25" s="38">
        <f t="shared" si="63"/>
        <v>1.2102102102102119</v>
      </c>
      <c r="BQ25" s="38">
        <f t="shared" si="64"/>
        <v>1.2102102102102119</v>
      </c>
      <c r="BR25" s="38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>
        <f t="shared" si="65"/>
        <v>1.0453600000000001</v>
      </c>
      <c r="CU25" s="38">
        <f t="shared" si="65"/>
        <v>1.057445</v>
      </c>
      <c r="CV25" s="38">
        <f t="shared" si="65"/>
        <v>1.0719224999999999</v>
      </c>
      <c r="CW25" s="38">
        <f t="shared" si="65"/>
        <v>1.0904875000000001</v>
      </c>
      <c r="CX25" s="38">
        <f t="shared" si="65"/>
        <v>1.0979575000000001</v>
      </c>
      <c r="CY25" s="38">
        <f t="shared" si="65"/>
        <v>1.0920775</v>
      </c>
      <c r="CZ25" s="39">
        <f>SUMPRODUCT(AX25:AY25,AX$5:AY$5)/SUM(AX$5:AY$5)</f>
        <v>1.0965679452054795</v>
      </c>
      <c r="DA25" s="38">
        <f>SUMPRODUCT(AZ25:BA25,AZ$5:BA$5)/SUM(AZ$5:BA$5)</f>
        <v>1.1193664035659927</v>
      </c>
      <c r="DB25" s="38">
        <f>SUMPRODUCT(BB25:BC25,BB$5:BC$5)/SUM(BB$5:BC$5)</f>
        <v>1.1120638822075135</v>
      </c>
      <c r="DC25" s="38">
        <f>SUMPRODUCT(BD25:BE25,BD$5:BE$5)/SUM(BD$5:BE$5)</f>
        <v>1.1356659754737504</v>
      </c>
      <c r="DD25" s="38">
        <f>SUMPRODUCT(BF25:BG25,BF$5:BG$5)/SUM(BF$5:BG$5)</f>
        <v>1.1632843600607927</v>
      </c>
      <c r="DE25" s="38">
        <f>SUMPRODUCT(BH25:BI25,BH$5:BI$5)/SUM(BH$5:BI$5)</f>
        <v>1.1880085006356493</v>
      </c>
      <c r="DF25" s="38">
        <f>SUMPRODUCT(BJ25:BK25,BJ$5:BK$5)/SUM(BJ$5:BK$5)</f>
        <v>1.2075265239186592</v>
      </c>
      <c r="DG25" s="38">
        <f>SUMPRODUCT(BL25:BM25,BL$5:BM$5)/SUM(BL$5:BM$5)</f>
        <v>1.2102102102102119</v>
      </c>
      <c r="DH25" s="38">
        <f>SUMPRODUCT(BN25:BO25,BN$5:BO$5)/SUM(BN$5:BO$5)</f>
        <v>1.2102102102102119</v>
      </c>
      <c r="DI25" s="38">
        <f>SUMPRODUCT(BP25:BQ25,BP$5:BQ$5)/SUM(BP$5:BQ$5)</f>
        <v>1.2102102102102119</v>
      </c>
    </row>
    <row r="26" spans="1:113" ht="12" hidden="1" outlineLevel="1">
      <c r="A26" s="1" t="s">
        <v>1118</v>
      </c>
      <c r="B26" s="19" t="s">
        <v>212</v>
      </c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>
        <f t="shared" si="56"/>
        <v>0.62980000000000003</v>
      </c>
      <c r="AQ26" s="38">
        <f t="shared" si="56"/>
        <v>0.63105</v>
      </c>
      <c r="AR26" s="38">
        <f t="shared" si="56"/>
        <v>0.63582000000000005</v>
      </c>
      <c r="AS26" s="38">
        <f t="shared" si="56"/>
        <v>0.64901999999999993</v>
      </c>
      <c r="AT26" s="38">
        <f t="shared" si="56"/>
        <v>0.64775000000000005</v>
      </c>
      <c r="AU26" s="38">
        <f t="shared" si="56"/>
        <v>0.62375000000000003</v>
      </c>
      <c r="AV26" s="38">
        <f t="shared" si="56"/>
        <v>0.61392000000000002</v>
      </c>
      <c r="AW26" s="38">
        <f t="shared" si="56"/>
        <v>0.61987000000000003</v>
      </c>
      <c r="AX26" s="38">
        <f t="shared" si="56"/>
        <v>0.61015627702781461</v>
      </c>
      <c r="AY26" s="38">
        <f t="shared" si="56"/>
        <v>0.57799719294498786</v>
      </c>
      <c r="AZ26" s="39">
        <f t="shared" si="56"/>
        <v>0.56321971937725313</v>
      </c>
      <c r="BA26" s="38">
        <f t="shared" si="56"/>
        <v>0.55607880346007987</v>
      </c>
      <c r="BB26" s="38">
        <f t="shared" si="56"/>
        <v>0.53200000000000003</v>
      </c>
      <c r="BC26" s="38">
        <f t="shared" si="56"/>
        <v>0.52599999999999991</v>
      </c>
      <c r="BD26" s="38">
        <f t="shared" si="56"/>
        <v>0.53799999999999992</v>
      </c>
      <c r="BE26" s="38">
        <f t="shared" si="56"/>
        <v>0.54999999999999993</v>
      </c>
      <c r="BF26" s="38">
        <f t="shared" si="56"/>
        <v>0.56199999999999983</v>
      </c>
      <c r="BG26" s="38">
        <f t="shared" si="56"/>
        <v>0.57996774193548384</v>
      </c>
      <c r="BH26" s="38">
        <f t="shared" si="56"/>
        <v>0.60409782323629702</v>
      </c>
      <c r="BI26" s="38">
        <f t="shared" si="56"/>
        <v>0.62862188457950186</v>
      </c>
      <c r="BJ26" s="38">
        <f t="shared" si="57"/>
        <v>0.65354965451835834</v>
      </c>
      <c r="BK26" s="38">
        <f t="shared" si="58"/>
        <v>0.66611570247933938</v>
      </c>
      <c r="BL26" s="38">
        <f t="shared" si="59"/>
        <v>0.66611570247933938</v>
      </c>
      <c r="BM26" s="38">
        <f t="shared" si="60"/>
        <v>0.66611570247933938</v>
      </c>
      <c r="BN26" s="38">
        <f t="shared" si="61"/>
        <v>0.66611570247933938</v>
      </c>
      <c r="BO26" s="38">
        <f t="shared" si="62"/>
        <v>0.66611570247933938</v>
      </c>
      <c r="BP26" s="38">
        <f t="shared" si="63"/>
        <v>0.66611570247933938</v>
      </c>
      <c r="BQ26" s="38">
        <f t="shared" si="64"/>
        <v>0.66611570247933938</v>
      </c>
      <c r="BR26" s="38"/>
      <c r="BS26" s="37"/>
      <c r="BT26" s="38"/>
      <c r="BU26" s="38"/>
      <c r="BV26" s="38"/>
      <c r="BW26" s="38"/>
      <c r="BX26" s="38"/>
      <c r="BY26" s="38"/>
      <c r="BZ26" s="38"/>
      <c r="CA26" s="37"/>
      <c r="CB26" s="37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>
        <f t="shared" si="65"/>
        <v>0.61765000000000003</v>
      </c>
      <c r="CU26" s="38">
        <f t="shared" si="65"/>
        <v>0.61613499999999999</v>
      </c>
      <c r="CV26" s="38">
        <f t="shared" si="65"/>
        <v>0.6234599999999999</v>
      </c>
      <c r="CW26" s="38">
        <f t="shared" si="65"/>
        <v>0.64549999999999996</v>
      </c>
      <c r="CX26" s="38">
        <f t="shared" si="65"/>
        <v>0.63470000000000004</v>
      </c>
      <c r="CY26" s="38">
        <f t="shared" si="65"/>
        <v>0.61665000000000003</v>
      </c>
      <c r="CZ26" s="39">
        <f>SUMPRODUCT(AX26:AY26,AX$5:AY$5)/SUM(AX$5:AY$5)</f>
        <v>0.59394457436688275</v>
      </c>
      <c r="DA26" s="38">
        <f>SUMPRODUCT(AZ26:BA26,AZ$5:BA$5)/SUM(AZ$5:BA$5)</f>
        <v>0.55961991518887</v>
      </c>
      <c r="DB26" s="38">
        <f>SUMPRODUCT(BB26:BC26,BB$5:BC$5)/SUM(BB$5:BC$5)</f>
        <v>0.5289753424657534</v>
      </c>
      <c r="DC26" s="38">
        <f>SUMPRODUCT(BD26:BE26,BD$5:BE$5)/SUM(BD$5:BE$5)</f>
        <v>0.54403278688524581</v>
      </c>
      <c r="DD26" s="38">
        <f>SUMPRODUCT(BF26:BG26,BF$5:BG$5)/SUM(BF$5:BG$5)</f>
        <v>0.5710577110030931</v>
      </c>
      <c r="DE26" s="38">
        <f>SUMPRODUCT(BH26:BI26,BH$5:BI$5)/SUM(BH$5:BI$5)</f>
        <v>0.61646063772163862</v>
      </c>
      <c r="DF26" s="38">
        <f>SUMPRODUCT(BJ26:BK26,BJ$5:BK$5)/SUM(BJ$5:BK$5)</f>
        <v>0.65988431979183915</v>
      </c>
      <c r="DG26" s="38">
        <f>SUMPRODUCT(BL26:BM26,BL$5:BM$5)/SUM(BL$5:BM$5)</f>
        <v>0.66611570247933938</v>
      </c>
      <c r="DH26" s="38">
        <f>SUMPRODUCT(BN26:BO26,BN$5:BO$5)/SUM(BN$5:BO$5)</f>
        <v>0.66611570247933938</v>
      </c>
      <c r="DI26" s="38">
        <f>SUMPRODUCT(BP26:BQ26,BP$5:BQ$5)/SUM(BP$5:BQ$5)</f>
        <v>0.66611570247933938</v>
      </c>
    </row>
    <row r="27" spans="1:113" ht="12" hidden="1" outlineLevel="1"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9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9"/>
      <c r="DA27" s="38"/>
      <c r="DB27" s="19"/>
      <c r="DC27" s="19"/>
      <c r="DD27" s="19"/>
      <c r="DE27" s="19"/>
      <c r="DF27" s="19"/>
      <c r="DG27" s="19"/>
      <c r="DH27" s="19"/>
      <c r="DI27" s="19"/>
    </row>
    <row r="28" spans="1:113" ht="12" hidden="1" outlineLevel="1">
      <c r="B28" s="24" t="s">
        <v>215</v>
      </c>
      <c r="DB28" s="19"/>
      <c r="DC28" s="19"/>
      <c r="DD28" s="19"/>
      <c r="DE28" s="19"/>
      <c r="DF28" s="19"/>
      <c r="DG28" s="19"/>
      <c r="DH28" s="19"/>
      <c r="DI28" s="19"/>
    </row>
    <row r="29" spans="1:113" ht="12" hidden="1" outlineLevel="1">
      <c r="A29" s="1" t="s">
        <v>703</v>
      </c>
      <c r="B29" s="19" t="s">
        <v>216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8"/>
      <c r="R29" s="408"/>
      <c r="S29" s="408"/>
      <c r="T29" s="394"/>
      <c r="U29" s="408"/>
      <c r="V29" s="408"/>
      <c r="W29" s="408"/>
      <c r="X29" s="408"/>
      <c r="Y29" s="394"/>
      <c r="Z29" s="394"/>
      <c r="AA29" s="394"/>
      <c r="AB29" s="394"/>
      <c r="AC29" s="394"/>
      <c r="AD29" s="394"/>
      <c r="AE29" s="394"/>
      <c r="AF29" s="394"/>
      <c r="AG29" s="394"/>
      <c r="AH29" s="394"/>
      <c r="AI29" s="394"/>
      <c r="AJ29" s="394"/>
      <c r="AK29" s="394"/>
      <c r="AL29" s="394"/>
      <c r="AM29" s="394"/>
      <c r="AN29" s="394"/>
      <c r="AO29" s="394"/>
      <c r="AP29" s="504">
        <f>VLOOKUP(RIGHT($A29,LEN($A29)-4),[1]Sheet1!$2:$65536,MATCH(AP$3,[1]Sheet1!$2:$2,0),FALSE)</f>
        <v>1.9768530045528143E-2</v>
      </c>
      <c r="AQ29" s="504">
        <f>VLOOKUP(RIGHT($A29,LEN($A29)-4),[1]Sheet1!$2:$65536,MATCH(AQ$3,[1]Sheet1!$2:$2,0),FALSE)</f>
        <v>3.3300633541920144E-2</v>
      </c>
      <c r="AR29" s="504">
        <f>VLOOKUP(RIGHT($A29,LEN($A29)-4),[1]Sheet1!$2:$65536,MATCH(AR$3,[1]Sheet1!$2:$2,0),FALSE)</f>
        <v>3.9848265998415622E-2</v>
      </c>
      <c r="AS29" s="504">
        <f>VLOOKUP(RIGHT($A29,LEN($A29)-4),[1]Sheet1!$2:$65536,MATCH(AS$3,[1]Sheet1!$2:$2,0),FALSE)</f>
        <v>3.7932210580863712E-2</v>
      </c>
      <c r="AT29" s="504">
        <f>VLOOKUP(RIGHT($A29,LEN($A29)-4),[1]Sheet1!$2:$65536,MATCH(AT$3,[1]Sheet1!$2:$2,0),FALSE)</f>
        <v>2.5686745242559317E-2</v>
      </c>
      <c r="AU29" s="504">
        <f>VLOOKUP(RIGHT($A29,LEN($A29)-4),[1]Sheet1!$2:$65536,MATCH(AU$3,[1]Sheet1!$2:$2,0),FALSE)</f>
        <v>2.0282924243014255E-2</v>
      </c>
      <c r="AV29" s="504">
        <f>VLOOKUP(RIGHT($A29,LEN($A29)-4),[1]Sheet1!$2:$65536,MATCH(AV$3,[1]Sheet1!$2:$2,0),FALSE)</f>
        <v>2.0991750606981663E-2</v>
      </c>
      <c r="AW29" s="504">
        <f>VLOOKUP(RIGHT($A29,LEN($A29)-4),[1]Sheet1!$2:$65536,MATCH(AW$3,[1]Sheet1!$2:$2,0),FALSE)</f>
        <v>2.5527056438700235E-2</v>
      </c>
      <c r="AX29" s="504">
        <f>VLOOKUP(RIGHT($A29,LEN($A29)-4),[1]Sheet1!$2:$65536,MATCH(AX$3,[1]Sheet1!$2:$2,0),FALSE)</f>
        <v>2.8779041961061624E-2</v>
      </c>
      <c r="AY29" s="504">
        <f>VLOOKUP(RIGHT($A29,LEN($A29)-4),[1]Sheet1!$2:$65536,MATCH(AY$3,[1]Sheet1!$2:$2,0),FALSE)</f>
        <v>2.9803096261785678E-2</v>
      </c>
      <c r="AZ29" s="557">
        <f>VLOOKUP(RIGHT($A29,LEN($A29)-4),[1]Sheet1!$2:$65536,MATCH(AZ$3,[1]Sheet1!$2:$2,0),FALSE)</f>
        <v>3.7584669580746022E-2</v>
      </c>
      <c r="BA29" s="422">
        <f>VLOOKUP(RIGHT($A29,LEN($A29)-4),[1]Sheet1!$2:$65536,MATCH(BA$3,[1]Sheet1!$2:$2,0),FALSE)</f>
        <v>3.0731999999999982E-2</v>
      </c>
      <c r="BB29" s="422">
        <f>VLOOKUP(RIGHT($A29,LEN($A29)-4),[1]Sheet1!$2:$65536,MATCH(BB$3,[1]Sheet1!$2:$2,0),FALSE)</f>
        <v>2.9210249999999993E-2</v>
      </c>
      <c r="BC29" s="422">
        <f>VLOOKUP(RIGHT($A29,LEN($A29)-4),[1]Sheet1!$2:$65536,MATCH(BC$3,[1]Sheet1!$2:$2,0),FALSE)</f>
        <v>2.9210249999999993E-2</v>
      </c>
      <c r="BD29" s="422">
        <f>VLOOKUP(RIGHT($A29,LEN($A29)-4),[1]Sheet1!$2:$65536,MATCH(BD$3,[1]Sheet1!$2:$2,0),FALSE)</f>
        <v>2.9210249999999993E-2</v>
      </c>
      <c r="BE29" s="422">
        <f>VLOOKUP(RIGHT($A29,LEN($A29)-4),[1]Sheet1!$2:$65536,MATCH(BE$3,[1]Sheet1!$2:$2,0),FALSE)</f>
        <v>2.9210249999999993E-2</v>
      </c>
      <c r="BF29" s="422">
        <f>VLOOKUP(RIGHT($A29,LEN($A29)-4),[1]Sheet1!$2:$65536,MATCH(BF$3,[1]Sheet1!$2:$2,0),FALSE)</f>
        <v>2.9210249999999993E-2</v>
      </c>
      <c r="BG29" s="422">
        <f>VLOOKUP(RIGHT($A29,LEN($A29)-4),[1]Sheet1!$2:$65536,MATCH(BG$3,[1]Sheet1!$2:$2,0),FALSE)</f>
        <v>2.5156249999999991E-2</v>
      </c>
      <c r="BH29" s="422">
        <f>VLOOKUP(RIGHT($A29,LEN($A29)-4),[1]Sheet1!$2:$65536,MATCH(BH$3,[1]Sheet1!$2:$2,0),FALSE)</f>
        <v>2.5156249999999991E-2</v>
      </c>
      <c r="BI29" s="422">
        <f>VLOOKUP(RIGHT($A29,LEN($A29)-4),[1]Sheet1!$2:$65536,MATCH(BI$3,[1]Sheet1!$2:$2,0),FALSE)</f>
        <v>2.0100000000000007E-2</v>
      </c>
      <c r="BJ29" s="422">
        <f>VLOOKUP(RIGHT($A29,LEN($A29)-4),[1]Sheet1!$2:$65536,MATCH(BJ$3,[1]Sheet1!$2:$2,0),FALSE)</f>
        <v>2.0100000000000007E-2</v>
      </c>
      <c r="BK29" s="422">
        <f>VLOOKUP(RIGHT($A29,LEN($A29)-4),[1]Sheet1!$2:$65536,MATCH(BK$3,[1]Sheet1!$2:$2,0),FALSE)</f>
        <v>2.0100000000000007E-2</v>
      </c>
      <c r="BL29" s="422">
        <f>VLOOKUP(RIGHT($A29,LEN($A29)-4),[1]Sheet1!$2:$65536,MATCH(BL$3,[1]Sheet1!$2:$2,0),FALSE)</f>
        <v>2.0100000000000007E-2</v>
      </c>
      <c r="BM29" s="422">
        <f>VLOOKUP(RIGHT($A29,LEN($A29)-4),[1]Sheet1!$2:$65536,MATCH(BM$3,[1]Sheet1!$2:$2,0),FALSE)</f>
        <v>2.0100000000000007E-2</v>
      </c>
      <c r="BN29" s="422">
        <f>VLOOKUP(RIGHT($A29,LEN($A29)-4),[1]Sheet1!$2:$65536,MATCH(BN$3,[1]Sheet1!$2:$2,0),FALSE)</f>
        <v>2.0100000000000007E-2</v>
      </c>
      <c r="BO29" s="422">
        <f>VLOOKUP(RIGHT($A29,LEN($A29)-4),[1]Sheet1!$2:$65536,MATCH(BO$3,[1]Sheet1!$2:$2,0),FALSE)</f>
        <v>2.0100000000000007E-2</v>
      </c>
      <c r="BP29" s="422">
        <f>VLOOKUP(RIGHT($A29,LEN($A29)-4),[1]Sheet1!$2:$65536,MATCH(BP$3,[1]Sheet1!$2:$2,0),FALSE)</f>
        <v>2.0100000000000007E-2</v>
      </c>
      <c r="BQ29" s="422">
        <f>VLOOKUP(RIGHT($A29,LEN($A29)-4),[1]Sheet1!$2:$65536,MATCH(BQ$3,[1]Sheet1!$2:$2,0),FALSE)</f>
        <v>2.0100000000000007E-2</v>
      </c>
      <c r="BR29" s="162"/>
      <c r="BS29" s="422"/>
      <c r="BT29" s="422"/>
      <c r="BU29" s="422"/>
      <c r="BV29" s="422"/>
      <c r="BW29" s="422"/>
      <c r="BX29" s="422"/>
      <c r="BY29" s="422"/>
      <c r="BZ29" s="422"/>
      <c r="CA29" s="422"/>
      <c r="CB29" s="42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285"/>
      <c r="CN29" s="285"/>
      <c r="CO29" s="285"/>
      <c r="CP29" s="285"/>
      <c r="CQ29" s="285"/>
      <c r="CR29" s="285"/>
      <c r="CS29" s="285"/>
      <c r="CT29" s="504">
        <f>VLOOKUP(RIGHT("ASS_12MoSystemAUHCg",LEN("ASS_12MoSystemAUHCg")-4),[1]Sheet1!$2:$65536,MATCH(CT$3,[1]Sheet1!$2:$2,0),FALSE)</f>
        <v>3.4495684740608823E-2</v>
      </c>
      <c r="CU29" s="504">
        <f>VLOOKUP(RIGHT("ASS_12MoSystemAUHCg",LEN("ASS_12MoSystemAUHCg")-4),[1]Sheet1!$2:$65536,MATCH(CU$3,[1]Sheet1!$2:$2,0),FALSE)</f>
        <v>3.1222030762912079E-2</v>
      </c>
      <c r="CV29" s="504">
        <f>VLOOKUP(RIGHT("ASS_12MoSystemAUHCg",LEN("ASS_12MoSystemAUHCg")-4),[1]Sheet1!$2:$65536,MATCH(CV$3,[1]Sheet1!$2:$2,0),FALSE)</f>
        <v>5.3727468162157122E-2</v>
      </c>
      <c r="CW29" s="504">
        <f>VLOOKUP(RIGHT("ASS_12MoSystemAUHCg",LEN("ASS_12MoSystemAUHCg")-4),[1]Sheet1!$2:$65536,MATCH(CW$3,[1]Sheet1!$2:$2,0),FALSE)</f>
        <v>7.9292009396413121E-2</v>
      </c>
      <c r="CX29" s="504">
        <f>VLOOKUP(RIGHT("ASS_12MoSystemAUHCg",LEN("ASS_12MoSystemAUHCg")-4),[1]Sheet1!$2:$65536,MATCH(CX$3,[1]Sheet1!$2:$2,0),FALSE)</f>
        <v>4.6490671793377958E-2</v>
      </c>
      <c r="CY29" s="504">
        <f>VLOOKUP(RIGHT("ASS_12MoSystemAUHCg",LEN("ASS_12MoSystemAUHCg")-4),[1]Sheet1!$2:$65536,MATCH(CY$3,[1]Sheet1!$2:$2,0),FALSE)</f>
        <v>4.7054664648173761E-2</v>
      </c>
      <c r="CZ29" s="286">
        <f t="shared" ref="CZ29:CZ35" si="66">(1+AX29)*(1+AY29)-1</f>
        <v>5.9439842780734775E-2</v>
      </c>
      <c r="DA29" s="162">
        <f>(1+AZ29)*(1+BA29)-1</f>
        <v>6.9471721646301443E-2</v>
      </c>
      <c r="DB29" s="162">
        <f t="shared" ref="DB29:DB35" si="67">(1+BB29)*(1+BC29)-1</f>
        <v>5.9273738705062584E-2</v>
      </c>
      <c r="DC29" s="162">
        <f t="shared" ref="DC29:DC35" si="68">(1+BD29)*(1+BE29)-1</f>
        <v>5.9273738705062584E-2</v>
      </c>
      <c r="DD29" s="162">
        <f t="shared" ref="DD29:DD35" si="69">(1+BF29)*(1+BG29)-1</f>
        <v>5.5101320351562455E-2</v>
      </c>
      <c r="DE29" s="162">
        <f t="shared" ref="DE29:DE35" si="70">(1+BH29)*(1+BI29)-1</f>
        <v>4.5761890624999912E-2</v>
      </c>
      <c r="DF29" s="162">
        <f t="shared" ref="DF29:DF35" si="71">(1+BJ29)*(1+BK29)-1</f>
        <v>4.0604010000000024E-2</v>
      </c>
      <c r="DG29" s="162">
        <f t="shared" ref="DG29:DG35" si="72">(1+BL29)*(1+BM29)-1</f>
        <v>4.0604010000000024E-2</v>
      </c>
      <c r="DH29" s="162">
        <f t="shared" ref="DH29:DH35" si="73">(1+BN29)*(1+BO29)-1</f>
        <v>4.0604010000000024E-2</v>
      </c>
      <c r="DI29" s="162">
        <f t="shared" ref="DI29:DI35" si="74">(1+BP29)*(1+BQ29)-1</f>
        <v>4.0604010000000024E-2</v>
      </c>
    </row>
    <row r="30" spans="1:113" ht="12" hidden="1" outlineLevel="1">
      <c r="A30" s="1" t="s">
        <v>704</v>
      </c>
      <c r="B30" s="19" t="s">
        <v>217</v>
      </c>
      <c r="C30" s="408"/>
      <c r="D30" s="408"/>
      <c r="E30" s="408"/>
      <c r="F30" s="408"/>
      <c r="G30" s="408"/>
      <c r="H30" s="408"/>
      <c r="I30" s="408"/>
      <c r="J30" s="408"/>
      <c r="K30" s="408"/>
      <c r="L30" s="408"/>
      <c r="M30" s="408"/>
      <c r="N30" s="408"/>
      <c r="O30" s="408"/>
      <c r="P30" s="408"/>
      <c r="Q30" s="408"/>
      <c r="R30" s="408"/>
      <c r="S30" s="408"/>
      <c r="T30" s="394"/>
      <c r="U30" s="408"/>
      <c r="V30" s="408"/>
      <c r="W30" s="408"/>
      <c r="X30" s="408"/>
      <c r="Y30" s="394"/>
      <c r="Z30" s="394"/>
      <c r="AA30" s="394"/>
      <c r="AB30" s="394"/>
      <c r="AC30" s="394"/>
      <c r="AD30" s="394"/>
      <c r="AE30" s="394"/>
      <c r="AF30" s="394"/>
      <c r="AG30" s="394"/>
      <c r="AH30" s="394"/>
      <c r="AI30" s="394"/>
      <c r="AJ30" s="394"/>
      <c r="AK30" s="394"/>
      <c r="AL30" s="394"/>
      <c r="AM30" s="394"/>
      <c r="AN30" s="394"/>
      <c r="AO30" s="394"/>
      <c r="AP30" s="504">
        <f>VLOOKUP(RIGHT($A30,LEN($A30)-4),[1]Sheet1!$2:$65536,MATCH(AP$3,[1]Sheet1!$2:$2,0),FALSE)</f>
        <v>-1.4772670337225069E-2</v>
      </c>
      <c r="AQ30" s="504">
        <f>VLOOKUP(RIGHT($A30,LEN($A30)-4),[1]Sheet1!$2:$65536,MATCH(AQ$3,[1]Sheet1!$2:$2,0),FALSE)</f>
        <v>2.2267170706980366E-2</v>
      </c>
      <c r="AR30" s="504">
        <f>VLOOKUP(RIGHT($A30,LEN($A30)-4),[1]Sheet1!$2:$65536,MATCH(AR$3,[1]Sheet1!$2:$2,0),FALSE)</f>
        <v>5.2811954971644592E-2</v>
      </c>
      <c r="AS30" s="504">
        <f>VLOOKUP(RIGHT($A30,LEN($A30)-4),[1]Sheet1!$2:$65536,MATCH(AS$3,[1]Sheet1!$2:$2,0),FALSE)</f>
        <v>6.302117003736929E-2</v>
      </c>
      <c r="AT30" s="504">
        <f>VLOOKUP(RIGHT($A30,LEN($A30)-4),[1]Sheet1!$2:$65536,MATCH(AT$3,[1]Sheet1!$2:$2,0),FALSE)</f>
        <v>4.9766152511238282E-2</v>
      </c>
      <c r="AU30" s="504">
        <f>VLOOKUP(RIGHT($A30,LEN($A30)-4),[1]Sheet1!$2:$65536,MATCH(AU$3,[1]Sheet1!$2:$2,0),FALSE)</f>
        <v>2.9922622377723362E-2</v>
      </c>
      <c r="AV30" s="504">
        <f>VLOOKUP(RIGHT($A30,LEN($A30)-4),[1]Sheet1!$2:$65536,MATCH(AV$3,[1]Sheet1!$2:$2,0),FALSE)</f>
        <v>3.279190970107515E-2</v>
      </c>
      <c r="AW30" s="504">
        <f>VLOOKUP(RIGHT($A30,LEN($A30)-4),[1]Sheet1!$2:$65536,MATCH(AW$3,[1]Sheet1!$2:$2,0),FALSE)</f>
        <v>4.4032840673021933E-2</v>
      </c>
      <c r="AX30" s="504">
        <f>VLOOKUP(RIGHT($A30,LEN($A30)-4),[1]Sheet1!$2:$65536,MATCH(AX$3,[1]Sheet1!$2:$2,0),FALSE)</f>
        <v>4.7444598675414174E-2</v>
      </c>
      <c r="AY30" s="504">
        <f>VLOOKUP(RIGHT($A30,LEN($A30)-4),[1]Sheet1!$2:$65536,MATCH(AY$3,[1]Sheet1!$2:$2,0),FALSE)</f>
        <v>3.7318000040146959E-2</v>
      </c>
      <c r="AZ30" s="557">
        <f>VLOOKUP(RIGHT($A30,LEN($A30)-4),[1]Sheet1!$2:$65536,MATCH(AZ$3,[1]Sheet1!$2:$2,0),FALSE)</f>
        <v>5.7632876444495551E-2</v>
      </c>
      <c r="BA30" s="422">
        <f>VLOOKUP(RIGHT($A30,LEN($A30)-4),[1]Sheet1!$2:$65536,MATCH(BA$3,[1]Sheet1!$2:$2,0),FALSE)</f>
        <v>4.0399999999999991E-2</v>
      </c>
      <c r="BB30" s="422">
        <f>VLOOKUP(RIGHT($A30,LEN($A30)-4),[1]Sheet1!$2:$65536,MATCH(BB$3,[1]Sheet1!$2:$2,0),FALSE)</f>
        <v>3.0224999999999724E-2</v>
      </c>
      <c r="BC30" s="422">
        <f>VLOOKUP(RIGHT($A30,LEN($A30)-4),[1]Sheet1!$2:$65536,MATCH(BC$3,[1]Sheet1!$2:$2,0),FALSE)</f>
        <v>3.0224999999999724E-2</v>
      </c>
      <c r="BD30" s="422">
        <f>VLOOKUP(RIGHT($A30,LEN($A30)-4),[1]Sheet1!$2:$65536,MATCH(BD$3,[1]Sheet1!$2:$2,0),FALSE)</f>
        <v>2.0100000000000007E-2</v>
      </c>
      <c r="BE30" s="422">
        <f>VLOOKUP(RIGHT($A30,LEN($A30)-4),[1]Sheet1!$2:$65536,MATCH(BE$3,[1]Sheet1!$2:$2,0),FALSE)</f>
        <v>2.0100000000000007E-2</v>
      </c>
      <c r="BF30" s="422">
        <f>VLOOKUP(RIGHT($A30,LEN($A30)-4),[1]Sheet1!$2:$65536,MATCH(BF$3,[1]Sheet1!$2:$2,0),FALSE)</f>
        <v>2.0100000000000007E-2</v>
      </c>
      <c r="BG30" s="422">
        <f>VLOOKUP(RIGHT($A30,LEN($A30)-4),[1]Sheet1!$2:$65536,MATCH(BG$3,[1]Sheet1!$2:$2,0),FALSE)</f>
        <v>2.0100000000000007E-2</v>
      </c>
      <c r="BH30" s="422">
        <f>VLOOKUP(RIGHT($A30,LEN($A30)-4),[1]Sheet1!$2:$65536,MATCH(BH$3,[1]Sheet1!$2:$2,0),FALSE)</f>
        <v>2.0100000000000007E-2</v>
      </c>
      <c r="BI30" s="422">
        <f>VLOOKUP(RIGHT($A30,LEN($A30)-4),[1]Sheet1!$2:$65536,MATCH(BI$3,[1]Sheet1!$2:$2,0),FALSE)</f>
        <v>2.0100000000000007E-2</v>
      </c>
      <c r="BJ30" s="422">
        <f>VLOOKUP(RIGHT($A30,LEN($A30)-4),[1]Sheet1!$2:$65536,MATCH(BJ$3,[1]Sheet1!$2:$2,0),FALSE)</f>
        <v>2.0100000000000007E-2</v>
      </c>
      <c r="BK30" s="422">
        <f>VLOOKUP(RIGHT($A30,LEN($A30)-4),[1]Sheet1!$2:$65536,MATCH(BK$3,[1]Sheet1!$2:$2,0),FALSE)</f>
        <v>2.0100000000000007E-2</v>
      </c>
      <c r="BL30" s="422">
        <f>VLOOKUP(RIGHT($A30,LEN($A30)-4),[1]Sheet1!$2:$65536,MATCH(BL$3,[1]Sheet1!$2:$2,0),FALSE)</f>
        <v>2.0100000000000007E-2</v>
      </c>
      <c r="BM30" s="422">
        <f>VLOOKUP(RIGHT($A30,LEN($A30)-4),[1]Sheet1!$2:$65536,MATCH(BM$3,[1]Sheet1!$2:$2,0),FALSE)</f>
        <v>2.0100000000000007E-2</v>
      </c>
      <c r="BN30" s="422">
        <f>VLOOKUP(RIGHT($A30,LEN($A30)-4),[1]Sheet1!$2:$65536,MATCH(BN$3,[1]Sheet1!$2:$2,0),FALSE)</f>
        <v>2.0100000000000007E-2</v>
      </c>
      <c r="BO30" s="422">
        <f>VLOOKUP(RIGHT($A30,LEN($A30)-4),[1]Sheet1!$2:$65536,MATCH(BO$3,[1]Sheet1!$2:$2,0),FALSE)</f>
        <v>2.0100000000000007E-2</v>
      </c>
      <c r="BP30" s="422">
        <f>VLOOKUP(RIGHT($A30,LEN($A30)-4),[1]Sheet1!$2:$65536,MATCH(BP$3,[1]Sheet1!$2:$2,0),FALSE)</f>
        <v>2.0100000000000007E-2</v>
      </c>
      <c r="BQ30" s="422">
        <f>VLOOKUP(RIGHT($A30,LEN($A30)-4),[1]Sheet1!$2:$65536,MATCH(BQ$3,[1]Sheet1!$2:$2,0),FALSE)</f>
        <v>2.0100000000000007E-2</v>
      </c>
      <c r="BR30" s="162"/>
      <c r="BS30" s="422"/>
      <c r="BT30" s="422"/>
      <c r="BU30" s="422"/>
      <c r="BV30" s="422"/>
      <c r="BW30" s="422"/>
      <c r="BX30" s="422"/>
      <c r="BY30" s="422"/>
      <c r="BZ30" s="422"/>
      <c r="CA30" s="422"/>
      <c r="CB30" s="42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285"/>
      <c r="CN30" s="285"/>
      <c r="CO30" s="285"/>
      <c r="CP30" s="285"/>
      <c r="CQ30" s="285"/>
      <c r="CR30" s="285"/>
      <c r="CS30" s="285"/>
      <c r="CT30" s="504">
        <f>VLOOKUP(RIGHT("ASS_12MoSystemAUBCg",LEN("ASS_12MoSystemAUBCg")-4),[1]Sheet1!$2:$65536,MATCH(CT$3,[1]Sheet1!$2:$2,0),FALSE)</f>
        <v>4.0361795876710849E-2</v>
      </c>
      <c r="CU30" s="504">
        <f>VLOOKUP(RIGHT("ASS_12MoSystemAUBCg",LEN("ASS_12MoSystemAUBCg")-4),[1]Sheet1!$2:$65536,MATCH(CU$3,[1]Sheet1!$2:$2,0),FALSE)</f>
        <v>3.0600775433936578E-2</v>
      </c>
      <c r="CV30" s="504">
        <f>VLOOKUP(RIGHT("ASS_12MoSystemAUBCg",LEN("ASS_12MoSystemAUBCg")-4),[1]Sheet1!$2:$65536,MATCH(CV$3,[1]Sheet1!$2:$2,0),FALSE)</f>
        <v>7.1655547975584266E-3</v>
      </c>
      <c r="CW30" s="504">
        <f>VLOOKUP(RIGHT("ASS_12MoSystemAUBCg",LEN("ASS_12MoSystemAUBCg")-4),[1]Sheet1!$2:$65536,MATCH(CW$3,[1]Sheet1!$2:$2,0),FALSE)</f>
        <v>0.11916139620328803</v>
      </c>
      <c r="CX30" s="504">
        <f>VLOOKUP(RIGHT("ASS_12MoSystemAUBCg",LEN("ASS_12MoSystemAUBCg")-4),[1]Sheet1!$2:$65536,MATCH(CX$3,[1]Sheet1!$2:$2,0),FALSE)</f>
        <v>8.1177908677747337E-2</v>
      </c>
      <c r="CY30" s="504">
        <f>VLOOKUP(RIGHT("ASS_12MoSystemAUBCg",LEN("ASS_12MoSystemAUBCg")-4),[1]Sheet1!$2:$65536,MATCH(CY$3,[1]Sheet1!$2:$2,0),FALSE)</f>
        <v>7.8268671309328575E-2</v>
      </c>
      <c r="CZ30" s="286">
        <f t="shared" si="66"/>
        <v>8.653313625083503E-2</v>
      </c>
      <c r="DA30" s="162">
        <f t="shared" ref="DA30:DA35" si="75">(1+AZ30)*(1+BA30)-1</f>
        <v>0.10036124465285323</v>
      </c>
      <c r="DB30" s="162">
        <f t="shared" si="67"/>
        <v>6.136355062499943E-2</v>
      </c>
      <c r="DC30" s="162">
        <f t="shared" si="68"/>
        <v>4.0604010000000024E-2</v>
      </c>
      <c r="DD30" s="162">
        <f t="shared" si="69"/>
        <v>4.0604010000000024E-2</v>
      </c>
      <c r="DE30" s="162">
        <f t="shared" si="70"/>
        <v>4.0604010000000024E-2</v>
      </c>
      <c r="DF30" s="162">
        <f t="shared" si="71"/>
        <v>4.0604010000000024E-2</v>
      </c>
      <c r="DG30" s="162">
        <f t="shared" si="72"/>
        <v>4.0604010000000024E-2</v>
      </c>
      <c r="DH30" s="162">
        <f t="shared" si="73"/>
        <v>4.0604010000000024E-2</v>
      </c>
      <c r="DI30" s="162">
        <f t="shared" si="74"/>
        <v>4.0604010000000024E-2</v>
      </c>
    </row>
    <row r="31" spans="1:113" ht="12" hidden="1" outlineLevel="1">
      <c r="A31" s="1" t="s">
        <v>842</v>
      </c>
      <c r="B31" s="19" t="s">
        <v>218</v>
      </c>
      <c r="C31" s="408"/>
      <c r="D31" s="408"/>
      <c r="E31" s="408"/>
      <c r="F31" s="408"/>
      <c r="G31" s="408"/>
      <c r="H31" s="408"/>
      <c r="I31" s="408"/>
      <c r="J31" s="408"/>
      <c r="K31" s="408"/>
      <c r="L31" s="408"/>
      <c r="M31" s="408"/>
      <c r="N31" s="408"/>
      <c r="O31" s="408"/>
      <c r="P31" s="408"/>
      <c r="Q31" s="408"/>
      <c r="R31" s="408"/>
      <c r="S31" s="408"/>
      <c r="T31" s="394"/>
      <c r="U31" s="408"/>
      <c r="V31" s="408"/>
      <c r="W31" s="408"/>
      <c r="X31" s="408"/>
      <c r="Y31" s="394"/>
      <c r="Z31" s="394"/>
      <c r="AA31" s="394"/>
      <c r="AB31" s="394"/>
      <c r="AC31" s="394"/>
      <c r="AD31" s="394"/>
      <c r="AE31" s="394"/>
      <c r="AF31" s="394"/>
      <c r="AG31" s="394"/>
      <c r="AH31" s="394"/>
      <c r="AI31" s="394"/>
      <c r="AJ31" s="394"/>
      <c r="AK31" s="394"/>
      <c r="AL31" s="394"/>
      <c r="AM31" s="394"/>
      <c r="AN31" s="394"/>
      <c r="AO31" s="394"/>
      <c r="AP31" s="504">
        <f>VLOOKUP(RIGHT($A31,LEN($A31)-4),[1]Sheet1!$2:$65536,MATCH(AP$3,[1]Sheet1!$2:$2,0),FALSE)</f>
        <v>-4.9577841925903421E-2</v>
      </c>
      <c r="AQ31" s="504">
        <f>VLOOKUP(RIGHT($A31,LEN($A31)-4),[1]Sheet1!$2:$65536,MATCH(AQ$3,[1]Sheet1!$2:$2,0),FALSE)</f>
        <v>-1.3556487758487279E-2</v>
      </c>
      <c r="AR31" s="504">
        <f>VLOOKUP(RIGHT($A31,LEN($A31)-4),[1]Sheet1!$2:$65536,MATCH(AR$3,[1]Sheet1!$2:$2,0),FALSE)</f>
        <v>-2.3466226481812402E-2</v>
      </c>
      <c r="AS31" s="504">
        <f>VLOOKUP(RIGHT($A31,LEN($A31)-4),[1]Sheet1!$2:$65536,MATCH(AS$3,[1]Sheet1!$2:$2,0),FALSE)</f>
        <v>-3.8105034669889681E-3</v>
      </c>
      <c r="AT31" s="504">
        <f>VLOOKUP(RIGHT($A31,LEN($A31)-4),[1]Sheet1!$2:$65536,MATCH(AT$3,[1]Sheet1!$2:$2,0),FALSE)</f>
        <v>-1.2485812521589867E-4</v>
      </c>
      <c r="AU31" s="504">
        <f>VLOOKUP(RIGHT($A31,LEN($A31)-4),[1]Sheet1!$2:$65536,MATCH(AU$3,[1]Sheet1!$2:$2,0),FALSE)</f>
        <v>4.2569201473749985E-3</v>
      </c>
      <c r="AV31" s="504">
        <f>VLOOKUP(RIGHT($A31,LEN($A31)-4),[1]Sheet1!$2:$65536,MATCH(AV$3,[1]Sheet1!$2:$2,0),FALSE)</f>
        <v>1.4382025908990848E-2</v>
      </c>
      <c r="AW31" s="504">
        <f>VLOOKUP(RIGHT($A31,LEN($A31)-4),[1]Sheet1!$2:$65536,MATCH(AW$3,[1]Sheet1!$2:$2,0),FALSE)</f>
        <v>1.4098566489183728E-2</v>
      </c>
      <c r="AX31" s="504">
        <f>VLOOKUP(RIGHT($A31,LEN($A31)-4),[1]Sheet1!$2:$65536,MATCH(AX$3,[1]Sheet1!$2:$2,0),FALSE)</f>
        <v>1.2008362856064325E-2</v>
      </c>
      <c r="AY31" s="504">
        <f>VLOOKUP(RIGHT($A31,LEN($A31)-4),[1]Sheet1!$2:$65536,MATCH(AY$3,[1]Sheet1!$2:$2,0),FALSE)</f>
        <v>2.5030370796491619E-2</v>
      </c>
      <c r="AZ31" s="557">
        <f>VLOOKUP(RIGHT($A31,LEN($A31)-4),[1]Sheet1!$2:$65536,MATCH(AZ$3,[1]Sheet1!$2:$2,0),FALSE)</f>
        <v>1.4640421477497334E-2</v>
      </c>
      <c r="BA31" s="422">
        <f>VLOOKUP(RIGHT($A31,LEN($A31)-4),[1]Sheet1!$2:$65536,MATCH(BA$3,[1]Sheet1!$2:$2,0),FALSE)</f>
        <v>2.0100000000000007E-2</v>
      </c>
      <c r="BB31" s="422">
        <f>VLOOKUP(RIGHT($A31,LEN($A31)-4),[1]Sheet1!$2:$65536,MATCH(BB$3,[1]Sheet1!$2:$2,0),FALSE)</f>
        <v>1.2537499999999868E-2</v>
      </c>
      <c r="BC31" s="422">
        <f>VLOOKUP(RIGHT($A31,LEN($A31)-4),[1]Sheet1!$2:$65536,MATCH(BC$3,[1]Sheet1!$2:$2,0),FALSE)</f>
        <v>1.0024999999999729E-2</v>
      </c>
      <c r="BD31" s="422">
        <f>VLOOKUP(RIGHT($A31,LEN($A31)-4),[1]Sheet1!$2:$65536,MATCH(BD$3,[1]Sheet1!$2:$2,0),FALSE)</f>
        <v>1.0024999999999729E-2</v>
      </c>
      <c r="BE31" s="422">
        <f>VLOOKUP(RIGHT($A31,LEN($A31)-4),[1]Sheet1!$2:$65536,MATCH(BE$3,[1]Sheet1!$2:$2,0),FALSE)</f>
        <v>1.0024999999999729E-2</v>
      </c>
      <c r="BF31" s="422">
        <f>VLOOKUP(RIGHT($A31,LEN($A31)-4),[1]Sheet1!$2:$65536,MATCH(BF$3,[1]Sheet1!$2:$2,0),FALSE)</f>
        <v>1.0024999999999729E-2</v>
      </c>
      <c r="BG31" s="422">
        <f>VLOOKUP(RIGHT($A31,LEN($A31)-4),[1]Sheet1!$2:$65536,MATCH(BG$3,[1]Sheet1!$2:$2,0),FALSE)</f>
        <v>1.0024999999999729E-2</v>
      </c>
      <c r="BH31" s="422">
        <f>VLOOKUP(RIGHT($A31,LEN($A31)-4),[1]Sheet1!$2:$65536,MATCH(BH$3,[1]Sheet1!$2:$2,0),FALSE)</f>
        <v>1.0024999999999729E-2</v>
      </c>
      <c r="BI31" s="422">
        <f>VLOOKUP(RIGHT($A31,LEN($A31)-4),[1]Sheet1!$2:$65536,MATCH(BI$3,[1]Sheet1!$2:$2,0),FALSE)</f>
        <v>1.0024999999999729E-2</v>
      </c>
      <c r="BJ31" s="422">
        <f>VLOOKUP(RIGHT($A31,LEN($A31)-4),[1]Sheet1!$2:$65536,MATCH(BJ$3,[1]Sheet1!$2:$2,0),FALSE)</f>
        <v>1.0024999999999729E-2</v>
      </c>
      <c r="BK31" s="422">
        <f>VLOOKUP(RIGHT($A31,LEN($A31)-4),[1]Sheet1!$2:$65536,MATCH(BK$3,[1]Sheet1!$2:$2,0),FALSE)</f>
        <v>1.0024999999999729E-2</v>
      </c>
      <c r="BL31" s="422">
        <f>VLOOKUP(RIGHT($A31,LEN($A31)-4),[1]Sheet1!$2:$65536,MATCH(BL$3,[1]Sheet1!$2:$2,0),FALSE)</f>
        <v>1.0024999999999729E-2</v>
      </c>
      <c r="BM31" s="422">
        <f>VLOOKUP(RIGHT($A31,LEN($A31)-4),[1]Sheet1!$2:$65536,MATCH(BM$3,[1]Sheet1!$2:$2,0),FALSE)</f>
        <v>1.0024999999999729E-2</v>
      </c>
      <c r="BN31" s="422">
        <f>VLOOKUP(RIGHT($A31,LEN($A31)-4),[1]Sheet1!$2:$65536,MATCH(BN$3,[1]Sheet1!$2:$2,0),FALSE)</f>
        <v>1.0024999999999729E-2</v>
      </c>
      <c r="BO31" s="422">
        <f>VLOOKUP(RIGHT($A31,LEN($A31)-4),[1]Sheet1!$2:$65536,MATCH(BO$3,[1]Sheet1!$2:$2,0),FALSE)</f>
        <v>1.0024999999999729E-2</v>
      </c>
      <c r="BP31" s="422">
        <f>VLOOKUP(RIGHT($A31,LEN($A31)-4),[1]Sheet1!$2:$65536,MATCH(BP$3,[1]Sheet1!$2:$2,0),FALSE)</f>
        <v>1.0024999999999729E-2</v>
      </c>
      <c r="BQ31" s="422">
        <f>VLOOKUP(RIGHT($A31,LEN($A31)-4),[1]Sheet1!$2:$65536,MATCH(BQ$3,[1]Sheet1!$2:$2,0),FALSE)</f>
        <v>1.0024999999999729E-2</v>
      </c>
      <c r="BR31" s="162"/>
      <c r="BS31" s="422"/>
      <c r="BT31" s="422"/>
      <c r="BU31" s="422"/>
      <c r="BV31" s="422"/>
      <c r="BW31" s="422"/>
      <c r="BX31" s="422"/>
      <c r="BY31" s="422"/>
      <c r="BZ31" s="422"/>
      <c r="CA31" s="422"/>
      <c r="CB31" s="42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285"/>
      <c r="CN31" s="285"/>
      <c r="CO31" s="285"/>
      <c r="CP31" s="285"/>
      <c r="CQ31" s="285"/>
      <c r="CR31" s="285"/>
      <c r="CS31" s="285"/>
      <c r="CT31" s="504">
        <f>VLOOKUP(RIGHT("ASS_12MoSystemAUPCg",LEN("ASS_12MoSystemAUPCg")-4),[1]Sheet1!$2:$65536,MATCH(CT$3,[1]Sheet1!$2:$2,0),FALSE)</f>
        <v>-3.4585730119682134E-2</v>
      </c>
      <c r="CU31" s="504">
        <f>VLOOKUP(RIGHT("ASS_12MoSystemAUPCg",LEN("ASS_12MoSystemAUPCg")-4),[1]Sheet1!$2:$65536,MATCH(CU$3,[1]Sheet1!$2:$2,0),FALSE)</f>
        <v>-0.10814211571840449</v>
      </c>
      <c r="CV31" s="504">
        <f>VLOOKUP(RIGHT("ASS_12MoSystemAUPCg",LEN("ASS_12MoSystemAUPCg")-4),[1]Sheet1!$2:$65536,MATCH(CV$3,[1]Sheet1!$2:$2,0),FALSE)</f>
        <v>-6.2462228277229803E-2</v>
      </c>
      <c r="CW31" s="504">
        <f>VLOOKUP(RIGHT("ASS_12MoSystemAUPCg",LEN("ASS_12MoSystemAUPCg")-4),[1]Sheet1!$2:$65536,MATCH(CW$3,[1]Sheet1!$2:$2,0),FALSE)</f>
        <v>-2.7187311811435522E-2</v>
      </c>
      <c r="CX31" s="504">
        <f>VLOOKUP(RIGHT("ASS_12MoSystemAUPCg",LEN("ASS_12MoSystemAUPCg")-4),[1]Sheet1!$2:$65536,MATCH(CX$3,[1]Sheet1!$2:$2,0),FALSE)</f>
        <v>4.1315305110902756E-3</v>
      </c>
      <c r="CY31" s="504">
        <f>VLOOKUP(RIGHT("ASS_12MoSystemAUPCg",LEN("ASS_12MoSystemAUPCg")-4),[1]Sheet1!$2:$65536,MATCH(CY$3,[1]Sheet1!$2:$2,0),FALSE)</f>
        <v>2.8683358346701882E-2</v>
      </c>
      <c r="CZ31" s="286">
        <f t="shared" si="66"/>
        <v>3.7339307427502133E-2</v>
      </c>
      <c r="DA31" s="162">
        <f t="shared" si="75"/>
        <v>3.5034693949195006E-2</v>
      </c>
      <c r="DB31" s="162">
        <f t="shared" si="67"/>
        <v>2.2688188437499646E-2</v>
      </c>
      <c r="DC31" s="162">
        <f t="shared" si="68"/>
        <v>2.0150500624999346E-2</v>
      </c>
      <c r="DD31" s="162">
        <f t="shared" si="69"/>
        <v>2.0150500624999346E-2</v>
      </c>
      <c r="DE31" s="162">
        <f t="shared" si="70"/>
        <v>2.0150500624999346E-2</v>
      </c>
      <c r="DF31" s="162">
        <f t="shared" si="71"/>
        <v>2.0150500624999346E-2</v>
      </c>
      <c r="DG31" s="162">
        <f t="shared" si="72"/>
        <v>2.0150500624999346E-2</v>
      </c>
      <c r="DH31" s="162">
        <f t="shared" si="73"/>
        <v>2.0150500624999346E-2</v>
      </c>
      <c r="DI31" s="162">
        <f t="shared" si="74"/>
        <v>2.0150500624999346E-2</v>
      </c>
    </row>
    <row r="32" spans="1:113" ht="12" hidden="1" outlineLevel="2">
      <c r="A32" s="1" t="s">
        <v>843</v>
      </c>
      <c r="B32" s="19" t="s">
        <v>219</v>
      </c>
      <c r="C32" s="408"/>
      <c r="D32" s="408"/>
      <c r="E32" s="408"/>
      <c r="F32" s="408"/>
      <c r="G32" s="408"/>
      <c r="H32" s="408"/>
      <c r="I32" s="408"/>
      <c r="J32" s="408"/>
      <c r="K32" s="408"/>
      <c r="L32" s="408"/>
      <c r="M32" s="408"/>
      <c r="N32" s="408"/>
      <c r="O32" s="408"/>
      <c r="P32" s="408"/>
      <c r="Q32" s="408"/>
      <c r="R32" s="408"/>
      <c r="S32" s="408"/>
      <c r="T32" s="394"/>
      <c r="U32" s="408"/>
      <c r="V32" s="408"/>
      <c r="W32" s="408"/>
      <c r="X32" s="408"/>
      <c r="Y32" s="394"/>
      <c r="Z32" s="394"/>
      <c r="AA32" s="394"/>
      <c r="AB32" s="394"/>
      <c r="AC32" s="394"/>
      <c r="AD32" s="394"/>
      <c r="AE32" s="394"/>
      <c r="AF32" s="394"/>
      <c r="AG32" s="394"/>
      <c r="AH32" s="394"/>
      <c r="AI32" s="394"/>
      <c r="AJ32" s="394"/>
      <c r="AK32" s="394"/>
      <c r="AL32" s="394"/>
      <c r="AM32" s="394"/>
      <c r="AN32" s="394"/>
      <c r="AO32" s="394"/>
      <c r="AP32" s="504">
        <f>VLOOKUP(RIGHT($A32,LEN($A32)-4),[1]Sheet1!$2:$65536,MATCH(AP$3,[1]Sheet1!$2:$2,0),FALSE)</f>
        <v>5.562717491595337E-2</v>
      </c>
      <c r="AQ32" s="504">
        <f>VLOOKUP(RIGHT($A32,LEN($A32)-4),[1]Sheet1!$2:$65536,MATCH(AQ$3,[1]Sheet1!$2:$2,0),FALSE)</f>
        <v>6.0200313323740762E-2</v>
      </c>
      <c r="AR32" s="504">
        <f>VLOOKUP(RIGHT($A32,LEN($A32)-4),[1]Sheet1!$2:$65536,MATCH(AR$3,[1]Sheet1!$2:$2,0),FALSE)</f>
        <v>4.2185603577249209E-2</v>
      </c>
      <c r="AS32" s="504">
        <f>VLOOKUP(RIGHT($A32,LEN($A32)-4),[1]Sheet1!$2:$65536,MATCH(AS$3,[1]Sheet1!$2:$2,0),FALSE)</f>
        <v>2.5849783689566808E-2</v>
      </c>
      <c r="AT32" s="504">
        <f>VLOOKUP(RIGHT($A32,LEN($A32)-4),[1]Sheet1!$2:$65536,MATCH(AT$3,[1]Sheet1!$2:$2,0),FALSE)</f>
        <v>1.8868725618259807E-2</v>
      </c>
      <c r="AU32" s="504">
        <f>VLOOKUP(RIGHT($A32,LEN($A32)-4),[1]Sheet1!$2:$65536,MATCH(AU$3,[1]Sheet1!$2:$2,0),FALSE)</f>
        <v>1.256112364608386E-2</v>
      </c>
      <c r="AV32" s="504">
        <f>VLOOKUP(RIGHT($A32,LEN($A32)-4),[1]Sheet1!$2:$65536,MATCH(AV$3,[1]Sheet1!$2:$2,0),FALSE)</f>
        <v>1.5956355428780933E-2</v>
      </c>
      <c r="AW32" s="504">
        <f>VLOOKUP(RIGHT($A32,LEN($A32)-4),[1]Sheet1!$2:$65536,MATCH(AW$3,[1]Sheet1!$2:$2,0),FALSE)</f>
        <v>1.5688871585039843E-2</v>
      </c>
      <c r="AX32" s="504">
        <f>VLOOKUP(RIGHT($A32,LEN($A32)-4),[1]Sheet1!$2:$65536,MATCH(AX$3,[1]Sheet1!$2:$2,0),FALSE)</f>
        <v>2.2375720297677315E-2</v>
      </c>
      <c r="AY32" s="504">
        <f>VLOOKUP(RIGHT($A32,LEN($A32)-4),[1]Sheet1!$2:$65536,MATCH(AY$3,[1]Sheet1!$2:$2,0),FALSE)</f>
        <v>2.6041580579173607E-2</v>
      </c>
      <c r="AZ32" s="557">
        <f>VLOOKUP(RIGHT($A32,LEN($A32)-4),[1]Sheet1!$2:$65536,MATCH(AZ$3,[1]Sheet1!$2:$2,0),FALSE)</f>
        <v>3.0172675266582294E-2</v>
      </c>
      <c r="BA32" s="422">
        <f>VLOOKUP(RIGHT($A32,LEN($A32)-4),[1]Sheet1!$2:$65536,MATCH(BA$3,[1]Sheet1!$2:$2,0),FALSE)</f>
        <v>2.0100000000000007E-2</v>
      </c>
      <c r="BB32" s="422">
        <f>VLOOKUP(RIGHT($A32,LEN($A32)-4),[1]Sheet1!$2:$65536,MATCH(BB$3,[1]Sheet1!$2:$2,0),FALSE)</f>
        <v>2.0100000000000007E-2</v>
      </c>
      <c r="BC32" s="422">
        <f>VLOOKUP(RIGHT($A32,LEN($A32)-4),[1]Sheet1!$2:$65536,MATCH(BC$3,[1]Sheet1!$2:$2,0),FALSE)</f>
        <v>2.0100000000000007E-2</v>
      </c>
      <c r="BD32" s="422">
        <f>VLOOKUP(RIGHT($A32,LEN($A32)-4),[1]Sheet1!$2:$65536,MATCH(BD$3,[1]Sheet1!$2:$2,0),FALSE)</f>
        <v>2.0100000000000007E-2</v>
      </c>
      <c r="BE32" s="422">
        <f>VLOOKUP(RIGHT($A32,LEN($A32)-4),[1]Sheet1!$2:$65536,MATCH(BE$3,[1]Sheet1!$2:$2,0),FALSE)</f>
        <v>2.0100000000000007E-2</v>
      </c>
      <c r="BF32" s="422">
        <f>VLOOKUP(RIGHT($A32,LEN($A32)-4),[1]Sheet1!$2:$65536,MATCH(BF$3,[1]Sheet1!$2:$2,0),FALSE)</f>
        <v>2.0100000000000007E-2</v>
      </c>
      <c r="BG32" s="422">
        <f>VLOOKUP(RIGHT($A32,LEN($A32)-4),[1]Sheet1!$2:$65536,MATCH(BG$3,[1]Sheet1!$2:$2,0),FALSE)</f>
        <v>2.0100000000000007E-2</v>
      </c>
      <c r="BH32" s="422">
        <f>VLOOKUP(RIGHT($A32,LEN($A32)-4),[1]Sheet1!$2:$65536,MATCH(BH$3,[1]Sheet1!$2:$2,0),FALSE)</f>
        <v>2.0100000000000007E-2</v>
      </c>
      <c r="BI32" s="422">
        <f>VLOOKUP(RIGHT($A32,LEN($A32)-4),[1]Sheet1!$2:$65536,MATCH(BI$3,[1]Sheet1!$2:$2,0),FALSE)</f>
        <v>2.0100000000000007E-2</v>
      </c>
      <c r="BJ32" s="422">
        <f>VLOOKUP(RIGHT($A32,LEN($A32)-4),[1]Sheet1!$2:$65536,MATCH(BJ$3,[1]Sheet1!$2:$2,0),FALSE)</f>
        <v>2.0100000000000007E-2</v>
      </c>
      <c r="BK32" s="422">
        <f>VLOOKUP(RIGHT($A32,LEN($A32)-4),[1]Sheet1!$2:$65536,MATCH(BK$3,[1]Sheet1!$2:$2,0),FALSE)</f>
        <v>2.0100000000000007E-2</v>
      </c>
      <c r="BL32" s="422">
        <f>VLOOKUP(RIGHT($A32,LEN($A32)-4),[1]Sheet1!$2:$65536,MATCH(BL$3,[1]Sheet1!$2:$2,0),FALSE)</f>
        <v>2.0100000000000007E-2</v>
      </c>
      <c r="BM32" s="422">
        <f>VLOOKUP(RIGHT($A32,LEN($A32)-4),[1]Sheet1!$2:$65536,MATCH(BM$3,[1]Sheet1!$2:$2,0),FALSE)</f>
        <v>2.0100000000000007E-2</v>
      </c>
      <c r="BN32" s="422">
        <f>VLOOKUP(RIGHT($A32,LEN($A32)-4),[1]Sheet1!$2:$65536,MATCH(BN$3,[1]Sheet1!$2:$2,0),FALSE)</f>
        <v>2.0100000000000007E-2</v>
      </c>
      <c r="BO32" s="422">
        <f>VLOOKUP(RIGHT($A32,LEN($A32)-4),[1]Sheet1!$2:$65536,MATCH(BO$3,[1]Sheet1!$2:$2,0),FALSE)</f>
        <v>2.0100000000000007E-2</v>
      </c>
      <c r="BP32" s="422">
        <f>VLOOKUP(RIGHT($A32,LEN($A32)-4),[1]Sheet1!$2:$65536,MATCH(BP$3,[1]Sheet1!$2:$2,0),FALSE)</f>
        <v>2.0100000000000007E-2</v>
      </c>
      <c r="BQ32" s="422">
        <f>VLOOKUP(RIGHT($A32,LEN($A32)-4),[1]Sheet1!$2:$65536,MATCH(BQ$3,[1]Sheet1!$2:$2,0),FALSE)</f>
        <v>2.0100000000000007E-2</v>
      </c>
      <c r="BR32" s="162"/>
      <c r="BS32" s="422"/>
      <c r="BT32" s="422"/>
      <c r="BU32" s="422"/>
      <c r="BV32" s="422"/>
      <c r="BW32" s="422"/>
      <c r="BX32" s="422"/>
      <c r="BY32" s="422"/>
      <c r="BZ32" s="422"/>
      <c r="CA32" s="422"/>
      <c r="CB32" s="42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285"/>
      <c r="CN32" s="285"/>
      <c r="CO32" s="285"/>
      <c r="CP32" s="285"/>
      <c r="CQ32" s="285"/>
      <c r="CR32" s="285"/>
      <c r="CS32" s="285"/>
      <c r="CT32" s="504">
        <f>VLOOKUP(RIGHT("ASS_12MoSystemNZHCg",LEN("ASS_12MoSystemNZHCg")-4),[1]Sheet1!$2:$65536,MATCH(CT$3,[1]Sheet1!$2:$2,0),FALSE)</f>
        <v>6.3E-2</v>
      </c>
      <c r="CU32" s="504">
        <f>VLOOKUP(RIGHT("ASS_12MoSystemNZHCg",LEN("ASS_12MoSystemNZHCg")-4),[1]Sheet1!$2:$65536,MATCH(CU$3,[1]Sheet1!$2:$2,0),FALSE)</f>
        <v>6.2E-2</v>
      </c>
      <c r="CV32" s="504">
        <f>VLOOKUP(RIGHT("ASS_12MoSystemNZHCg",LEN("ASS_12MoSystemNZHCg")-4),[1]Sheet1!$2:$65536,MATCH(CV$3,[1]Sheet1!$2:$2,0),FALSE)</f>
        <v>0.11900000000000001</v>
      </c>
      <c r="CW32" s="504">
        <f>VLOOKUP(RIGHT("ASS_12MoSystemNZHCg",LEN("ASS_12MoSystemNZHCg")-4),[1]Sheet1!$2:$65536,MATCH(CW$3,[1]Sheet1!$2:$2,0),FALSE)</f>
        <v>6.9000000000000006E-2</v>
      </c>
      <c r="CX32" s="504">
        <f>VLOOKUP(RIGHT("ASS_12MoSystemNZHCg",LEN("ASS_12MoSystemNZHCg")-4),[1]Sheet1!$2:$65536,MATCH(CX$3,[1]Sheet1!$2:$2,0),FALSE)</f>
        <v>3.1E-2</v>
      </c>
      <c r="CY32" s="504">
        <f>VLOOKUP(RIGHT("ASS_12MoSystemNZHCg",LEN("ASS_12MoSystemNZHCg")-4),[1]Sheet1!$2:$65536,MATCH(CY$3,[1]Sheet1!$2:$2,0),FALSE)</f>
        <v>3.2000000000000001E-2</v>
      </c>
      <c r="CZ32" s="286">
        <f t="shared" si="66"/>
        <v>4.8999999999999932E-2</v>
      </c>
      <c r="DA32" s="162">
        <f t="shared" si="75"/>
        <v>5.0879146039440659E-2</v>
      </c>
      <c r="DB32" s="162">
        <f t="shared" si="67"/>
        <v>4.0604010000000024E-2</v>
      </c>
      <c r="DC32" s="162">
        <f t="shared" si="68"/>
        <v>4.0604010000000024E-2</v>
      </c>
      <c r="DD32" s="162">
        <f t="shared" si="69"/>
        <v>4.0604010000000024E-2</v>
      </c>
      <c r="DE32" s="162">
        <f t="shared" si="70"/>
        <v>4.0604010000000024E-2</v>
      </c>
      <c r="DF32" s="162">
        <f t="shared" si="71"/>
        <v>4.0604010000000024E-2</v>
      </c>
      <c r="DG32" s="162">
        <f t="shared" si="72"/>
        <v>4.0604010000000024E-2</v>
      </c>
      <c r="DH32" s="162">
        <f t="shared" si="73"/>
        <v>4.0604010000000024E-2</v>
      </c>
      <c r="DI32" s="162">
        <f t="shared" si="74"/>
        <v>4.0604010000000024E-2</v>
      </c>
    </row>
    <row r="33" spans="1:113" ht="12" hidden="1" outlineLevel="2">
      <c r="A33" s="1" t="s">
        <v>844</v>
      </c>
      <c r="B33" s="19" t="s">
        <v>315</v>
      </c>
      <c r="C33" s="408"/>
      <c r="D33" s="408"/>
      <c r="E33" s="408"/>
      <c r="F33" s="408"/>
      <c r="G33" s="408"/>
      <c r="H33" s="408"/>
      <c r="I33" s="408"/>
      <c r="J33" s="408"/>
      <c r="K33" s="408"/>
      <c r="L33" s="408"/>
      <c r="M33" s="408"/>
      <c r="N33" s="408"/>
      <c r="O33" s="408"/>
      <c r="P33" s="408"/>
      <c r="Q33" s="408"/>
      <c r="R33" s="408"/>
      <c r="S33" s="408"/>
      <c r="T33" s="394"/>
      <c r="U33" s="408"/>
      <c r="V33" s="408"/>
      <c r="W33" s="408"/>
      <c r="X33" s="408"/>
      <c r="Y33" s="394"/>
      <c r="Z33" s="394"/>
      <c r="AA33" s="394"/>
      <c r="AB33" s="394"/>
      <c r="AC33" s="394"/>
      <c r="AD33" s="394"/>
      <c r="AE33" s="394"/>
      <c r="AF33" s="394"/>
      <c r="AG33" s="394"/>
      <c r="AH33" s="394"/>
      <c r="AI33" s="394"/>
      <c r="AJ33" s="394"/>
      <c r="AK33" s="394"/>
      <c r="AL33" s="394"/>
      <c r="AM33" s="394"/>
      <c r="AN33" s="394"/>
      <c r="AO33" s="394"/>
      <c r="AP33" s="504">
        <f>VLOOKUP(RIGHT($A33,LEN($A33)-4),[1]Sheet1!$2:$65536,MATCH(AP$3,[1]Sheet1!$2:$2,0),FALSE)</f>
        <v>-2.4231880853818222E-2</v>
      </c>
      <c r="AQ33" s="504">
        <f>VLOOKUP(RIGHT($A33,LEN($A33)-4),[1]Sheet1!$2:$65536,MATCH(AQ$3,[1]Sheet1!$2:$2,0),FALSE)</f>
        <v>-1.4041650374762682E-2</v>
      </c>
      <c r="AR33" s="504">
        <f>VLOOKUP(RIGHT($A33,LEN($A33)-4),[1]Sheet1!$2:$65536,MATCH(AR$3,[1]Sheet1!$2:$2,0),FALSE)</f>
        <v>8.7141545418776278E-3</v>
      </c>
      <c r="AS33" s="504">
        <f>VLOOKUP(RIGHT($A33,LEN($A33)-4),[1]Sheet1!$2:$65536,MATCH(AS$3,[1]Sheet1!$2:$2,0),FALSE)</f>
        <v>2.6950049409617982E-2</v>
      </c>
      <c r="AT33" s="504">
        <f>VLOOKUP(RIGHT($A33,LEN($A33)-4),[1]Sheet1!$2:$65536,MATCH(AT$3,[1]Sheet1!$2:$2,0),FALSE)</f>
        <v>1.1372408277737556E-2</v>
      </c>
      <c r="AU33" s="504">
        <f>VLOOKUP(RIGHT($A33,LEN($A33)-4),[1]Sheet1!$2:$65536,MATCH(AU$3,[1]Sheet1!$2:$2,0),FALSE)</f>
        <v>4.5319276468105407E-3</v>
      </c>
      <c r="AV33" s="504">
        <f>VLOOKUP(RIGHT($A33,LEN($A33)-4),[1]Sheet1!$2:$65536,MATCH(AV$3,[1]Sheet1!$2:$2,0),FALSE)</f>
        <v>1.0090232279753364E-2</v>
      </c>
      <c r="AW33" s="504">
        <f>VLOOKUP(RIGHT($A33,LEN($A33)-4),[1]Sheet1!$2:$65536,MATCH(AW$3,[1]Sheet1!$2:$2,0),FALSE)</f>
        <v>3.6506472048463134E-3</v>
      </c>
      <c r="AX33" s="504">
        <f>VLOOKUP(RIGHT($A33,LEN($A33)-4),[1]Sheet1!$2:$65536,MATCH(AX$3,[1]Sheet1!$2:$2,0),FALSE)</f>
        <v>3.235621908430697E-2</v>
      </c>
      <c r="AY33" s="504">
        <f>VLOOKUP(RIGHT($A33,LEN($A33)-4),[1]Sheet1!$2:$65536,MATCH(AY$3,[1]Sheet1!$2:$2,0),FALSE)</f>
        <v>-9.2662843727909783E-3</v>
      </c>
      <c r="AZ33" s="557">
        <f>VLOOKUP(RIGHT($A33,LEN($A33)-4),[1]Sheet1!$2:$65536,MATCH(AZ$3,[1]Sheet1!$2:$2,0),FALSE)</f>
        <v>3.2892462578075765E-2</v>
      </c>
      <c r="BA33" s="422">
        <f>VLOOKUP(RIGHT($A33,LEN($A33)-4),[1]Sheet1!$2:$65536,MATCH(BA$3,[1]Sheet1!$2:$2,0),FALSE)</f>
        <v>1.1234490332522551E-2</v>
      </c>
      <c r="BB33" s="422">
        <f>VLOOKUP(RIGHT($A33,LEN($A33)-4),[1]Sheet1!$2:$65536,MATCH(BB$3,[1]Sheet1!$2:$2,0),FALSE)</f>
        <v>1.1234490332522551E-2</v>
      </c>
      <c r="BC33" s="422">
        <f>VLOOKUP(RIGHT($A33,LEN($A33)-4),[1]Sheet1!$2:$65536,MATCH(BC$3,[1]Sheet1!$2:$2,0),FALSE)</f>
        <v>1.1234490332522551E-2</v>
      </c>
      <c r="BD33" s="422">
        <f>VLOOKUP(RIGHT($A33,LEN($A33)-4),[1]Sheet1!$2:$65536,MATCH(BD$3,[1]Sheet1!$2:$2,0),FALSE)</f>
        <v>1.1234490332522551E-2</v>
      </c>
      <c r="BE33" s="422">
        <f>VLOOKUP(RIGHT($A33,LEN($A33)-4),[1]Sheet1!$2:$65536,MATCH(BE$3,[1]Sheet1!$2:$2,0),FALSE)</f>
        <v>1.1234490332522551E-2</v>
      </c>
      <c r="BF33" s="422">
        <f>VLOOKUP(RIGHT($A33,LEN($A33)-4),[1]Sheet1!$2:$65536,MATCH(BF$3,[1]Sheet1!$2:$2,0),FALSE)</f>
        <v>1.1234490332522551E-2</v>
      </c>
      <c r="BG33" s="422">
        <f>VLOOKUP(RIGHT($A33,LEN($A33)-4),[1]Sheet1!$2:$65536,MATCH(BG$3,[1]Sheet1!$2:$2,0),FALSE)</f>
        <v>1.1234490332522551E-2</v>
      </c>
      <c r="BH33" s="422">
        <f>VLOOKUP(RIGHT($A33,LEN($A33)-4),[1]Sheet1!$2:$65536,MATCH(BH$3,[1]Sheet1!$2:$2,0),FALSE)</f>
        <v>1.1234490332522551E-2</v>
      </c>
      <c r="BI33" s="422">
        <f>VLOOKUP(RIGHT($A33,LEN($A33)-4),[1]Sheet1!$2:$65536,MATCH(BI$3,[1]Sheet1!$2:$2,0),FALSE)</f>
        <v>1.1234490332522551E-2</v>
      </c>
      <c r="BJ33" s="422">
        <f>VLOOKUP(RIGHT($A33,LEN($A33)-4),[1]Sheet1!$2:$65536,MATCH(BJ$3,[1]Sheet1!$2:$2,0),FALSE)</f>
        <v>1.1234490332522551E-2</v>
      </c>
      <c r="BK33" s="422">
        <f>VLOOKUP(RIGHT($A33,LEN($A33)-4),[1]Sheet1!$2:$65536,MATCH(BK$3,[1]Sheet1!$2:$2,0),FALSE)</f>
        <v>1.1234490332522551E-2</v>
      </c>
      <c r="BL33" s="422">
        <f>VLOOKUP(RIGHT($A33,LEN($A33)-4),[1]Sheet1!$2:$65536,MATCH(BL$3,[1]Sheet1!$2:$2,0),FALSE)</f>
        <v>1.1234490332522551E-2</v>
      </c>
      <c r="BM33" s="422">
        <f>VLOOKUP(RIGHT($A33,LEN($A33)-4),[1]Sheet1!$2:$65536,MATCH(BM$3,[1]Sheet1!$2:$2,0),FALSE)</f>
        <v>1.1234490332522551E-2</v>
      </c>
      <c r="BN33" s="422">
        <f>VLOOKUP(RIGHT($A33,LEN($A33)-4),[1]Sheet1!$2:$65536,MATCH(BN$3,[1]Sheet1!$2:$2,0),FALSE)</f>
        <v>1.1234490332522551E-2</v>
      </c>
      <c r="BO33" s="422">
        <f>VLOOKUP(RIGHT($A33,LEN($A33)-4),[1]Sheet1!$2:$65536,MATCH(BO$3,[1]Sheet1!$2:$2,0),FALSE)</f>
        <v>1.1234490332522551E-2</v>
      </c>
      <c r="BP33" s="422">
        <f>VLOOKUP(RIGHT($A33,LEN($A33)-4),[1]Sheet1!$2:$65536,MATCH(BP$3,[1]Sheet1!$2:$2,0),FALSE)</f>
        <v>1.1234490332522551E-2</v>
      </c>
      <c r="BQ33" s="422">
        <f>VLOOKUP(RIGHT($A33,LEN($A33)-4),[1]Sheet1!$2:$65536,MATCH(BQ$3,[1]Sheet1!$2:$2,0),FALSE)</f>
        <v>1.1234490332522551E-2</v>
      </c>
      <c r="BR33" s="162"/>
      <c r="BS33" s="422"/>
      <c r="BT33" s="422"/>
      <c r="BU33" s="422"/>
      <c r="BV33" s="422"/>
      <c r="BW33" s="422"/>
      <c r="BX33" s="422"/>
      <c r="BY33" s="422"/>
      <c r="BZ33" s="422"/>
      <c r="CA33" s="422"/>
      <c r="CB33" s="42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285"/>
      <c r="CN33" s="285"/>
      <c r="CO33" s="285"/>
      <c r="CP33" s="285"/>
      <c r="CQ33" s="285"/>
      <c r="CR33" s="285"/>
      <c r="CS33" s="285"/>
      <c r="CT33" s="504">
        <f>VLOOKUP(RIGHT("ASS_12MoSystemNZNHCg",LEN("ASS_12MoSystemNZNHCg")-4),[1]Sheet1!$2:$65536,MATCH(CT$3,[1]Sheet1!$2:$2,0),FALSE)</f>
        <v>3.9914945075213648E-2</v>
      </c>
      <c r="CU33" s="504">
        <f>VLOOKUP(RIGHT("ASS_12MoSystemNZNHCg",LEN("ASS_12MoSystemNZNHCg")-4),[1]Sheet1!$2:$65536,MATCH(CU$3,[1]Sheet1!$2:$2,0),FALSE)</f>
        <v>1.4751477546883773E-2</v>
      </c>
      <c r="CV33" s="504">
        <f>VLOOKUP(RIGHT("ASS_12MoSystemNZNHCg",LEN("ASS_12MoSystemNZNHCg")-4),[1]Sheet1!$2:$65536,MATCH(CV$3,[1]Sheet1!$2:$2,0),FALSE)</f>
        <v>-3.7933275629708718E-2</v>
      </c>
      <c r="CW33" s="504">
        <f>VLOOKUP(RIGHT("ASS_12MoSystemNZNHCg",LEN("ASS_12MoSystemNZNHCg")-4),[1]Sheet1!$2:$65536,MATCH(CW$3,[1]Sheet1!$2:$2,0),FALSE)</f>
        <v>3.5899050846962322E-2</v>
      </c>
      <c r="CX33" s="504">
        <f>VLOOKUP(RIGHT("ASS_12MoSystemNZNHCg",LEN("ASS_12MoSystemNZNHCg")-4),[1]Sheet1!$2:$65536,MATCH(CX$3,[1]Sheet1!$2:$2,0),FALSE)</f>
        <v>1.5955874856032892E-2</v>
      </c>
      <c r="CY33" s="504">
        <f>VLOOKUP(RIGHT("ASS_12MoSystemNZNHCg",LEN("ASS_12MoSystemNZNHCg")-4),[1]Sheet1!$2:$65536,MATCH(CY$3,[1]Sheet1!$2:$2,0),FALSE)</f>
        <v>1.377771536286776E-2</v>
      </c>
      <c r="CZ33" s="286">
        <f t="shared" si="66"/>
        <v>2.279011278425247E-2</v>
      </c>
      <c r="DA33" s="162">
        <f t="shared" si="75"/>
        <v>4.4496482963444661E-2</v>
      </c>
      <c r="DB33" s="162">
        <f t="shared" si="67"/>
        <v>2.2595194438076671E-2</v>
      </c>
      <c r="DC33" s="162">
        <f t="shared" si="68"/>
        <v>2.2595194438076671E-2</v>
      </c>
      <c r="DD33" s="162">
        <f t="shared" si="69"/>
        <v>2.2595194438076671E-2</v>
      </c>
      <c r="DE33" s="162">
        <f t="shared" si="70"/>
        <v>2.2595194438076671E-2</v>
      </c>
      <c r="DF33" s="162">
        <f t="shared" si="71"/>
        <v>2.2595194438076671E-2</v>
      </c>
      <c r="DG33" s="162">
        <f t="shared" si="72"/>
        <v>2.2595194438076671E-2</v>
      </c>
      <c r="DH33" s="162">
        <f t="shared" si="73"/>
        <v>2.2595194438076671E-2</v>
      </c>
      <c r="DI33" s="162">
        <f t="shared" si="74"/>
        <v>2.2595194438076671E-2</v>
      </c>
    </row>
    <row r="34" spans="1:113" ht="12" hidden="1" outlineLevel="2">
      <c r="A34" s="1" t="s">
        <v>845</v>
      </c>
      <c r="B34" s="19" t="s">
        <v>316</v>
      </c>
      <c r="C34" s="408"/>
      <c r="D34" s="408"/>
      <c r="E34" s="408"/>
      <c r="F34" s="408"/>
      <c r="G34" s="408"/>
      <c r="H34" s="408"/>
      <c r="I34" s="408"/>
      <c r="J34" s="408"/>
      <c r="K34" s="408"/>
      <c r="L34" s="408"/>
      <c r="M34" s="408"/>
      <c r="N34" s="408"/>
      <c r="O34" s="408"/>
      <c r="P34" s="408"/>
      <c r="Q34" s="408"/>
      <c r="R34" s="408"/>
      <c r="S34" s="408"/>
      <c r="T34" s="394"/>
      <c r="U34" s="408"/>
      <c r="V34" s="408"/>
      <c r="W34" s="408"/>
      <c r="X34" s="408"/>
      <c r="Y34" s="394"/>
      <c r="Z34" s="394"/>
      <c r="AA34" s="394"/>
      <c r="AB34" s="394"/>
      <c r="AC34" s="394"/>
      <c r="AD34" s="394"/>
      <c r="AE34" s="394"/>
      <c r="AF34" s="394"/>
      <c r="AG34" s="394"/>
      <c r="AH34" s="394"/>
      <c r="AI34" s="394"/>
      <c r="AJ34" s="394"/>
      <c r="AK34" s="394"/>
      <c r="AL34" s="394"/>
      <c r="AM34" s="394"/>
      <c r="AN34" s="394"/>
      <c r="AO34" s="394"/>
      <c r="AP34" s="427"/>
      <c r="AQ34" s="427"/>
      <c r="AR34" s="427"/>
      <c r="AS34" s="427"/>
      <c r="AT34" s="427"/>
      <c r="AU34" s="427"/>
      <c r="AV34" s="427"/>
      <c r="AW34" s="427"/>
      <c r="AX34" s="427"/>
      <c r="AY34" s="427">
        <f t="shared" ref="AY34:BG35" si="76">AX34</f>
        <v>0</v>
      </c>
      <c r="AZ34" s="393">
        <f t="shared" si="76"/>
        <v>0</v>
      </c>
      <c r="BA34" s="386">
        <f t="shared" si="76"/>
        <v>0</v>
      </c>
      <c r="BB34" s="386">
        <f t="shared" si="76"/>
        <v>0</v>
      </c>
      <c r="BC34" s="386">
        <f t="shared" si="76"/>
        <v>0</v>
      </c>
      <c r="BD34" s="386">
        <f t="shared" si="76"/>
        <v>0</v>
      </c>
      <c r="BE34" s="386">
        <f t="shared" si="76"/>
        <v>0</v>
      </c>
      <c r="BF34" s="386">
        <f t="shared" si="76"/>
        <v>0</v>
      </c>
      <c r="BG34" s="386">
        <f t="shared" si="76"/>
        <v>0</v>
      </c>
      <c r="BH34" s="386">
        <f t="shared" ref="BH34:BH35" si="77">BG34</f>
        <v>0</v>
      </c>
      <c r="BI34" s="386">
        <f t="shared" ref="BI34:BI35" si="78">BH34</f>
        <v>0</v>
      </c>
      <c r="BJ34" s="386">
        <f t="shared" ref="BJ34:BJ35" si="79">BI34</f>
        <v>0</v>
      </c>
      <c r="BK34" s="386">
        <f t="shared" ref="BK34:BK35" si="80">BJ34</f>
        <v>0</v>
      </c>
      <c r="BL34" s="386">
        <f t="shared" ref="BL34:BL35" si="81">BK34</f>
        <v>0</v>
      </c>
      <c r="BM34" s="386">
        <f t="shared" ref="BM34:BM35" si="82">BL34</f>
        <v>0</v>
      </c>
      <c r="BN34" s="386">
        <f t="shared" ref="BN34:BN35" si="83">BM34</f>
        <v>0</v>
      </c>
      <c r="BO34" s="386">
        <f t="shared" ref="BO34:BO35" si="84">BN34</f>
        <v>0</v>
      </c>
      <c r="BP34" s="386">
        <f t="shared" ref="BP34:BP35" si="85">BO34</f>
        <v>0</v>
      </c>
      <c r="BQ34" s="386">
        <f t="shared" ref="BQ34:BQ35" si="86">BP34</f>
        <v>0</v>
      </c>
      <c r="BR34" s="162"/>
      <c r="BS34" s="422"/>
      <c r="BT34" s="422"/>
      <c r="BU34" s="422"/>
      <c r="BV34" s="422"/>
      <c r="BW34" s="422"/>
      <c r="BX34" s="422"/>
      <c r="BY34" s="422"/>
      <c r="BZ34" s="422"/>
      <c r="CA34" s="422"/>
      <c r="CB34" s="42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285"/>
      <c r="CN34" s="285"/>
      <c r="CO34" s="285"/>
      <c r="CP34" s="285"/>
      <c r="CQ34" s="285"/>
      <c r="CR34" s="285"/>
      <c r="CS34" s="285"/>
      <c r="CT34" s="427"/>
      <c r="CU34" s="427"/>
      <c r="CV34" s="427"/>
      <c r="CW34" s="427"/>
      <c r="CX34" s="427"/>
      <c r="CY34" s="427"/>
      <c r="CZ34" s="286">
        <f t="shared" si="66"/>
        <v>0</v>
      </c>
      <c r="DA34" s="162">
        <f t="shared" si="75"/>
        <v>0</v>
      </c>
      <c r="DB34" s="162">
        <f t="shared" si="67"/>
        <v>0</v>
      </c>
      <c r="DC34" s="162">
        <f t="shared" si="68"/>
        <v>0</v>
      </c>
      <c r="DD34" s="162">
        <f t="shared" si="69"/>
        <v>0</v>
      </c>
      <c r="DE34" s="162">
        <f t="shared" si="70"/>
        <v>0</v>
      </c>
      <c r="DF34" s="162">
        <f t="shared" si="71"/>
        <v>0</v>
      </c>
      <c r="DG34" s="162">
        <f t="shared" si="72"/>
        <v>0</v>
      </c>
      <c r="DH34" s="162">
        <f t="shared" si="73"/>
        <v>0</v>
      </c>
      <c r="DI34" s="162">
        <f t="shared" si="74"/>
        <v>0</v>
      </c>
    </row>
    <row r="35" spans="1:113" ht="12" hidden="1" outlineLevel="2">
      <c r="A35" s="1" t="s">
        <v>846</v>
      </c>
      <c r="B35" s="19" t="s">
        <v>317</v>
      </c>
      <c r="C35" s="408"/>
      <c r="D35" s="408"/>
      <c r="E35" s="408"/>
      <c r="F35" s="408"/>
      <c r="G35" s="408"/>
      <c r="H35" s="408"/>
      <c r="I35" s="408"/>
      <c r="J35" s="408"/>
      <c r="K35" s="408"/>
      <c r="L35" s="408"/>
      <c r="M35" s="408"/>
      <c r="N35" s="408"/>
      <c r="O35" s="408"/>
      <c r="P35" s="408"/>
      <c r="Q35" s="408"/>
      <c r="R35" s="408"/>
      <c r="S35" s="408"/>
      <c r="T35" s="394"/>
      <c r="U35" s="408"/>
      <c r="V35" s="408"/>
      <c r="W35" s="408"/>
      <c r="X35" s="408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427"/>
      <c r="AQ35" s="427"/>
      <c r="AR35" s="427"/>
      <c r="AS35" s="427"/>
      <c r="AT35" s="427"/>
      <c r="AU35" s="427"/>
      <c r="AV35" s="427"/>
      <c r="AW35" s="427"/>
      <c r="AX35" s="427"/>
      <c r="AY35" s="427">
        <f t="shared" si="76"/>
        <v>0</v>
      </c>
      <c r="AZ35" s="393">
        <f t="shared" si="76"/>
        <v>0</v>
      </c>
      <c r="BA35" s="386">
        <f t="shared" si="76"/>
        <v>0</v>
      </c>
      <c r="BB35" s="386">
        <f t="shared" si="76"/>
        <v>0</v>
      </c>
      <c r="BC35" s="386">
        <f t="shared" si="76"/>
        <v>0</v>
      </c>
      <c r="BD35" s="386">
        <f t="shared" si="76"/>
        <v>0</v>
      </c>
      <c r="BE35" s="386">
        <f t="shared" si="76"/>
        <v>0</v>
      </c>
      <c r="BF35" s="386">
        <f t="shared" si="76"/>
        <v>0</v>
      </c>
      <c r="BG35" s="386">
        <f t="shared" si="76"/>
        <v>0</v>
      </c>
      <c r="BH35" s="386">
        <f t="shared" si="77"/>
        <v>0</v>
      </c>
      <c r="BI35" s="386">
        <f t="shared" si="78"/>
        <v>0</v>
      </c>
      <c r="BJ35" s="386">
        <f t="shared" si="79"/>
        <v>0</v>
      </c>
      <c r="BK35" s="386">
        <f t="shared" si="80"/>
        <v>0</v>
      </c>
      <c r="BL35" s="386">
        <f t="shared" si="81"/>
        <v>0</v>
      </c>
      <c r="BM35" s="386">
        <f t="shared" si="82"/>
        <v>0</v>
      </c>
      <c r="BN35" s="386">
        <f t="shared" si="83"/>
        <v>0</v>
      </c>
      <c r="BO35" s="386">
        <f t="shared" si="84"/>
        <v>0</v>
      </c>
      <c r="BP35" s="386">
        <f t="shared" si="85"/>
        <v>0</v>
      </c>
      <c r="BQ35" s="386">
        <f t="shared" si="86"/>
        <v>0</v>
      </c>
      <c r="BR35" s="162"/>
      <c r="BS35" s="422"/>
      <c r="BT35" s="422"/>
      <c r="BU35" s="422"/>
      <c r="BV35" s="422"/>
      <c r="BW35" s="422"/>
      <c r="BX35" s="422"/>
      <c r="BY35" s="422"/>
      <c r="BZ35" s="422"/>
      <c r="CA35" s="422"/>
      <c r="CB35" s="42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285"/>
      <c r="CN35" s="285"/>
      <c r="CO35" s="285"/>
      <c r="CP35" s="285"/>
      <c r="CQ35" s="285"/>
      <c r="CR35" s="285"/>
      <c r="CS35" s="285"/>
      <c r="CT35" s="427"/>
      <c r="CU35" s="427"/>
      <c r="CV35" s="427"/>
      <c r="CW35" s="427"/>
      <c r="CX35" s="427"/>
      <c r="CY35" s="427"/>
      <c r="CZ35" s="286">
        <f t="shared" si="66"/>
        <v>0</v>
      </c>
      <c r="DA35" s="162">
        <f t="shared" si="75"/>
        <v>0</v>
      </c>
      <c r="DB35" s="162">
        <f t="shared" si="67"/>
        <v>0</v>
      </c>
      <c r="DC35" s="162">
        <f t="shared" si="68"/>
        <v>0</v>
      </c>
      <c r="DD35" s="162">
        <f t="shared" si="69"/>
        <v>0</v>
      </c>
      <c r="DE35" s="162">
        <f t="shared" si="70"/>
        <v>0</v>
      </c>
      <c r="DF35" s="162">
        <f t="shared" si="71"/>
        <v>0</v>
      </c>
      <c r="DG35" s="162">
        <f t="shared" si="72"/>
        <v>0</v>
      </c>
      <c r="DH35" s="162">
        <f t="shared" si="73"/>
        <v>0</v>
      </c>
      <c r="DI35" s="162">
        <f t="shared" si="74"/>
        <v>0</v>
      </c>
    </row>
    <row r="36" spans="1:113" ht="12" hidden="1" outlineLevel="1" collapsed="1">
      <c r="C36" s="408"/>
      <c r="D36" s="408"/>
      <c r="E36" s="408"/>
      <c r="F36" s="408"/>
      <c r="G36" s="408"/>
      <c r="H36" s="408"/>
      <c r="I36" s="408"/>
      <c r="J36" s="408"/>
      <c r="K36" s="408"/>
      <c r="L36" s="408"/>
      <c r="M36" s="408"/>
      <c r="N36" s="408"/>
      <c r="O36" s="408"/>
      <c r="P36" s="408"/>
      <c r="Q36" s="408"/>
      <c r="R36" s="408"/>
      <c r="S36" s="408"/>
      <c r="T36" s="394"/>
      <c r="U36" s="408"/>
      <c r="V36" s="408"/>
      <c r="W36" s="408"/>
      <c r="X36" s="408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6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285"/>
      <c r="CN36" s="285"/>
      <c r="CO36" s="285"/>
      <c r="CP36" s="285"/>
      <c r="CQ36" s="285"/>
      <c r="CR36" s="285"/>
      <c r="CS36" s="285"/>
      <c r="CT36" s="285"/>
      <c r="CU36" s="285"/>
      <c r="CV36" s="285"/>
      <c r="CW36" s="285"/>
      <c r="CX36" s="285"/>
      <c r="CY36" s="285"/>
      <c r="CZ36" s="286"/>
      <c r="DA36" s="162"/>
      <c r="DB36" s="162"/>
      <c r="DC36" s="162"/>
      <c r="DD36" s="162"/>
      <c r="DE36" s="162"/>
      <c r="DF36" s="162"/>
      <c r="DG36" s="162"/>
      <c r="DH36" s="162"/>
      <c r="DI36" s="162"/>
    </row>
    <row r="37" spans="1:113" ht="12" hidden="1" outlineLevel="1">
      <c r="B37" s="24" t="s">
        <v>321</v>
      </c>
      <c r="C37" s="408"/>
      <c r="D37" s="408"/>
      <c r="E37" s="408"/>
      <c r="F37" s="408"/>
      <c r="G37" s="408"/>
      <c r="H37" s="408"/>
      <c r="I37" s="408"/>
      <c r="J37" s="408"/>
      <c r="K37" s="408"/>
      <c r="L37" s="408"/>
      <c r="M37" s="408"/>
      <c r="N37" s="408"/>
      <c r="O37" s="408"/>
      <c r="P37" s="408"/>
      <c r="Q37" s="408"/>
      <c r="R37" s="408"/>
      <c r="S37" s="408"/>
      <c r="T37" s="394"/>
      <c r="U37" s="408"/>
      <c r="V37" s="408"/>
      <c r="W37" s="408"/>
      <c r="X37" s="408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6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285"/>
      <c r="CN37" s="285"/>
      <c r="CO37" s="285"/>
      <c r="CP37" s="285"/>
      <c r="CQ37" s="285"/>
      <c r="CR37" s="285"/>
      <c r="CS37" s="285"/>
      <c r="CT37" s="285"/>
      <c r="CU37" s="285"/>
      <c r="CV37" s="285"/>
      <c r="CW37" s="285"/>
      <c r="CX37" s="285"/>
      <c r="CY37" s="285"/>
      <c r="CZ37" s="286"/>
      <c r="DA37" s="162"/>
      <c r="DB37" s="162"/>
      <c r="DC37" s="162"/>
      <c r="DD37" s="162"/>
      <c r="DE37" s="162"/>
      <c r="DF37" s="162"/>
      <c r="DG37" s="162"/>
      <c r="DH37" s="162"/>
      <c r="DI37" s="162"/>
    </row>
    <row r="38" spans="1:113" ht="12" hidden="1" outlineLevel="1">
      <c r="A38" s="1" t="s">
        <v>847</v>
      </c>
      <c r="B38" s="19" t="s">
        <v>322</v>
      </c>
      <c r="C38" s="408"/>
      <c r="D38" s="408"/>
      <c r="E38" s="408"/>
      <c r="F38" s="408"/>
      <c r="G38" s="408"/>
      <c r="H38" s="408"/>
      <c r="I38" s="408"/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394"/>
      <c r="U38" s="408"/>
      <c r="V38" s="408"/>
      <c r="W38" s="408"/>
      <c r="X38" s="408"/>
      <c r="Y38" s="394"/>
      <c r="Z38" s="394"/>
      <c r="AA38" s="394"/>
      <c r="AB38" s="394"/>
      <c r="AC38" s="394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4"/>
      <c r="AP38" s="504">
        <f>VLOOKUP(RIGHT($A38,LEN($A38)-4),[1]Sheet1!$2:$65536,MATCH(AP$3,[1]Sheet1!$2:$2,0),FALSE)</f>
        <v>0.13201339659805078</v>
      </c>
      <c r="AQ38" s="504">
        <f>VLOOKUP(RIGHT($A38,LEN($A38)-4),[1]Sheet1!$2:$65536,MATCH(AQ$3,[1]Sheet1!$2:$2,0),FALSE)</f>
        <v>0.12895116438882104</v>
      </c>
      <c r="AR38" s="504">
        <f>VLOOKUP(RIGHT($A38,LEN($A38)-4),[1]Sheet1!$2:$65536,MATCH(AR$3,[1]Sheet1!$2:$2,0),FALSE)</f>
        <v>3.8410009244964849E-2</v>
      </c>
      <c r="AS38" s="504">
        <f>VLOOKUP(RIGHT($A38,LEN($A38)-4),[1]Sheet1!$2:$65536,MATCH(AS$3,[1]Sheet1!$2:$2,0),FALSE)</f>
        <v>-9.9272091270705007E-2</v>
      </c>
      <c r="AT38" s="504">
        <f>VLOOKUP(RIGHT($A38,LEN($A38)-4),[1]Sheet1!$2:$65536,MATCH(AT$3,[1]Sheet1!$2:$2,0),FALSE)</f>
        <v>9.8227906271230334E-2</v>
      </c>
      <c r="AU38" s="504">
        <f>VLOOKUP(RIGHT($A38,LEN($A38)-4),[1]Sheet1!$2:$65536,MATCH(AU$3,[1]Sheet1!$2:$2,0),FALSE)</f>
        <v>4.5119990913830899E-2</v>
      </c>
      <c r="AV38" s="504">
        <f>VLOOKUP(RIGHT($A38,LEN($A38)-4),[1]Sheet1!$2:$65536,MATCH(AV$3,[1]Sheet1!$2:$2,0),FALSE)</f>
        <v>7.5653975241849913E-2</v>
      </c>
      <c r="AW38" s="504">
        <f>VLOOKUP(RIGHT($A38,LEN($A38)-4),[1]Sheet1!$2:$65536,MATCH(AW$3,[1]Sheet1!$2:$2,0),FALSE)</f>
        <v>4.2190024012100258E-2</v>
      </c>
      <c r="AX38" s="504">
        <f>VLOOKUP(RIGHT($A38,LEN($A38)-4),[1]Sheet1!$2:$65536,MATCH(AX$3,[1]Sheet1!$2:$2,0),FALSE)</f>
        <v>6.9288641933914707E-2</v>
      </c>
      <c r="AY38" s="504">
        <f>VLOOKUP(RIGHT($A38,LEN($A38)-4),[1]Sheet1!$2:$65536,MATCH(AY$3,[1]Sheet1!$2:$2,0),FALSE)</f>
        <v>6.4367049738376814E-2</v>
      </c>
      <c r="AZ38" s="557">
        <f>VLOOKUP(RIGHT($A38,LEN($A38)-4),[1]Sheet1!$2:$65536,MATCH(AZ$3,[1]Sheet1!$2:$2,0),FALSE)</f>
        <v>3.6484951277578892E-2</v>
      </c>
      <c r="BA38" s="422">
        <f>VLOOKUP(RIGHT($A38,LEN($A38)-4),[1]Sheet1!$2:$65536,MATCH(BA$3,[1]Sheet1!$2:$2,0),FALSE)</f>
        <v>5.062499999999992E-2</v>
      </c>
      <c r="BB38" s="422">
        <f>VLOOKUP(RIGHT($A38,LEN($A38)-4),[1]Sheet1!$2:$65536,MATCH(BB$3,[1]Sheet1!$2:$2,0),FALSE)</f>
        <v>5.062499999999992E-2</v>
      </c>
      <c r="BC38" s="422">
        <f>VLOOKUP(RIGHT($A38,LEN($A38)-4),[1]Sheet1!$2:$65536,MATCH(BC$3,[1]Sheet1!$2:$2,0),FALSE)</f>
        <v>5.062499999999992E-2</v>
      </c>
      <c r="BD38" s="422">
        <f>VLOOKUP(RIGHT($A38,LEN($A38)-4),[1]Sheet1!$2:$65536,MATCH(BD$3,[1]Sheet1!$2:$2,0),FALSE)</f>
        <v>5.062499999999992E-2</v>
      </c>
      <c r="BE38" s="422">
        <f>VLOOKUP(RIGHT($A38,LEN($A38)-4),[1]Sheet1!$2:$65536,MATCH(BE$3,[1]Sheet1!$2:$2,0),FALSE)</f>
        <v>5.062499999999992E-2</v>
      </c>
      <c r="BF38" s="422">
        <f>VLOOKUP(RIGHT($A38,LEN($A38)-4),[1]Sheet1!$2:$65536,MATCH(BF$3,[1]Sheet1!$2:$2,0),FALSE)</f>
        <v>5.062499999999992E-2</v>
      </c>
      <c r="BG38" s="422">
        <f>VLOOKUP(RIGHT($A38,LEN($A38)-4),[1]Sheet1!$2:$65536,MATCH(BG$3,[1]Sheet1!$2:$2,0),FALSE)</f>
        <v>5.062499999999992E-2</v>
      </c>
      <c r="BH38" s="422">
        <f>VLOOKUP(RIGHT($A38,LEN($A38)-4),[1]Sheet1!$2:$65536,MATCH(BH$3,[1]Sheet1!$2:$2,0),FALSE)</f>
        <v>5.062499999999992E-2</v>
      </c>
      <c r="BI38" s="422">
        <f>VLOOKUP(RIGHT($A38,LEN($A38)-4),[1]Sheet1!$2:$65536,MATCH(BI$3,[1]Sheet1!$2:$2,0),FALSE)</f>
        <v>5.062499999999992E-2</v>
      </c>
      <c r="BJ38" s="422">
        <f>VLOOKUP(RIGHT($A38,LEN($A38)-4),[1]Sheet1!$2:$65536,MATCH(BJ$3,[1]Sheet1!$2:$2,0),FALSE)</f>
        <v>5.062499999999992E-2</v>
      </c>
      <c r="BK38" s="422">
        <f>VLOOKUP(RIGHT($A38,LEN($A38)-4),[1]Sheet1!$2:$65536,MATCH(BK$3,[1]Sheet1!$2:$2,0),FALSE)</f>
        <v>5.062499999999992E-2</v>
      </c>
      <c r="BL38" s="422">
        <f>VLOOKUP(RIGHT($A38,LEN($A38)-4),[1]Sheet1!$2:$65536,MATCH(BL$3,[1]Sheet1!$2:$2,0),FALSE)</f>
        <v>5.062499999999992E-2</v>
      </c>
      <c r="BM38" s="422">
        <f>VLOOKUP(RIGHT($A38,LEN($A38)-4),[1]Sheet1!$2:$65536,MATCH(BM$3,[1]Sheet1!$2:$2,0),FALSE)</f>
        <v>5.062499999999992E-2</v>
      </c>
      <c r="BN38" s="422">
        <f>VLOOKUP(RIGHT($A38,LEN($A38)-4),[1]Sheet1!$2:$65536,MATCH(BN$3,[1]Sheet1!$2:$2,0),FALSE)</f>
        <v>5.062499999999992E-2</v>
      </c>
      <c r="BO38" s="422">
        <f>VLOOKUP(RIGHT($A38,LEN($A38)-4),[1]Sheet1!$2:$65536,MATCH(BO$3,[1]Sheet1!$2:$2,0),FALSE)</f>
        <v>5.062499999999992E-2</v>
      </c>
      <c r="BP38" s="422">
        <f>VLOOKUP(RIGHT($A38,LEN($A38)-4),[1]Sheet1!$2:$65536,MATCH(BP$3,[1]Sheet1!$2:$2,0),FALSE)</f>
        <v>5.062499999999992E-2</v>
      </c>
      <c r="BQ38" s="422">
        <f>VLOOKUP(RIGHT($A38,LEN($A38)-4),[1]Sheet1!$2:$65536,MATCH(BQ$3,[1]Sheet1!$2:$2,0),FALSE)</f>
        <v>5.062499999999992E-2</v>
      </c>
      <c r="BR38" s="422"/>
      <c r="BS38" s="422"/>
      <c r="BT38" s="422"/>
      <c r="BU38" s="422"/>
      <c r="BV38" s="422"/>
      <c r="BW38" s="422"/>
      <c r="BX38" s="422"/>
      <c r="BY38" s="422"/>
      <c r="BZ38" s="422"/>
      <c r="CA38" s="422"/>
      <c r="CB38" s="42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285"/>
      <c r="CN38" s="285"/>
      <c r="CO38" s="285"/>
      <c r="CP38" s="285"/>
      <c r="CQ38" s="285"/>
      <c r="CR38" s="285"/>
      <c r="CS38" s="285"/>
      <c r="CT38" s="504">
        <f>VLOOKUP(RIGHT("ASS_12MoASX200AIg",LEN("ASS_12MoASX200AIg")-4),[1]Sheet1!$2:$65536,MATCH(CT$3,[1]Sheet1!$2:$2,0),FALSE)</f>
        <v>0.11546989028828293</v>
      </c>
      <c r="CU38" s="504">
        <f>VLOOKUP(RIGHT("ASS_12MoASX200AIg",LEN("ASS_12MoASX200AIg")-4),[1]Sheet1!$2:$65536,MATCH(CU$3,[1]Sheet1!$2:$2,0),FALSE)</f>
        <v>-7.680739379698176E-2</v>
      </c>
      <c r="CV38" s="504">
        <f>VLOOKUP(RIGHT("ASS_12MoASX200AIg",LEN("ASS_12MoASX200AIg")-4),[1]Sheet1!$2:$65536,MATCH(CV$3,[1]Sheet1!$2:$2,0),FALSE)</f>
        <v>0.27798784219311368</v>
      </c>
      <c r="CW38" s="504">
        <f>VLOOKUP(RIGHT("ASS_12MoASX200AIg",LEN("ASS_12MoASX200AIg")-4),[1]Sheet1!$2:$65536,MATCH(CW$3,[1]Sheet1!$2:$2,0),FALSE)</f>
        <v>-6.4675123969214932E-2</v>
      </c>
      <c r="CX38" s="504">
        <f>VLOOKUP(RIGHT("ASS_12MoASX200AIg",LEN("ASS_12MoASX200AIg")-4),[1]Sheet1!$2:$65536,MATCH(CX$3,[1]Sheet1!$2:$2,0),FALSE)</f>
        <v>0.14777993942350376</v>
      </c>
      <c r="CY38" s="504">
        <f>VLOOKUP(RIGHT("ASS_12MoASX200AIg",LEN("ASS_12MoASX200AIg")-4),[1]Sheet1!$2:$65536,MATCH(CY$3,[1]Sheet1!$2:$2,0),FALSE)</f>
        <v>0.12103584228601472</v>
      </c>
      <c r="CZ38" s="286">
        <f>(1+AX38)*(1+AY38)-1</f>
        <v>0.13811559713395649</v>
      </c>
      <c r="DA38" s="162">
        <f t="shared" ref="DA38:DA40" si="87">(1+AZ38)*(1+BA38)-1</f>
        <v>8.8957001936006197E-2</v>
      </c>
      <c r="DB38" s="162">
        <f>(1+BB38)*(1+BC38)-1</f>
        <v>0.10381289062499977</v>
      </c>
      <c r="DC38" s="162">
        <f>(1+BD38)*(1+BE38)-1</f>
        <v>0.10381289062499977</v>
      </c>
      <c r="DD38" s="162">
        <f>(1+BF38)*(1+BG38)-1</f>
        <v>0.10381289062499977</v>
      </c>
      <c r="DE38" s="162">
        <f>(1+BH38)*(1+BI38)-1</f>
        <v>0.10381289062499977</v>
      </c>
      <c r="DF38" s="162">
        <f>(1+BJ38)*(1+BK38)-1</f>
        <v>0.10381289062499977</v>
      </c>
      <c r="DG38" s="162">
        <f>(1+BL38)*(1+BM38)-1</f>
        <v>0.10381289062499977</v>
      </c>
      <c r="DH38" s="162">
        <f>(1+BN38)*(1+BO38)-1</f>
        <v>0.10381289062499977</v>
      </c>
      <c r="DI38" s="162">
        <f>(1+BP38)*(1+BQ38)-1</f>
        <v>0.10381289062499977</v>
      </c>
    </row>
    <row r="39" spans="1:113" ht="12" hidden="1" outlineLevel="1">
      <c r="A39" s="1" t="s">
        <v>848</v>
      </c>
      <c r="B39" s="19" t="s">
        <v>323</v>
      </c>
      <c r="C39" s="408"/>
      <c r="D39" s="408"/>
      <c r="E39" s="408"/>
      <c r="F39" s="408"/>
      <c r="G39" s="408"/>
      <c r="H39" s="408"/>
      <c r="I39" s="408"/>
      <c r="J39" s="408"/>
      <c r="K39" s="408"/>
      <c r="L39" s="408"/>
      <c r="M39" s="408"/>
      <c r="N39" s="408"/>
      <c r="O39" s="408"/>
      <c r="P39" s="408"/>
      <c r="Q39" s="408"/>
      <c r="R39" s="408"/>
      <c r="S39" s="408"/>
      <c r="T39" s="394"/>
      <c r="U39" s="408"/>
      <c r="V39" s="408"/>
      <c r="W39" s="408"/>
      <c r="X39" s="408"/>
      <c r="Y39" s="394"/>
      <c r="Z39" s="394"/>
      <c r="AA39" s="394"/>
      <c r="AB39" s="394"/>
      <c r="AC39" s="394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4"/>
      <c r="AP39" s="504">
        <f>VLOOKUP(RIGHT($A39,LEN($A39)-4),[1]Sheet1!$2:$65536,MATCH(AP$3,[1]Sheet1!$2:$2,0),FALSE)</f>
        <v>9.193089689715217E-3</v>
      </c>
      <c r="AQ39" s="504">
        <f>VLOOKUP(RIGHT($A39,LEN($A39)-4),[1]Sheet1!$2:$65536,MATCH(AQ$3,[1]Sheet1!$2:$2,0),FALSE)</f>
        <v>-1.7431704668777415E-2</v>
      </c>
      <c r="AR39" s="504">
        <f>VLOOKUP(RIGHT($A39,LEN($A39)-4),[1]Sheet1!$2:$65536,MATCH(AR$3,[1]Sheet1!$2:$2,0),FALSE)</f>
        <v>-1.1515614398047158E-2</v>
      </c>
      <c r="AS39" s="504">
        <f>VLOOKUP(RIGHT($A39,LEN($A39)-4),[1]Sheet1!$2:$65536,MATCH(AS$3,[1]Sheet1!$2:$2,0),FALSE)</f>
        <v>-9.4632212575510355E-2</v>
      </c>
      <c r="AT39" s="504">
        <f>VLOOKUP(RIGHT($A39,LEN($A39)-4),[1]Sheet1!$2:$65536,MATCH(AT$3,[1]Sheet1!$2:$2,0),FALSE)</f>
        <v>-2.6852435963321541E-3</v>
      </c>
      <c r="AU39" s="504">
        <f>VLOOKUP(RIGHT($A39,LEN($A39)-4),[1]Sheet1!$2:$65536,MATCH(AU$3,[1]Sheet1!$2:$2,0),FALSE)</f>
        <v>1.513116203206244E-2</v>
      </c>
      <c r="AV39" s="504">
        <f>VLOOKUP(RIGHT($A39,LEN($A39)-4),[1]Sheet1!$2:$65536,MATCH(AV$3,[1]Sheet1!$2:$2,0),FALSE)</f>
        <v>3.4926840945133319E-2</v>
      </c>
      <c r="AW39" s="504">
        <f>VLOOKUP(RIGHT($A39,LEN($A39)-4),[1]Sheet1!$2:$65536,MATCH(AW$3,[1]Sheet1!$2:$2,0),FALSE)</f>
        <v>1.7883906472513367E-3</v>
      </c>
      <c r="AX39" s="504">
        <f>VLOOKUP(RIGHT($A39,LEN($A39)-4),[1]Sheet1!$2:$65536,MATCH(AX$3,[1]Sheet1!$2:$2,0),FALSE)</f>
        <v>2.7481457140412502E-2</v>
      </c>
      <c r="AY39" s="504">
        <f>VLOOKUP(RIGHT($A39,LEN($A39)-4),[1]Sheet1!$2:$65536,MATCH(AY$3,[1]Sheet1!$2:$2,0),FALSE)</f>
        <v>3.9544563103035557E-2</v>
      </c>
      <c r="AZ39" s="557">
        <f>VLOOKUP(RIGHT($A39,LEN($A39)-4),[1]Sheet1!$2:$65536,MATCH(AZ$3,[1]Sheet1!$2:$2,0),FALSE)</f>
        <v>-7.5112951004080442E-3</v>
      </c>
      <c r="BA39" s="422">
        <f>VLOOKUP(RIGHT($A39,LEN($A39)-4),[1]Sheet1!$2:$65536,MATCH(BA$3,[1]Sheet1!$2:$2,0),FALSE)</f>
        <v>2.8988333984375059E-2</v>
      </c>
      <c r="BB39" s="422">
        <f>VLOOKUP(RIGHT($A39,LEN($A39)-4),[1]Sheet1!$2:$65536,MATCH(BB$3,[1]Sheet1!$2:$2,0),FALSE)</f>
        <v>3.0098104492187305E-2</v>
      </c>
      <c r="BC39" s="422">
        <f>VLOOKUP(RIGHT($A39,LEN($A39)-4),[1]Sheet1!$2:$65536,MATCH(BC$3,[1]Sheet1!$2:$2,0),FALSE)</f>
        <v>3.0098104492187305E-2</v>
      </c>
      <c r="BD39" s="422">
        <f>VLOOKUP(RIGHT($A39,LEN($A39)-4),[1]Sheet1!$2:$65536,MATCH(BD$3,[1]Sheet1!$2:$2,0),FALSE)</f>
        <v>2.8829823242187524E-2</v>
      </c>
      <c r="BE39" s="422">
        <f>VLOOKUP(RIGHT($A39,LEN($A39)-4),[1]Sheet1!$2:$65536,MATCH(BE$3,[1]Sheet1!$2:$2,0),FALSE)</f>
        <v>2.819600000000011E-2</v>
      </c>
      <c r="BF39" s="422">
        <f>VLOOKUP(RIGHT($A39,LEN($A39)-4),[1]Sheet1!$2:$65536,MATCH(BF$3,[1]Sheet1!$2:$2,0),FALSE)</f>
        <v>2.819600000000011E-2</v>
      </c>
      <c r="BG39" s="422">
        <f>VLOOKUP(RIGHT($A39,LEN($A39)-4),[1]Sheet1!$2:$65536,MATCH(BG$3,[1]Sheet1!$2:$2,0),FALSE)</f>
        <v>2.819600000000011E-2</v>
      </c>
      <c r="BH39" s="422">
        <f>VLOOKUP(RIGHT($A39,LEN($A39)-4),[1]Sheet1!$2:$65536,MATCH(BH$3,[1]Sheet1!$2:$2,0),FALSE)</f>
        <v>2.819600000000011E-2</v>
      </c>
      <c r="BI39" s="422">
        <f>VLOOKUP(RIGHT($A39,LEN($A39)-4),[1]Sheet1!$2:$65536,MATCH(BI$3,[1]Sheet1!$2:$2,0),FALSE)</f>
        <v>2.819600000000011E-2</v>
      </c>
      <c r="BJ39" s="422">
        <f>VLOOKUP(RIGHT($A39,LEN($A39)-4),[1]Sheet1!$2:$65536,MATCH(BJ$3,[1]Sheet1!$2:$2,0),FALSE)</f>
        <v>2.819600000000011E-2</v>
      </c>
      <c r="BK39" s="422">
        <f>VLOOKUP(RIGHT($A39,LEN($A39)-4),[1]Sheet1!$2:$65536,MATCH(BK$3,[1]Sheet1!$2:$2,0),FALSE)</f>
        <v>2.819600000000011E-2</v>
      </c>
      <c r="BL39" s="422">
        <f>VLOOKUP(RIGHT($A39,LEN($A39)-4),[1]Sheet1!$2:$65536,MATCH(BL$3,[1]Sheet1!$2:$2,0),FALSE)</f>
        <v>2.819600000000011E-2</v>
      </c>
      <c r="BM39" s="422">
        <f>VLOOKUP(RIGHT($A39,LEN($A39)-4),[1]Sheet1!$2:$65536,MATCH(BM$3,[1]Sheet1!$2:$2,0),FALSE)</f>
        <v>2.819600000000011E-2</v>
      </c>
      <c r="BN39" s="422">
        <f>VLOOKUP(RIGHT($A39,LEN($A39)-4),[1]Sheet1!$2:$65536,MATCH(BN$3,[1]Sheet1!$2:$2,0),FALSE)</f>
        <v>2.819600000000011E-2</v>
      </c>
      <c r="BO39" s="422">
        <f>VLOOKUP(RIGHT($A39,LEN($A39)-4),[1]Sheet1!$2:$65536,MATCH(BO$3,[1]Sheet1!$2:$2,0),FALSE)</f>
        <v>2.819600000000011E-2</v>
      </c>
      <c r="BP39" s="422">
        <f>VLOOKUP(RIGHT($A39,LEN($A39)-4),[1]Sheet1!$2:$65536,MATCH(BP$3,[1]Sheet1!$2:$2,0),FALSE)</f>
        <v>2.819600000000011E-2</v>
      </c>
      <c r="BQ39" s="422">
        <f>VLOOKUP(RIGHT($A39,LEN($A39)-4),[1]Sheet1!$2:$65536,MATCH(BQ$3,[1]Sheet1!$2:$2,0),FALSE)</f>
        <v>2.819600000000011E-2</v>
      </c>
      <c r="BR39" s="422"/>
      <c r="BS39" s="422"/>
      <c r="BT39" s="422"/>
      <c r="BU39" s="422"/>
      <c r="BV39" s="422"/>
      <c r="BW39" s="422"/>
      <c r="BX39" s="422"/>
      <c r="BY39" s="422"/>
      <c r="BZ39" s="422"/>
      <c r="CA39" s="422"/>
      <c r="CB39" s="42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285"/>
      <c r="CN39" s="285"/>
      <c r="CO39" s="285"/>
      <c r="CP39" s="285"/>
      <c r="CQ39" s="285"/>
      <c r="CR39" s="285"/>
      <c r="CS39" s="285"/>
      <c r="CT39" s="504">
        <f>VLOOKUP(RIGHT("ASS_12MoFIg",LEN("ASS_12MoFIg")-4),[1]Sheet1!$2:$65536,MATCH(CT$3,[1]Sheet1!$2:$2,0),FALSE)</f>
        <v>9.5721511142349058E-2</v>
      </c>
      <c r="CU39" s="504">
        <f>VLOOKUP(RIGHT("ASS_12MoFIg",LEN("ASS_12MoFIg")-4),[1]Sheet1!$2:$65536,MATCH(CU$3,[1]Sheet1!$2:$2,0),FALSE)</f>
        <v>4.1800660149551083E-2</v>
      </c>
      <c r="CV39" s="504">
        <f>VLOOKUP(RIGHT("ASS_12MoFIg",LEN("ASS_12MoFIg")-4),[1]Sheet1!$2:$65536,MATCH(CV$3,[1]Sheet1!$2:$2,0),FALSE)</f>
        <v>-8.3988662035268113E-3</v>
      </c>
      <c r="CW39" s="504">
        <f>VLOOKUP(RIGHT("ASS_12MoFIg",LEN("ASS_12MoFIg")-4),[1]Sheet1!$2:$65536,MATCH(CW$3,[1]Sheet1!$2:$2,0),FALSE)</f>
        <v>-0.10505807890390395</v>
      </c>
      <c r="CX39" s="504">
        <f>VLOOKUP(RIGHT("ASS_12MoFIg",LEN("ASS_12MoFIg")-4),[1]Sheet1!$2:$65536,MATCH(CX$3,[1]Sheet1!$2:$2,0),FALSE)</f>
        <v>1.2405287579778657E-2</v>
      </c>
      <c r="CY39" s="504">
        <f>VLOOKUP(RIGHT("ASS_12MoFIg",LEN("ASS_12MoFIg")-4),[1]Sheet1!$2:$65536,MATCH(CY$3,[1]Sheet1!$2:$2,0),FALSE)</f>
        <v>3.6777694428068886E-2</v>
      </c>
      <c r="CZ39" s="286">
        <f>(1+AX39)*(1+AY39)-1</f>
        <v>6.8112762459500376E-2</v>
      </c>
      <c r="DA39" s="162">
        <f t="shared" si="87"/>
        <v>2.1259298952941208E-2</v>
      </c>
      <c r="DB39" s="162">
        <f>(1+BB39)*(1+BC39)-1</f>
        <v>6.110210487839729E-2</v>
      </c>
      <c r="DC39" s="162">
        <f>(1+BD39)*(1+BE39)-1</f>
        <v>5.7838708938324324E-2</v>
      </c>
      <c r="DD39" s="162">
        <f>(1+BF39)*(1+BG39)-1</f>
        <v>5.718701441600027E-2</v>
      </c>
      <c r="DE39" s="162">
        <f>(1+BH39)*(1+BI39)-1</f>
        <v>5.718701441600027E-2</v>
      </c>
      <c r="DF39" s="162">
        <f>(1+BJ39)*(1+BK39)-1</f>
        <v>5.718701441600027E-2</v>
      </c>
      <c r="DG39" s="162">
        <f>(1+BL39)*(1+BM39)-1</f>
        <v>5.718701441600027E-2</v>
      </c>
      <c r="DH39" s="162">
        <f>(1+BN39)*(1+BO39)-1</f>
        <v>5.718701441600027E-2</v>
      </c>
      <c r="DI39" s="162">
        <f>(1+BP39)*(1+BQ39)-1</f>
        <v>5.718701441600027E-2</v>
      </c>
    </row>
    <row r="40" spans="1:113" ht="12" hidden="1" outlineLevel="1">
      <c r="A40" s="1" t="s">
        <v>849</v>
      </c>
      <c r="B40" s="19" t="s">
        <v>324</v>
      </c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8"/>
      <c r="O40" s="408"/>
      <c r="P40" s="408"/>
      <c r="Q40" s="408"/>
      <c r="R40" s="408"/>
      <c r="S40" s="408"/>
      <c r="T40" s="394"/>
      <c r="U40" s="408"/>
      <c r="V40" s="408"/>
      <c r="W40" s="408"/>
      <c r="X40" s="408"/>
      <c r="Y40" s="394"/>
      <c r="Z40" s="394"/>
      <c r="AA40" s="394"/>
      <c r="AB40" s="394"/>
      <c r="AC40" s="3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4"/>
      <c r="AP40" s="504">
        <f>VLOOKUP(RIGHT($A40,LEN($A40)-4),[1]Sheet1!$2:$65536,MATCH(AP$3,[1]Sheet1!$2:$2,0),FALSE)</f>
        <v>2.0000000000000005E-3</v>
      </c>
      <c r="AQ40" s="504">
        <f>VLOOKUP(RIGHT($A40,LEN($A40)-4),[1]Sheet1!$2:$65536,MATCH(AQ$3,[1]Sheet1!$2:$2,0),FALSE)</f>
        <v>1E-3</v>
      </c>
      <c r="AR40" s="504">
        <f>VLOOKUP(RIGHT($A40,LEN($A40)-4),[1]Sheet1!$2:$65536,MATCH(AR$3,[1]Sheet1!$2:$2,0),FALSE)</f>
        <v>1E-3</v>
      </c>
      <c r="AS40" s="504">
        <f>VLOOKUP(RIGHT($A40,LEN($A40)-4),[1]Sheet1!$2:$65536,MATCH(AS$3,[1]Sheet1!$2:$2,0),FALSE)</f>
        <v>2.6666666666666666E-3</v>
      </c>
      <c r="AT40" s="504">
        <f>VLOOKUP(RIGHT($A40,LEN($A40)-4),[1]Sheet1!$2:$65536,MATCH(AT$3,[1]Sheet1!$2:$2,0),FALSE)</f>
        <v>2.35E-2</v>
      </c>
      <c r="AU40" s="504">
        <f>VLOOKUP(RIGHT($A40,LEN($A40)-4),[1]Sheet1!$2:$65536,MATCH(AU$3,[1]Sheet1!$2:$2,0),FALSE)</f>
        <v>3.6000000000000004E-2</v>
      </c>
      <c r="AV40" s="504">
        <f>VLOOKUP(RIGHT($A40,LEN($A40)-4),[1]Sheet1!$2:$65536,MATCH(AV$3,[1]Sheet1!$2:$2,0),FALSE)</f>
        <v>4.1833333333333333E-2</v>
      </c>
      <c r="AW40" s="504">
        <f>VLOOKUP(RIGHT($A40,LEN($A40)-4),[1]Sheet1!$2:$65536,MATCH(AW$3,[1]Sheet1!$2:$2,0),FALSE)</f>
        <v>4.3500000000000004E-2</v>
      </c>
      <c r="AX40" s="504">
        <f>VLOOKUP(RIGHT($A40,LEN($A40)-4),[1]Sheet1!$2:$65536,MATCH(AX$3,[1]Sheet1!$2:$2,0),FALSE)</f>
        <v>4.3500000000000004E-2</v>
      </c>
      <c r="AY40" s="504">
        <f>VLOOKUP(RIGHT($A40,LEN($A40)-4),[1]Sheet1!$2:$65536,MATCH(AY$3,[1]Sheet1!$2:$2,0),FALSE)</f>
        <v>4.0583333333333332E-2</v>
      </c>
      <c r="AZ40" s="557">
        <f>VLOOKUP(RIGHT($A40,LEN($A40)-4),[1]Sheet1!$2:$65536,MATCH(AZ$3,[1]Sheet1!$2:$2,0),FALSE)</f>
        <v>3.6416666666666674E-2</v>
      </c>
      <c r="BA40" s="422">
        <f>VLOOKUP(RIGHT($A40,LEN($A40)-4),[1]Sheet1!$2:$65536,MATCH(BA$3,[1]Sheet1!$2:$2,0),FALSE)</f>
        <v>3.85E-2</v>
      </c>
      <c r="BB40" s="422">
        <f>VLOOKUP(RIGHT($A40,LEN($A40)-4),[1]Sheet1!$2:$65536,MATCH(BB$3,[1]Sheet1!$2:$2,0),FALSE)</f>
        <v>4.0999999999999995E-2</v>
      </c>
      <c r="BC40" s="422">
        <f>VLOOKUP(RIGHT($A40,LEN($A40)-4),[1]Sheet1!$2:$65536,MATCH(BC$3,[1]Sheet1!$2:$2,0),FALSE)</f>
        <v>3.85E-2</v>
      </c>
      <c r="BD40" s="422">
        <f>VLOOKUP(RIGHT($A40,LEN($A40)-4),[1]Sheet1!$2:$65536,MATCH(BD$3,[1]Sheet1!$2:$2,0),FALSE)</f>
        <v>3.6000000000000004E-2</v>
      </c>
      <c r="BE40" s="422">
        <f>VLOOKUP(RIGHT($A40,LEN($A40)-4),[1]Sheet1!$2:$65536,MATCH(BE$3,[1]Sheet1!$2:$2,0),FALSE)</f>
        <v>3.6000000000000004E-2</v>
      </c>
      <c r="BF40" s="422">
        <f>VLOOKUP(RIGHT($A40,LEN($A40)-4),[1]Sheet1!$2:$65536,MATCH(BF$3,[1]Sheet1!$2:$2,0),FALSE)</f>
        <v>3.6000000000000004E-2</v>
      </c>
      <c r="BG40" s="422">
        <f>VLOOKUP(RIGHT($A40,LEN($A40)-4),[1]Sheet1!$2:$65536,MATCH(BG$3,[1]Sheet1!$2:$2,0),FALSE)</f>
        <v>3.6000000000000004E-2</v>
      </c>
      <c r="BH40" s="422">
        <f>VLOOKUP(RIGHT($A40,LEN($A40)-4),[1]Sheet1!$2:$65536,MATCH(BH$3,[1]Sheet1!$2:$2,0),FALSE)</f>
        <v>3.6000000000000004E-2</v>
      </c>
      <c r="BI40" s="422">
        <f>VLOOKUP(RIGHT($A40,LEN($A40)-4),[1]Sheet1!$2:$65536,MATCH(BI$3,[1]Sheet1!$2:$2,0),FALSE)</f>
        <v>3.6000000000000004E-2</v>
      </c>
      <c r="BJ40" s="422">
        <f>VLOOKUP(RIGHT($A40,LEN($A40)-4),[1]Sheet1!$2:$65536,MATCH(BJ$3,[1]Sheet1!$2:$2,0),FALSE)</f>
        <v>3.6000000000000004E-2</v>
      </c>
      <c r="BK40" s="422">
        <f>VLOOKUP(RIGHT($A40,LEN($A40)-4),[1]Sheet1!$2:$65536,MATCH(BK$3,[1]Sheet1!$2:$2,0),FALSE)</f>
        <v>3.6000000000000004E-2</v>
      </c>
      <c r="BL40" s="422">
        <f>VLOOKUP(RIGHT($A40,LEN($A40)-4),[1]Sheet1!$2:$65536,MATCH(BL$3,[1]Sheet1!$2:$2,0),FALSE)</f>
        <v>3.6000000000000004E-2</v>
      </c>
      <c r="BM40" s="422">
        <f>VLOOKUP(RIGHT($A40,LEN($A40)-4),[1]Sheet1!$2:$65536,MATCH(BM$3,[1]Sheet1!$2:$2,0),FALSE)</f>
        <v>3.6000000000000004E-2</v>
      </c>
      <c r="BN40" s="422">
        <f>VLOOKUP(RIGHT($A40,LEN($A40)-4),[1]Sheet1!$2:$65536,MATCH(BN$3,[1]Sheet1!$2:$2,0),FALSE)</f>
        <v>3.6000000000000004E-2</v>
      </c>
      <c r="BO40" s="422">
        <f>VLOOKUP(RIGHT($A40,LEN($A40)-4),[1]Sheet1!$2:$65536,MATCH(BO$3,[1]Sheet1!$2:$2,0),FALSE)</f>
        <v>3.6000000000000004E-2</v>
      </c>
      <c r="BP40" s="422">
        <f>VLOOKUP(RIGHT($A40,LEN($A40)-4),[1]Sheet1!$2:$65536,MATCH(BP$3,[1]Sheet1!$2:$2,0),FALSE)</f>
        <v>3.6000000000000004E-2</v>
      </c>
      <c r="BQ40" s="422">
        <f>VLOOKUP(RIGHT($A40,LEN($A40)-4),[1]Sheet1!$2:$65536,MATCH(BQ$3,[1]Sheet1!$2:$2,0),FALSE)</f>
        <v>3.6000000000000004E-2</v>
      </c>
      <c r="BR40" s="422"/>
      <c r="BS40" s="422"/>
      <c r="BT40" s="422"/>
      <c r="BU40" s="422"/>
      <c r="BV40" s="422"/>
      <c r="BW40" s="422"/>
      <c r="BX40" s="422"/>
      <c r="BY40" s="422"/>
      <c r="BZ40" s="422"/>
      <c r="CA40" s="422"/>
      <c r="CB40" s="42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285"/>
      <c r="CN40" s="285"/>
      <c r="CO40" s="285"/>
      <c r="CP40" s="285"/>
      <c r="CQ40" s="285"/>
      <c r="CR40" s="285"/>
      <c r="CS40" s="285"/>
      <c r="CT40" s="504">
        <f>VLOOKUP(RIGHT("ASS_12MoCASHg",LEN("ASS_12MoCASHg")-4),[1]Sheet1!$2:$65536,MATCH(CT$3,[1]Sheet1!$2:$2,0),FALSE)</f>
        <v>1.4791666666666668E-2</v>
      </c>
      <c r="CU40" s="504">
        <f>VLOOKUP(RIGHT("ASS_12MoCASHg",LEN("ASS_12MoCASHg")-4),[1]Sheet1!$2:$65536,MATCH(CU$3,[1]Sheet1!$2:$2,0),FALSE)</f>
        <v>6.4583333333333333E-3</v>
      </c>
      <c r="CV40" s="504">
        <f>VLOOKUP(RIGHT("ASS_12MoCASHg",LEN("ASS_12MoCASHg")-4),[1]Sheet1!$2:$65536,MATCH(CV$3,[1]Sheet1!$2:$2,0),FALSE)</f>
        <v>1.5000000000000005E-3</v>
      </c>
      <c r="CW40" s="504">
        <f>VLOOKUP(RIGHT("ASS_12MoCASHg",LEN("ASS_12MoCASHg")-4),[1]Sheet1!$2:$65536,MATCH(CW$3,[1]Sheet1!$2:$2,0),FALSE)</f>
        <v>1.8333333333333333E-3</v>
      </c>
      <c r="CX40" s="504">
        <f>VLOOKUP(RIGHT("ASS_12MoCASHg",LEN("ASS_12MoCASHg")-4),[1]Sheet1!$2:$65536,MATCH(CX$3,[1]Sheet1!$2:$2,0),FALSE)</f>
        <v>2.9750000000000002E-2</v>
      </c>
      <c r="CY40" s="504">
        <f>VLOOKUP(RIGHT("ASS_12MoCASHg",LEN("ASS_12MoCASHg")-4),[1]Sheet1!$2:$65536,MATCH(CY$3,[1]Sheet1!$2:$2,0),FALSE)</f>
        <v>4.2666666666666672E-2</v>
      </c>
      <c r="CZ40" s="286">
        <f>(1+AX40)*(1+AY40)-1</f>
        <v>8.5848708333333468E-2</v>
      </c>
      <c r="DA40" s="162">
        <f t="shared" si="87"/>
        <v>7.6318708333333429E-2</v>
      </c>
      <c r="DB40" s="162">
        <f>(1+BB40)*(1+BC40)-1</f>
        <v>8.1078499999999831E-2</v>
      </c>
      <c r="DC40" s="162">
        <f>(1+BD40)*(1+BE40)-1</f>
        <v>7.3296000000000028E-2</v>
      </c>
      <c r="DD40" s="162">
        <f>(1+BF40)*(1+BG40)-1</f>
        <v>7.3296000000000028E-2</v>
      </c>
      <c r="DE40" s="162">
        <f>(1+BH40)*(1+BI40)-1</f>
        <v>7.3296000000000028E-2</v>
      </c>
      <c r="DF40" s="162">
        <f>(1+BJ40)*(1+BK40)-1</f>
        <v>7.3296000000000028E-2</v>
      </c>
      <c r="DG40" s="162">
        <f>(1+BL40)*(1+BM40)-1</f>
        <v>7.3296000000000028E-2</v>
      </c>
      <c r="DH40" s="162">
        <f>(1+BN40)*(1+BO40)-1</f>
        <v>7.3296000000000028E-2</v>
      </c>
      <c r="DI40" s="162">
        <f>(1+BP40)*(1+BQ40)-1</f>
        <v>7.3296000000000028E-2</v>
      </c>
    </row>
    <row r="41" spans="1:113" ht="12" hidden="1" outlineLevel="1">
      <c r="C41" s="408"/>
      <c r="D41" s="408"/>
      <c r="E41" s="408"/>
      <c r="F41" s="408"/>
      <c r="G41" s="408"/>
      <c r="H41" s="408"/>
      <c r="I41" s="408"/>
      <c r="J41" s="408"/>
      <c r="K41" s="408"/>
      <c r="L41" s="408"/>
      <c r="M41" s="408"/>
      <c r="N41" s="408"/>
      <c r="O41" s="408"/>
      <c r="P41" s="408"/>
      <c r="Q41" s="408"/>
      <c r="R41" s="408"/>
      <c r="S41" s="408"/>
      <c r="T41" s="394"/>
      <c r="U41" s="408"/>
      <c r="V41" s="408"/>
      <c r="W41" s="408"/>
      <c r="X41" s="408"/>
      <c r="Y41" s="394"/>
      <c r="Z41" s="394"/>
      <c r="AA41" s="394"/>
      <c r="AB41" s="394"/>
      <c r="AC41" s="394"/>
      <c r="AD41" s="394"/>
      <c r="AE41" s="394"/>
      <c r="AF41" s="394"/>
      <c r="AG41" s="394"/>
      <c r="AH41" s="394"/>
      <c r="AI41" s="394"/>
      <c r="AJ41" s="394"/>
      <c r="AK41" s="394"/>
      <c r="AL41" s="394"/>
      <c r="AM41" s="394"/>
      <c r="AN41" s="394"/>
      <c r="AO41" s="394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6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285"/>
      <c r="CN41" s="285"/>
      <c r="CO41" s="285"/>
      <c r="CP41" s="285"/>
      <c r="CQ41" s="285"/>
      <c r="CR41" s="285"/>
      <c r="CS41" s="285"/>
      <c r="CT41" s="285"/>
      <c r="CU41" s="285"/>
      <c r="CV41" s="285"/>
      <c r="CW41" s="285"/>
      <c r="CX41" s="285"/>
      <c r="CY41" s="285"/>
      <c r="CZ41" s="286"/>
      <c r="DA41" s="162"/>
      <c r="DB41" s="19"/>
      <c r="DC41" s="19"/>
      <c r="DD41" s="19"/>
      <c r="DE41" s="19"/>
      <c r="DF41" s="19"/>
      <c r="DG41" s="19"/>
      <c r="DH41" s="19"/>
      <c r="DI41" s="19"/>
    </row>
    <row r="42" spans="1:113" ht="12" hidden="1" outlineLevel="1">
      <c r="B42" s="24" t="s">
        <v>387</v>
      </c>
      <c r="C42" s="408"/>
      <c r="D42" s="408"/>
      <c r="E42" s="408"/>
      <c r="F42" s="408"/>
      <c r="G42" s="408"/>
      <c r="H42" s="408"/>
      <c r="I42" s="408"/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394"/>
      <c r="U42" s="408"/>
      <c r="V42" s="408"/>
      <c r="W42" s="408"/>
      <c r="X42" s="408"/>
      <c r="Y42" s="394"/>
      <c r="Z42" s="394"/>
      <c r="AA42" s="394"/>
      <c r="AB42" s="394"/>
      <c r="AC42" s="394"/>
      <c r="AD42" s="394"/>
      <c r="AE42" s="394"/>
      <c r="AF42" s="394"/>
      <c r="AG42" s="394"/>
      <c r="AH42" s="394"/>
      <c r="AI42" s="394"/>
      <c r="AJ42" s="394"/>
      <c r="AK42" s="394"/>
      <c r="AL42" s="394"/>
      <c r="AM42" s="394"/>
      <c r="AN42" s="394"/>
      <c r="AO42" s="394"/>
      <c r="AP42" s="285"/>
      <c r="AQ42" s="285"/>
      <c r="AR42" s="285"/>
      <c r="AS42" s="285"/>
      <c r="AT42" s="285"/>
      <c r="AU42" s="285"/>
      <c r="AV42" s="285"/>
      <c r="AW42" s="285"/>
      <c r="AX42" s="285"/>
      <c r="AY42" s="285"/>
      <c r="AZ42" s="286"/>
      <c r="BA42" s="44"/>
      <c r="BB42" s="162"/>
      <c r="BC42" s="44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285"/>
      <c r="CN42" s="285"/>
      <c r="CO42" s="285"/>
      <c r="CP42" s="285"/>
      <c r="CQ42" s="285"/>
      <c r="CR42" s="285"/>
      <c r="CS42" s="285"/>
      <c r="CT42" s="285"/>
      <c r="CU42" s="285"/>
      <c r="CV42" s="285"/>
      <c r="CW42" s="285"/>
      <c r="CX42" s="285"/>
      <c r="CY42" s="285"/>
      <c r="CZ42" s="286"/>
      <c r="DA42" s="162"/>
      <c r="DB42" s="19"/>
      <c r="DC42" s="19"/>
      <c r="DD42" s="19"/>
      <c r="DE42" s="19"/>
      <c r="DF42" s="19"/>
      <c r="DG42" s="19"/>
      <c r="DH42" s="19"/>
      <c r="DI42" s="19"/>
    </row>
    <row r="43" spans="1:113" ht="12" hidden="1" outlineLevel="1">
      <c r="A43" s="1" t="s">
        <v>381</v>
      </c>
      <c r="B43" s="19" t="s">
        <v>216</v>
      </c>
      <c r="C43" s="408"/>
      <c r="D43" s="408"/>
      <c r="E43" s="408"/>
      <c r="F43" s="408"/>
      <c r="G43" s="408"/>
      <c r="H43" s="408"/>
      <c r="I43" s="408"/>
      <c r="J43" s="408"/>
      <c r="K43" s="408"/>
      <c r="L43" s="408"/>
      <c r="M43" s="408"/>
      <c r="N43" s="408"/>
      <c r="O43" s="408"/>
      <c r="P43" s="408"/>
      <c r="Q43" s="408"/>
      <c r="R43" s="408"/>
      <c r="S43" s="408"/>
      <c r="T43" s="394"/>
      <c r="U43" s="408"/>
      <c r="V43" s="408"/>
      <c r="W43" s="408"/>
      <c r="X43" s="408"/>
      <c r="Y43" s="394"/>
      <c r="Z43" s="394"/>
      <c r="AA43" s="394"/>
      <c r="AB43" s="394"/>
      <c r="AC43" s="394"/>
      <c r="AD43" s="394"/>
      <c r="AE43" s="394"/>
      <c r="AF43" s="394"/>
      <c r="AG43" s="394"/>
      <c r="AH43" s="394"/>
      <c r="AI43" s="394"/>
      <c r="AJ43" s="394"/>
      <c r="AK43" s="394"/>
      <c r="AL43" s="394"/>
      <c r="AM43" s="394"/>
      <c r="AN43" s="394"/>
      <c r="AO43" s="394"/>
      <c r="AP43" s="285" t="str">
        <f t="shared" ref="AP43:AR43" si="88">IF(ISERROR(AP52-AP29),"n.a.",AP52-AP29)</f>
        <v>n.a.</v>
      </c>
      <c r="AQ43" s="285">
        <f t="shared" si="88"/>
        <v>0.45229607427700991</v>
      </c>
      <c r="AR43" s="285">
        <f t="shared" si="88"/>
        <v>0.32026253732568399</v>
      </c>
      <c r="AS43" s="285">
        <f t="shared" ref="AS43:AT43" si="89">IF(ISERROR(AS52-AS29),"n.a.",AS52-AS29)</f>
        <v>0.22887023341098955</v>
      </c>
      <c r="AT43" s="285">
        <f t="shared" si="89"/>
        <v>0.21273769205647608</v>
      </c>
      <c r="AU43" s="285">
        <f t="shared" ref="AU43:AV43" si="90">IF(ISERROR(AU52-AU29),"n.a.",AU52-AU29)</f>
        <v>0.21222389128340402</v>
      </c>
      <c r="AV43" s="285">
        <f t="shared" si="90"/>
        <v>8.012474402120473E-2</v>
      </c>
      <c r="AW43" s="285">
        <f t="shared" ref="AW43:AX43" si="91">IF(ISERROR(AW52-AW29),"n.a.",AW52-AW29)</f>
        <v>6.706907901184489E-2</v>
      </c>
      <c r="AX43" s="285">
        <f t="shared" si="91"/>
        <v>-4.0248136690531178E-2</v>
      </c>
      <c r="AY43" s="285">
        <f t="shared" ref="AY43:AZ43" si="92">IF(ISERROR(AY52-AY29),"n.a.",AY52-AY29)</f>
        <v>-5.181716401720049E-3</v>
      </c>
      <c r="AZ43" s="286">
        <f t="shared" si="92"/>
        <v>-2.5656240157286847E-2</v>
      </c>
      <c r="BA43" s="386">
        <v>-0.02</v>
      </c>
      <c r="BB43" s="386">
        <f>2%-BB29</f>
        <v>-9.2102499999999927E-3</v>
      </c>
      <c r="BC43" s="386">
        <f>2%-BC29</f>
        <v>-9.2102499999999927E-3</v>
      </c>
      <c r="BD43" s="386">
        <v>0</v>
      </c>
      <c r="BE43" s="386">
        <v>0</v>
      </c>
      <c r="BF43" s="386">
        <v>0</v>
      </c>
      <c r="BG43" s="386">
        <v>0</v>
      </c>
      <c r="BH43" s="386">
        <v>0</v>
      </c>
      <c r="BI43" s="386">
        <v>0</v>
      </c>
      <c r="BJ43" s="386">
        <v>0</v>
      </c>
      <c r="BK43" s="386">
        <v>0</v>
      </c>
      <c r="BL43" s="386">
        <v>0</v>
      </c>
      <c r="BM43" s="386">
        <v>0</v>
      </c>
      <c r="BN43" s="386">
        <v>0</v>
      </c>
      <c r="BO43" s="386">
        <v>0</v>
      </c>
      <c r="BP43" s="386">
        <v>0</v>
      </c>
      <c r="BQ43" s="386">
        <v>0</v>
      </c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285"/>
      <c r="CN43" s="285"/>
      <c r="CO43" s="285"/>
      <c r="CP43" s="285"/>
      <c r="CQ43" s="285"/>
      <c r="CR43" s="285"/>
      <c r="CS43" s="285"/>
      <c r="CT43" s="285" t="str">
        <f>IF(ISERROR(CT52-CT29),"n.a.",CT52-CT29)</f>
        <v>n.a.</v>
      </c>
      <c r="CU43" s="285">
        <f t="shared" ref="CU43:CV45" si="93">IF(ISERROR(CU52-CU29),"n.a.",CU52-CU29)</f>
        <v>21.376293674353729</v>
      </c>
      <c r="CV43" s="285">
        <f t="shared" si="93"/>
        <v>2.3270025246310606</v>
      </c>
      <c r="CW43" s="285">
        <f t="shared" ref="CW43" si="94">IF(ISERROR(CW52-CW29),"n.a.",CW52-CW29)</f>
        <v>0.64369968035427938</v>
      </c>
      <c r="CX43" s="285">
        <f t="shared" ref="CX43:DG44" si="95">CX52-CX29</f>
        <v>0.4798758876921525</v>
      </c>
      <c r="CY43" s="285">
        <f t="shared" ref="CY43" si="96">CY52-CY29</f>
        <v>0.15602096206343363</v>
      </c>
      <c r="CZ43" s="286">
        <f t="shared" si="95"/>
        <v>-4.656994258812408E-2</v>
      </c>
      <c r="DA43" s="162">
        <f t="shared" si="95"/>
        <v>-4.6683276318269629E-2</v>
      </c>
      <c r="DB43" s="162">
        <f t="shared" si="95"/>
        <v>-1.8873738705062593E-2</v>
      </c>
      <c r="DC43" s="162">
        <f t="shared" si="95"/>
        <v>0</v>
      </c>
      <c r="DD43" s="162">
        <f t="shared" si="95"/>
        <v>0</v>
      </c>
      <c r="DE43" s="162">
        <f t="shared" si="95"/>
        <v>0</v>
      </c>
      <c r="DF43" s="162">
        <f t="shared" si="95"/>
        <v>-2.2204460492503131E-16</v>
      </c>
      <c r="DG43" s="162">
        <f t="shared" si="95"/>
        <v>0</v>
      </c>
      <c r="DH43" s="162">
        <f t="shared" ref="DH43:DI43" si="97">DH52-DH29</f>
        <v>0</v>
      </c>
      <c r="DI43" s="162">
        <f t="shared" si="97"/>
        <v>0</v>
      </c>
    </row>
    <row r="44" spans="1:113" ht="12" hidden="1" outlineLevel="1">
      <c r="A44" s="1" t="s">
        <v>306</v>
      </c>
      <c r="B44" s="19" t="s">
        <v>217</v>
      </c>
      <c r="C44" s="408"/>
      <c r="D44" s="408"/>
      <c r="E44" s="408"/>
      <c r="F44" s="408"/>
      <c r="G44" s="408"/>
      <c r="H44" s="408"/>
      <c r="I44" s="408"/>
      <c r="J44" s="408"/>
      <c r="K44" s="408"/>
      <c r="L44" s="408"/>
      <c r="M44" s="408"/>
      <c r="N44" s="408"/>
      <c r="O44" s="408"/>
      <c r="P44" s="408"/>
      <c r="Q44" s="408"/>
      <c r="R44" s="408"/>
      <c r="S44" s="408"/>
      <c r="T44" s="394"/>
      <c r="U44" s="408"/>
      <c r="V44" s="408"/>
      <c r="W44" s="408"/>
      <c r="X44" s="408"/>
      <c r="Y44" s="394"/>
      <c r="Z44" s="394"/>
      <c r="AA44" s="394"/>
      <c r="AB44" s="394"/>
      <c r="AC44" s="394"/>
      <c r="AD44" s="394"/>
      <c r="AE44" s="394"/>
      <c r="AF44" s="394"/>
      <c r="AG44" s="394"/>
      <c r="AH44" s="394"/>
      <c r="AI44" s="394"/>
      <c r="AJ44" s="394"/>
      <c r="AK44" s="394"/>
      <c r="AL44" s="394"/>
      <c r="AM44" s="394"/>
      <c r="AN44" s="394"/>
      <c r="AO44" s="394"/>
      <c r="AP44" s="285" t="str">
        <f t="shared" ref="AP44:AR44" si="98">IF(ISERROR(AP53-AP30),"n.a.",AP53-AP30)</f>
        <v>n.a.</v>
      </c>
      <c r="AQ44" s="285">
        <f t="shared" si="98"/>
        <v>0.30197779573597261</v>
      </c>
      <c r="AR44" s="285">
        <f t="shared" si="98"/>
        <v>0.32729574220922331</v>
      </c>
      <c r="AS44" s="285">
        <f t="shared" ref="AS44:AT44" si="99">IF(ISERROR(AS53-AS30),"n.a.",AS53-AS30)</f>
        <v>0.19242982835602063</v>
      </c>
      <c r="AT44" s="285">
        <f t="shared" si="99"/>
        <v>0.17783896631874341</v>
      </c>
      <c r="AU44" s="285">
        <f t="shared" ref="AU44:AV44" si="100">IF(ISERROR(AU53-AU30),"n.a.",AU53-AU30)</f>
        <v>0.15524491299085441</v>
      </c>
      <c r="AV44" s="285">
        <f t="shared" si="100"/>
        <v>5.505238060853479E-2</v>
      </c>
      <c r="AW44" s="285">
        <f t="shared" ref="AW44:AX44" si="101">IF(ISERROR(AW53-AW30),"n.a.",AW53-AW30)</f>
        <v>6.1274696144765883E-2</v>
      </c>
      <c r="AX44" s="285">
        <f t="shared" si="101"/>
        <v>5.1685945152700974E-2</v>
      </c>
      <c r="AY44" s="285">
        <f t="shared" ref="AY44:AZ44" si="102">IF(ISERROR(AY53-AY30),"n.a.",AY53-AY30)</f>
        <v>3.7849810718757038E-2</v>
      </c>
      <c r="AZ44" s="286">
        <f t="shared" si="102"/>
        <v>2.327158395662221E-2</v>
      </c>
      <c r="BA44" s="386">
        <f>9.2%-BA30</f>
        <v>5.1600000000000007E-2</v>
      </c>
      <c r="BB44" s="386">
        <f>6.798%-BB30</f>
        <v>3.7755000000000274E-2</v>
      </c>
      <c r="BC44" s="386">
        <f>8.234%-BC30</f>
        <v>5.2115000000000272E-2</v>
      </c>
      <c r="BD44" s="386">
        <f>6.303%-BD30</f>
        <v>4.2929999999999996E-2</v>
      </c>
      <c r="BE44" s="386">
        <f>7.741%-BE30</f>
        <v>5.7309999999999986E-2</v>
      </c>
      <c r="BF44" s="386">
        <f>5.809%-BF30</f>
        <v>3.7989999999999996E-2</v>
      </c>
      <c r="BG44" s="386">
        <f>7.249%-BG30</f>
        <v>5.2389999999999992E-2</v>
      </c>
      <c r="BH44" s="386">
        <f>4.876%-BH30</f>
        <v>2.8659999999999998E-2</v>
      </c>
      <c r="BI44" s="386">
        <f>6.316%-BI30</f>
        <v>4.3059999999999987E-2</v>
      </c>
      <c r="BJ44" s="386">
        <f>3.939%-BJ30</f>
        <v>1.9289999999999995E-2</v>
      </c>
      <c r="BK44" s="386">
        <f>5.379%-BK30</f>
        <v>3.3689999999999991E-2</v>
      </c>
      <c r="BL44" s="386">
        <f>3%-BL30</f>
        <v>9.8999999999999921E-3</v>
      </c>
      <c r="BM44" s="386">
        <f>4.44%-BM30</f>
        <v>2.4299999999999995E-2</v>
      </c>
      <c r="BN44" s="386">
        <f>2.5%-BN30</f>
        <v>4.8999999999999946E-3</v>
      </c>
      <c r="BO44" s="386">
        <f>3.94%-BO30</f>
        <v>1.9299999999999991E-2</v>
      </c>
      <c r="BP44" s="386">
        <f>2.5%-BP30</f>
        <v>4.8999999999999946E-3</v>
      </c>
      <c r="BQ44" s="386">
        <f>3.941%-BQ30</f>
        <v>1.9309999999999994E-2</v>
      </c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285"/>
      <c r="CN44" s="285"/>
      <c r="CO44" s="285"/>
      <c r="CP44" s="285"/>
      <c r="CQ44" s="285"/>
      <c r="CR44" s="285"/>
      <c r="CS44" s="285"/>
      <c r="CT44" s="285" t="str">
        <f t="shared" ref="CT44:CT45" si="103">IF(ISERROR(CT53-CT30),"n.a.",CT53-CT30)</f>
        <v>n.a.</v>
      </c>
      <c r="CU44" s="285">
        <f t="shared" si="93"/>
        <v>6.1718149869249848</v>
      </c>
      <c r="CV44" s="285">
        <f t="shared" si="93"/>
        <v>0.86997722975121494</v>
      </c>
      <c r="CW44" s="285">
        <f t="shared" ref="CW44" si="104">IF(ISERROR(CW53-CW30),"n.a.",CW53-CW30)</f>
        <v>0.61349619011283485</v>
      </c>
      <c r="CX44" s="285">
        <f t="shared" si="95"/>
        <v>0.37373982441183218</v>
      </c>
      <c r="CY44" s="285">
        <f t="shared" ref="CY44" si="105">CY53-CY30</f>
        <v>0.12413382165408104</v>
      </c>
      <c r="CZ44" s="286">
        <f t="shared" si="95"/>
        <v>9.5216644295083253E-2</v>
      </c>
      <c r="DA44" s="162">
        <f t="shared" si="95"/>
        <v>7.9986426105167485E-2</v>
      </c>
      <c r="DB44" s="162">
        <f t="shared" si="95"/>
        <v>9.4553922575000504E-2</v>
      </c>
      <c r="DC44" s="162">
        <f t="shared" si="95"/>
        <v>0.1047151422999999</v>
      </c>
      <c r="DD44" s="162">
        <f t="shared" si="95"/>
        <v>9.4186934099999897E-2</v>
      </c>
      <c r="DE44" s="162">
        <f t="shared" si="95"/>
        <v>7.4395671599999602E-2</v>
      </c>
      <c r="DF44" s="162">
        <f t="shared" si="95"/>
        <v>5.4694778100000008E-2</v>
      </c>
      <c r="DG44" s="162">
        <f t="shared" si="95"/>
        <v>3.5127989999999887E-2</v>
      </c>
      <c r="DH44" s="162">
        <f t="shared" ref="DH44:DI44" si="106">DH53-DH30</f>
        <v>2.4780990000000003E-2</v>
      </c>
      <c r="DI44" s="162">
        <f t="shared" si="106"/>
        <v>2.4791239999999881E-2</v>
      </c>
    </row>
    <row r="45" spans="1:113" ht="12" hidden="1" outlineLevel="1">
      <c r="A45" s="1" t="s">
        <v>307</v>
      </c>
      <c r="B45" s="19" t="s">
        <v>218</v>
      </c>
      <c r="C45" s="408"/>
      <c r="D45" s="408"/>
      <c r="E45" s="408"/>
      <c r="F45" s="408"/>
      <c r="G45" s="408"/>
      <c r="H45" s="408"/>
      <c r="I45" s="408"/>
      <c r="J45" s="408"/>
      <c r="K45" s="408"/>
      <c r="L45" s="408"/>
      <c r="M45" s="408"/>
      <c r="N45" s="408"/>
      <c r="O45" s="408"/>
      <c r="P45" s="408"/>
      <c r="Q45" s="408"/>
      <c r="R45" s="408"/>
      <c r="S45" s="408"/>
      <c r="T45" s="394"/>
      <c r="U45" s="408"/>
      <c r="V45" s="408"/>
      <c r="W45" s="408"/>
      <c r="X45" s="408"/>
      <c r="Y45" s="394"/>
      <c r="Z45" s="394"/>
      <c r="AA45" s="394"/>
      <c r="AB45" s="394"/>
      <c r="AC45" s="394"/>
      <c r="AD45" s="394"/>
      <c r="AE45" s="394"/>
      <c r="AF45" s="394"/>
      <c r="AG45" s="394"/>
      <c r="AH45" s="394"/>
      <c r="AI45" s="394"/>
      <c r="AJ45" s="394"/>
      <c r="AK45" s="394"/>
      <c r="AL45" s="394"/>
      <c r="AM45" s="394"/>
      <c r="AN45" s="394"/>
      <c r="AO45" s="394"/>
      <c r="AP45" s="285" t="str">
        <f t="shared" ref="AP45:AR45" si="107">IF(ISERROR(AP54-AP31),"n.a.",AP54-AP31)</f>
        <v>n.a.</v>
      </c>
      <c r="AQ45" s="285" t="str">
        <f t="shared" si="107"/>
        <v>n.a.</v>
      </c>
      <c r="AR45" s="285" t="str">
        <f t="shared" si="107"/>
        <v>n.a.</v>
      </c>
      <c r="AS45" s="285" t="str">
        <f t="shared" ref="AS45:AT45" si="108">IF(ISERROR(AS54-AS31),"n.a.",AS54-AS31)</f>
        <v>n.a.</v>
      </c>
      <c r="AT45" s="285" t="str">
        <f t="shared" si="108"/>
        <v>n.a.</v>
      </c>
      <c r="AU45" s="285" t="str">
        <f t="shared" ref="AU45:AV45" si="109">IF(ISERROR(AU54-AU31),"n.a.",AU54-AU31)</f>
        <v>n.a.</v>
      </c>
      <c r="AV45" s="285" t="str">
        <f t="shared" si="109"/>
        <v>n.a.</v>
      </c>
      <c r="AW45" s="285" t="str">
        <f t="shared" ref="AW45:AX45" si="110">IF(ISERROR(AW54-AW31),"n.a.",AW54-AW31)</f>
        <v>n.a.</v>
      </c>
      <c r="AX45" s="285" t="str">
        <f t="shared" si="110"/>
        <v>n.a.</v>
      </c>
      <c r="AY45" s="285" t="str">
        <f t="shared" ref="AY45:AZ45" si="111">IF(ISERROR(AY54-AY31),"n.a.",AY54-AY31)</f>
        <v>n.a.</v>
      </c>
      <c r="AZ45" s="286" t="str">
        <f t="shared" si="111"/>
        <v>n.a.</v>
      </c>
      <c r="BA45" s="386">
        <v>0</v>
      </c>
      <c r="BB45" s="386">
        <v>0</v>
      </c>
      <c r="BC45" s="386">
        <v>0</v>
      </c>
      <c r="BD45" s="386">
        <v>0</v>
      </c>
      <c r="BE45" s="386">
        <v>0</v>
      </c>
      <c r="BF45" s="386">
        <v>0</v>
      </c>
      <c r="BG45" s="386">
        <v>0</v>
      </c>
      <c r="BH45" s="386">
        <v>0</v>
      </c>
      <c r="BI45" s="386">
        <v>0</v>
      </c>
      <c r="BJ45" s="386">
        <v>0</v>
      </c>
      <c r="BK45" s="386">
        <v>0</v>
      </c>
      <c r="BL45" s="386">
        <v>0</v>
      </c>
      <c r="BM45" s="386">
        <v>0</v>
      </c>
      <c r="BN45" s="386">
        <v>0</v>
      </c>
      <c r="BO45" s="386">
        <v>0</v>
      </c>
      <c r="BP45" s="386">
        <v>0</v>
      </c>
      <c r="BQ45" s="386">
        <v>0</v>
      </c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285"/>
      <c r="CN45" s="285"/>
      <c r="CO45" s="285"/>
      <c r="CP45" s="285"/>
      <c r="CQ45" s="285"/>
      <c r="CR45" s="285"/>
      <c r="CS45" s="285"/>
      <c r="CT45" s="285" t="str">
        <f t="shared" si="103"/>
        <v>n.a.</v>
      </c>
      <c r="CU45" s="285" t="str">
        <f t="shared" si="93"/>
        <v>n.a.</v>
      </c>
      <c r="CV45" s="285" t="str">
        <f t="shared" si="93"/>
        <v>n.a.</v>
      </c>
      <c r="CW45" s="285" t="str">
        <f t="shared" ref="CW45" si="112">IF(ISERROR(CW54-CW31),"n.a.",CW54-CW31)</f>
        <v>n.a.</v>
      </c>
      <c r="CX45" s="285" t="str">
        <f t="shared" ref="CX45:DF45" si="113">IF(ISERROR(CX54-CX31),"n.a.",CX54-CX31)</f>
        <v>n.a.</v>
      </c>
      <c r="CY45" s="285" t="str">
        <f t="shared" ref="CY45" si="114">IF(ISERROR(CY54-CY31),"n.a.",CY54-CY31)</f>
        <v>n.a.</v>
      </c>
      <c r="CZ45" s="286" t="str">
        <f t="shared" si="113"/>
        <v>n.a.</v>
      </c>
      <c r="DA45" s="285" t="str">
        <f t="shared" si="113"/>
        <v>n.a.</v>
      </c>
      <c r="DB45" s="285" t="str">
        <f t="shared" si="113"/>
        <v>n.a.</v>
      </c>
      <c r="DC45" s="285" t="str">
        <f t="shared" si="113"/>
        <v>n.a.</v>
      </c>
      <c r="DD45" s="285" t="str">
        <f t="shared" si="113"/>
        <v>n.a.</v>
      </c>
      <c r="DE45" s="285" t="str">
        <f t="shared" si="113"/>
        <v>n.a.</v>
      </c>
      <c r="DF45" s="285" t="str">
        <f t="shared" si="113"/>
        <v>n.a.</v>
      </c>
      <c r="DG45" s="285" t="str">
        <f t="shared" ref="DG45:DH45" si="115">IF(ISERROR(DG54-DG31),"n.a.",DG54-DG31)</f>
        <v>n.a.</v>
      </c>
      <c r="DH45" s="285" t="str">
        <f t="shared" si="115"/>
        <v>n.a.</v>
      </c>
      <c r="DI45" s="285" t="str">
        <f t="shared" ref="DI45" si="116">IF(ISERROR(DI54-DI31),"n.a.",DI54-DI31)</f>
        <v>n.a.</v>
      </c>
    </row>
    <row r="46" spans="1:113" ht="12" hidden="1" outlineLevel="2">
      <c r="A46" s="1" t="s">
        <v>308</v>
      </c>
      <c r="B46" s="19" t="s">
        <v>219</v>
      </c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8"/>
      <c r="O46" s="408"/>
      <c r="P46" s="408"/>
      <c r="Q46" s="408"/>
      <c r="R46" s="408"/>
      <c r="S46" s="408"/>
      <c r="T46" s="394"/>
      <c r="U46" s="408"/>
      <c r="V46" s="408"/>
      <c r="W46" s="408"/>
      <c r="X46" s="408"/>
      <c r="Y46" s="394"/>
      <c r="Z46" s="394"/>
      <c r="AA46" s="394"/>
      <c r="AB46" s="394"/>
      <c r="AC46" s="394"/>
      <c r="AD46" s="394"/>
      <c r="AE46" s="394"/>
      <c r="AF46" s="394"/>
      <c r="AG46" s="394"/>
      <c r="AH46" s="394"/>
      <c r="AI46" s="394"/>
      <c r="AJ46" s="394"/>
      <c r="AK46" s="394"/>
      <c r="AL46" s="394"/>
      <c r="AM46" s="394"/>
      <c r="AN46" s="394"/>
      <c r="AO46" s="394"/>
      <c r="AP46" s="285" t="str">
        <f t="shared" ref="AP46:AR46" si="117">IF(ISERROR(AP56-AP32),"n.a.",AP56-AP32)</f>
        <v>n.a.</v>
      </c>
      <c r="AQ46" s="285" t="str">
        <f t="shared" si="117"/>
        <v>n.a.</v>
      </c>
      <c r="AR46" s="285" t="str">
        <f t="shared" si="117"/>
        <v>n.a.</v>
      </c>
      <c r="AS46" s="285" t="str">
        <f t="shared" ref="AS46:AT46" si="118">IF(ISERROR(AS56-AS32),"n.a.",AS56-AS32)</f>
        <v>n.a.</v>
      </c>
      <c r="AT46" s="285" t="str">
        <f t="shared" si="118"/>
        <v>n.a.</v>
      </c>
      <c r="AU46" s="285" t="str">
        <f t="shared" ref="AU46:AV46" si="119">IF(ISERROR(AU56-AU32),"n.a.",AU56-AU32)</f>
        <v>n.a.</v>
      </c>
      <c r="AV46" s="285" t="str">
        <f t="shared" si="119"/>
        <v>n.a.</v>
      </c>
      <c r="AW46" s="285" t="str">
        <f t="shared" ref="AW46:AX46" si="120">IF(ISERROR(AW56-AW32),"n.a.",AW56-AW32)</f>
        <v>n.a.</v>
      </c>
      <c r="AX46" s="285" t="str">
        <f t="shared" si="120"/>
        <v>n.a.</v>
      </c>
      <c r="AY46" s="427">
        <v>0</v>
      </c>
      <c r="AZ46" s="393">
        <v>0</v>
      </c>
      <c r="BA46" s="386">
        <v>0</v>
      </c>
      <c r="BB46" s="386">
        <v>0</v>
      </c>
      <c r="BC46" s="386">
        <v>0</v>
      </c>
      <c r="BD46" s="386">
        <v>0</v>
      </c>
      <c r="BE46" s="386">
        <v>0</v>
      </c>
      <c r="BF46" s="386">
        <v>0</v>
      </c>
      <c r="BG46" s="386">
        <v>0</v>
      </c>
      <c r="BH46" s="386">
        <v>0</v>
      </c>
      <c r="BI46" s="386">
        <v>0</v>
      </c>
      <c r="BJ46" s="386">
        <v>0</v>
      </c>
      <c r="BK46" s="386">
        <v>0</v>
      </c>
      <c r="BL46" s="386">
        <v>0</v>
      </c>
      <c r="BM46" s="386">
        <v>0</v>
      </c>
      <c r="BN46" s="386">
        <v>0</v>
      </c>
      <c r="BO46" s="386">
        <v>0</v>
      </c>
      <c r="BP46" s="386">
        <v>0</v>
      </c>
      <c r="BQ46" s="386">
        <v>0</v>
      </c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285"/>
      <c r="CN46" s="285"/>
      <c r="CO46" s="285"/>
      <c r="CP46" s="285"/>
      <c r="CQ46" s="285"/>
      <c r="CR46" s="285"/>
      <c r="CS46" s="285"/>
      <c r="CT46" s="285" t="str">
        <f>IF(ISERROR(CT56-CT32),"n.a.",CT56-CT32)</f>
        <v>n.a.</v>
      </c>
      <c r="CU46" s="285" t="str">
        <f t="shared" ref="CU46:CV47" si="121">IF(ISERROR(CU56-CU32),"n.a.",CU56-CU32)</f>
        <v>n.a.</v>
      </c>
      <c r="CV46" s="285" t="str">
        <f t="shared" si="121"/>
        <v>n.a.</v>
      </c>
      <c r="CW46" s="285" t="str">
        <f t="shared" ref="CW46" si="122">IF(ISERROR(CW56-CW32),"n.a.",CW56-CW32)</f>
        <v>n.a.</v>
      </c>
      <c r="CX46" s="285" t="str">
        <f t="shared" ref="CX46:DF46" si="123">IF(ISERROR(CX56-CX32),"n.a.",CX56-CX32)</f>
        <v>n.a.</v>
      </c>
      <c r="CY46" s="285" t="str">
        <f t="shared" ref="CY46" si="124">IF(ISERROR(CY56-CY32),"n.a.",CY56-CY32)</f>
        <v>n.a.</v>
      </c>
      <c r="CZ46" s="286" t="str">
        <f t="shared" si="123"/>
        <v>n.a.</v>
      </c>
      <c r="DA46" s="285" t="str">
        <f t="shared" si="123"/>
        <v>n.a.</v>
      </c>
      <c r="DB46" s="285" t="str">
        <f t="shared" si="123"/>
        <v>n.a.</v>
      </c>
      <c r="DC46" s="285" t="str">
        <f t="shared" si="123"/>
        <v>n.a.</v>
      </c>
      <c r="DD46" s="285" t="str">
        <f t="shared" si="123"/>
        <v>n.a.</v>
      </c>
      <c r="DE46" s="285" t="str">
        <f t="shared" si="123"/>
        <v>n.a.</v>
      </c>
      <c r="DF46" s="285" t="str">
        <f t="shared" si="123"/>
        <v>n.a.</v>
      </c>
      <c r="DG46" s="285" t="str">
        <f t="shared" ref="DG46:DH46" si="125">IF(ISERROR(DG56-DG32),"n.a.",DG56-DG32)</f>
        <v>n.a.</v>
      </c>
      <c r="DH46" s="285" t="str">
        <f t="shared" si="125"/>
        <v>n.a.</v>
      </c>
      <c r="DI46" s="285" t="str">
        <f t="shared" ref="DI46" si="126">IF(ISERROR(DI56-DI32),"n.a.",DI56-DI32)</f>
        <v>n.a.</v>
      </c>
    </row>
    <row r="47" spans="1:113" ht="12" hidden="1" outlineLevel="2">
      <c r="A47" s="1" t="s">
        <v>309</v>
      </c>
      <c r="B47" s="19" t="s">
        <v>315</v>
      </c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394"/>
      <c r="U47" s="408"/>
      <c r="V47" s="408"/>
      <c r="W47" s="408"/>
      <c r="X47" s="408"/>
      <c r="Y47" s="394"/>
      <c r="Z47" s="394"/>
      <c r="AA47" s="394"/>
      <c r="AB47" s="394"/>
      <c r="AC47" s="394"/>
      <c r="AD47" s="394"/>
      <c r="AE47" s="394"/>
      <c r="AF47" s="394"/>
      <c r="AG47" s="394"/>
      <c r="AH47" s="394"/>
      <c r="AI47" s="394"/>
      <c r="AJ47" s="394"/>
      <c r="AK47" s="394"/>
      <c r="AL47" s="394"/>
      <c r="AM47" s="394"/>
      <c r="AN47" s="394"/>
      <c r="AO47" s="394"/>
      <c r="AP47" s="285" t="str">
        <f t="shared" ref="AP47:AR47" si="127">IF(ISERROR(AP57-AP33),"n.a.",AP57-AP33)</f>
        <v>n.a.</v>
      </c>
      <c r="AQ47" s="285" t="str">
        <f t="shared" si="127"/>
        <v>n.a.</v>
      </c>
      <c r="AR47" s="285" t="str">
        <f t="shared" si="127"/>
        <v>n.a.</v>
      </c>
      <c r="AS47" s="285" t="str">
        <f t="shared" ref="AS47:AT47" si="128">IF(ISERROR(AS57-AS33),"n.a.",AS57-AS33)</f>
        <v>n.a.</v>
      </c>
      <c r="AT47" s="285" t="str">
        <f t="shared" si="128"/>
        <v>n.a.</v>
      </c>
      <c r="AU47" s="285" t="str">
        <f t="shared" ref="AU47:AV47" si="129">IF(ISERROR(AU57-AU33),"n.a.",AU57-AU33)</f>
        <v>n.a.</v>
      </c>
      <c r="AV47" s="285" t="str">
        <f t="shared" si="129"/>
        <v>n.a.</v>
      </c>
      <c r="AW47" s="285" t="str">
        <f t="shared" ref="AW47:AX47" si="130">IF(ISERROR(AW57-AW33),"n.a.",AW57-AW33)</f>
        <v>n.a.</v>
      </c>
      <c r="AX47" s="285" t="str">
        <f t="shared" si="130"/>
        <v>n.a.</v>
      </c>
      <c r="AY47" s="427">
        <v>0</v>
      </c>
      <c r="AZ47" s="393">
        <v>0</v>
      </c>
      <c r="BA47" s="386">
        <v>0</v>
      </c>
      <c r="BB47" s="386">
        <v>0</v>
      </c>
      <c r="BC47" s="386">
        <v>0</v>
      </c>
      <c r="BD47" s="386">
        <v>0</v>
      </c>
      <c r="BE47" s="386">
        <v>0</v>
      </c>
      <c r="BF47" s="386">
        <v>0</v>
      </c>
      <c r="BG47" s="386">
        <v>0</v>
      </c>
      <c r="BH47" s="386">
        <v>0</v>
      </c>
      <c r="BI47" s="386">
        <v>0</v>
      </c>
      <c r="BJ47" s="386">
        <v>0</v>
      </c>
      <c r="BK47" s="386">
        <v>0</v>
      </c>
      <c r="BL47" s="386">
        <v>0</v>
      </c>
      <c r="BM47" s="386">
        <v>0</v>
      </c>
      <c r="BN47" s="386">
        <v>0</v>
      </c>
      <c r="BO47" s="386">
        <v>0</v>
      </c>
      <c r="BP47" s="386">
        <v>0</v>
      </c>
      <c r="BQ47" s="386">
        <v>0</v>
      </c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285"/>
      <c r="CN47" s="285"/>
      <c r="CO47" s="285"/>
      <c r="CP47" s="285"/>
      <c r="CQ47" s="285"/>
      <c r="CR47" s="285"/>
      <c r="CS47" s="285"/>
      <c r="CT47" s="285" t="str">
        <f>IF(ISERROR(CT57-CT33),"n.a.",CT57-CT33)</f>
        <v>n.a.</v>
      </c>
      <c r="CU47" s="285" t="str">
        <f t="shared" si="121"/>
        <v>n.a.</v>
      </c>
      <c r="CV47" s="285" t="str">
        <f t="shared" si="121"/>
        <v>n.a.</v>
      </c>
      <c r="CW47" s="285" t="str">
        <f t="shared" ref="CW47" si="131">IF(ISERROR(CW57-CW33),"n.a.",CW57-CW33)</f>
        <v>n.a.</v>
      </c>
      <c r="CX47" s="285" t="str">
        <f t="shared" ref="CX47:DF47" si="132">IF(ISERROR(CX57-CX33),"n.a.",CX57-CX33)</f>
        <v>n.a.</v>
      </c>
      <c r="CY47" s="285" t="str">
        <f t="shared" ref="CY47" si="133">IF(ISERROR(CY57-CY33),"n.a.",CY57-CY33)</f>
        <v>n.a.</v>
      </c>
      <c r="CZ47" s="286" t="str">
        <f t="shared" si="132"/>
        <v>n.a.</v>
      </c>
      <c r="DA47" s="285" t="str">
        <f t="shared" si="132"/>
        <v>n.a.</v>
      </c>
      <c r="DB47" s="285" t="str">
        <f t="shared" si="132"/>
        <v>n.a.</v>
      </c>
      <c r="DC47" s="285" t="str">
        <f t="shared" si="132"/>
        <v>n.a.</v>
      </c>
      <c r="DD47" s="285" t="str">
        <f t="shared" si="132"/>
        <v>n.a.</v>
      </c>
      <c r="DE47" s="285" t="str">
        <f t="shared" si="132"/>
        <v>n.a.</v>
      </c>
      <c r="DF47" s="285" t="str">
        <f t="shared" si="132"/>
        <v>n.a.</v>
      </c>
      <c r="DG47" s="285" t="str">
        <f t="shared" ref="DG47:DH47" si="134">IF(ISERROR(DG57-DG33),"n.a.",DG57-DG33)</f>
        <v>n.a.</v>
      </c>
      <c r="DH47" s="285" t="str">
        <f t="shared" si="134"/>
        <v>n.a.</v>
      </c>
      <c r="DI47" s="285" t="str">
        <f t="shared" ref="DI47" si="135">IF(ISERROR(DI57-DI33),"n.a.",DI57-DI33)</f>
        <v>n.a.</v>
      </c>
    </row>
    <row r="48" spans="1:113" ht="12" hidden="1" outlineLevel="2">
      <c r="A48" s="1" t="s">
        <v>310</v>
      </c>
      <c r="B48" s="19" t="s">
        <v>316</v>
      </c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8"/>
      <c r="O48" s="408"/>
      <c r="P48" s="408"/>
      <c r="Q48" s="408"/>
      <c r="R48" s="408"/>
      <c r="S48" s="408"/>
      <c r="T48" s="394"/>
      <c r="U48" s="408"/>
      <c r="V48" s="408"/>
      <c r="W48" s="408"/>
      <c r="X48" s="408"/>
      <c r="Y48" s="394"/>
      <c r="Z48" s="394"/>
      <c r="AA48" s="394"/>
      <c r="AB48" s="394"/>
      <c r="AC48" s="394"/>
      <c r="AD48" s="394"/>
      <c r="AE48" s="394"/>
      <c r="AF48" s="394"/>
      <c r="AG48" s="394"/>
      <c r="AH48" s="394"/>
      <c r="AI48" s="394"/>
      <c r="AJ48" s="394"/>
      <c r="AK48" s="394"/>
      <c r="AL48" s="394"/>
      <c r="AM48" s="394"/>
      <c r="AN48" s="394"/>
      <c r="AO48" s="394"/>
      <c r="AP48" s="285" t="str">
        <f t="shared" ref="AP48:AR48" si="136">IF(ISERROR(AP59-AP34),"n.a.",AP59-AP34)</f>
        <v>n.a.</v>
      </c>
      <c r="AQ48" s="285" t="str">
        <f t="shared" si="136"/>
        <v>n.a.</v>
      </c>
      <c r="AR48" s="285" t="str">
        <f t="shared" si="136"/>
        <v>n.a.</v>
      </c>
      <c r="AS48" s="285" t="str">
        <f t="shared" ref="AS48:AT48" si="137">IF(ISERROR(AS59-AS34),"n.a.",AS59-AS34)</f>
        <v>n.a.</v>
      </c>
      <c r="AT48" s="285" t="str">
        <f t="shared" si="137"/>
        <v>n.a.</v>
      </c>
      <c r="AU48" s="285" t="str">
        <f t="shared" ref="AU48:AV48" si="138">IF(ISERROR(AU59-AU34),"n.a.",AU59-AU34)</f>
        <v>n.a.</v>
      </c>
      <c r="AV48" s="285" t="str">
        <f t="shared" si="138"/>
        <v>n.a.</v>
      </c>
      <c r="AW48" s="285" t="str">
        <f t="shared" ref="AW48:AX48" si="139">IF(ISERROR(AW59-AW34),"n.a.",AW59-AW34)</f>
        <v>n.a.</v>
      </c>
      <c r="AX48" s="285" t="str">
        <f t="shared" si="139"/>
        <v>n.a.</v>
      </c>
      <c r="AY48" s="427">
        <v>0</v>
      </c>
      <c r="AZ48" s="393">
        <v>0</v>
      </c>
      <c r="BA48" s="386">
        <v>0</v>
      </c>
      <c r="BB48" s="386">
        <v>0</v>
      </c>
      <c r="BC48" s="386">
        <v>0</v>
      </c>
      <c r="BD48" s="386">
        <v>0</v>
      </c>
      <c r="BE48" s="386">
        <v>0</v>
      </c>
      <c r="BF48" s="386">
        <v>0</v>
      </c>
      <c r="BG48" s="386">
        <v>0</v>
      </c>
      <c r="BH48" s="386">
        <v>0</v>
      </c>
      <c r="BI48" s="386">
        <v>0</v>
      </c>
      <c r="BJ48" s="386">
        <v>0</v>
      </c>
      <c r="BK48" s="386">
        <v>0</v>
      </c>
      <c r="BL48" s="386">
        <v>0</v>
      </c>
      <c r="BM48" s="386">
        <v>0</v>
      </c>
      <c r="BN48" s="386">
        <v>0</v>
      </c>
      <c r="BO48" s="386">
        <v>0</v>
      </c>
      <c r="BP48" s="386">
        <v>0</v>
      </c>
      <c r="BQ48" s="386">
        <v>0</v>
      </c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285"/>
      <c r="CN48" s="285"/>
      <c r="CO48" s="285"/>
      <c r="CP48" s="285"/>
      <c r="CQ48" s="285"/>
      <c r="CR48" s="285"/>
      <c r="CS48" s="285"/>
      <c r="CT48" s="285" t="str">
        <f>IF(ISERROR(CT59-CT34),"n.a.",CT59-CT34)</f>
        <v>n.a.</v>
      </c>
      <c r="CU48" s="285" t="str">
        <f t="shared" ref="CU48:CV49" si="140">IF(ISERROR(CU59-CU34),"n.a.",CU59-CU34)</f>
        <v>n.a.</v>
      </c>
      <c r="CV48" s="285" t="str">
        <f t="shared" si="140"/>
        <v>n.a.</v>
      </c>
      <c r="CW48" s="285" t="str">
        <f t="shared" ref="CW48" si="141">IF(ISERROR(CW59-CW34),"n.a.",CW59-CW34)</f>
        <v>n.a.</v>
      </c>
      <c r="CX48" s="285" t="str">
        <f t="shared" ref="CX48:DF48" si="142">IF(ISERROR(CX59-CX34),"n.a.",CX59-CX34)</f>
        <v>n.a.</v>
      </c>
      <c r="CY48" s="285" t="str">
        <f t="shared" ref="CY48" si="143">IF(ISERROR(CY59-CY34),"n.a.",CY59-CY34)</f>
        <v>n.a.</v>
      </c>
      <c r="CZ48" s="286" t="str">
        <f t="shared" si="142"/>
        <v>n.a.</v>
      </c>
      <c r="DA48" s="285" t="str">
        <f t="shared" si="142"/>
        <v>n.a.</v>
      </c>
      <c r="DB48" s="285" t="str">
        <f t="shared" si="142"/>
        <v>n.a.</v>
      </c>
      <c r="DC48" s="285" t="str">
        <f t="shared" si="142"/>
        <v>n.a.</v>
      </c>
      <c r="DD48" s="285" t="str">
        <f t="shared" si="142"/>
        <v>n.a.</v>
      </c>
      <c r="DE48" s="285" t="str">
        <f t="shared" si="142"/>
        <v>n.a.</v>
      </c>
      <c r="DF48" s="285" t="str">
        <f t="shared" si="142"/>
        <v>n.a.</v>
      </c>
      <c r="DG48" s="285" t="str">
        <f t="shared" ref="DG48:DH48" si="144">IF(ISERROR(DG59-DG34),"n.a.",DG59-DG34)</f>
        <v>n.a.</v>
      </c>
      <c r="DH48" s="285" t="str">
        <f t="shared" si="144"/>
        <v>n.a.</v>
      </c>
      <c r="DI48" s="285" t="str">
        <f t="shared" ref="DI48" si="145">IF(ISERROR(DI59-DI34),"n.a.",DI59-DI34)</f>
        <v>n.a.</v>
      </c>
    </row>
    <row r="49" spans="1:115" ht="12" hidden="1" outlineLevel="2">
      <c r="A49" s="1" t="s">
        <v>380</v>
      </c>
      <c r="B49" s="19" t="s">
        <v>317</v>
      </c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  <c r="N49" s="408"/>
      <c r="O49" s="408"/>
      <c r="P49" s="408"/>
      <c r="Q49" s="408"/>
      <c r="R49" s="408"/>
      <c r="S49" s="408"/>
      <c r="T49" s="394"/>
      <c r="U49" s="408"/>
      <c r="V49" s="408"/>
      <c r="W49" s="408"/>
      <c r="X49" s="408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285" t="str">
        <f t="shared" ref="AP49:AR49" si="146">IF(ISERROR(AP60-AP35),"n.a.",AP60-AP35)</f>
        <v>n.a.</v>
      </c>
      <c r="AQ49" s="285" t="str">
        <f t="shared" si="146"/>
        <v>n.a.</v>
      </c>
      <c r="AR49" s="285" t="str">
        <f t="shared" si="146"/>
        <v>n.a.</v>
      </c>
      <c r="AS49" s="285" t="str">
        <f t="shared" ref="AS49:AT49" si="147">IF(ISERROR(AS60-AS35),"n.a.",AS60-AS35)</f>
        <v>n.a.</v>
      </c>
      <c r="AT49" s="285" t="str">
        <f t="shared" si="147"/>
        <v>n.a.</v>
      </c>
      <c r="AU49" s="285" t="str">
        <f t="shared" ref="AU49:AV49" si="148">IF(ISERROR(AU60-AU35),"n.a.",AU60-AU35)</f>
        <v>n.a.</v>
      </c>
      <c r="AV49" s="285" t="str">
        <f t="shared" si="148"/>
        <v>n.a.</v>
      </c>
      <c r="AW49" s="285" t="str">
        <f t="shared" ref="AW49:AX49" si="149">IF(ISERROR(AW60-AW35),"n.a.",AW60-AW35)</f>
        <v>n.a.</v>
      </c>
      <c r="AX49" s="285" t="str">
        <f t="shared" si="149"/>
        <v>n.a.</v>
      </c>
      <c r="AY49" s="427">
        <v>0</v>
      </c>
      <c r="AZ49" s="393">
        <v>0</v>
      </c>
      <c r="BA49" s="386">
        <v>0</v>
      </c>
      <c r="BB49" s="386">
        <v>0</v>
      </c>
      <c r="BC49" s="386">
        <v>0</v>
      </c>
      <c r="BD49" s="386">
        <v>0</v>
      </c>
      <c r="BE49" s="386">
        <v>0</v>
      </c>
      <c r="BF49" s="386">
        <v>0</v>
      </c>
      <c r="BG49" s="386">
        <v>0</v>
      </c>
      <c r="BH49" s="386">
        <v>0</v>
      </c>
      <c r="BI49" s="386">
        <v>0</v>
      </c>
      <c r="BJ49" s="386">
        <v>0</v>
      </c>
      <c r="BK49" s="386">
        <v>0</v>
      </c>
      <c r="BL49" s="386">
        <v>0</v>
      </c>
      <c r="BM49" s="386">
        <v>0</v>
      </c>
      <c r="BN49" s="386">
        <v>0</v>
      </c>
      <c r="BO49" s="386">
        <v>0</v>
      </c>
      <c r="BP49" s="386">
        <v>0</v>
      </c>
      <c r="BQ49" s="386">
        <v>0</v>
      </c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285"/>
      <c r="CN49" s="285"/>
      <c r="CO49" s="285"/>
      <c r="CP49" s="285"/>
      <c r="CQ49" s="285"/>
      <c r="CR49" s="285"/>
      <c r="CS49" s="285"/>
      <c r="CT49" s="285" t="str">
        <f>IF(ISERROR(CT60-CT35),"n.a.",CT60-CT35)</f>
        <v>n.a.</v>
      </c>
      <c r="CU49" s="285" t="str">
        <f t="shared" si="140"/>
        <v>n.a.</v>
      </c>
      <c r="CV49" s="285" t="str">
        <f t="shared" si="140"/>
        <v>n.a.</v>
      </c>
      <c r="CW49" s="285" t="str">
        <f t="shared" ref="CW49" si="150">IF(ISERROR(CW60-CW35),"n.a.",CW60-CW35)</f>
        <v>n.a.</v>
      </c>
      <c r="CX49" s="285" t="str">
        <f t="shared" ref="CX49:DF49" si="151">IF(ISERROR(CX60-CX35),"n.a.",CX60-CX35)</f>
        <v>n.a.</v>
      </c>
      <c r="CY49" s="285" t="str">
        <f t="shared" ref="CY49" si="152">IF(ISERROR(CY60-CY35),"n.a.",CY60-CY35)</f>
        <v>n.a.</v>
      </c>
      <c r="CZ49" s="286" t="str">
        <f t="shared" si="151"/>
        <v>n.a.</v>
      </c>
      <c r="DA49" s="285" t="str">
        <f t="shared" si="151"/>
        <v>n.a.</v>
      </c>
      <c r="DB49" s="285" t="str">
        <f t="shared" si="151"/>
        <v>n.a.</v>
      </c>
      <c r="DC49" s="285" t="str">
        <f t="shared" si="151"/>
        <v>n.a.</v>
      </c>
      <c r="DD49" s="285" t="str">
        <f t="shared" si="151"/>
        <v>n.a.</v>
      </c>
      <c r="DE49" s="285" t="str">
        <f t="shared" si="151"/>
        <v>n.a.</v>
      </c>
      <c r="DF49" s="285" t="str">
        <f t="shared" si="151"/>
        <v>n.a.</v>
      </c>
      <c r="DG49" s="285" t="str">
        <f t="shared" ref="DG49:DH49" si="153">IF(ISERROR(DG60-DG35),"n.a.",DG60-DG35)</f>
        <v>n.a.</v>
      </c>
      <c r="DH49" s="285" t="str">
        <f t="shared" si="153"/>
        <v>n.a.</v>
      </c>
      <c r="DI49" s="285" t="str">
        <f t="shared" ref="DI49" si="154">IF(ISERROR(DI60-DI35),"n.a.",DI60-DI35)</f>
        <v>n.a.</v>
      </c>
    </row>
    <row r="50" spans="1:115" ht="12" hidden="1" outlineLevel="1" collapsed="1">
      <c r="AD50" s="394"/>
      <c r="AE50" s="394"/>
      <c r="AP50" s="172"/>
      <c r="AQ50" s="172"/>
      <c r="AR50" s="172"/>
      <c r="AS50" s="44"/>
      <c r="AT50" s="44"/>
      <c r="AU50" s="44"/>
      <c r="AV50" s="44"/>
      <c r="AW50" s="44"/>
      <c r="AX50" s="44"/>
      <c r="AY50" s="44"/>
      <c r="AZ50" s="45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CV50" s="172"/>
      <c r="CW50" s="172"/>
      <c r="CX50" s="172"/>
      <c r="CY50" s="172"/>
      <c r="DB50" s="19"/>
      <c r="DC50" s="19"/>
      <c r="DD50" s="19"/>
      <c r="DE50" s="19"/>
      <c r="DF50" s="19"/>
      <c r="DG50" s="19"/>
      <c r="DH50" s="19"/>
      <c r="DI50" s="19"/>
    </row>
    <row r="51" spans="1:115" ht="12" hidden="1" outlineLevel="1">
      <c r="B51" s="24" t="s">
        <v>388</v>
      </c>
      <c r="AV51" s="44"/>
      <c r="AW51" s="44"/>
      <c r="AX51" s="668"/>
      <c r="AY51" s="668"/>
      <c r="BA51" s="44"/>
      <c r="BC51" s="632"/>
      <c r="BE51" s="44"/>
      <c r="BG51" s="44"/>
      <c r="BI51" s="44"/>
      <c r="BK51" s="44"/>
      <c r="BM51" s="44"/>
      <c r="BO51" s="44"/>
      <c r="BQ51" s="44"/>
      <c r="DB51" s="19"/>
      <c r="DC51" s="19"/>
      <c r="DD51" s="19"/>
      <c r="DE51" s="19"/>
      <c r="DF51" s="19"/>
      <c r="DG51" s="19"/>
      <c r="DH51" s="19"/>
      <c r="DI51" s="19"/>
    </row>
    <row r="52" spans="1:115" ht="12" hidden="1" outlineLevel="1">
      <c r="A52" s="1" t="s">
        <v>850</v>
      </c>
      <c r="B52" s="19" t="s">
        <v>216</v>
      </c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394"/>
      <c r="U52" s="408"/>
      <c r="V52" s="408"/>
      <c r="W52" s="408"/>
      <c r="X52" s="408"/>
      <c r="Y52" s="394"/>
      <c r="Z52" s="394"/>
      <c r="AA52" s="394"/>
      <c r="AB52" s="394"/>
      <c r="AC52" s="394"/>
      <c r="AD52" s="394"/>
      <c r="AE52" s="394"/>
      <c r="AF52" s="394"/>
      <c r="AG52" s="394"/>
      <c r="AH52" s="394"/>
      <c r="AI52" s="394"/>
      <c r="AJ52" s="394"/>
      <c r="AK52" s="394"/>
      <c r="AL52" s="394"/>
      <c r="AM52" s="394"/>
      <c r="AN52" s="394"/>
      <c r="AO52" s="394"/>
      <c r="AP52" s="285" t="str">
        <f t="shared" ref="AP52:AP54" si="155">IF(ISERROR(AP157/AO157-1),"n.a.",AP157/AO157-1)</f>
        <v>n.a.</v>
      </c>
      <c r="AQ52" s="285">
        <f t="shared" ref="AQ52:AQ54" si="156">IF(ISERROR(AQ157/AP157-1),"n.a.",AQ157/AP157-1)</f>
        <v>0.48559670781893005</v>
      </c>
      <c r="AR52" s="285">
        <f t="shared" ref="AR52:AZ54" si="157">IF(ISERROR(AR157/AQ157-1),"n.a.",AR157/AQ157-1)</f>
        <v>0.36011080332409962</v>
      </c>
      <c r="AS52" s="285">
        <f t="shared" si="157"/>
        <v>0.26680244399185327</v>
      </c>
      <c r="AT52" s="285">
        <f t="shared" si="157"/>
        <v>0.2384244372990354</v>
      </c>
      <c r="AU52" s="285">
        <f t="shared" si="157"/>
        <v>0.23250681552641828</v>
      </c>
      <c r="AV52" s="285">
        <f t="shared" si="157"/>
        <v>0.10111649462818639</v>
      </c>
      <c r="AW52" s="285">
        <f t="shared" si="157"/>
        <v>9.2596135450545125E-2</v>
      </c>
      <c r="AX52" s="285">
        <f t="shared" si="157"/>
        <v>-1.1469094729469553E-2</v>
      </c>
      <c r="AY52" s="285">
        <f t="shared" si="157"/>
        <v>2.4621379860065629E-2</v>
      </c>
      <c r="AZ52" s="286">
        <f t="shared" si="157"/>
        <v>1.1928429423459175E-2</v>
      </c>
      <c r="BA52" s="162">
        <f t="shared" ref="BA52:BI54" si="158">BA29+BA43</f>
        <v>1.0731999999999981E-2</v>
      </c>
      <c r="BB52" s="162">
        <f t="shared" si="158"/>
        <v>0.02</v>
      </c>
      <c r="BC52" s="162">
        <f t="shared" si="158"/>
        <v>0.02</v>
      </c>
      <c r="BD52" s="162">
        <f t="shared" si="158"/>
        <v>2.9210249999999993E-2</v>
      </c>
      <c r="BE52" s="162">
        <f t="shared" si="158"/>
        <v>2.9210249999999993E-2</v>
      </c>
      <c r="BF52" s="162">
        <f t="shared" si="158"/>
        <v>2.9210249999999993E-2</v>
      </c>
      <c r="BG52" s="162">
        <f t="shared" si="158"/>
        <v>2.5156249999999991E-2</v>
      </c>
      <c r="BH52" s="162">
        <f t="shared" si="158"/>
        <v>2.5156249999999991E-2</v>
      </c>
      <c r="BI52" s="162">
        <f t="shared" si="158"/>
        <v>2.0100000000000007E-2</v>
      </c>
      <c r="BJ52" s="162">
        <f t="shared" ref="BJ52:BK52" si="159">BJ29+BJ43</f>
        <v>2.0100000000000007E-2</v>
      </c>
      <c r="BK52" s="162">
        <f t="shared" si="159"/>
        <v>2.0100000000000007E-2</v>
      </c>
      <c r="BL52" s="162">
        <f t="shared" ref="BL52:BM52" si="160">BL29+BL43</f>
        <v>2.0100000000000007E-2</v>
      </c>
      <c r="BM52" s="162">
        <f t="shared" si="160"/>
        <v>2.0100000000000007E-2</v>
      </c>
      <c r="BN52" s="162">
        <f t="shared" ref="BN52:BO52" si="161">BN29+BN43</f>
        <v>2.0100000000000007E-2</v>
      </c>
      <c r="BO52" s="162">
        <f t="shared" si="161"/>
        <v>2.0100000000000007E-2</v>
      </c>
      <c r="BP52" s="162">
        <f t="shared" ref="BP52:BQ52" si="162">BP29+BP43</f>
        <v>2.0100000000000007E-2</v>
      </c>
      <c r="BQ52" s="162">
        <f t="shared" si="162"/>
        <v>2.0100000000000007E-2</v>
      </c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285"/>
      <c r="CN52" s="285"/>
      <c r="CO52" s="285"/>
      <c r="CP52" s="285"/>
      <c r="CQ52" s="285"/>
      <c r="CR52" s="285"/>
      <c r="CS52" s="285"/>
      <c r="CT52" s="285" t="str">
        <f t="shared" ref="CT52:CW54" si="163">IF(ISERROR(CT157/CS157-1),"n.a.",CT157/CS157-1)</f>
        <v>n.a.</v>
      </c>
      <c r="CU52" s="285">
        <f t="shared" si="163"/>
        <v>21.407515705116641</v>
      </c>
      <c r="CV52" s="285">
        <f t="shared" si="163"/>
        <v>2.380729992793218</v>
      </c>
      <c r="CW52" s="285">
        <f t="shared" si="163"/>
        <v>0.7229916897506925</v>
      </c>
      <c r="CX52" s="285">
        <f t="shared" ref="CX52:DG52" si="164">CX157/CW157-1</f>
        <v>0.52636655948553046</v>
      </c>
      <c r="CY52" s="285">
        <f t="shared" si="164"/>
        <v>0.20307562671160739</v>
      </c>
      <c r="CZ52" s="286">
        <f t="shared" si="164"/>
        <v>1.2869900192610695E-2</v>
      </c>
      <c r="DA52" s="162">
        <f t="shared" si="164"/>
        <v>2.2788445328031814E-2</v>
      </c>
      <c r="DB52" s="162">
        <f t="shared" si="164"/>
        <v>4.0399999999999991E-2</v>
      </c>
      <c r="DC52" s="162">
        <f t="shared" si="164"/>
        <v>5.9273738705062584E-2</v>
      </c>
      <c r="DD52" s="162">
        <f t="shared" si="164"/>
        <v>5.5101320351562455E-2</v>
      </c>
      <c r="DE52" s="162">
        <f t="shared" si="164"/>
        <v>4.5761890624999912E-2</v>
      </c>
      <c r="DF52" s="162">
        <f t="shared" si="164"/>
        <v>4.0604009999999802E-2</v>
      </c>
      <c r="DG52" s="162">
        <f t="shared" si="164"/>
        <v>4.0604010000000024E-2</v>
      </c>
      <c r="DH52" s="162">
        <f t="shared" ref="DH52:DI52" si="165">DH157/DG157-1</f>
        <v>4.0604010000000024E-2</v>
      </c>
      <c r="DI52" s="162">
        <f t="shared" si="165"/>
        <v>4.0604010000000024E-2</v>
      </c>
      <c r="DJ52" s="548"/>
      <c r="DK52" s="548"/>
    </row>
    <row r="53" spans="1:115" ht="12" hidden="1" outlineLevel="1">
      <c r="A53" s="1" t="s">
        <v>452</v>
      </c>
      <c r="B53" s="19" t="s">
        <v>217</v>
      </c>
      <c r="C53" s="408"/>
      <c r="D53" s="408"/>
      <c r="E53" s="408"/>
      <c r="F53" s="408"/>
      <c r="G53" s="408"/>
      <c r="H53" s="408"/>
      <c r="I53" s="408"/>
      <c r="J53" s="408"/>
      <c r="K53" s="408"/>
      <c r="L53" s="408"/>
      <c r="M53" s="408"/>
      <c r="N53" s="408"/>
      <c r="O53" s="408"/>
      <c r="P53" s="408"/>
      <c r="Q53" s="408"/>
      <c r="R53" s="408"/>
      <c r="S53" s="408"/>
      <c r="T53" s="394"/>
      <c r="U53" s="408"/>
      <c r="V53" s="408"/>
      <c r="W53" s="408"/>
      <c r="X53" s="408"/>
      <c r="Y53" s="394"/>
      <c r="Z53" s="394"/>
      <c r="AA53" s="394"/>
      <c r="AB53" s="394"/>
      <c r="AC53" s="394"/>
      <c r="AD53" s="394"/>
      <c r="AE53" s="394"/>
      <c r="AF53" s="394"/>
      <c r="AG53" s="394"/>
      <c r="AH53" s="394"/>
      <c r="AI53" s="394"/>
      <c r="AJ53" s="394"/>
      <c r="AK53" s="394"/>
      <c r="AL53" s="394"/>
      <c r="AM53" s="394"/>
      <c r="AN53" s="394"/>
      <c r="AO53" s="394"/>
      <c r="AP53" s="285" t="str">
        <f t="shared" si="155"/>
        <v>n.a.</v>
      </c>
      <c r="AQ53" s="285">
        <f t="shared" si="156"/>
        <v>0.32424496644295298</v>
      </c>
      <c r="AR53" s="285">
        <f t="shared" si="157"/>
        <v>0.3801076971808679</v>
      </c>
      <c r="AS53" s="285">
        <f t="shared" si="157"/>
        <v>0.25545099839338992</v>
      </c>
      <c r="AT53" s="285">
        <f t="shared" si="157"/>
        <v>0.22760511882998169</v>
      </c>
      <c r="AU53" s="285">
        <f t="shared" si="157"/>
        <v>0.18516753536857777</v>
      </c>
      <c r="AV53" s="285">
        <f t="shared" si="157"/>
        <v>8.784429030960994E-2</v>
      </c>
      <c r="AW53" s="285">
        <f t="shared" si="157"/>
        <v>0.10530753681778782</v>
      </c>
      <c r="AX53" s="285">
        <f t="shared" si="157"/>
        <v>9.9130543828115147E-2</v>
      </c>
      <c r="AY53" s="285">
        <f t="shared" si="157"/>
        <v>7.5167810758903997E-2</v>
      </c>
      <c r="AZ53" s="286">
        <f t="shared" si="157"/>
        <v>8.0904460401117761E-2</v>
      </c>
      <c r="BA53" s="162">
        <f t="shared" si="158"/>
        <v>9.1999999999999998E-2</v>
      </c>
      <c r="BB53" s="162">
        <f t="shared" si="158"/>
        <v>6.7979999999999999E-2</v>
      </c>
      <c r="BC53" s="162">
        <f t="shared" si="158"/>
        <v>8.2339999999999997E-2</v>
      </c>
      <c r="BD53" s="162">
        <f t="shared" si="158"/>
        <v>6.3030000000000003E-2</v>
      </c>
      <c r="BE53" s="162">
        <f t="shared" si="158"/>
        <v>7.7409999999999993E-2</v>
      </c>
      <c r="BF53" s="162">
        <f t="shared" si="158"/>
        <v>5.8090000000000003E-2</v>
      </c>
      <c r="BG53" s="162">
        <f t="shared" si="158"/>
        <v>7.2489999999999999E-2</v>
      </c>
      <c r="BH53" s="162">
        <f t="shared" si="158"/>
        <v>4.8760000000000005E-2</v>
      </c>
      <c r="BI53" s="162">
        <f t="shared" si="158"/>
        <v>6.3159999999999994E-2</v>
      </c>
      <c r="BJ53" s="162">
        <f t="shared" ref="BJ53:BK53" si="166">BJ30+BJ44</f>
        <v>3.9390000000000001E-2</v>
      </c>
      <c r="BK53" s="162">
        <f t="shared" si="166"/>
        <v>5.3789999999999998E-2</v>
      </c>
      <c r="BL53" s="162">
        <f t="shared" ref="BL53:BM53" si="167">BL30+BL44</f>
        <v>0.03</v>
      </c>
      <c r="BM53" s="162">
        <f t="shared" si="167"/>
        <v>4.4400000000000002E-2</v>
      </c>
      <c r="BN53" s="162">
        <f t="shared" ref="BN53:BO53" si="168">BN30+BN44</f>
        <v>2.5000000000000001E-2</v>
      </c>
      <c r="BO53" s="162">
        <f t="shared" si="168"/>
        <v>3.9399999999999998E-2</v>
      </c>
      <c r="BP53" s="162">
        <f t="shared" ref="BP53:BQ53" si="169">BP30+BP44</f>
        <v>2.5000000000000001E-2</v>
      </c>
      <c r="BQ53" s="162">
        <f t="shared" si="169"/>
        <v>3.9410000000000001E-2</v>
      </c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285"/>
      <c r="CN53" s="285"/>
      <c r="CO53" s="285"/>
      <c r="CP53" s="285"/>
      <c r="CQ53" s="285"/>
      <c r="CR53" s="285"/>
      <c r="CS53" s="285"/>
      <c r="CT53" s="285" t="str">
        <f t="shared" si="163"/>
        <v>n.a.</v>
      </c>
      <c r="CU53" s="285">
        <f t="shared" si="163"/>
        <v>6.2024157623589211</v>
      </c>
      <c r="CV53" s="285">
        <f t="shared" si="163"/>
        <v>0.87714278454877337</v>
      </c>
      <c r="CW53" s="285">
        <f t="shared" si="163"/>
        <v>0.73265758631612288</v>
      </c>
      <c r="CX53" s="285">
        <f t="shared" ref="CX53:DG53" si="170">SUM(CX158:CX159)/SUM(CW158:CW159)-1</f>
        <v>0.4549177330895795</v>
      </c>
      <c r="CY53" s="285">
        <f t="shared" si="170"/>
        <v>0.20240249296340962</v>
      </c>
      <c r="CZ53" s="286">
        <f t="shared" si="170"/>
        <v>0.18174978054591828</v>
      </c>
      <c r="DA53" s="162">
        <f t="shared" si="170"/>
        <v>0.18034767075802072</v>
      </c>
      <c r="DB53" s="162">
        <f t="shared" si="170"/>
        <v>0.15591747319999993</v>
      </c>
      <c r="DC53" s="162">
        <f t="shared" si="170"/>
        <v>0.14531915229999992</v>
      </c>
      <c r="DD53" s="162">
        <f t="shared" si="170"/>
        <v>0.13479094409999992</v>
      </c>
      <c r="DE53" s="162">
        <f t="shared" si="170"/>
        <v>0.11499968159999963</v>
      </c>
      <c r="DF53" s="162">
        <f t="shared" si="170"/>
        <v>9.5298788100000031E-2</v>
      </c>
      <c r="DG53" s="162">
        <f t="shared" si="170"/>
        <v>7.5731999999999911E-2</v>
      </c>
      <c r="DH53" s="162">
        <f t="shared" ref="DH53:DI53" si="171">SUM(DH158:DH159)/SUM(DG158:DG159)-1</f>
        <v>6.5385000000000026E-2</v>
      </c>
      <c r="DI53" s="162">
        <f t="shared" si="171"/>
        <v>6.5395249999999905E-2</v>
      </c>
      <c r="DJ53" s="548"/>
      <c r="DK53" s="548"/>
    </row>
    <row r="54" spans="1:115" ht="12" hidden="1" outlineLevel="1">
      <c r="A54" s="1" t="s">
        <v>453</v>
      </c>
      <c r="B54" s="19" t="s">
        <v>218</v>
      </c>
      <c r="C54" s="408"/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8"/>
      <c r="T54" s="394"/>
      <c r="U54" s="408"/>
      <c r="V54" s="408"/>
      <c r="W54" s="408"/>
      <c r="X54" s="408"/>
      <c r="Y54" s="394"/>
      <c r="Z54" s="394"/>
      <c r="AA54" s="394"/>
      <c r="AB54" s="394"/>
      <c r="AC54" s="394"/>
      <c r="AD54" s="394"/>
      <c r="AE54" s="394"/>
      <c r="AF54" s="394"/>
      <c r="AG54" s="394"/>
      <c r="AH54" s="394"/>
      <c r="AI54" s="394"/>
      <c r="AJ54" s="394"/>
      <c r="AK54" s="394"/>
      <c r="AL54" s="394"/>
      <c r="AM54" s="394"/>
      <c r="AN54" s="394"/>
      <c r="AO54" s="394"/>
      <c r="AP54" s="285" t="str">
        <f t="shared" si="155"/>
        <v>n.a.</v>
      </c>
      <c r="AQ54" s="285" t="str">
        <f t="shared" si="156"/>
        <v>n.a.</v>
      </c>
      <c r="AR54" s="285" t="str">
        <f t="shared" si="157"/>
        <v>n.a.</v>
      </c>
      <c r="AS54" s="285" t="str">
        <f t="shared" si="157"/>
        <v>n.a.</v>
      </c>
      <c r="AT54" s="285" t="str">
        <f t="shared" si="157"/>
        <v>n.a.</v>
      </c>
      <c r="AU54" s="285" t="str">
        <f t="shared" si="157"/>
        <v>n.a.</v>
      </c>
      <c r="AV54" s="285" t="str">
        <f t="shared" si="157"/>
        <v>n.a.</v>
      </c>
      <c r="AW54" s="285" t="str">
        <f t="shared" si="157"/>
        <v>n.a.</v>
      </c>
      <c r="AX54" s="285" t="str">
        <f t="shared" si="157"/>
        <v>n.a.</v>
      </c>
      <c r="AY54" s="285" t="str">
        <f t="shared" si="157"/>
        <v>n.a.</v>
      </c>
      <c r="AZ54" s="286" t="str">
        <f t="shared" si="157"/>
        <v>n.a.</v>
      </c>
      <c r="BA54" s="162">
        <f t="shared" si="158"/>
        <v>2.0100000000000007E-2</v>
      </c>
      <c r="BB54" s="162">
        <f t="shared" si="158"/>
        <v>1.2537499999999868E-2</v>
      </c>
      <c r="BC54" s="162">
        <f t="shared" si="158"/>
        <v>1.0024999999999729E-2</v>
      </c>
      <c r="BD54" s="162">
        <f t="shared" si="158"/>
        <v>1.0024999999999729E-2</v>
      </c>
      <c r="BE54" s="162">
        <f t="shared" si="158"/>
        <v>1.0024999999999729E-2</v>
      </c>
      <c r="BF54" s="162">
        <f t="shared" si="158"/>
        <v>1.0024999999999729E-2</v>
      </c>
      <c r="BG54" s="162">
        <f t="shared" si="158"/>
        <v>1.0024999999999729E-2</v>
      </c>
      <c r="BH54" s="162">
        <f t="shared" si="158"/>
        <v>1.0024999999999729E-2</v>
      </c>
      <c r="BI54" s="162">
        <f t="shared" si="158"/>
        <v>1.0024999999999729E-2</v>
      </c>
      <c r="BJ54" s="162">
        <f t="shared" ref="BJ54:BK54" si="172">BJ31+BJ45</f>
        <v>1.0024999999999729E-2</v>
      </c>
      <c r="BK54" s="162">
        <f t="shared" si="172"/>
        <v>1.0024999999999729E-2</v>
      </c>
      <c r="BL54" s="162">
        <f t="shared" ref="BL54:BM54" si="173">BL31+BL45</f>
        <v>1.0024999999999729E-2</v>
      </c>
      <c r="BM54" s="162">
        <f t="shared" si="173"/>
        <v>1.0024999999999729E-2</v>
      </c>
      <c r="BN54" s="162">
        <f t="shared" ref="BN54:BO54" si="174">BN31+BN45</f>
        <v>1.0024999999999729E-2</v>
      </c>
      <c r="BO54" s="162">
        <f t="shared" si="174"/>
        <v>1.0024999999999729E-2</v>
      </c>
      <c r="BP54" s="162">
        <f t="shared" ref="BP54:BQ54" si="175">BP31+BP45</f>
        <v>1.0024999999999729E-2</v>
      </c>
      <c r="BQ54" s="162">
        <f t="shared" si="175"/>
        <v>1.0024999999999729E-2</v>
      </c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285"/>
      <c r="CN54" s="285"/>
      <c r="CO54" s="285"/>
      <c r="CP54" s="285"/>
      <c r="CQ54" s="285"/>
      <c r="CR54" s="285"/>
      <c r="CS54" s="285"/>
      <c r="CT54" s="285" t="str">
        <f t="shared" si="163"/>
        <v>n.a.</v>
      </c>
      <c r="CU54" s="285" t="str">
        <f t="shared" si="163"/>
        <v>n.a.</v>
      </c>
      <c r="CV54" s="285" t="str">
        <f t="shared" si="163"/>
        <v>n.a.</v>
      </c>
      <c r="CW54" s="285" t="str">
        <f t="shared" si="163"/>
        <v>n.a.</v>
      </c>
      <c r="CX54" s="285" t="str">
        <f t="shared" ref="CX54:CY54" si="176">IF(ISERROR(CX159/CW159-1),"n.a.",CX159/CW159-1)</f>
        <v>n.a.</v>
      </c>
      <c r="CY54" s="285" t="str">
        <f t="shared" si="176"/>
        <v>n.a.</v>
      </c>
      <c r="CZ54" s="286" t="str">
        <f t="shared" ref="CZ54" si="177">IF(ISERROR(CZ159/CY159-1),"n.a.",CZ159/CY159-1)</f>
        <v>n.a.</v>
      </c>
      <c r="DA54" s="285" t="str">
        <f t="shared" ref="DA54" si="178">IF(ISERROR(DA159/CZ159-1),"n.a.",DA159/CZ159-1)</f>
        <v>n.a.</v>
      </c>
      <c r="DB54" s="285" t="str">
        <f t="shared" ref="DB54" si="179">IF(ISERROR(DB159/DA159-1),"n.a.",DB159/DA159-1)</f>
        <v>n.a.</v>
      </c>
      <c r="DC54" s="285" t="str">
        <f t="shared" ref="DC54" si="180">IF(ISERROR(DC159/DB159-1),"n.a.",DC159/DB159-1)</f>
        <v>n.a.</v>
      </c>
      <c r="DD54" s="285" t="str">
        <f t="shared" ref="DD54" si="181">IF(ISERROR(DD159/DC159-1),"n.a.",DD159/DC159-1)</f>
        <v>n.a.</v>
      </c>
      <c r="DE54" s="285" t="str">
        <f t="shared" ref="DE54" si="182">IF(ISERROR(DE159/DD159-1),"n.a.",DE159/DD159-1)</f>
        <v>n.a.</v>
      </c>
      <c r="DF54" s="285" t="str">
        <f t="shared" ref="DF54" si="183">IF(ISERROR(DF159/DE159-1),"n.a.",DF159/DE159-1)</f>
        <v>n.a.</v>
      </c>
      <c r="DG54" s="285" t="str">
        <f t="shared" ref="DG54" si="184">IF(ISERROR(DG159/DF159-1),"n.a.",DG159/DF159-1)</f>
        <v>n.a.</v>
      </c>
      <c r="DH54" s="285" t="str">
        <f t="shared" ref="DH54" si="185">IF(ISERROR(DH159/DG159-1),"n.a.",DH159/DG159-1)</f>
        <v>n.a.</v>
      </c>
      <c r="DI54" s="285" t="str">
        <f t="shared" ref="DI54" si="186">IF(ISERROR(DI159/DH159-1),"n.a.",DI159/DH159-1)</f>
        <v>n.a.</v>
      </c>
    </row>
    <row r="55" spans="1:115" ht="12" hidden="1" outlineLevel="1">
      <c r="A55" s="1" t="s">
        <v>851</v>
      </c>
      <c r="B55" s="19" t="s">
        <v>472</v>
      </c>
      <c r="C55" s="408"/>
      <c r="D55" s="408"/>
      <c r="E55" s="408"/>
      <c r="F55" s="408"/>
      <c r="G55" s="408"/>
      <c r="H55" s="408"/>
      <c r="I55" s="408"/>
      <c r="J55" s="408"/>
      <c r="K55" s="408"/>
      <c r="L55" s="408"/>
      <c r="M55" s="408"/>
      <c r="N55" s="408"/>
      <c r="O55" s="408"/>
      <c r="P55" s="408"/>
      <c r="Q55" s="408"/>
      <c r="R55" s="408"/>
      <c r="S55" s="408"/>
      <c r="T55" s="394"/>
      <c r="U55" s="408"/>
      <c r="V55" s="408"/>
      <c r="W55" s="408"/>
      <c r="X55" s="408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285">
        <f t="shared" ref="AP55:AR55" si="187">AP161/AP186</f>
        <v>1.3222932501132532</v>
      </c>
      <c r="AQ55" s="285">
        <f t="shared" si="187"/>
        <v>1.3808533186795935</v>
      </c>
      <c r="AR55" s="285">
        <f t="shared" si="187"/>
        <v>1.4968506854390513</v>
      </c>
      <c r="AS55" s="285">
        <f t="shared" ref="AS55:AT55" si="188">AS161/AS186</f>
        <v>1.489304486004156</v>
      </c>
      <c r="AT55" s="285">
        <f t="shared" si="188"/>
        <v>1.4233043676674715</v>
      </c>
      <c r="AU55" s="285">
        <f t="shared" ref="AU55:AV55" si="189">AU161/AU186</f>
        <v>1.4958522250209907</v>
      </c>
      <c r="AV55" s="285">
        <f t="shared" si="189"/>
        <v>1.4019505851755527</v>
      </c>
      <c r="AW55" s="285">
        <f t="shared" ref="AW55:AX55" si="190">AW161/AW186</f>
        <v>1.3018230432668936</v>
      </c>
      <c r="AX55" s="285">
        <f t="shared" si="190"/>
        <v>1.2955394883203559</v>
      </c>
      <c r="AY55" s="285">
        <f t="shared" ref="AY55:AZ55" si="191">AY161/AY186</f>
        <v>1.2617722082759737</v>
      </c>
      <c r="AZ55" s="286">
        <f t="shared" si="191"/>
        <v>1.2335605083809174</v>
      </c>
      <c r="BA55" s="660">
        <f>BA161/((AZ186*(1+10.5%)))</f>
        <v>1.2111183990451815</v>
      </c>
      <c r="BB55" s="660">
        <f>BB161/((BA186*(1+8%)))</f>
        <v>1.1932577694060749</v>
      </c>
      <c r="BC55" s="660">
        <f>BC161/((BB186*(1+9.5%)))</f>
        <v>1.1741590290709178</v>
      </c>
      <c r="BD55" s="660">
        <f>BD161/((BC186*(1+7.143%)))</f>
        <v>1.1622149716595549</v>
      </c>
      <c r="BE55" s="660">
        <f>BE161/((BD186*(1+8.525%)))</f>
        <v>1.1501173845967376</v>
      </c>
      <c r="BF55" s="660">
        <f>BF161/((BE186*(1+7.058%)))</f>
        <v>1.13456729043211</v>
      </c>
      <c r="BG55" s="660">
        <f>BG161/((BF186*(1+8.062%)))</f>
        <v>1.1227030664213502</v>
      </c>
      <c r="BH55" s="660">
        <f>BG55</f>
        <v>1.1227030664213502</v>
      </c>
      <c r="BI55" s="660">
        <f t="shared" ref="BI55:BQ55" si="192">BH55</f>
        <v>1.1227030664213502</v>
      </c>
      <c r="BJ55" s="660">
        <f t="shared" si="192"/>
        <v>1.1227030664213502</v>
      </c>
      <c r="BK55" s="660">
        <f t="shared" si="192"/>
        <v>1.1227030664213502</v>
      </c>
      <c r="BL55" s="660">
        <f t="shared" si="192"/>
        <v>1.1227030664213502</v>
      </c>
      <c r="BM55" s="660">
        <f t="shared" si="192"/>
        <v>1.1227030664213502</v>
      </c>
      <c r="BN55" s="660">
        <f t="shared" si="192"/>
        <v>1.1227030664213502</v>
      </c>
      <c r="BO55" s="660">
        <f t="shared" si="192"/>
        <v>1.1227030664213502</v>
      </c>
      <c r="BP55" s="660">
        <f t="shared" si="192"/>
        <v>1.1227030664213502</v>
      </c>
      <c r="BQ55" s="660">
        <f t="shared" si="192"/>
        <v>1.1227030664213502</v>
      </c>
      <c r="BR55" s="408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285"/>
      <c r="CN55" s="285"/>
      <c r="CO55" s="285"/>
      <c r="CP55" s="285"/>
      <c r="CQ55" s="285"/>
      <c r="CR55" s="285"/>
      <c r="CS55" s="285"/>
      <c r="CT55" s="285">
        <f t="shared" ref="CT55:DF55" si="193">CT161/CT186</f>
        <v>2.2822988505747124</v>
      </c>
      <c r="CU55" s="285">
        <f t="shared" si="193"/>
        <v>1.2901918776599584</v>
      </c>
      <c r="CV55" s="285">
        <f t="shared" si="193"/>
        <v>1.3808533186795935</v>
      </c>
      <c r="CW55" s="285">
        <f t="shared" ref="CW55" si="194">CW161/CW186</f>
        <v>1.489304486004156</v>
      </c>
      <c r="CX55" s="285">
        <f t="shared" si="193"/>
        <v>1.4958522250209907</v>
      </c>
      <c r="CY55" s="285">
        <f t="shared" ref="CY55" si="195">CY161/CY186</f>
        <v>1.3018230432668936</v>
      </c>
      <c r="CZ55" s="286">
        <f t="shared" si="193"/>
        <v>1.2617722082759737</v>
      </c>
      <c r="DA55" s="162">
        <f t="shared" si="193"/>
        <v>1.2111183990451815</v>
      </c>
      <c r="DB55" s="162">
        <f t="shared" si="193"/>
        <v>1.1741590290709178</v>
      </c>
      <c r="DC55" s="162">
        <f t="shared" si="193"/>
        <v>1.1501173845967376</v>
      </c>
      <c r="DD55" s="162">
        <f t="shared" si="193"/>
        <v>1.1227030664213502</v>
      </c>
      <c r="DE55" s="162">
        <f t="shared" si="193"/>
        <v>1.1227030664213502</v>
      </c>
      <c r="DF55" s="162">
        <f t="shared" si="193"/>
        <v>1.1227030664213502</v>
      </c>
      <c r="DG55" s="162">
        <f t="shared" ref="DG55" si="196">DG161/DG186</f>
        <v>1.1227030664213502</v>
      </c>
      <c r="DH55" s="162">
        <f t="shared" ref="DH55:DI55" si="197">DH161/DH186</f>
        <v>1.1227030664213502</v>
      </c>
      <c r="DI55" s="162">
        <f t="shared" si="197"/>
        <v>1.1227030664213502</v>
      </c>
    </row>
    <row r="56" spans="1:115" ht="12" hidden="1" outlineLevel="2">
      <c r="A56" s="1" t="s">
        <v>454</v>
      </c>
      <c r="B56" s="19" t="s">
        <v>383</v>
      </c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394"/>
      <c r="U56" s="408"/>
      <c r="V56" s="408"/>
      <c r="W56" s="408"/>
      <c r="X56" s="408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394"/>
      <c r="AM56" s="394"/>
      <c r="AN56" s="394"/>
      <c r="AO56" s="394"/>
      <c r="AP56" s="285" t="str">
        <f t="shared" ref="AP56" si="198">IF(ISERROR((AP164*AP19)/(AO164*AO19)-1),"n.a.",(AP164*AP19)/(AO164*AO19)-1)</f>
        <v>n.a.</v>
      </c>
      <c r="AQ56" s="285" t="str">
        <f t="shared" ref="AQ56" si="199">IF(ISERROR((AQ164*AQ19)/(AP164*AP19)-1),"n.a.",(AQ164*AQ19)/(AP164*AP19)-1)</f>
        <v>n.a.</v>
      </c>
      <c r="AR56" s="285" t="str">
        <f t="shared" ref="AR56:AX56" si="200">IF(ISERROR((AR164*AR19)/(AQ164*AQ19)-1),"n.a.",(AR164*AR19)/(AQ164*AQ19)-1)</f>
        <v>n.a.</v>
      </c>
      <c r="AS56" s="285" t="str">
        <f t="shared" si="200"/>
        <v>n.a.</v>
      </c>
      <c r="AT56" s="285" t="str">
        <f t="shared" si="200"/>
        <v>n.a.</v>
      </c>
      <c r="AU56" s="285" t="str">
        <f t="shared" si="200"/>
        <v>n.a.</v>
      </c>
      <c r="AV56" s="285" t="str">
        <f t="shared" si="200"/>
        <v>n.a.</v>
      </c>
      <c r="AW56" s="285" t="str">
        <f t="shared" si="200"/>
        <v>n.a.</v>
      </c>
      <c r="AX56" s="285" t="str">
        <f t="shared" si="200"/>
        <v>n.a.</v>
      </c>
      <c r="AY56" s="285">
        <f t="shared" ref="AY56:BI57" si="201">AY46+AY32</f>
        <v>2.6041580579173607E-2</v>
      </c>
      <c r="AZ56" s="286">
        <f t="shared" si="201"/>
        <v>3.0172675266582294E-2</v>
      </c>
      <c r="BA56" s="162">
        <f t="shared" si="201"/>
        <v>2.0100000000000007E-2</v>
      </c>
      <c r="BB56" s="162">
        <f t="shared" si="201"/>
        <v>2.0100000000000007E-2</v>
      </c>
      <c r="BC56" s="162">
        <f t="shared" si="201"/>
        <v>2.0100000000000007E-2</v>
      </c>
      <c r="BD56" s="162">
        <f t="shared" si="201"/>
        <v>2.0100000000000007E-2</v>
      </c>
      <c r="BE56" s="162">
        <f t="shared" si="201"/>
        <v>2.0100000000000007E-2</v>
      </c>
      <c r="BF56" s="162">
        <f t="shared" si="201"/>
        <v>2.0100000000000007E-2</v>
      </c>
      <c r="BG56" s="162">
        <f t="shared" si="201"/>
        <v>2.0100000000000007E-2</v>
      </c>
      <c r="BH56" s="162">
        <f t="shared" si="201"/>
        <v>2.0100000000000007E-2</v>
      </c>
      <c r="BI56" s="162">
        <f t="shared" si="201"/>
        <v>2.0100000000000007E-2</v>
      </c>
      <c r="BJ56" s="162">
        <f t="shared" ref="BJ56:BK56" si="202">BJ46+BJ32</f>
        <v>2.0100000000000007E-2</v>
      </c>
      <c r="BK56" s="162">
        <f t="shared" si="202"/>
        <v>2.0100000000000007E-2</v>
      </c>
      <c r="BL56" s="162">
        <f t="shared" ref="BL56:BM56" si="203">BL46+BL32</f>
        <v>2.0100000000000007E-2</v>
      </c>
      <c r="BM56" s="162">
        <f t="shared" si="203"/>
        <v>2.0100000000000007E-2</v>
      </c>
      <c r="BN56" s="162">
        <f t="shared" ref="BN56:BO56" si="204">BN46+BN32</f>
        <v>2.0100000000000007E-2</v>
      </c>
      <c r="BO56" s="162">
        <f t="shared" si="204"/>
        <v>2.0100000000000007E-2</v>
      </c>
      <c r="BP56" s="162">
        <f t="shared" ref="BP56:BQ56" si="205">BP46+BP32</f>
        <v>2.0100000000000007E-2</v>
      </c>
      <c r="BQ56" s="162">
        <f t="shared" si="205"/>
        <v>2.0100000000000007E-2</v>
      </c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285"/>
      <c r="CN56" s="285"/>
      <c r="CO56" s="285"/>
      <c r="CP56" s="285"/>
      <c r="CQ56" s="285"/>
      <c r="CR56" s="285"/>
      <c r="CS56" s="285"/>
      <c r="CT56" s="285" t="str">
        <f>IF(ISERROR((CT164*CT19)/(CS164*CS19)-1),"n.a.",(CT164*CT19)/(CS164*CS19)-1)</f>
        <v>n.a.</v>
      </c>
      <c r="CU56" s="285" t="str">
        <f t="shared" ref="CU56:CW56" si="206">IF(ISERROR((CU164*CU19)/(CT164*CT19)-1),"n.a.",(CU164*CU19)/(CT164*CT19)-1)</f>
        <v>n.a.</v>
      </c>
      <c r="CV56" s="285" t="str">
        <f t="shared" si="206"/>
        <v>n.a.</v>
      </c>
      <c r="CW56" s="285" t="str">
        <f t="shared" si="206"/>
        <v>n.a.</v>
      </c>
      <c r="CX56" s="285" t="str">
        <f t="shared" ref="CX56:CY56" si="207">IF(ISERROR((CX164*CX19)/(CW164*CW19)-1),"n.a.",(CX164*CX19)/(CW164*CW19)-1)</f>
        <v>n.a.</v>
      </c>
      <c r="CY56" s="285" t="str">
        <f t="shared" si="207"/>
        <v>n.a.</v>
      </c>
      <c r="CZ56" s="286" t="str">
        <f t="shared" ref="CZ56" si="208">IF(ISERROR((CZ164*CZ19)/(CY164*CY19)-1),"n.a.",(CZ164*CZ19)/(CY164*CY19)-1)</f>
        <v>n.a.</v>
      </c>
      <c r="DA56" s="285" t="str">
        <f t="shared" ref="DA56" si="209">IF(ISERROR((DA164*DA19)/(CZ164*CZ19)-1),"n.a.",(DA164*DA19)/(CZ164*CZ19)-1)</f>
        <v>n.a.</v>
      </c>
      <c r="DB56" s="285" t="str">
        <f t="shared" ref="DB56" si="210">IF(ISERROR((DB164*DB19)/(DA164*DA19)-1),"n.a.",(DB164*DB19)/(DA164*DA19)-1)</f>
        <v>n.a.</v>
      </c>
      <c r="DC56" s="285" t="str">
        <f t="shared" ref="DC56" si="211">IF(ISERROR((DC164*DC19)/(DB164*DB19)-1),"n.a.",(DC164*DC19)/(DB164*DB19)-1)</f>
        <v>n.a.</v>
      </c>
      <c r="DD56" s="285" t="str">
        <f t="shared" ref="DD56" si="212">IF(ISERROR((DD164*DD19)/(DC164*DC19)-1),"n.a.",(DD164*DD19)/(DC164*DC19)-1)</f>
        <v>n.a.</v>
      </c>
      <c r="DE56" s="285" t="str">
        <f t="shared" ref="DE56" si="213">IF(ISERROR((DE164*DE19)/(DD164*DD19)-1),"n.a.",(DE164*DE19)/(DD164*DD19)-1)</f>
        <v>n.a.</v>
      </c>
      <c r="DF56" s="285" t="str">
        <f t="shared" ref="DF56" si="214">IF(ISERROR((DF164*DF19)/(DE164*DE19)-1),"n.a.",(DF164*DF19)/(DE164*DE19)-1)</f>
        <v>n.a.</v>
      </c>
      <c r="DG56" s="285" t="str">
        <f t="shared" ref="DG56" si="215">IF(ISERROR((DG164*DG19)/(DF164*DF19)-1),"n.a.",(DG164*DG19)/(DF164*DF19)-1)</f>
        <v>n.a.</v>
      </c>
      <c r="DH56" s="285" t="str">
        <f t="shared" ref="DH56" si="216">IF(ISERROR((DH164*DH19)/(DG164*DG19)-1),"n.a.",(DH164*DH19)/(DG164*DG19)-1)</f>
        <v>n.a.</v>
      </c>
      <c r="DI56" s="285" t="str">
        <f t="shared" ref="DI56" si="217">IF(ISERROR((DI164*DI19)/(DH164*DH19)-1),"n.a.",(DI164*DI19)/(DH164*DH19)-1)</f>
        <v>n.a.</v>
      </c>
    </row>
    <row r="57" spans="1:115" ht="12" hidden="1" outlineLevel="2">
      <c r="A57" s="1" t="s">
        <v>455</v>
      </c>
      <c r="B57" s="19" t="s">
        <v>507</v>
      </c>
      <c r="C57" s="408"/>
      <c r="D57" s="408"/>
      <c r="E57" s="408"/>
      <c r="F57" s="408"/>
      <c r="G57" s="408"/>
      <c r="H57" s="408"/>
      <c r="I57" s="408"/>
      <c r="J57" s="408"/>
      <c r="K57" s="408"/>
      <c r="L57" s="408"/>
      <c r="M57" s="408"/>
      <c r="N57" s="408"/>
      <c r="O57" s="408"/>
      <c r="P57" s="408"/>
      <c r="Q57" s="408"/>
      <c r="R57" s="408"/>
      <c r="S57" s="408"/>
      <c r="T57" s="394"/>
      <c r="U57" s="408"/>
      <c r="V57" s="408"/>
      <c r="W57" s="408"/>
      <c r="X57" s="408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394"/>
      <c r="AM57" s="394"/>
      <c r="AN57" s="394"/>
      <c r="AO57" s="394"/>
      <c r="AP57" s="285" t="str">
        <f t="shared" ref="AP57" si="218">IF(ISERROR((SUM(AP166:AP166)*AP19)/(SUM(AO166:AO166)*AO19)-1),"n.a.",(SUM(AP166:AP166)*AP19)/(SUM(AO166:AO166)*AO19)-1)</f>
        <v>n.a.</v>
      </c>
      <c r="AQ57" s="285" t="str">
        <f t="shared" ref="AQ57" si="219">IF(ISERROR((SUM(AQ166:AQ166)*AQ19)/(SUM(AP166:AP166)*AP19)-1),"n.a.",(SUM(AQ166:AQ166)*AQ19)/(SUM(AP166:AP166)*AP19)-1)</f>
        <v>n.a.</v>
      </c>
      <c r="AR57" s="285" t="str">
        <f t="shared" ref="AR57:AX57" si="220">IF(ISERROR((SUM(AR166:AR166)*AR19)/(SUM(AQ166:AQ166)*AQ19)-1),"n.a.",(SUM(AR166:AR166)*AR19)/(SUM(AQ166:AQ166)*AQ19)-1)</f>
        <v>n.a.</v>
      </c>
      <c r="AS57" s="285" t="str">
        <f t="shared" si="220"/>
        <v>n.a.</v>
      </c>
      <c r="AT57" s="285" t="str">
        <f t="shared" si="220"/>
        <v>n.a.</v>
      </c>
      <c r="AU57" s="285" t="str">
        <f t="shared" si="220"/>
        <v>n.a.</v>
      </c>
      <c r="AV57" s="285" t="str">
        <f t="shared" si="220"/>
        <v>n.a.</v>
      </c>
      <c r="AW57" s="285" t="str">
        <f t="shared" si="220"/>
        <v>n.a.</v>
      </c>
      <c r="AX57" s="285" t="str">
        <f t="shared" si="220"/>
        <v>n.a.</v>
      </c>
      <c r="AY57" s="285">
        <f t="shared" si="201"/>
        <v>-9.2662843727909783E-3</v>
      </c>
      <c r="AZ57" s="286">
        <f t="shared" si="201"/>
        <v>3.2892462578075765E-2</v>
      </c>
      <c r="BA57" s="162">
        <f t="shared" si="201"/>
        <v>1.1234490332522551E-2</v>
      </c>
      <c r="BB57" s="162">
        <f t="shared" si="201"/>
        <v>1.1234490332522551E-2</v>
      </c>
      <c r="BC57" s="162">
        <f t="shared" si="201"/>
        <v>1.1234490332522551E-2</v>
      </c>
      <c r="BD57" s="162">
        <f t="shared" si="201"/>
        <v>1.1234490332522551E-2</v>
      </c>
      <c r="BE57" s="162">
        <f t="shared" si="201"/>
        <v>1.1234490332522551E-2</v>
      </c>
      <c r="BF57" s="162">
        <f t="shared" si="201"/>
        <v>1.1234490332522551E-2</v>
      </c>
      <c r="BG57" s="162">
        <f t="shared" si="201"/>
        <v>1.1234490332522551E-2</v>
      </c>
      <c r="BH57" s="162">
        <f t="shared" si="201"/>
        <v>1.1234490332522551E-2</v>
      </c>
      <c r="BI57" s="162">
        <f t="shared" si="201"/>
        <v>1.1234490332522551E-2</v>
      </c>
      <c r="BJ57" s="162">
        <f t="shared" ref="BJ57:BK57" si="221">BJ47+BJ33</f>
        <v>1.1234490332522551E-2</v>
      </c>
      <c r="BK57" s="162">
        <f t="shared" si="221"/>
        <v>1.1234490332522551E-2</v>
      </c>
      <c r="BL57" s="162">
        <f t="shared" ref="BL57:BM57" si="222">BL47+BL33</f>
        <v>1.1234490332522551E-2</v>
      </c>
      <c r="BM57" s="162">
        <f t="shared" si="222"/>
        <v>1.1234490332522551E-2</v>
      </c>
      <c r="BN57" s="162">
        <f t="shared" ref="BN57:BO57" si="223">BN47+BN33</f>
        <v>1.1234490332522551E-2</v>
      </c>
      <c r="BO57" s="162">
        <f t="shared" si="223"/>
        <v>1.1234490332522551E-2</v>
      </c>
      <c r="BP57" s="162">
        <f t="shared" ref="BP57:BQ57" si="224">BP47+BP33</f>
        <v>1.1234490332522551E-2</v>
      </c>
      <c r="BQ57" s="162">
        <f t="shared" si="224"/>
        <v>1.1234490332522551E-2</v>
      </c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285"/>
      <c r="CN57" s="285"/>
      <c r="CO57" s="285"/>
      <c r="CP57" s="285"/>
      <c r="CQ57" s="285"/>
      <c r="CR57" s="285"/>
      <c r="CS57" s="285"/>
      <c r="CT57" s="285" t="str">
        <f>IF(ISERROR((SUM(CT166:CT166)*CT19)/(SUM(CS166:CS166)*CS19)-1),"n.a.",(SUM(CT166:CT166)*CT19)/(SUM(CS166:CS166)*CS19)-1)</f>
        <v>n.a.</v>
      </c>
      <c r="CU57" s="285" t="str">
        <f t="shared" ref="CU57:CW57" si="225">IF(ISERROR((SUM(CU166:CU166)*CU19)/(SUM(CT166:CT166)*CT19)-1),"n.a.",(SUM(CU166:CU166)*CU19)/(SUM(CT166:CT166)*CT19)-1)</f>
        <v>n.a.</v>
      </c>
      <c r="CV57" s="285" t="str">
        <f t="shared" si="225"/>
        <v>n.a.</v>
      </c>
      <c r="CW57" s="285" t="str">
        <f t="shared" si="225"/>
        <v>n.a.</v>
      </c>
      <c r="CX57" s="285" t="str">
        <f t="shared" ref="CX57:CY57" si="226">IF(ISERROR((SUM(CX166:CX166)*CX19)/(SUM(CW166:CW166)*CW19)-1),"n.a.",(SUM(CX166:CX166)*CX19)/(SUM(CW166:CW166)*CW19)-1)</f>
        <v>n.a.</v>
      </c>
      <c r="CY57" s="285" t="str">
        <f t="shared" si="226"/>
        <v>n.a.</v>
      </c>
      <c r="CZ57" s="286" t="str">
        <f t="shared" ref="CZ57" si="227">IF(ISERROR((SUM(CZ166:CZ166)*CZ19)/(SUM(CY166:CY166)*CY19)-1),"n.a.",(SUM(CZ166:CZ166)*CZ19)/(SUM(CY166:CY166)*CY19)-1)</f>
        <v>n.a.</v>
      </c>
      <c r="DA57" s="285" t="str">
        <f t="shared" ref="DA57" si="228">IF(ISERROR((SUM(DA166:DA166)*DA19)/(SUM(CZ166:CZ166)*CZ19)-1),"n.a.",(SUM(DA166:DA166)*DA19)/(SUM(CZ166:CZ166)*CZ19)-1)</f>
        <v>n.a.</v>
      </c>
      <c r="DB57" s="285" t="str">
        <f t="shared" ref="DB57" si="229">IF(ISERROR((SUM(DB166:DB166)*DB19)/(SUM(DA166:DA166)*DA19)-1),"n.a.",(SUM(DB166:DB166)*DB19)/(SUM(DA166:DA166)*DA19)-1)</f>
        <v>n.a.</v>
      </c>
      <c r="DC57" s="285" t="str">
        <f t="shared" ref="DC57" si="230">IF(ISERROR((SUM(DC166:DC166)*DC19)/(SUM(DB166:DB166)*DB19)-1),"n.a.",(SUM(DC166:DC166)*DC19)/(SUM(DB166:DB166)*DB19)-1)</f>
        <v>n.a.</v>
      </c>
      <c r="DD57" s="285" t="str">
        <f t="shared" ref="DD57" si="231">IF(ISERROR((SUM(DD166:DD166)*DD19)/(SUM(DC166:DC166)*DC19)-1),"n.a.",(SUM(DD166:DD166)*DD19)/(SUM(DC166:DC166)*DC19)-1)</f>
        <v>n.a.</v>
      </c>
      <c r="DE57" s="285" t="str">
        <f t="shared" ref="DE57" si="232">IF(ISERROR((SUM(DE166:DE166)*DE19)/(SUM(DD166:DD166)*DD19)-1),"n.a.",(SUM(DE166:DE166)*DE19)/(SUM(DD166:DD166)*DD19)-1)</f>
        <v>n.a.</v>
      </c>
      <c r="DF57" s="285" t="str">
        <f t="shared" ref="DF57" si="233">IF(ISERROR((SUM(DF166:DF166)*DF19)/(SUM(DE166:DE166)*DE19)-1),"n.a.",(SUM(DF166:DF166)*DF19)/(SUM(DE166:DE166)*DE19)-1)</f>
        <v>n.a.</v>
      </c>
      <c r="DG57" s="285" t="str">
        <f t="shared" ref="DG57" si="234">IF(ISERROR((SUM(DG166:DG166)*DG19)/(SUM(DF166:DF166)*DF19)-1),"n.a.",(SUM(DG166:DG166)*DG19)/(SUM(DF166:DF166)*DF19)-1)</f>
        <v>n.a.</v>
      </c>
      <c r="DH57" s="285" t="str">
        <f t="shared" ref="DH57" si="235">IF(ISERROR((SUM(DH166:DH166)*DH19)/(SUM(DG166:DG166)*DG19)-1),"n.a.",(SUM(DH166:DH166)*DH19)/(SUM(DG166:DG166)*DG19)-1)</f>
        <v>n.a.</v>
      </c>
      <c r="DI57" s="285" t="str">
        <f t="shared" ref="DI57" si="236">IF(ISERROR((SUM(DI166:DI166)*DI19)/(SUM(DH166:DH166)*DH19)-1),"n.a.",(SUM(DI166:DI166)*DI19)/(SUM(DH166:DH166)*DH19)-1)</f>
        <v>n.a.</v>
      </c>
    </row>
    <row r="58" spans="1:115" ht="12" hidden="1" outlineLevel="2">
      <c r="A58" s="1" t="s">
        <v>852</v>
      </c>
      <c r="B58" s="19" t="s">
        <v>508</v>
      </c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M58" s="408"/>
      <c r="N58" s="408"/>
      <c r="O58" s="408"/>
      <c r="P58" s="408"/>
      <c r="Q58" s="408"/>
      <c r="R58" s="408"/>
      <c r="S58" s="408"/>
      <c r="T58" s="394"/>
      <c r="U58" s="408"/>
      <c r="V58" s="408"/>
      <c r="W58" s="408"/>
      <c r="X58" s="408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394"/>
      <c r="AM58" s="394"/>
      <c r="AN58" s="394"/>
      <c r="AO58" s="394"/>
      <c r="AP58" s="285" t="str">
        <f t="shared" ref="AP58:AR58" si="237">IF(ISERROR(AP167/AP192),"n.a.",AP167/AP192)</f>
        <v>n.a.</v>
      </c>
      <c r="AQ58" s="285" t="str">
        <f t="shared" si="237"/>
        <v>n.a.</v>
      </c>
      <c r="AR58" s="285" t="str">
        <f t="shared" si="237"/>
        <v>n.a.</v>
      </c>
      <c r="AS58" s="285" t="str">
        <f t="shared" ref="AS58:AT58" si="238">IF(ISERROR(AS167/AS192),"n.a.",AS167/AS192)</f>
        <v>n.a.</v>
      </c>
      <c r="AT58" s="285" t="str">
        <f t="shared" si="238"/>
        <v>n.a.</v>
      </c>
      <c r="AU58" s="285" t="str">
        <f t="shared" ref="AU58:AV58" si="239">IF(ISERROR(AU167/AU192),"n.a.",AU167/AU192)</f>
        <v>n.a.</v>
      </c>
      <c r="AV58" s="285" t="str">
        <f t="shared" si="239"/>
        <v>n.a.</v>
      </c>
      <c r="AW58" s="285" t="str">
        <f t="shared" ref="AW58:AX58" si="240">IF(ISERROR(AW167/AW192),"n.a.",AW167/AW192)</f>
        <v>n.a.</v>
      </c>
      <c r="AX58" s="285" t="str">
        <f t="shared" si="240"/>
        <v>n.a.</v>
      </c>
      <c r="AY58" s="427" t="str">
        <f t="shared" ref="AY58:BI58" si="241">AX58</f>
        <v>n.a.</v>
      </c>
      <c r="AZ58" s="393" t="str">
        <f t="shared" si="241"/>
        <v>n.a.</v>
      </c>
      <c r="BA58" s="386" t="str">
        <f t="shared" si="241"/>
        <v>n.a.</v>
      </c>
      <c r="BB58" s="386" t="str">
        <f t="shared" si="241"/>
        <v>n.a.</v>
      </c>
      <c r="BC58" s="386" t="str">
        <f t="shared" si="241"/>
        <v>n.a.</v>
      </c>
      <c r="BD58" s="386" t="str">
        <f t="shared" si="241"/>
        <v>n.a.</v>
      </c>
      <c r="BE58" s="386" t="str">
        <f t="shared" si="241"/>
        <v>n.a.</v>
      </c>
      <c r="BF58" s="386" t="str">
        <f t="shared" si="241"/>
        <v>n.a.</v>
      </c>
      <c r="BG58" s="386" t="str">
        <f t="shared" si="241"/>
        <v>n.a.</v>
      </c>
      <c r="BH58" s="386" t="str">
        <f t="shared" si="241"/>
        <v>n.a.</v>
      </c>
      <c r="BI58" s="386" t="str">
        <f t="shared" si="241"/>
        <v>n.a.</v>
      </c>
      <c r="BJ58" s="386" t="str">
        <f t="shared" ref="BJ58" si="242">BI58</f>
        <v>n.a.</v>
      </c>
      <c r="BK58" s="386" t="str">
        <f t="shared" ref="BK58" si="243">BJ58</f>
        <v>n.a.</v>
      </c>
      <c r="BL58" s="386" t="str">
        <f t="shared" ref="BL58" si="244">BK58</f>
        <v>n.a.</v>
      </c>
      <c r="BM58" s="386" t="str">
        <f t="shared" ref="BM58" si="245">BL58</f>
        <v>n.a.</v>
      </c>
      <c r="BN58" s="386" t="str">
        <f t="shared" ref="BN58" si="246">BM58</f>
        <v>n.a.</v>
      </c>
      <c r="BO58" s="386" t="str">
        <f t="shared" ref="BO58" si="247">BN58</f>
        <v>n.a.</v>
      </c>
      <c r="BP58" s="386" t="str">
        <f t="shared" ref="BP58" si="248">BO58</f>
        <v>n.a.</v>
      </c>
      <c r="BQ58" s="386" t="str">
        <f t="shared" ref="BQ58" si="249">BP58</f>
        <v>n.a.</v>
      </c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285"/>
      <c r="CN58" s="285"/>
      <c r="CO58" s="285"/>
      <c r="CP58" s="285"/>
      <c r="CQ58" s="285"/>
      <c r="CR58" s="285"/>
      <c r="CS58" s="285"/>
      <c r="CT58" s="285" t="str">
        <f>IF(ISERROR(CT167/CT192),"n.a.",CT167/CT192)</f>
        <v>n.a.</v>
      </c>
      <c r="CU58" s="285" t="str">
        <f t="shared" ref="CU58:CV58" si="250">IF(ISERROR(CU167/CU192),"n.a.",CU167/CU192)</f>
        <v>n.a.</v>
      </c>
      <c r="CV58" s="285" t="str">
        <f t="shared" si="250"/>
        <v>n.a.</v>
      </c>
      <c r="CW58" s="285" t="str">
        <f t="shared" ref="CW58" si="251">IF(ISERROR(CW167/CW192),"n.a.",CW167/CW192)</f>
        <v>n.a.</v>
      </c>
      <c r="CX58" s="285" t="str">
        <f t="shared" ref="CX58:DE58" si="252">IF(ISERROR(CX167/CX192),"n.a.",CX167/CX192)</f>
        <v>n.a.</v>
      </c>
      <c r="CY58" s="285" t="str">
        <f t="shared" ref="CY58" si="253">IF(ISERROR(CY167/CY192),"n.a.",CY167/CY192)</f>
        <v>n.a.</v>
      </c>
      <c r="CZ58" s="286" t="str">
        <f t="shared" si="252"/>
        <v>n.a.</v>
      </c>
      <c r="DA58" s="285" t="str">
        <f t="shared" si="252"/>
        <v>n.a.</v>
      </c>
      <c r="DB58" s="285" t="str">
        <f t="shared" si="252"/>
        <v>n.a.</v>
      </c>
      <c r="DC58" s="285" t="str">
        <f t="shared" si="252"/>
        <v>n.a.</v>
      </c>
      <c r="DD58" s="285" t="str">
        <f t="shared" si="252"/>
        <v>n.a.</v>
      </c>
      <c r="DE58" s="285" t="str">
        <f t="shared" si="252"/>
        <v>n.a.</v>
      </c>
      <c r="DF58" s="285" t="str">
        <f t="shared" ref="DF58:DI58" si="254">IF(ISERROR(DF167/DF192),"n.a.",DF167/DF192)</f>
        <v>n.a.</v>
      </c>
      <c r="DG58" s="285" t="str">
        <f t="shared" si="254"/>
        <v>n.a.</v>
      </c>
      <c r="DH58" s="285" t="str">
        <f t="shared" si="254"/>
        <v>n.a.</v>
      </c>
      <c r="DI58" s="285" t="str">
        <f t="shared" si="254"/>
        <v>n.a.</v>
      </c>
    </row>
    <row r="59" spans="1:115" ht="12" hidden="1" outlineLevel="2">
      <c r="A59" s="1" t="s">
        <v>456</v>
      </c>
      <c r="B59" s="19" t="s">
        <v>177</v>
      </c>
      <c r="C59" s="408"/>
      <c r="D59" s="408"/>
      <c r="E59" s="408"/>
      <c r="F59" s="408"/>
      <c r="G59" s="408"/>
      <c r="H59" s="408"/>
      <c r="I59" s="408"/>
      <c r="J59" s="408"/>
      <c r="K59" s="408"/>
      <c r="L59" s="408"/>
      <c r="M59" s="408"/>
      <c r="N59" s="408"/>
      <c r="O59" s="408"/>
      <c r="P59" s="408"/>
      <c r="Q59" s="408"/>
      <c r="R59" s="408"/>
      <c r="S59" s="408"/>
      <c r="T59" s="394"/>
      <c r="U59" s="408"/>
      <c r="V59" s="408"/>
      <c r="W59" s="408"/>
      <c r="X59" s="408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394"/>
      <c r="AM59" s="394"/>
      <c r="AN59" s="394"/>
      <c r="AO59" s="394"/>
      <c r="AP59" s="285" t="str">
        <f t="shared" ref="AP59" si="255">IF(ISERROR((AP170*AP18)/(AO170*AO18)-1),"n.a.",(AP170*AP18)/(AO170*AO18)-1)</f>
        <v>n.a.</v>
      </c>
      <c r="AQ59" s="285" t="str">
        <f t="shared" ref="AQ59" si="256">IF(ISERROR((AQ170*AQ18)/(AP170*AP18)-1),"n.a.",(AQ170*AQ18)/(AP170*AP18)-1)</f>
        <v>n.a.</v>
      </c>
      <c r="AR59" s="285" t="str">
        <f t="shared" ref="AR59:AX59" si="257">IF(ISERROR((AR170*AR18)/(AQ170*AQ18)-1),"n.a.",(AR170*AR18)/(AQ170*AQ18)-1)</f>
        <v>n.a.</v>
      </c>
      <c r="AS59" s="285" t="str">
        <f t="shared" si="257"/>
        <v>n.a.</v>
      </c>
      <c r="AT59" s="285" t="str">
        <f t="shared" si="257"/>
        <v>n.a.</v>
      </c>
      <c r="AU59" s="285" t="str">
        <f t="shared" si="257"/>
        <v>n.a.</v>
      </c>
      <c r="AV59" s="285" t="str">
        <f t="shared" si="257"/>
        <v>n.a.</v>
      </c>
      <c r="AW59" s="285" t="str">
        <f t="shared" si="257"/>
        <v>n.a.</v>
      </c>
      <c r="AX59" s="285" t="str">
        <f t="shared" si="257"/>
        <v>n.a.</v>
      </c>
      <c r="AY59" s="285">
        <f t="shared" ref="AY59:BI60" si="258">AY48+AY34</f>
        <v>0</v>
      </c>
      <c r="AZ59" s="286">
        <f t="shared" si="258"/>
        <v>0</v>
      </c>
      <c r="BA59" s="162">
        <f t="shared" si="258"/>
        <v>0</v>
      </c>
      <c r="BB59" s="162">
        <f t="shared" si="258"/>
        <v>0</v>
      </c>
      <c r="BC59" s="162">
        <f t="shared" si="258"/>
        <v>0</v>
      </c>
      <c r="BD59" s="162">
        <f t="shared" si="258"/>
        <v>0</v>
      </c>
      <c r="BE59" s="162">
        <f t="shared" si="258"/>
        <v>0</v>
      </c>
      <c r="BF59" s="162">
        <f t="shared" si="258"/>
        <v>0</v>
      </c>
      <c r="BG59" s="162">
        <f t="shared" si="258"/>
        <v>0</v>
      </c>
      <c r="BH59" s="162">
        <f t="shared" si="258"/>
        <v>0</v>
      </c>
      <c r="BI59" s="162">
        <f t="shared" si="258"/>
        <v>0</v>
      </c>
      <c r="BJ59" s="162">
        <f t="shared" ref="BJ59:BK59" si="259">BJ48+BJ34</f>
        <v>0</v>
      </c>
      <c r="BK59" s="162">
        <f t="shared" si="259"/>
        <v>0</v>
      </c>
      <c r="BL59" s="162">
        <f t="shared" ref="BL59:BM59" si="260">BL48+BL34</f>
        <v>0</v>
      </c>
      <c r="BM59" s="162">
        <f t="shared" si="260"/>
        <v>0</v>
      </c>
      <c r="BN59" s="162">
        <f t="shared" ref="BN59:BO59" si="261">BN48+BN34</f>
        <v>0</v>
      </c>
      <c r="BO59" s="162">
        <f t="shared" si="261"/>
        <v>0</v>
      </c>
      <c r="BP59" s="162">
        <f t="shared" ref="BP59:BQ59" si="262">BP48+BP34</f>
        <v>0</v>
      </c>
      <c r="BQ59" s="162">
        <f t="shared" si="262"/>
        <v>0</v>
      </c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285"/>
      <c r="CN59" s="285"/>
      <c r="CO59" s="285"/>
      <c r="CP59" s="285"/>
      <c r="CQ59" s="285"/>
      <c r="CR59" s="285"/>
      <c r="CS59" s="285"/>
      <c r="CT59" s="285" t="str">
        <f>IF(ISERROR((CT170*CT18)/(CS170*CS18)-1),"n.a.",(CT170*CT18)/(CS170*CS18)-1)</f>
        <v>n.a.</v>
      </c>
      <c r="CU59" s="285" t="str">
        <f t="shared" ref="CU59:CW59" si="263">IF(ISERROR((CU170*CU18)/(CT170*CT18)-1),"n.a.",(CU170*CU18)/(CT170*CT18)-1)</f>
        <v>n.a.</v>
      </c>
      <c r="CV59" s="285" t="str">
        <f t="shared" si="263"/>
        <v>n.a.</v>
      </c>
      <c r="CW59" s="285" t="str">
        <f t="shared" si="263"/>
        <v>n.a.</v>
      </c>
      <c r="CX59" s="285" t="str">
        <f t="shared" ref="CX59:CY59" si="264">IF(ISERROR((CX170*CX18)/(CW170*CW18)-1),"n.a.",(CX170*CX18)/(CW170*CW18)-1)</f>
        <v>n.a.</v>
      </c>
      <c r="CY59" s="285" t="str">
        <f t="shared" si="264"/>
        <v>n.a.</v>
      </c>
      <c r="CZ59" s="286" t="str">
        <f t="shared" ref="CZ59" si="265">IF(ISERROR((CZ170*CZ18)/(CY170*CY18)-1),"n.a.",(CZ170*CZ18)/(CY170*CY18)-1)</f>
        <v>n.a.</v>
      </c>
      <c r="DA59" s="285" t="str">
        <f t="shared" ref="DA59" si="266">IF(ISERROR((DA170*DA18)/(CZ170*CZ18)-1),"n.a.",(DA170*DA18)/(CZ170*CZ18)-1)</f>
        <v>n.a.</v>
      </c>
      <c r="DB59" s="285" t="str">
        <f t="shared" ref="DB59" si="267">IF(ISERROR((DB170*DB18)/(DA170*DA18)-1),"n.a.",(DB170*DB18)/(DA170*DA18)-1)</f>
        <v>n.a.</v>
      </c>
      <c r="DC59" s="285" t="str">
        <f t="shared" ref="DC59" si="268">IF(ISERROR((DC170*DC18)/(DB170*DB18)-1),"n.a.",(DC170*DC18)/(DB170*DB18)-1)</f>
        <v>n.a.</v>
      </c>
      <c r="DD59" s="285" t="str">
        <f t="shared" ref="DD59" si="269">IF(ISERROR((DD170*DD18)/(DC170*DC18)-1),"n.a.",(DD170*DD18)/(DC170*DC18)-1)</f>
        <v>n.a.</v>
      </c>
      <c r="DE59" s="285" t="str">
        <f t="shared" ref="DE59" si="270">IF(ISERROR((DE170*DE18)/(DD170*DD18)-1),"n.a.",(DE170*DE18)/(DD170*DD18)-1)</f>
        <v>n.a.</v>
      </c>
      <c r="DF59" s="285" t="str">
        <f t="shared" ref="DF59" si="271">IF(ISERROR((DF170*DF18)/(DE170*DE18)-1),"n.a.",(DF170*DF18)/(DE170*DE18)-1)</f>
        <v>n.a.</v>
      </c>
      <c r="DG59" s="285" t="str">
        <f t="shared" ref="DG59" si="272">IF(ISERROR((DG170*DG18)/(DF170*DF18)-1),"n.a.",(DG170*DG18)/(DF170*DF18)-1)</f>
        <v>n.a.</v>
      </c>
      <c r="DH59" s="285" t="str">
        <f t="shared" ref="DH59" si="273">IF(ISERROR((DH170*DH18)/(DG170*DG18)-1),"n.a.",(DH170*DH18)/(DG170*DG18)-1)</f>
        <v>n.a.</v>
      </c>
      <c r="DI59" s="285" t="str">
        <f t="shared" ref="DI59" si="274">IF(ISERROR((DI170*DI18)/(DH170*DH18)-1),"n.a.",(DI170*DI18)/(DH170*DH18)-1)</f>
        <v>n.a.</v>
      </c>
    </row>
    <row r="60" spans="1:115" ht="12" hidden="1" outlineLevel="2">
      <c r="A60" s="1" t="s">
        <v>305</v>
      </c>
      <c r="B60" s="19" t="s">
        <v>178</v>
      </c>
      <c r="C60" s="408"/>
      <c r="D60" s="408"/>
      <c r="E60" s="408"/>
      <c r="F60" s="408"/>
      <c r="G60" s="408"/>
      <c r="H60" s="408"/>
      <c r="I60" s="408"/>
      <c r="J60" s="408"/>
      <c r="K60" s="408"/>
      <c r="L60" s="408"/>
      <c r="M60" s="408"/>
      <c r="N60" s="408"/>
      <c r="O60" s="408"/>
      <c r="P60" s="408"/>
      <c r="Q60" s="408"/>
      <c r="R60" s="408"/>
      <c r="S60" s="408"/>
      <c r="T60" s="394"/>
      <c r="U60" s="408"/>
      <c r="V60" s="408"/>
      <c r="W60" s="408"/>
      <c r="X60" s="408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394"/>
      <c r="AM60" s="394"/>
      <c r="AN60" s="394"/>
      <c r="AO60" s="394"/>
      <c r="AP60" s="285" t="str">
        <f t="shared" ref="AP60" si="275">IF(ISERROR((SUM(AP172:AP172)*AP18)/(SUM(AO172:AO172)*AO18)-1),"n.a.",(SUM(AP172:AP172)*AP18)/(SUM(AO172:AO172)*AO18)-1)</f>
        <v>n.a.</v>
      </c>
      <c r="AQ60" s="285" t="str">
        <f t="shared" ref="AQ60" si="276">IF(ISERROR((SUM(AQ172:AQ172)*AQ18)/(SUM(AP172:AP172)*AP18)-1),"n.a.",(SUM(AQ172:AQ172)*AQ18)/(SUM(AP172:AP172)*AP18)-1)</f>
        <v>n.a.</v>
      </c>
      <c r="AR60" s="285" t="str">
        <f t="shared" ref="AR60:AX60" si="277">IF(ISERROR((SUM(AR172:AR172)*AR18)/(SUM(AQ172:AQ172)*AQ18)-1),"n.a.",(SUM(AR172:AR172)*AR18)/(SUM(AQ172:AQ172)*AQ18)-1)</f>
        <v>n.a.</v>
      </c>
      <c r="AS60" s="285" t="str">
        <f t="shared" si="277"/>
        <v>n.a.</v>
      </c>
      <c r="AT60" s="285" t="str">
        <f t="shared" si="277"/>
        <v>n.a.</v>
      </c>
      <c r="AU60" s="285" t="str">
        <f t="shared" si="277"/>
        <v>n.a.</v>
      </c>
      <c r="AV60" s="285" t="str">
        <f t="shared" si="277"/>
        <v>n.a.</v>
      </c>
      <c r="AW60" s="285" t="str">
        <f t="shared" si="277"/>
        <v>n.a.</v>
      </c>
      <c r="AX60" s="285" t="str">
        <f t="shared" si="277"/>
        <v>n.a.</v>
      </c>
      <c r="AY60" s="285">
        <f t="shared" si="258"/>
        <v>0</v>
      </c>
      <c r="AZ60" s="286">
        <f t="shared" si="258"/>
        <v>0</v>
      </c>
      <c r="BA60" s="162">
        <f t="shared" si="258"/>
        <v>0</v>
      </c>
      <c r="BB60" s="162">
        <f t="shared" si="258"/>
        <v>0</v>
      </c>
      <c r="BC60" s="162">
        <f t="shared" si="258"/>
        <v>0</v>
      </c>
      <c r="BD60" s="162">
        <f t="shared" si="258"/>
        <v>0</v>
      </c>
      <c r="BE60" s="162">
        <f t="shared" si="258"/>
        <v>0</v>
      </c>
      <c r="BF60" s="162">
        <f t="shared" si="258"/>
        <v>0</v>
      </c>
      <c r="BG60" s="162">
        <f t="shared" si="258"/>
        <v>0</v>
      </c>
      <c r="BH60" s="162">
        <f t="shared" si="258"/>
        <v>0</v>
      </c>
      <c r="BI60" s="162">
        <f t="shared" si="258"/>
        <v>0</v>
      </c>
      <c r="BJ60" s="162">
        <f t="shared" ref="BJ60:BK60" si="278">BJ49+BJ35</f>
        <v>0</v>
      </c>
      <c r="BK60" s="162">
        <f t="shared" si="278"/>
        <v>0</v>
      </c>
      <c r="BL60" s="162">
        <f t="shared" ref="BL60:BM60" si="279">BL49+BL35</f>
        <v>0</v>
      </c>
      <c r="BM60" s="162">
        <f t="shared" si="279"/>
        <v>0</v>
      </c>
      <c r="BN60" s="162">
        <f t="shared" ref="BN60:BO60" si="280">BN49+BN35</f>
        <v>0</v>
      </c>
      <c r="BO60" s="162">
        <f t="shared" si="280"/>
        <v>0</v>
      </c>
      <c r="BP60" s="162">
        <f t="shared" ref="BP60:BQ60" si="281">BP49+BP35</f>
        <v>0</v>
      </c>
      <c r="BQ60" s="162">
        <f t="shared" si="281"/>
        <v>0</v>
      </c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285"/>
      <c r="CN60" s="285"/>
      <c r="CO60" s="285"/>
      <c r="CP60" s="285"/>
      <c r="CQ60" s="285"/>
      <c r="CR60" s="285"/>
      <c r="CS60" s="285"/>
      <c r="CT60" s="285" t="str">
        <f>IF(ISERROR((SUM(CT172:CT172)*CT18)/(SUM(CS172:CS172)*CS18)-1),"n.a.",(SUM(CT172:CT172)*CT18)/(SUM(CS172:CS172)*CS18)-1)</f>
        <v>n.a.</v>
      </c>
      <c r="CU60" s="285" t="str">
        <f t="shared" ref="CU60:CW60" si="282">IF(ISERROR((SUM(CU172:CU172)*CU18)/(SUM(CT172:CT172)*CT18)-1),"n.a.",(SUM(CU172:CU172)*CU18)/(SUM(CT172:CT172)*CT18)-1)</f>
        <v>n.a.</v>
      </c>
      <c r="CV60" s="285" t="str">
        <f t="shared" si="282"/>
        <v>n.a.</v>
      </c>
      <c r="CW60" s="285" t="str">
        <f t="shared" si="282"/>
        <v>n.a.</v>
      </c>
      <c r="CX60" s="285" t="str">
        <f t="shared" ref="CX60:CY60" si="283">IF(ISERROR((SUM(CX172:CX172)*CX18)/(SUM(CW172:CW172)*CW18)-1),"n.a.",(SUM(CX172:CX172)*CX18)/(SUM(CW172:CW172)*CW18)-1)</f>
        <v>n.a.</v>
      </c>
      <c r="CY60" s="285" t="str">
        <f t="shared" si="283"/>
        <v>n.a.</v>
      </c>
      <c r="CZ60" s="286" t="str">
        <f t="shared" ref="CZ60" si="284">IF(ISERROR((SUM(CZ172:CZ172)*CZ18)/(SUM(CY172:CY172)*CY18)-1),"n.a.",(SUM(CZ172:CZ172)*CZ18)/(SUM(CY172:CY172)*CY18)-1)</f>
        <v>n.a.</v>
      </c>
      <c r="DA60" s="285" t="str">
        <f t="shared" ref="DA60" si="285">IF(ISERROR((SUM(DA172:DA172)*DA18)/(SUM(CZ172:CZ172)*CZ18)-1),"n.a.",(SUM(DA172:DA172)*DA18)/(SUM(CZ172:CZ172)*CZ18)-1)</f>
        <v>n.a.</v>
      </c>
      <c r="DB60" s="285" t="str">
        <f t="shared" ref="DB60" si="286">IF(ISERROR((SUM(DB172:DB172)*DB18)/(SUM(DA172:DA172)*DA18)-1),"n.a.",(SUM(DB172:DB172)*DB18)/(SUM(DA172:DA172)*DA18)-1)</f>
        <v>n.a.</v>
      </c>
      <c r="DC60" s="285" t="str">
        <f t="shared" ref="DC60" si="287">IF(ISERROR((SUM(DC172:DC172)*DC18)/(SUM(DB172:DB172)*DB18)-1),"n.a.",(SUM(DC172:DC172)*DC18)/(SUM(DB172:DB172)*DB18)-1)</f>
        <v>n.a.</v>
      </c>
      <c r="DD60" s="285" t="str">
        <f t="shared" ref="DD60" si="288">IF(ISERROR((SUM(DD172:DD172)*DD18)/(SUM(DC172:DC172)*DC18)-1),"n.a.",(SUM(DD172:DD172)*DD18)/(SUM(DC172:DC172)*DC18)-1)</f>
        <v>n.a.</v>
      </c>
      <c r="DE60" s="285" t="str">
        <f t="shared" ref="DE60" si="289">IF(ISERROR((SUM(DE172:DE172)*DE18)/(SUM(DD172:DD172)*DD18)-1),"n.a.",(SUM(DE172:DE172)*DE18)/(SUM(DD172:DD172)*DD18)-1)</f>
        <v>n.a.</v>
      </c>
      <c r="DF60" s="285" t="str">
        <f t="shared" ref="DF60" si="290">IF(ISERROR((SUM(DF172:DF172)*DF18)/(SUM(DE172:DE172)*DE18)-1),"n.a.",(SUM(DF172:DF172)*DF18)/(SUM(DE172:DE172)*DE18)-1)</f>
        <v>n.a.</v>
      </c>
      <c r="DG60" s="285" t="str">
        <f t="shared" ref="DG60" si="291">IF(ISERROR((SUM(DG172:DG172)*DG18)/(SUM(DF172:DF172)*DF18)-1),"n.a.",(SUM(DG172:DG172)*DG18)/(SUM(DF172:DF172)*DF18)-1)</f>
        <v>n.a.</v>
      </c>
      <c r="DH60" s="285" t="str">
        <f t="shared" ref="DH60" si="292">IF(ISERROR((SUM(DH172:DH172)*DH18)/(SUM(DG172:DG172)*DG18)-1),"n.a.",(SUM(DH172:DH172)*DH18)/(SUM(DG172:DG172)*DG18)-1)</f>
        <v>n.a.</v>
      </c>
      <c r="DI60" s="285" t="str">
        <f t="shared" ref="DI60" si="293">IF(ISERROR((SUM(DI172:DI172)*DI18)/(SUM(DH172:DH172)*DH18)-1),"n.a.",(SUM(DI172:DI172)*DI18)/(SUM(DH172:DH172)*DH18)-1)</f>
        <v>n.a.</v>
      </c>
    </row>
    <row r="61" spans="1:115" ht="12" hidden="1" outlineLevel="2">
      <c r="A61" s="1" t="s">
        <v>853</v>
      </c>
      <c r="B61" s="19" t="s">
        <v>279</v>
      </c>
      <c r="C61" s="408"/>
      <c r="D61" s="408"/>
      <c r="E61" s="408"/>
      <c r="F61" s="408"/>
      <c r="G61" s="408"/>
      <c r="H61" s="408"/>
      <c r="I61" s="408"/>
      <c r="J61" s="408"/>
      <c r="K61" s="408"/>
      <c r="L61" s="408"/>
      <c r="M61" s="408"/>
      <c r="N61" s="408"/>
      <c r="O61" s="408"/>
      <c r="P61" s="408"/>
      <c r="Q61" s="408"/>
      <c r="R61" s="408"/>
      <c r="S61" s="408"/>
      <c r="T61" s="394"/>
      <c r="U61" s="408"/>
      <c r="V61" s="408"/>
      <c r="W61" s="408"/>
      <c r="X61" s="408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394"/>
      <c r="AM61" s="394"/>
      <c r="AN61" s="394"/>
      <c r="AO61" s="394"/>
      <c r="AP61" s="285" t="str">
        <f t="shared" ref="AP61:AR61" si="294">IF(ISERROR(AP173/AP198),"n.a.",AP173/AP198)</f>
        <v>n.a.</v>
      </c>
      <c r="AQ61" s="285" t="str">
        <f t="shared" si="294"/>
        <v>n.a.</v>
      </c>
      <c r="AR61" s="285" t="str">
        <f t="shared" si="294"/>
        <v>n.a.</v>
      </c>
      <c r="AS61" s="285" t="str">
        <f t="shared" ref="AS61:AT61" si="295">IF(ISERROR(AS173/AS198),"n.a.",AS173/AS198)</f>
        <v>n.a.</v>
      </c>
      <c r="AT61" s="285" t="str">
        <f t="shared" si="295"/>
        <v>n.a.</v>
      </c>
      <c r="AU61" s="285" t="str">
        <f t="shared" ref="AU61:AV61" si="296">IF(ISERROR(AU173/AU198),"n.a.",AU173/AU198)</f>
        <v>n.a.</v>
      </c>
      <c r="AV61" s="285" t="str">
        <f t="shared" si="296"/>
        <v>n.a.</v>
      </c>
      <c r="AW61" s="285" t="str">
        <f t="shared" ref="AW61:AX61" si="297">IF(ISERROR(AW173/AW198),"n.a.",AW173/AW198)</f>
        <v>n.a.</v>
      </c>
      <c r="AX61" s="285" t="str">
        <f t="shared" si="297"/>
        <v>n.a.</v>
      </c>
      <c r="AY61" s="427" t="str">
        <f t="shared" ref="AY61:BI61" si="298">AX61</f>
        <v>n.a.</v>
      </c>
      <c r="AZ61" s="393" t="str">
        <f t="shared" si="298"/>
        <v>n.a.</v>
      </c>
      <c r="BA61" s="386" t="str">
        <f t="shared" si="298"/>
        <v>n.a.</v>
      </c>
      <c r="BB61" s="386" t="str">
        <f t="shared" si="298"/>
        <v>n.a.</v>
      </c>
      <c r="BC61" s="386" t="str">
        <f t="shared" si="298"/>
        <v>n.a.</v>
      </c>
      <c r="BD61" s="386" t="str">
        <f t="shared" si="298"/>
        <v>n.a.</v>
      </c>
      <c r="BE61" s="386" t="str">
        <f t="shared" si="298"/>
        <v>n.a.</v>
      </c>
      <c r="BF61" s="386" t="str">
        <f t="shared" si="298"/>
        <v>n.a.</v>
      </c>
      <c r="BG61" s="386" t="str">
        <f t="shared" si="298"/>
        <v>n.a.</v>
      </c>
      <c r="BH61" s="386" t="str">
        <f t="shared" si="298"/>
        <v>n.a.</v>
      </c>
      <c r="BI61" s="386" t="str">
        <f t="shared" si="298"/>
        <v>n.a.</v>
      </c>
      <c r="BJ61" s="386" t="str">
        <f t="shared" ref="BJ61" si="299">BI61</f>
        <v>n.a.</v>
      </c>
      <c r="BK61" s="386" t="str">
        <f t="shared" ref="BK61" si="300">BJ61</f>
        <v>n.a.</v>
      </c>
      <c r="BL61" s="386" t="str">
        <f t="shared" ref="BL61" si="301">BK61</f>
        <v>n.a.</v>
      </c>
      <c r="BM61" s="386" t="str">
        <f t="shared" ref="BM61" si="302">BL61</f>
        <v>n.a.</v>
      </c>
      <c r="BN61" s="386" t="str">
        <f t="shared" ref="BN61" si="303">BM61</f>
        <v>n.a.</v>
      </c>
      <c r="BO61" s="386" t="str">
        <f t="shared" ref="BO61" si="304">BN61</f>
        <v>n.a.</v>
      </c>
      <c r="BP61" s="386" t="str">
        <f t="shared" ref="BP61" si="305">BO61</f>
        <v>n.a.</v>
      </c>
      <c r="BQ61" s="386" t="str">
        <f t="shared" ref="BQ61" si="306">BP61</f>
        <v>n.a.</v>
      </c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285"/>
      <c r="CN61" s="285"/>
      <c r="CO61" s="285"/>
      <c r="CP61" s="285"/>
      <c r="CQ61" s="285"/>
      <c r="CR61" s="285"/>
      <c r="CS61" s="285"/>
      <c r="CT61" s="285" t="str">
        <f>IF(ISERROR(CT173/CT198),"n.a.",CT173/CT198)</f>
        <v>n.a.</v>
      </c>
      <c r="CU61" s="285" t="str">
        <f t="shared" ref="CU61:CV61" si="307">IF(ISERROR(CU173/CU198),"n.a.",CU173/CU198)</f>
        <v>n.a.</v>
      </c>
      <c r="CV61" s="285" t="str">
        <f t="shared" si="307"/>
        <v>n.a.</v>
      </c>
      <c r="CW61" s="285" t="str">
        <f t="shared" ref="CW61" si="308">IF(ISERROR(CW173/CW198),"n.a.",CW173/CW198)</f>
        <v>n.a.</v>
      </c>
      <c r="CX61" s="285" t="str">
        <f t="shared" ref="CX61:DE61" si="309">IF(ISERROR(CX173/CX198),"n.a.",CX173/CX198)</f>
        <v>n.a.</v>
      </c>
      <c r="CY61" s="285" t="str">
        <f t="shared" ref="CY61" si="310">IF(ISERROR(CY173/CY198),"n.a.",CY173/CY198)</f>
        <v>n.a.</v>
      </c>
      <c r="CZ61" s="286" t="str">
        <f t="shared" si="309"/>
        <v>n.a.</v>
      </c>
      <c r="DA61" s="285" t="str">
        <f t="shared" si="309"/>
        <v>n.a.</v>
      </c>
      <c r="DB61" s="285" t="str">
        <f t="shared" si="309"/>
        <v>n.a.</v>
      </c>
      <c r="DC61" s="285" t="str">
        <f t="shared" si="309"/>
        <v>n.a.</v>
      </c>
      <c r="DD61" s="285" t="str">
        <f t="shared" si="309"/>
        <v>n.a.</v>
      </c>
      <c r="DE61" s="285" t="str">
        <f t="shared" si="309"/>
        <v>n.a.</v>
      </c>
      <c r="DF61" s="285" t="str">
        <f t="shared" ref="DF61:DI61" si="311">IF(ISERROR(DF173/DF198),"n.a.",DF173/DF198)</f>
        <v>n.a.</v>
      </c>
      <c r="DG61" s="285" t="str">
        <f t="shared" si="311"/>
        <v>n.a.</v>
      </c>
      <c r="DH61" s="285" t="str">
        <f t="shared" si="311"/>
        <v>n.a.</v>
      </c>
      <c r="DI61" s="285" t="str">
        <f t="shared" si="311"/>
        <v>n.a.</v>
      </c>
    </row>
    <row r="62" spans="1:115" ht="12" hidden="1" outlineLevel="1" collapsed="1"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08"/>
      <c r="N62" s="408"/>
      <c r="O62" s="408"/>
      <c r="P62" s="408"/>
      <c r="Q62" s="408"/>
      <c r="R62" s="408"/>
      <c r="S62" s="408"/>
      <c r="T62" s="394"/>
      <c r="U62" s="408"/>
      <c r="V62" s="408"/>
      <c r="W62" s="408"/>
      <c r="X62" s="408"/>
      <c r="Y62" s="394"/>
      <c r="Z62" s="394"/>
      <c r="AA62" s="394"/>
      <c r="AB62" s="394"/>
      <c r="AC62" s="394"/>
      <c r="AD62" s="394"/>
      <c r="AE62" s="394"/>
      <c r="AF62" s="394"/>
      <c r="AG62" s="394"/>
      <c r="AH62" s="394"/>
      <c r="AI62" s="394"/>
      <c r="AJ62" s="394"/>
      <c r="AK62" s="394"/>
      <c r="AL62" s="394"/>
      <c r="AM62" s="394"/>
      <c r="AN62" s="394"/>
      <c r="AO62" s="394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6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285"/>
      <c r="CN62" s="285"/>
      <c r="CO62" s="285"/>
      <c r="CP62" s="285"/>
      <c r="CQ62" s="285"/>
      <c r="CR62" s="285"/>
      <c r="CS62" s="285"/>
      <c r="CT62" s="285"/>
      <c r="CU62" s="285"/>
      <c r="CV62" s="285"/>
      <c r="CW62" s="285"/>
      <c r="CX62" s="285"/>
      <c r="CY62" s="285"/>
      <c r="CZ62" s="286"/>
      <c r="DA62" s="285"/>
      <c r="DB62" s="285"/>
      <c r="DC62" s="285"/>
      <c r="DD62" s="285"/>
      <c r="DE62" s="285"/>
      <c r="DF62" s="285"/>
      <c r="DG62" s="285"/>
      <c r="DH62" s="285"/>
      <c r="DI62" s="285"/>
    </row>
    <row r="63" spans="1:115" ht="12" hidden="1" outlineLevel="2">
      <c r="A63" s="1" t="s">
        <v>864</v>
      </c>
      <c r="B63" s="19" t="s">
        <v>432</v>
      </c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408"/>
      <c r="N63" s="408"/>
      <c r="O63" s="408"/>
      <c r="P63" s="408"/>
      <c r="Q63" s="408"/>
      <c r="R63" s="408"/>
      <c r="S63" s="408"/>
      <c r="T63" s="394"/>
      <c r="U63" s="408"/>
      <c r="V63" s="408"/>
      <c r="W63" s="408"/>
      <c r="X63" s="408"/>
      <c r="Y63" s="394"/>
      <c r="Z63" s="394"/>
      <c r="AA63" s="394"/>
      <c r="AB63" s="394"/>
      <c r="AC63" s="394"/>
      <c r="AD63" s="394"/>
      <c r="AE63" s="394"/>
      <c r="AF63" s="394"/>
      <c r="AG63" s="394"/>
      <c r="AH63" s="394"/>
      <c r="AI63" s="394"/>
      <c r="AJ63" s="394"/>
      <c r="AK63" s="394"/>
      <c r="AL63" s="394"/>
      <c r="AM63" s="394"/>
      <c r="AN63" s="394"/>
      <c r="AO63" s="394"/>
      <c r="AP63" s="285">
        <f t="shared" ref="AP63" si="312">IFERROR(AP208/AO208-1,0)</f>
        <v>0</v>
      </c>
      <c r="AQ63" s="285">
        <f t="shared" ref="AQ63" si="313">IFERROR(AQ208/AP208-1,0)</f>
        <v>0</v>
      </c>
      <c r="AR63" s="285">
        <f t="shared" ref="AR63:AX63" si="314">IFERROR(AR208/AQ208-1,0)</f>
        <v>0</v>
      </c>
      <c r="AS63" s="285">
        <f t="shared" si="314"/>
        <v>0</v>
      </c>
      <c r="AT63" s="285">
        <f t="shared" si="314"/>
        <v>0</v>
      </c>
      <c r="AU63" s="285">
        <f t="shared" si="314"/>
        <v>0</v>
      </c>
      <c r="AV63" s="285">
        <f t="shared" si="314"/>
        <v>0</v>
      </c>
      <c r="AW63" s="285">
        <f t="shared" si="314"/>
        <v>0</v>
      </c>
      <c r="AX63" s="285">
        <f t="shared" si="314"/>
        <v>0</v>
      </c>
      <c r="AY63" s="427">
        <v>0.03</v>
      </c>
      <c r="AZ63" s="393">
        <v>0.03</v>
      </c>
      <c r="BA63" s="386">
        <v>0.03</v>
      </c>
      <c r="BB63" s="386">
        <v>0.03</v>
      </c>
      <c r="BC63" s="386">
        <v>0.03</v>
      </c>
      <c r="BD63" s="386">
        <v>0.03</v>
      </c>
      <c r="BE63" s="386">
        <v>0.03</v>
      </c>
      <c r="BF63" s="386">
        <v>0.03</v>
      </c>
      <c r="BG63" s="386">
        <v>0.03</v>
      </c>
      <c r="BH63" s="386">
        <v>0.03</v>
      </c>
      <c r="BI63" s="386">
        <v>0.03</v>
      </c>
      <c r="BJ63" s="386">
        <v>0.03</v>
      </c>
      <c r="BK63" s="386">
        <v>0.03</v>
      </c>
      <c r="BL63" s="386">
        <v>0.03</v>
      </c>
      <c r="BM63" s="386">
        <v>0.03</v>
      </c>
      <c r="BN63" s="386">
        <v>0.03</v>
      </c>
      <c r="BO63" s="386">
        <v>0.03</v>
      </c>
      <c r="BP63" s="386">
        <v>0.03</v>
      </c>
      <c r="BQ63" s="386">
        <v>0.03</v>
      </c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285"/>
      <c r="CN63" s="285"/>
      <c r="CO63" s="285"/>
      <c r="CP63" s="285"/>
      <c r="CQ63" s="285"/>
      <c r="CR63" s="285"/>
      <c r="CS63" s="285"/>
      <c r="CT63" s="285">
        <f t="shared" ref="CT63:CW63" si="315">IFERROR(CT208/CS208-1,0)</f>
        <v>0</v>
      </c>
      <c r="CU63" s="285">
        <f t="shared" si="315"/>
        <v>0</v>
      </c>
      <c r="CV63" s="285">
        <f t="shared" si="315"/>
        <v>0</v>
      </c>
      <c r="CW63" s="285">
        <f t="shared" si="315"/>
        <v>0</v>
      </c>
      <c r="CX63" s="285">
        <f t="shared" ref="CX63:CY63" si="316">IFERROR(CX208/CW208-1,0)</f>
        <v>0</v>
      </c>
      <c r="CY63" s="285">
        <f t="shared" si="316"/>
        <v>0</v>
      </c>
      <c r="CZ63" s="286">
        <f t="shared" ref="CZ63" si="317">IFERROR(CZ208/CY208-1,0)</f>
        <v>0</v>
      </c>
      <c r="DA63" s="285">
        <f t="shared" ref="DA63" si="318">IFERROR(DA208/CZ208-1,0)</f>
        <v>0</v>
      </c>
      <c r="DB63" s="285">
        <f t="shared" ref="DB63" si="319">IFERROR(DB208/DA208-1,0)</f>
        <v>0</v>
      </c>
      <c r="DC63" s="285">
        <f t="shared" ref="DC63" si="320">IFERROR(DC208/DB208-1,0)</f>
        <v>0</v>
      </c>
      <c r="DD63" s="285">
        <f t="shared" ref="DD63" si="321">IFERROR(DD208/DC208-1,0)</f>
        <v>0</v>
      </c>
      <c r="DE63" s="285">
        <f t="shared" ref="DE63" si="322">IFERROR(DE208/DD208-1,0)</f>
        <v>0</v>
      </c>
      <c r="DF63" s="285">
        <f t="shared" ref="DF63" si="323">IFERROR(DF208/DE208-1,0)</f>
        <v>0</v>
      </c>
      <c r="DG63" s="285">
        <f>IFERROR(DG208/#REF!-1,0)</f>
        <v>0</v>
      </c>
      <c r="DH63" s="285">
        <f>IFERROR(DH208/#REF!-1,0)</f>
        <v>0</v>
      </c>
      <c r="DI63" s="285">
        <f>IFERROR(DI208/#REF!-1,0)</f>
        <v>0</v>
      </c>
    </row>
    <row r="64" spans="1:115" ht="12" hidden="1" outlineLevel="2">
      <c r="A64" s="1" t="s">
        <v>865</v>
      </c>
      <c r="B64" s="19" t="s">
        <v>433</v>
      </c>
      <c r="C64" s="408"/>
      <c r="D64" s="408"/>
      <c r="E64" s="408"/>
      <c r="F64" s="408"/>
      <c r="G64" s="408"/>
      <c r="H64" s="408"/>
      <c r="I64" s="408"/>
      <c r="J64" s="408"/>
      <c r="K64" s="408"/>
      <c r="L64" s="408"/>
      <c r="M64" s="408"/>
      <c r="N64" s="408"/>
      <c r="O64" s="408"/>
      <c r="P64" s="408"/>
      <c r="Q64" s="408"/>
      <c r="R64" s="408"/>
      <c r="S64" s="408"/>
      <c r="T64" s="394"/>
      <c r="U64" s="408"/>
      <c r="V64" s="408"/>
      <c r="W64" s="408"/>
      <c r="X64" s="408"/>
      <c r="Y64" s="394"/>
      <c r="Z64" s="394"/>
      <c r="AA64" s="394"/>
      <c r="AB64" s="394"/>
      <c r="AC64" s="394"/>
      <c r="AD64" s="394"/>
      <c r="AE64" s="394"/>
      <c r="AF64" s="394"/>
      <c r="AG64" s="394"/>
      <c r="AH64" s="394"/>
      <c r="AI64" s="394"/>
      <c r="AJ64" s="394"/>
      <c r="AK64" s="394"/>
      <c r="AL64" s="394"/>
      <c r="AM64" s="394"/>
      <c r="AN64" s="394"/>
      <c r="AO64" s="394"/>
      <c r="AP64" s="285" t="str">
        <f t="shared" ref="AP64" si="324">IF(ISERROR(AP209/AO209-1),"n.a.",AP209/AO209-1)</f>
        <v>n.a.</v>
      </c>
      <c r="AQ64" s="285" t="str">
        <f t="shared" ref="AQ64" si="325">IF(ISERROR(AQ209/AP209-1),"n.a.",AQ209/AP209-1)</f>
        <v>n.a.</v>
      </c>
      <c r="AR64" s="285" t="str">
        <f t="shared" ref="AR64:AX64" si="326">IF(ISERROR(AR209/AQ209-1),"n.a.",AR209/AQ209-1)</f>
        <v>n.a.</v>
      </c>
      <c r="AS64" s="285" t="str">
        <f t="shared" si="326"/>
        <v>n.a.</v>
      </c>
      <c r="AT64" s="285" t="str">
        <f t="shared" si="326"/>
        <v>n.a.</v>
      </c>
      <c r="AU64" s="285" t="str">
        <f t="shared" si="326"/>
        <v>n.a.</v>
      </c>
      <c r="AV64" s="285" t="str">
        <f t="shared" si="326"/>
        <v>n.a.</v>
      </c>
      <c r="AW64" s="285" t="str">
        <f t="shared" si="326"/>
        <v>n.a.</v>
      </c>
      <c r="AX64" s="285" t="str">
        <f t="shared" si="326"/>
        <v>n.a.</v>
      </c>
      <c r="AY64" s="427">
        <f t="shared" ref="AY64:BI64" si="327">AY38*50%+50%*2%</f>
        <v>4.2183524869188409E-2</v>
      </c>
      <c r="AZ64" s="393">
        <f t="shared" si="327"/>
        <v>2.8242475638789448E-2</v>
      </c>
      <c r="BA64" s="386">
        <f t="shared" si="327"/>
        <v>3.5312499999999962E-2</v>
      </c>
      <c r="BB64" s="386">
        <f t="shared" si="327"/>
        <v>3.5312499999999962E-2</v>
      </c>
      <c r="BC64" s="386">
        <f t="shared" si="327"/>
        <v>3.5312499999999962E-2</v>
      </c>
      <c r="BD64" s="386">
        <f t="shared" si="327"/>
        <v>3.5312499999999962E-2</v>
      </c>
      <c r="BE64" s="386">
        <f t="shared" si="327"/>
        <v>3.5312499999999962E-2</v>
      </c>
      <c r="BF64" s="386">
        <f t="shared" si="327"/>
        <v>3.5312499999999962E-2</v>
      </c>
      <c r="BG64" s="386">
        <f t="shared" si="327"/>
        <v>3.5312499999999962E-2</v>
      </c>
      <c r="BH64" s="386">
        <f t="shared" si="327"/>
        <v>3.5312499999999962E-2</v>
      </c>
      <c r="BI64" s="386">
        <f t="shared" si="327"/>
        <v>3.5312499999999962E-2</v>
      </c>
      <c r="BJ64" s="386">
        <f t="shared" ref="BJ64:BK64" si="328">BJ38*50%+50%*2%</f>
        <v>3.5312499999999962E-2</v>
      </c>
      <c r="BK64" s="386">
        <f t="shared" si="328"/>
        <v>3.5312499999999962E-2</v>
      </c>
      <c r="BL64" s="386">
        <f t="shared" ref="BL64:BM64" si="329">BL38*50%+50%*2%</f>
        <v>3.5312499999999962E-2</v>
      </c>
      <c r="BM64" s="386">
        <f t="shared" si="329"/>
        <v>3.5312499999999962E-2</v>
      </c>
      <c r="BN64" s="386">
        <f t="shared" ref="BN64:BO64" si="330">BN38*50%+50%*2%</f>
        <v>3.5312499999999962E-2</v>
      </c>
      <c r="BO64" s="386">
        <f t="shared" si="330"/>
        <v>3.5312499999999962E-2</v>
      </c>
      <c r="BP64" s="386">
        <f t="shared" ref="BP64:BQ64" si="331">BP38*50%+50%*2%</f>
        <v>3.5312499999999962E-2</v>
      </c>
      <c r="BQ64" s="386">
        <f t="shared" si="331"/>
        <v>3.5312499999999962E-2</v>
      </c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285"/>
      <c r="CN64" s="285"/>
      <c r="CO64" s="285"/>
      <c r="CP64" s="285"/>
      <c r="CQ64" s="285"/>
      <c r="CR64" s="285"/>
      <c r="CS64" s="285"/>
      <c r="CT64" s="285" t="str">
        <f>IF(ISERROR(CT209/CS209-1),"n.a.",CT209/CS209-1)</f>
        <v>n.a.</v>
      </c>
      <c r="CU64" s="285" t="str">
        <f t="shared" ref="CU64:CW64" si="332">IF(ISERROR(CU209/CT209-1),"n.a.",CU209/CT209-1)</f>
        <v>n.a.</v>
      </c>
      <c r="CV64" s="285" t="str">
        <f t="shared" si="332"/>
        <v>n.a.</v>
      </c>
      <c r="CW64" s="285" t="str">
        <f t="shared" si="332"/>
        <v>n.a.</v>
      </c>
      <c r="CX64" s="285" t="str">
        <f t="shared" ref="CX64:CY64" si="333">IF(ISERROR(CX209/CW209-1),"n.a.",CX209/CW209-1)</f>
        <v>n.a.</v>
      </c>
      <c r="CY64" s="285" t="str">
        <f t="shared" si="333"/>
        <v>n.a.</v>
      </c>
      <c r="CZ64" s="286" t="str">
        <f t="shared" ref="CZ64" si="334">IF(ISERROR(CZ209/CY209-1),"n.a.",CZ209/CY209-1)</f>
        <v>n.a.</v>
      </c>
      <c r="DA64" s="285" t="str">
        <f t="shared" ref="DA64" si="335">IF(ISERROR(DA209/CZ209-1),"n.a.",DA209/CZ209-1)</f>
        <v>n.a.</v>
      </c>
      <c r="DB64" s="285" t="str">
        <f t="shared" ref="DB64" si="336">IF(ISERROR(DB209/DA209-1),"n.a.",DB209/DA209-1)</f>
        <v>n.a.</v>
      </c>
      <c r="DC64" s="285" t="str">
        <f t="shared" ref="DC64" si="337">IF(ISERROR(DC209/DB209-1),"n.a.",DC209/DB209-1)</f>
        <v>n.a.</v>
      </c>
      <c r="DD64" s="285" t="str">
        <f t="shared" ref="DD64" si="338">IF(ISERROR(DD209/DC209-1),"n.a.",DD209/DC209-1)</f>
        <v>n.a.</v>
      </c>
      <c r="DE64" s="285" t="str">
        <f t="shared" ref="DE64" si="339">IF(ISERROR(DE209/DD209-1),"n.a.",DE209/DD209-1)</f>
        <v>n.a.</v>
      </c>
      <c r="DF64" s="285" t="str">
        <f t="shared" ref="DF64" si="340">IF(ISERROR(DF209/DE209-1),"n.a.",DF209/DE209-1)</f>
        <v>n.a.</v>
      </c>
      <c r="DG64" s="285" t="str">
        <f t="shared" ref="DG64" si="341">IF(ISERROR(DG209/DF209-1),"n.a.",DG209/DF209-1)</f>
        <v>n.a.</v>
      </c>
      <c r="DH64" s="285" t="str">
        <f t="shared" ref="DH64" si="342">IF(ISERROR(DH209/DG209-1),"n.a.",DH209/DG209-1)</f>
        <v>n.a.</v>
      </c>
      <c r="DI64" s="285" t="str">
        <f t="shared" ref="DI64" si="343">IF(ISERROR(DI209/DH209-1),"n.a.",DI209/DH209-1)</f>
        <v>n.a.</v>
      </c>
    </row>
    <row r="65" spans="1:113" ht="12" hidden="1" outlineLevel="2">
      <c r="DB65" s="19"/>
      <c r="DC65" s="19"/>
      <c r="DD65" s="19"/>
      <c r="DE65" s="19"/>
      <c r="DF65" s="19"/>
      <c r="DG65" s="19"/>
      <c r="DH65" s="19"/>
      <c r="DI65" s="19"/>
    </row>
    <row r="66" spans="1:113" ht="12" hidden="1" outlineLevel="1" collapsed="1">
      <c r="B66" s="24" t="s">
        <v>434</v>
      </c>
      <c r="AC66" s="600"/>
      <c r="AD66" s="600"/>
      <c r="AE66" s="600"/>
      <c r="AF66" s="600"/>
      <c r="AG66" s="600"/>
      <c r="CV66" s="165"/>
      <c r="CW66" s="165"/>
      <c r="CX66" s="165"/>
      <c r="CY66" s="165"/>
      <c r="DB66" s="19"/>
      <c r="DC66" s="19"/>
      <c r="DD66" s="19"/>
      <c r="DE66" s="19"/>
      <c r="DF66" s="19"/>
      <c r="DG66" s="19"/>
      <c r="DH66" s="19"/>
      <c r="DI66" s="19"/>
    </row>
    <row r="67" spans="1:113" ht="12" hidden="1" outlineLevel="2">
      <c r="A67" s="1" t="s">
        <v>866</v>
      </c>
      <c r="B67" s="19" t="s">
        <v>216</v>
      </c>
      <c r="C67" s="416"/>
      <c r="D67" s="416"/>
      <c r="E67" s="416"/>
      <c r="F67" s="416"/>
      <c r="G67" s="416"/>
      <c r="H67" s="416"/>
      <c r="I67" s="416"/>
      <c r="J67" s="416"/>
      <c r="K67" s="416"/>
      <c r="L67" s="416"/>
      <c r="M67" s="416"/>
      <c r="N67" s="416"/>
      <c r="O67" s="416"/>
      <c r="P67" s="416"/>
      <c r="Q67" s="416"/>
      <c r="R67" s="416"/>
      <c r="S67" s="416"/>
      <c r="T67" s="416"/>
      <c r="U67" s="416"/>
      <c r="V67" s="416"/>
      <c r="W67" s="416"/>
      <c r="X67" s="416"/>
      <c r="Y67" s="416"/>
      <c r="Z67" s="416"/>
      <c r="AA67" s="416"/>
      <c r="AB67" s="416"/>
      <c r="AC67" s="416"/>
      <c r="AD67" s="416"/>
      <c r="AE67" s="416"/>
      <c r="AF67" s="416"/>
      <c r="AG67" s="416"/>
      <c r="AH67" s="416"/>
      <c r="AI67" s="416"/>
      <c r="AJ67" s="416"/>
      <c r="AK67" s="416"/>
      <c r="AL67" s="416"/>
      <c r="AM67" s="416"/>
      <c r="AN67" s="416"/>
      <c r="AO67" s="416"/>
      <c r="AP67" s="416"/>
      <c r="AQ67" s="416"/>
      <c r="AR67" s="416"/>
      <c r="AS67" s="416"/>
      <c r="AT67" s="416"/>
      <c r="AU67" s="416"/>
      <c r="AV67" s="416"/>
      <c r="AW67" s="416"/>
      <c r="AX67" s="416"/>
      <c r="AY67" s="167"/>
      <c r="AZ67" s="174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7"/>
      <c r="CN67" s="167"/>
      <c r="CO67" s="167"/>
      <c r="CP67" s="167"/>
      <c r="CQ67" s="167"/>
      <c r="CR67" s="167"/>
      <c r="CS67" s="167"/>
      <c r="CT67" s="409"/>
      <c r="CU67" s="409"/>
      <c r="CV67" s="409"/>
      <c r="CW67" s="409"/>
      <c r="CX67" s="416"/>
      <c r="CY67" s="416"/>
      <c r="CZ67" s="174"/>
      <c r="DA67" s="166"/>
      <c r="DB67" s="166"/>
      <c r="DC67" s="166"/>
      <c r="DD67" s="166"/>
      <c r="DE67" s="166"/>
      <c r="DF67" s="166"/>
      <c r="DG67" s="166"/>
      <c r="DH67" s="166"/>
      <c r="DI67" s="166"/>
    </row>
    <row r="68" spans="1:113" ht="12" hidden="1" outlineLevel="2">
      <c r="A68" s="1" t="s">
        <v>867</v>
      </c>
      <c r="B68" s="19" t="s">
        <v>435</v>
      </c>
      <c r="C68" s="416"/>
      <c r="D68" s="416"/>
      <c r="E68" s="416"/>
      <c r="F68" s="416"/>
      <c r="G68" s="416"/>
      <c r="H68" s="416"/>
      <c r="I68" s="416"/>
      <c r="J68" s="416"/>
      <c r="K68" s="416"/>
      <c r="L68" s="416"/>
      <c r="M68" s="416"/>
      <c r="N68" s="416"/>
      <c r="O68" s="416"/>
      <c r="P68" s="416"/>
      <c r="Q68" s="416"/>
      <c r="R68" s="416"/>
      <c r="S68" s="416"/>
      <c r="T68" s="416"/>
      <c r="U68" s="416"/>
      <c r="V68" s="416"/>
      <c r="W68" s="416"/>
      <c r="X68" s="416"/>
      <c r="Y68" s="416"/>
      <c r="Z68" s="416"/>
      <c r="AA68" s="416"/>
      <c r="AB68" s="416"/>
      <c r="AC68" s="416"/>
      <c r="AD68" s="416"/>
      <c r="AE68" s="416"/>
      <c r="AF68" s="416"/>
      <c r="AG68" s="416"/>
      <c r="AH68" s="416"/>
      <c r="AI68" s="416"/>
      <c r="AJ68" s="416"/>
      <c r="AK68" s="416"/>
      <c r="AL68" s="416"/>
      <c r="AM68" s="416"/>
      <c r="AN68" s="416"/>
      <c r="AO68" s="416"/>
      <c r="AP68" s="167"/>
      <c r="AQ68" s="167"/>
      <c r="AR68" s="167"/>
      <c r="AS68" s="167"/>
      <c r="AT68" s="167"/>
      <c r="AU68" s="167"/>
      <c r="AV68" s="167"/>
      <c r="AW68" s="167"/>
      <c r="AX68" s="167"/>
      <c r="AY68" s="783"/>
      <c r="AZ68" s="688"/>
      <c r="BA68" s="499"/>
      <c r="BB68" s="499"/>
      <c r="BC68" s="499"/>
      <c r="BD68" s="499"/>
      <c r="BE68" s="499"/>
      <c r="BF68" s="499"/>
      <c r="BG68" s="499"/>
      <c r="BH68" s="499"/>
      <c r="BI68" s="499"/>
      <c r="BJ68" s="499"/>
      <c r="BK68" s="499"/>
      <c r="BL68" s="499"/>
      <c r="BM68" s="499"/>
      <c r="BN68" s="499"/>
      <c r="BO68" s="499"/>
      <c r="BP68" s="499"/>
      <c r="BQ68" s="499"/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7"/>
      <c r="CN68" s="167"/>
      <c r="CO68" s="167"/>
      <c r="CP68" s="167"/>
      <c r="CQ68" s="167"/>
      <c r="CR68" s="167"/>
      <c r="CS68" s="167"/>
      <c r="CT68" s="167"/>
      <c r="CU68" s="167"/>
      <c r="CV68" s="167"/>
      <c r="CW68" s="167"/>
      <c r="CX68" s="167"/>
      <c r="CY68" s="167"/>
      <c r="CZ68" s="174"/>
      <c r="DA68" s="166"/>
      <c r="DB68" s="166"/>
      <c r="DC68" s="166"/>
      <c r="DD68" s="166"/>
      <c r="DE68" s="166"/>
      <c r="DF68" s="166"/>
      <c r="DG68" s="166"/>
      <c r="DH68" s="166"/>
      <c r="DI68" s="166"/>
    </row>
    <row r="69" spans="1:113" ht="12" hidden="1" outlineLevel="2">
      <c r="A69" s="1" t="s">
        <v>868</v>
      </c>
      <c r="B69" s="19" t="s">
        <v>436</v>
      </c>
      <c r="C69" s="601"/>
      <c r="D69" s="601"/>
      <c r="E69" s="601"/>
      <c r="F69" s="601"/>
      <c r="G69" s="601"/>
      <c r="H69" s="601"/>
      <c r="I69" s="601"/>
      <c r="J69" s="601"/>
      <c r="K69" s="601"/>
      <c r="L69" s="601"/>
      <c r="M69" s="601"/>
      <c r="N69" s="601"/>
      <c r="O69" s="601"/>
      <c r="P69" s="601"/>
      <c r="Q69" s="601"/>
      <c r="R69" s="601"/>
      <c r="S69" s="601"/>
      <c r="T69" s="416"/>
      <c r="U69" s="601"/>
      <c r="V69" s="601"/>
      <c r="W69" s="601"/>
      <c r="X69" s="601"/>
      <c r="Y69" s="416"/>
      <c r="Z69" s="416"/>
      <c r="AA69" s="416"/>
      <c r="AB69" s="416"/>
      <c r="AC69" s="416"/>
      <c r="AD69" s="416"/>
      <c r="AE69" s="416"/>
      <c r="AF69" s="416"/>
      <c r="AG69" s="416"/>
      <c r="AH69" s="416"/>
      <c r="AI69" s="416"/>
      <c r="AJ69" s="416"/>
      <c r="AK69" s="416"/>
      <c r="AL69" s="416"/>
      <c r="AM69" s="416"/>
      <c r="AN69" s="416"/>
      <c r="AO69" s="416"/>
      <c r="AP69" s="409"/>
      <c r="AQ69" s="409"/>
      <c r="AR69" s="409"/>
      <c r="AS69" s="409"/>
      <c r="AT69" s="409"/>
      <c r="AU69" s="409"/>
      <c r="AV69" s="409"/>
      <c r="AW69" s="409"/>
      <c r="AX69" s="409"/>
      <c r="AY69" s="783"/>
      <c r="AZ69" s="688"/>
      <c r="BA69" s="499"/>
      <c r="BB69" s="499"/>
      <c r="BC69" s="499"/>
      <c r="BD69" s="499"/>
      <c r="BE69" s="499"/>
      <c r="BF69" s="499"/>
      <c r="BG69" s="499"/>
      <c r="BH69" s="499"/>
      <c r="BI69" s="499"/>
      <c r="BJ69" s="499"/>
      <c r="BK69" s="499"/>
      <c r="BL69" s="499"/>
      <c r="BM69" s="499"/>
      <c r="BN69" s="499"/>
      <c r="BO69" s="499"/>
      <c r="BP69" s="499"/>
      <c r="BQ69" s="499"/>
      <c r="BR69" s="166"/>
      <c r="BS69" s="166"/>
      <c r="BT69" s="166"/>
      <c r="BU69" s="166"/>
      <c r="BV69" s="166"/>
      <c r="BW69" s="166"/>
      <c r="BX69" s="166"/>
      <c r="BY69" s="166"/>
      <c r="BZ69" s="166"/>
      <c r="CA69" s="166"/>
      <c r="CB69" s="166"/>
      <c r="CC69" s="166"/>
      <c r="CD69" s="166"/>
      <c r="CE69" s="166"/>
      <c r="CF69" s="166"/>
      <c r="CG69" s="166"/>
      <c r="CH69" s="166"/>
      <c r="CI69" s="166"/>
      <c r="CJ69" s="166"/>
      <c r="CK69" s="166"/>
      <c r="CL69" s="166"/>
      <c r="CM69" s="167"/>
      <c r="CN69" s="167"/>
      <c r="CO69" s="167"/>
      <c r="CP69" s="167"/>
      <c r="CQ69" s="167"/>
      <c r="CR69" s="167"/>
      <c r="CS69" s="167"/>
      <c r="CT69" s="409"/>
      <c r="CU69" s="409"/>
      <c r="CV69" s="409"/>
      <c r="CW69" s="409"/>
      <c r="CX69" s="409"/>
      <c r="CY69" s="409"/>
      <c r="CZ69" s="174"/>
      <c r="DA69" s="166"/>
      <c r="DB69" s="166"/>
      <c r="DC69" s="166"/>
      <c r="DD69" s="166"/>
      <c r="DE69" s="166"/>
      <c r="DF69" s="166"/>
      <c r="DG69" s="166"/>
      <c r="DH69" s="166"/>
      <c r="DI69" s="166"/>
    </row>
    <row r="70" spans="1:113" ht="12" hidden="1" outlineLevel="2">
      <c r="A70" s="1" t="s">
        <v>869</v>
      </c>
      <c r="B70" s="19" t="s">
        <v>218</v>
      </c>
      <c r="C70" s="416"/>
      <c r="D70" s="416"/>
      <c r="E70" s="416"/>
      <c r="F70" s="416"/>
      <c r="G70" s="416"/>
      <c r="H70" s="416"/>
      <c r="I70" s="416"/>
      <c r="J70" s="416"/>
      <c r="K70" s="416"/>
      <c r="L70" s="416"/>
      <c r="M70" s="416"/>
      <c r="N70" s="416"/>
      <c r="O70" s="416"/>
      <c r="P70" s="416"/>
      <c r="Q70" s="416"/>
      <c r="R70" s="416"/>
      <c r="S70" s="416"/>
      <c r="T70" s="416"/>
      <c r="U70" s="416"/>
      <c r="V70" s="416"/>
      <c r="W70" s="416"/>
      <c r="X70" s="416"/>
      <c r="Y70" s="416"/>
      <c r="Z70" s="416"/>
      <c r="AA70" s="416"/>
      <c r="AB70" s="416"/>
      <c r="AC70" s="416"/>
      <c r="AD70" s="416"/>
      <c r="AE70" s="416"/>
      <c r="AF70" s="416"/>
      <c r="AG70" s="416"/>
      <c r="AH70" s="416"/>
      <c r="AI70" s="416"/>
      <c r="AJ70" s="416"/>
      <c r="AK70" s="416"/>
      <c r="AL70" s="416"/>
      <c r="AM70" s="416"/>
      <c r="AN70" s="416"/>
      <c r="AO70" s="416"/>
      <c r="AP70" s="409"/>
      <c r="AQ70" s="409"/>
      <c r="AR70" s="409"/>
      <c r="AS70" s="409"/>
      <c r="AT70" s="409"/>
      <c r="AU70" s="409"/>
      <c r="AV70" s="409"/>
      <c r="AW70" s="409"/>
      <c r="AX70" s="409"/>
      <c r="AY70" s="783"/>
      <c r="AZ70" s="688"/>
      <c r="BA70" s="499"/>
      <c r="BB70" s="499"/>
      <c r="BC70" s="499"/>
      <c r="BD70" s="499"/>
      <c r="BE70" s="499"/>
      <c r="BF70" s="499"/>
      <c r="BG70" s="499"/>
      <c r="BH70" s="499"/>
      <c r="BI70" s="499"/>
      <c r="BJ70" s="499"/>
      <c r="BK70" s="499"/>
      <c r="BL70" s="499"/>
      <c r="BM70" s="499"/>
      <c r="BN70" s="499"/>
      <c r="BO70" s="499"/>
      <c r="BP70" s="499"/>
      <c r="BQ70" s="499"/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7"/>
      <c r="CN70" s="167"/>
      <c r="CO70" s="167"/>
      <c r="CP70" s="167"/>
      <c r="CQ70" s="167"/>
      <c r="CR70" s="167"/>
      <c r="CS70" s="167"/>
      <c r="CT70" s="409"/>
      <c r="CU70" s="409"/>
      <c r="CV70" s="409"/>
      <c r="CW70" s="409"/>
      <c r="CX70" s="409"/>
      <c r="CY70" s="409"/>
      <c r="CZ70" s="174"/>
      <c r="DA70" s="166"/>
      <c r="DB70" s="166"/>
      <c r="DC70" s="166"/>
      <c r="DD70" s="166"/>
      <c r="DE70" s="166"/>
      <c r="DF70" s="166"/>
      <c r="DG70" s="166"/>
      <c r="DH70" s="166"/>
      <c r="DI70" s="166"/>
    </row>
    <row r="71" spans="1:113" ht="12" hidden="1" outlineLevel="2">
      <c r="A71" s="1" t="s">
        <v>870</v>
      </c>
      <c r="B71" s="19" t="s">
        <v>439</v>
      </c>
      <c r="C71" s="601"/>
      <c r="D71" s="601"/>
      <c r="E71" s="601"/>
      <c r="F71" s="601"/>
      <c r="G71" s="601"/>
      <c r="H71" s="601"/>
      <c r="I71" s="601"/>
      <c r="J71" s="601"/>
      <c r="K71" s="601"/>
      <c r="L71" s="601"/>
      <c r="M71" s="601"/>
      <c r="N71" s="601"/>
      <c r="O71" s="601"/>
      <c r="P71" s="601"/>
      <c r="Q71" s="601"/>
      <c r="R71" s="601"/>
      <c r="S71" s="601"/>
      <c r="T71" s="416"/>
      <c r="U71" s="601"/>
      <c r="V71" s="601"/>
      <c r="W71" s="601"/>
      <c r="X71" s="601"/>
      <c r="Y71" s="416"/>
      <c r="Z71" s="416"/>
      <c r="AA71" s="416"/>
      <c r="AB71" s="416"/>
      <c r="AC71" s="416"/>
      <c r="AD71" s="416"/>
      <c r="AE71" s="416"/>
      <c r="AF71" s="416"/>
      <c r="AG71" s="416"/>
      <c r="AH71" s="416"/>
      <c r="AI71" s="416"/>
      <c r="AJ71" s="416"/>
      <c r="AK71" s="416"/>
      <c r="AL71" s="416"/>
      <c r="AM71" s="416"/>
      <c r="AN71" s="416"/>
      <c r="AO71" s="416"/>
      <c r="AP71" s="167"/>
      <c r="AQ71" s="167"/>
      <c r="AR71" s="167"/>
      <c r="AS71" s="167"/>
      <c r="AT71" s="167"/>
      <c r="AU71" s="167"/>
      <c r="AV71" s="167"/>
      <c r="AW71" s="167"/>
      <c r="AX71" s="167"/>
      <c r="AY71" s="167"/>
      <c r="AZ71" s="174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74"/>
      <c r="DA71" s="166"/>
      <c r="DB71" s="166"/>
      <c r="DC71" s="166"/>
      <c r="DD71" s="166"/>
      <c r="DE71" s="166"/>
      <c r="DF71" s="166"/>
      <c r="DG71" s="166"/>
      <c r="DH71" s="166"/>
      <c r="DI71" s="166"/>
    </row>
    <row r="72" spans="1:113" ht="12" hidden="1" outlineLevel="2">
      <c r="A72" s="1" t="s">
        <v>871</v>
      </c>
      <c r="B72" s="19" t="s">
        <v>362</v>
      </c>
      <c r="C72" s="601"/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1"/>
      <c r="O72" s="601"/>
      <c r="P72" s="601"/>
      <c r="Q72" s="601"/>
      <c r="R72" s="601"/>
      <c r="S72" s="601"/>
      <c r="T72" s="416"/>
      <c r="U72" s="601"/>
      <c r="V72" s="601"/>
      <c r="W72" s="601"/>
      <c r="X72" s="601"/>
      <c r="Y72" s="416"/>
      <c r="Z72" s="416"/>
      <c r="AA72" s="416"/>
      <c r="AB72" s="416"/>
      <c r="AC72" s="416"/>
      <c r="AD72" s="416"/>
      <c r="AE72" s="416"/>
      <c r="AF72" s="416"/>
      <c r="AG72" s="416"/>
      <c r="AH72" s="416"/>
      <c r="AI72" s="416"/>
      <c r="AJ72" s="416"/>
      <c r="AK72" s="416"/>
      <c r="AL72" s="416"/>
      <c r="AM72" s="416"/>
      <c r="AN72" s="416"/>
      <c r="AO72" s="416"/>
      <c r="AP72" s="167"/>
      <c r="AQ72" s="167"/>
      <c r="AR72" s="167"/>
      <c r="AS72" s="167"/>
      <c r="AT72" s="167"/>
      <c r="AU72" s="167"/>
      <c r="AV72" s="167"/>
      <c r="AW72" s="167"/>
      <c r="AX72" s="167"/>
      <c r="AY72" s="783"/>
      <c r="AZ72" s="688"/>
      <c r="BA72" s="499"/>
      <c r="BB72" s="499"/>
      <c r="BC72" s="499"/>
      <c r="BD72" s="499"/>
      <c r="BE72" s="499"/>
      <c r="BF72" s="499"/>
      <c r="BG72" s="499"/>
      <c r="BH72" s="499"/>
      <c r="BI72" s="499"/>
      <c r="BJ72" s="499"/>
      <c r="BK72" s="499"/>
      <c r="BL72" s="499"/>
      <c r="BM72" s="499"/>
      <c r="BN72" s="499"/>
      <c r="BO72" s="499"/>
      <c r="BP72" s="499"/>
      <c r="BQ72" s="499"/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7"/>
      <c r="CY72" s="167"/>
      <c r="CZ72" s="174"/>
      <c r="DA72" s="166"/>
      <c r="DB72" s="166"/>
      <c r="DC72" s="166"/>
      <c r="DD72" s="166"/>
      <c r="DE72" s="166"/>
      <c r="DF72" s="166"/>
      <c r="DG72" s="166"/>
      <c r="DH72" s="166"/>
      <c r="DI72" s="166"/>
    </row>
    <row r="73" spans="1:113" ht="12" hidden="1" outlineLevel="2">
      <c r="A73" s="1" t="s">
        <v>872</v>
      </c>
      <c r="B73" s="19" t="s">
        <v>260</v>
      </c>
      <c r="C73" s="601"/>
      <c r="D73" s="601"/>
      <c r="E73" s="601"/>
      <c r="F73" s="601"/>
      <c r="G73" s="601"/>
      <c r="H73" s="601"/>
      <c r="I73" s="601"/>
      <c r="J73" s="601"/>
      <c r="K73" s="601"/>
      <c r="L73" s="601"/>
      <c r="M73" s="601"/>
      <c r="N73" s="601"/>
      <c r="O73" s="601"/>
      <c r="P73" s="601"/>
      <c r="Q73" s="601"/>
      <c r="R73" s="601"/>
      <c r="S73" s="601"/>
      <c r="T73" s="416"/>
      <c r="U73" s="601"/>
      <c r="V73" s="601"/>
      <c r="W73" s="601"/>
      <c r="X73" s="601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6"/>
      <c r="AJ73" s="416"/>
      <c r="AK73" s="416"/>
      <c r="AL73" s="416"/>
      <c r="AM73" s="416"/>
      <c r="AN73" s="416"/>
      <c r="AO73" s="416"/>
      <c r="AP73" s="167"/>
      <c r="AQ73" s="167"/>
      <c r="AR73" s="167"/>
      <c r="AS73" s="167"/>
      <c r="AT73" s="167"/>
      <c r="AU73" s="167"/>
      <c r="AV73" s="167"/>
      <c r="AW73" s="167"/>
      <c r="AX73" s="167"/>
      <c r="AY73" s="783"/>
      <c r="AZ73" s="688"/>
      <c r="BA73" s="499"/>
      <c r="BB73" s="499"/>
      <c r="BC73" s="499"/>
      <c r="BD73" s="499"/>
      <c r="BE73" s="499"/>
      <c r="BF73" s="499"/>
      <c r="BG73" s="499"/>
      <c r="BH73" s="499"/>
      <c r="BI73" s="499"/>
      <c r="BJ73" s="499"/>
      <c r="BK73" s="499"/>
      <c r="BL73" s="499"/>
      <c r="BM73" s="499"/>
      <c r="BN73" s="499"/>
      <c r="BO73" s="499"/>
      <c r="BP73" s="499"/>
      <c r="BQ73" s="499"/>
      <c r="BR73" s="166"/>
      <c r="BS73" s="166"/>
      <c r="BT73" s="166"/>
      <c r="BU73" s="166"/>
      <c r="BV73" s="166"/>
      <c r="BW73" s="166"/>
      <c r="BX73" s="166"/>
      <c r="BY73" s="166"/>
      <c r="BZ73" s="166"/>
      <c r="CA73" s="166"/>
      <c r="CB73" s="166"/>
      <c r="CC73" s="166"/>
      <c r="CD73" s="166"/>
      <c r="CE73" s="166"/>
      <c r="CF73" s="166"/>
      <c r="CG73" s="166"/>
      <c r="CH73" s="166"/>
      <c r="CI73" s="166"/>
      <c r="CJ73" s="166"/>
      <c r="CK73" s="166"/>
      <c r="CL73" s="166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74"/>
      <c r="DA73" s="166"/>
      <c r="DB73" s="166"/>
      <c r="DC73" s="166"/>
      <c r="DD73" s="166"/>
      <c r="DE73" s="166"/>
      <c r="DF73" s="166"/>
      <c r="DG73" s="166"/>
      <c r="DH73" s="166"/>
      <c r="DI73" s="166"/>
    </row>
    <row r="74" spans="1:113" ht="12" hidden="1" outlineLevel="2">
      <c r="A74" s="1" t="s">
        <v>873</v>
      </c>
      <c r="B74" s="19" t="s">
        <v>357</v>
      </c>
      <c r="C74" s="601"/>
      <c r="D74" s="601"/>
      <c r="E74" s="601"/>
      <c r="F74" s="601"/>
      <c r="G74" s="601"/>
      <c r="H74" s="601"/>
      <c r="I74" s="601"/>
      <c r="J74" s="601"/>
      <c r="K74" s="601"/>
      <c r="L74" s="601"/>
      <c r="M74" s="601"/>
      <c r="N74" s="601"/>
      <c r="O74" s="601"/>
      <c r="P74" s="601"/>
      <c r="Q74" s="601"/>
      <c r="R74" s="601"/>
      <c r="S74" s="601"/>
      <c r="T74" s="416"/>
      <c r="U74" s="601"/>
      <c r="V74" s="601"/>
      <c r="W74" s="601"/>
      <c r="X74" s="601"/>
      <c r="Y74" s="416"/>
      <c r="Z74" s="416"/>
      <c r="AA74" s="416"/>
      <c r="AB74" s="416"/>
      <c r="AC74" s="416"/>
      <c r="AD74" s="416"/>
      <c r="AE74" s="416"/>
      <c r="AF74" s="416"/>
      <c r="AG74" s="416"/>
      <c r="AH74" s="416"/>
      <c r="AI74" s="416"/>
      <c r="AJ74" s="416"/>
      <c r="AK74" s="416"/>
      <c r="AL74" s="416"/>
      <c r="AM74" s="416"/>
      <c r="AN74" s="416"/>
      <c r="AO74" s="416"/>
      <c r="AP74" s="167"/>
      <c r="AQ74" s="167"/>
      <c r="AR74" s="167"/>
      <c r="AS74" s="167"/>
      <c r="AT74" s="167"/>
      <c r="AU74" s="167"/>
      <c r="AV74" s="167"/>
      <c r="AW74" s="167"/>
      <c r="AX74" s="167"/>
      <c r="AY74" s="167"/>
      <c r="AZ74" s="174"/>
      <c r="BA74" s="166"/>
      <c r="BB74" s="166"/>
      <c r="BC74" s="166"/>
      <c r="BD74" s="166"/>
      <c r="BE74" s="166"/>
      <c r="BF74" s="166"/>
      <c r="BG74" s="166"/>
      <c r="BH74" s="166"/>
      <c r="BI74" s="166"/>
      <c r="BJ74" s="166"/>
      <c r="BK74" s="166"/>
      <c r="BL74" s="166"/>
      <c r="BM74" s="166"/>
      <c r="BN74" s="166"/>
      <c r="BO74" s="166"/>
      <c r="BP74" s="166"/>
      <c r="BQ74" s="166"/>
      <c r="BR74" s="166"/>
      <c r="BS74" s="166"/>
      <c r="BT74" s="166"/>
      <c r="BU74" s="166"/>
      <c r="BV74" s="166"/>
      <c r="BW74" s="166"/>
      <c r="BX74" s="166"/>
      <c r="BY74" s="166"/>
      <c r="BZ74" s="166"/>
      <c r="CA74" s="166"/>
      <c r="CB74" s="166"/>
      <c r="CC74" s="166"/>
      <c r="CD74" s="166"/>
      <c r="CE74" s="166"/>
      <c r="CF74" s="166"/>
      <c r="CG74" s="166"/>
      <c r="CH74" s="166"/>
      <c r="CI74" s="166"/>
      <c r="CJ74" s="166"/>
      <c r="CK74" s="166"/>
      <c r="CL74" s="166"/>
      <c r="CM74" s="167"/>
      <c r="CN74" s="167"/>
      <c r="CO74" s="167"/>
      <c r="CP74" s="167"/>
      <c r="CQ74" s="167"/>
      <c r="CR74" s="167"/>
      <c r="CS74" s="167"/>
      <c r="CT74" s="167"/>
      <c r="CU74" s="167"/>
      <c r="CV74" s="167"/>
      <c r="CW74" s="167"/>
      <c r="CX74" s="167"/>
      <c r="CY74" s="167"/>
      <c r="CZ74" s="174"/>
      <c r="DA74" s="166"/>
      <c r="DB74" s="166"/>
      <c r="DC74" s="166"/>
      <c r="DD74" s="166"/>
      <c r="DE74" s="166"/>
      <c r="DF74" s="166"/>
      <c r="DG74" s="166"/>
      <c r="DH74" s="166"/>
      <c r="DI74" s="166"/>
    </row>
    <row r="75" spans="1:113" ht="12" hidden="1" outlineLevel="2">
      <c r="A75" s="1" t="s">
        <v>874</v>
      </c>
      <c r="B75" s="19" t="s">
        <v>271</v>
      </c>
      <c r="C75" s="601"/>
      <c r="D75" s="601"/>
      <c r="E75" s="601"/>
      <c r="F75" s="601"/>
      <c r="G75" s="601"/>
      <c r="H75" s="601"/>
      <c r="I75" s="601"/>
      <c r="J75" s="601"/>
      <c r="K75" s="601"/>
      <c r="L75" s="601"/>
      <c r="M75" s="601"/>
      <c r="N75" s="601"/>
      <c r="O75" s="601"/>
      <c r="P75" s="601"/>
      <c r="Q75" s="601"/>
      <c r="R75" s="601"/>
      <c r="S75" s="601"/>
      <c r="T75" s="416"/>
      <c r="U75" s="601"/>
      <c r="V75" s="601"/>
      <c r="W75" s="601"/>
      <c r="X75" s="601"/>
      <c r="Y75" s="416"/>
      <c r="Z75" s="416"/>
      <c r="AA75" s="416"/>
      <c r="AB75" s="416"/>
      <c r="AC75" s="416"/>
      <c r="AD75" s="416"/>
      <c r="AE75" s="416"/>
      <c r="AF75" s="416"/>
      <c r="AG75" s="416"/>
      <c r="AH75" s="416"/>
      <c r="AI75" s="416"/>
      <c r="AJ75" s="416"/>
      <c r="AK75" s="416"/>
      <c r="AL75" s="416"/>
      <c r="AM75" s="416"/>
      <c r="AN75" s="416"/>
      <c r="AO75" s="416"/>
      <c r="AP75" s="167"/>
      <c r="AQ75" s="167"/>
      <c r="AR75" s="167"/>
      <c r="AS75" s="167"/>
      <c r="AT75" s="167"/>
      <c r="AU75" s="167"/>
      <c r="AV75" s="167"/>
      <c r="AW75" s="167"/>
      <c r="AX75" s="167"/>
      <c r="AY75" s="783"/>
      <c r="AZ75" s="688"/>
      <c r="BA75" s="499"/>
      <c r="BB75" s="499"/>
      <c r="BC75" s="499"/>
      <c r="BD75" s="499"/>
      <c r="BE75" s="499"/>
      <c r="BF75" s="499"/>
      <c r="BG75" s="499"/>
      <c r="BH75" s="499"/>
      <c r="BI75" s="499"/>
      <c r="BJ75" s="499"/>
      <c r="BK75" s="499"/>
      <c r="BL75" s="499"/>
      <c r="BM75" s="499"/>
      <c r="BN75" s="499"/>
      <c r="BO75" s="499"/>
      <c r="BP75" s="499"/>
      <c r="BQ75" s="499"/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7"/>
      <c r="CN75" s="167"/>
      <c r="CO75" s="167"/>
      <c r="CP75" s="167"/>
      <c r="CQ75" s="167"/>
      <c r="CR75" s="167"/>
      <c r="CS75" s="167"/>
      <c r="CT75" s="167"/>
      <c r="CU75" s="167"/>
      <c r="CV75" s="167"/>
      <c r="CW75" s="167"/>
      <c r="CX75" s="167"/>
      <c r="CY75" s="167"/>
      <c r="CZ75" s="174"/>
      <c r="DA75" s="166"/>
      <c r="DB75" s="166"/>
      <c r="DC75" s="166"/>
      <c r="DD75" s="166"/>
      <c r="DE75" s="166"/>
      <c r="DF75" s="166"/>
      <c r="DG75" s="166"/>
      <c r="DH75" s="166"/>
      <c r="DI75" s="166"/>
    </row>
    <row r="76" spans="1:113" ht="12" hidden="1" outlineLevel="2">
      <c r="A76" s="1" t="s">
        <v>829</v>
      </c>
      <c r="B76" s="19" t="s">
        <v>272</v>
      </c>
      <c r="C76" s="601"/>
      <c r="D76" s="601"/>
      <c r="E76" s="601"/>
      <c r="F76" s="601"/>
      <c r="G76" s="601"/>
      <c r="H76" s="601"/>
      <c r="I76" s="601"/>
      <c r="J76" s="601"/>
      <c r="K76" s="601"/>
      <c r="L76" s="601"/>
      <c r="M76" s="601"/>
      <c r="N76" s="601"/>
      <c r="O76" s="601"/>
      <c r="P76" s="601"/>
      <c r="Q76" s="601"/>
      <c r="R76" s="601"/>
      <c r="S76" s="601"/>
      <c r="T76" s="416"/>
      <c r="U76" s="601"/>
      <c r="V76" s="601"/>
      <c r="W76" s="601"/>
      <c r="X76" s="601"/>
      <c r="Y76" s="416"/>
      <c r="Z76" s="416"/>
      <c r="AA76" s="416"/>
      <c r="AB76" s="416"/>
      <c r="AC76" s="416"/>
      <c r="AD76" s="416"/>
      <c r="AE76" s="416"/>
      <c r="AF76" s="416"/>
      <c r="AG76" s="416"/>
      <c r="AH76" s="416"/>
      <c r="AI76" s="416"/>
      <c r="AJ76" s="416"/>
      <c r="AK76" s="416"/>
      <c r="AL76" s="416"/>
      <c r="AM76" s="416"/>
      <c r="AN76" s="416"/>
      <c r="AO76" s="416"/>
      <c r="AP76" s="167"/>
      <c r="AQ76" s="167"/>
      <c r="AR76" s="167"/>
      <c r="AS76" s="167"/>
      <c r="AT76" s="167"/>
      <c r="AU76" s="167"/>
      <c r="AV76" s="167"/>
      <c r="AW76" s="167"/>
      <c r="AX76" s="167"/>
      <c r="AY76" s="783"/>
      <c r="AZ76" s="688"/>
      <c r="BA76" s="499"/>
      <c r="BB76" s="499"/>
      <c r="BC76" s="499"/>
      <c r="BD76" s="499"/>
      <c r="BE76" s="499"/>
      <c r="BF76" s="499"/>
      <c r="BG76" s="499"/>
      <c r="BH76" s="499"/>
      <c r="BI76" s="499"/>
      <c r="BJ76" s="499"/>
      <c r="BK76" s="499"/>
      <c r="BL76" s="499"/>
      <c r="BM76" s="499"/>
      <c r="BN76" s="499"/>
      <c r="BO76" s="499"/>
      <c r="BP76" s="499"/>
      <c r="BQ76" s="499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7"/>
      <c r="CN76" s="167"/>
      <c r="CO76" s="167"/>
      <c r="CP76" s="167"/>
      <c r="CQ76" s="167"/>
      <c r="CR76" s="167"/>
      <c r="CS76" s="167"/>
      <c r="CT76" s="167"/>
      <c r="CU76" s="167"/>
      <c r="CV76" s="167"/>
      <c r="CW76" s="167"/>
      <c r="CX76" s="167"/>
      <c r="CY76" s="167"/>
      <c r="CZ76" s="174"/>
      <c r="DA76" s="166"/>
      <c r="DB76" s="166"/>
      <c r="DC76" s="166"/>
      <c r="DD76" s="166"/>
      <c r="DE76" s="166"/>
      <c r="DF76" s="166"/>
      <c r="DG76" s="166"/>
      <c r="DH76" s="166"/>
      <c r="DI76" s="166"/>
    </row>
    <row r="77" spans="1:113" ht="12" hidden="1" outlineLevel="2">
      <c r="A77" s="1" t="s">
        <v>379</v>
      </c>
      <c r="B77" s="19" t="s">
        <v>273</v>
      </c>
      <c r="C77" s="601"/>
      <c r="D77" s="601"/>
      <c r="E77" s="601"/>
      <c r="F77" s="601"/>
      <c r="G77" s="601"/>
      <c r="H77" s="601"/>
      <c r="I77" s="601"/>
      <c r="J77" s="601"/>
      <c r="K77" s="601"/>
      <c r="L77" s="601"/>
      <c r="M77" s="601"/>
      <c r="N77" s="601"/>
      <c r="O77" s="601"/>
      <c r="P77" s="601"/>
      <c r="Q77" s="601"/>
      <c r="R77" s="601"/>
      <c r="S77" s="601"/>
      <c r="T77" s="416"/>
      <c r="U77" s="601"/>
      <c r="V77" s="601"/>
      <c r="W77" s="601"/>
      <c r="X77" s="601"/>
      <c r="Y77" s="416"/>
      <c r="Z77" s="416"/>
      <c r="AA77" s="416"/>
      <c r="AB77" s="416"/>
      <c r="AC77" s="416"/>
      <c r="AD77" s="416"/>
      <c r="AE77" s="416"/>
      <c r="AF77" s="416"/>
      <c r="AG77" s="416"/>
      <c r="AH77" s="416"/>
      <c r="AI77" s="416"/>
      <c r="AJ77" s="416"/>
      <c r="AK77" s="416"/>
      <c r="AL77" s="416"/>
      <c r="AM77" s="416"/>
      <c r="AN77" s="416"/>
      <c r="AO77" s="416"/>
      <c r="AP77" s="167"/>
      <c r="AQ77" s="167"/>
      <c r="AR77" s="167"/>
      <c r="AS77" s="167"/>
      <c r="AT77" s="167"/>
      <c r="AU77" s="167"/>
      <c r="AV77" s="167"/>
      <c r="AW77" s="167"/>
      <c r="AX77" s="167"/>
      <c r="AY77" s="783"/>
      <c r="AZ77" s="688"/>
      <c r="BA77" s="499"/>
      <c r="BB77" s="499"/>
      <c r="BC77" s="499"/>
      <c r="BD77" s="499"/>
      <c r="BE77" s="499"/>
      <c r="BF77" s="499"/>
      <c r="BG77" s="499"/>
      <c r="BH77" s="499"/>
      <c r="BI77" s="499"/>
      <c r="BJ77" s="499"/>
      <c r="BK77" s="499"/>
      <c r="BL77" s="499"/>
      <c r="BM77" s="499"/>
      <c r="BN77" s="499"/>
      <c r="BO77" s="499"/>
      <c r="BP77" s="499"/>
      <c r="BQ77" s="499"/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  <c r="CY77" s="167"/>
      <c r="CZ77" s="174"/>
      <c r="DA77" s="166"/>
      <c r="DB77" s="166"/>
      <c r="DC77" s="166"/>
      <c r="DD77" s="166"/>
      <c r="DE77" s="166"/>
      <c r="DF77" s="166"/>
      <c r="DG77" s="166"/>
      <c r="DH77" s="166"/>
      <c r="DI77" s="166"/>
    </row>
    <row r="78" spans="1:113" ht="12" hidden="1" outlineLevel="2">
      <c r="A78" s="1" t="s">
        <v>451</v>
      </c>
      <c r="B78" s="19" t="s">
        <v>274</v>
      </c>
      <c r="C78" s="601"/>
      <c r="D78" s="601"/>
      <c r="E78" s="601"/>
      <c r="F78" s="601"/>
      <c r="G78" s="601"/>
      <c r="H78" s="601"/>
      <c r="I78" s="601"/>
      <c r="J78" s="601"/>
      <c r="K78" s="601"/>
      <c r="L78" s="601"/>
      <c r="M78" s="601"/>
      <c r="N78" s="601"/>
      <c r="O78" s="601"/>
      <c r="P78" s="601"/>
      <c r="Q78" s="601"/>
      <c r="R78" s="601"/>
      <c r="S78" s="601"/>
      <c r="T78" s="416"/>
      <c r="U78" s="601"/>
      <c r="V78" s="601"/>
      <c r="W78" s="601"/>
      <c r="X78" s="601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167"/>
      <c r="AQ78" s="167"/>
      <c r="AR78" s="167"/>
      <c r="AS78" s="167"/>
      <c r="AT78" s="167"/>
      <c r="AU78" s="167"/>
      <c r="AV78" s="167"/>
      <c r="AW78" s="167"/>
      <c r="AX78" s="167"/>
      <c r="AY78" s="783"/>
      <c r="AZ78" s="688"/>
      <c r="BA78" s="499"/>
      <c r="BB78" s="499"/>
      <c r="BC78" s="499"/>
      <c r="BD78" s="499"/>
      <c r="BE78" s="499"/>
      <c r="BF78" s="499"/>
      <c r="BG78" s="499"/>
      <c r="BH78" s="499"/>
      <c r="BI78" s="499"/>
      <c r="BJ78" s="499"/>
      <c r="BK78" s="499"/>
      <c r="BL78" s="499"/>
      <c r="BM78" s="499"/>
      <c r="BN78" s="499"/>
      <c r="BO78" s="499"/>
      <c r="BP78" s="499"/>
      <c r="BQ78" s="499"/>
      <c r="BR78" s="166"/>
      <c r="BS78" s="166"/>
      <c r="BT78" s="166"/>
      <c r="BU78" s="166"/>
      <c r="BV78" s="166"/>
      <c r="BW78" s="166"/>
      <c r="BX78" s="166"/>
      <c r="BY78" s="166"/>
      <c r="BZ78" s="166"/>
      <c r="CA78" s="166"/>
      <c r="CB78" s="166"/>
      <c r="CC78" s="166"/>
      <c r="CD78" s="166"/>
      <c r="CE78" s="166"/>
      <c r="CF78" s="166"/>
      <c r="CG78" s="166"/>
      <c r="CH78" s="166"/>
      <c r="CI78" s="166"/>
      <c r="CJ78" s="166"/>
      <c r="CK78" s="166"/>
      <c r="CL78" s="166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7"/>
      <c r="CY78" s="167"/>
      <c r="CZ78" s="174"/>
      <c r="DA78" s="166"/>
      <c r="DB78" s="166"/>
      <c r="DC78" s="166"/>
      <c r="DD78" s="166"/>
      <c r="DE78" s="166"/>
      <c r="DF78" s="166"/>
      <c r="DG78" s="166"/>
      <c r="DH78" s="166"/>
      <c r="DI78" s="166"/>
    </row>
    <row r="79" spans="1:113" ht="12" hidden="1" outlineLevel="2">
      <c r="A79" s="1" t="s">
        <v>830</v>
      </c>
      <c r="B79" s="19" t="s">
        <v>275</v>
      </c>
      <c r="C79" s="601"/>
      <c r="D79" s="601"/>
      <c r="E79" s="601"/>
      <c r="F79" s="601"/>
      <c r="G79" s="601"/>
      <c r="H79" s="601"/>
      <c r="I79" s="601"/>
      <c r="J79" s="601"/>
      <c r="K79" s="601"/>
      <c r="L79" s="601"/>
      <c r="M79" s="601"/>
      <c r="N79" s="601"/>
      <c r="O79" s="601"/>
      <c r="P79" s="601"/>
      <c r="Q79" s="601"/>
      <c r="R79" s="601"/>
      <c r="S79" s="601"/>
      <c r="T79" s="416"/>
      <c r="U79" s="601"/>
      <c r="V79" s="601"/>
      <c r="W79" s="601"/>
      <c r="X79" s="601"/>
      <c r="Y79" s="416"/>
      <c r="Z79" s="416"/>
      <c r="AA79" s="416"/>
      <c r="AB79" s="416"/>
      <c r="AC79" s="416"/>
      <c r="AD79" s="416"/>
      <c r="AE79" s="416"/>
      <c r="AF79" s="416"/>
      <c r="AG79" s="416"/>
      <c r="AH79" s="416"/>
      <c r="AI79" s="416"/>
      <c r="AJ79" s="416"/>
      <c r="AK79" s="416"/>
      <c r="AL79" s="416"/>
      <c r="AM79" s="416"/>
      <c r="AN79" s="416"/>
      <c r="AO79" s="416"/>
      <c r="AP79" s="167"/>
      <c r="AQ79" s="167"/>
      <c r="AR79" s="167"/>
      <c r="AS79" s="167"/>
      <c r="AT79" s="167"/>
      <c r="AU79" s="167"/>
      <c r="AV79" s="167"/>
      <c r="AW79" s="167"/>
      <c r="AX79" s="167"/>
      <c r="AY79" s="783"/>
      <c r="AZ79" s="688"/>
      <c r="BA79" s="661"/>
      <c r="BB79" s="499"/>
      <c r="BC79" s="499"/>
      <c r="BD79" s="499"/>
      <c r="BE79" s="499"/>
      <c r="BF79" s="499"/>
      <c r="BG79" s="499"/>
      <c r="BH79" s="499"/>
      <c r="BI79" s="499"/>
      <c r="BJ79" s="499"/>
      <c r="BK79" s="499"/>
      <c r="BL79" s="499"/>
      <c r="BM79" s="499"/>
      <c r="BN79" s="499"/>
      <c r="BO79" s="499"/>
      <c r="BP79" s="499"/>
      <c r="BQ79" s="499"/>
      <c r="BR79" s="166"/>
      <c r="BS79" s="166"/>
      <c r="BT79" s="166"/>
      <c r="BU79" s="166"/>
      <c r="BV79" s="166"/>
      <c r="BW79" s="166"/>
      <c r="BX79" s="166"/>
      <c r="BY79" s="166"/>
      <c r="BZ79" s="166"/>
      <c r="CA79" s="166"/>
      <c r="CB79" s="166"/>
      <c r="CC79" s="166"/>
      <c r="CD79" s="166"/>
      <c r="CE79" s="166"/>
      <c r="CF79" s="166"/>
      <c r="CG79" s="166"/>
      <c r="CH79" s="166"/>
      <c r="CI79" s="166"/>
      <c r="CJ79" s="166"/>
      <c r="CK79" s="166"/>
      <c r="CL79" s="166"/>
      <c r="CM79" s="167"/>
      <c r="CN79" s="167"/>
      <c r="CO79" s="167"/>
      <c r="CP79" s="167"/>
      <c r="CQ79" s="167"/>
      <c r="CR79" s="167"/>
      <c r="CS79" s="167"/>
      <c r="CT79" s="167"/>
      <c r="CU79" s="167"/>
      <c r="CV79" s="167"/>
      <c r="CW79" s="167"/>
      <c r="CX79" s="167"/>
      <c r="CY79" s="167"/>
      <c r="CZ79" s="174"/>
      <c r="DA79" s="166"/>
      <c r="DB79" s="166"/>
      <c r="DC79" s="166"/>
      <c r="DD79" s="166"/>
      <c r="DE79" s="166"/>
      <c r="DF79" s="166"/>
      <c r="DG79" s="166"/>
      <c r="DH79" s="166"/>
      <c r="DI79" s="166"/>
    </row>
    <row r="80" spans="1:113" ht="12" hidden="1" outlineLevel="1" collapsed="1">
      <c r="A80" s="121" t="s">
        <v>1124</v>
      </c>
      <c r="B80" s="19" t="s">
        <v>1066</v>
      </c>
      <c r="C80" s="601"/>
      <c r="D80" s="601"/>
      <c r="E80" s="601"/>
      <c r="F80" s="601"/>
      <c r="G80" s="601"/>
      <c r="H80" s="601"/>
      <c r="I80" s="601"/>
      <c r="J80" s="601"/>
      <c r="K80" s="601"/>
      <c r="L80" s="601"/>
      <c r="M80" s="601"/>
      <c r="N80" s="601"/>
      <c r="O80" s="601"/>
      <c r="P80" s="601"/>
      <c r="Q80" s="601"/>
      <c r="R80" s="601"/>
      <c r="S80" s="601"/>
      <c r="T80" s="601"/>
      <c r="U80" s="601"/>
      <c r="V80" s="601"/>
      <c r="W80" s="601"/>
      <c r="X80" s="601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379">
        <v>6.7689393939393842E-4</v>
      </c>
      <c r="AQ80" s="379">
        <v>1.9599999999999999E-4</v>
      </c>
      <c r="AR80" s="379">
        <v>2.14E-4</v>
      </c>
      <c r="AS80" s="379">
        <v>2.4780000000000002E-3</v>
      </c>
      <c r="AT80" s="379">
        <v>2.2499999999999999E-2</v>
      </c>
      <c r="AU80" s="379">
        <v>3.4799999999999998E-2</v>
      </c>
      <c r="AV80" s="379">
        <v>4.1799999999999997E-2</v>
      </c>
      <c r="AW80" s="379">
        <v>4.3499999999999997E-2</v>
      </c>
      <c r="AX80" s="379">
        <v>4.36E-2</v>
      </c>
      <c r="AY80" s="379">
        <v>4.1399999999999999E-2</v>
      </c>
      <c r="AZ80" s="502">
        <v>3.6443333333333341E-2</v>
      </c>
      <c r="BA80" s="409">
        <f>VLOOKUP($A80,[1]Sheet1!$2:$65536,MATCH(BA$3,[1]Sheet1!$2:$2,0),FALSE)</f>
        <v>4.0999999999999995E-2</v>
      </c>
      <c r="BB80" s="409">
        <f>VLOOKUP($A80,[1]Sheet1!$2:$65536,MATCH(BB$3,[1]Sheet1!$2:$2,0),FALSE)</f>
        <v>4.3249999999999997E-2</v>
      </c>
      <c r="BC80" s="409">
        <f>VLOOKUP($A80,[1]Sheet1!$2:$65536,MATCH(BC$3,[1]Sheet1!$2:$2,0),FALSE)</f>
        <v>3.9750000000000008E-2</v>
      </c>
      <c r="BD80" s="409">
        <f>VLOOKUP($A80,[1]Sheet1!$2:$65536,MATCH(BD$3,[1]Sheet1!$2:$2,0),FALSE)</f>
        <v>3.8500000000000006E-2</v>
      </c>
      <c r="BE80" s="409">
        <f>VLOOKUP($A80,[1]Sheet1!$2:$65536,MATCH(BE$3,[1]Sheet1!$2:$2,0),FALSE)</f>
        <v>3.8500000000000006E-2</v>
      </c>
      <c r="BF80" s="409">
        <f>VLOOKUP($A80,[1]Sheet1!$2:$65536,MATCH(BF$3,[1]Sheet1!$2:$2,0),FALSE)</f>
        <v>3.8500000000000006E-2</v>
      </c>
      <c r="BG80" s="409">
        <f>VLOOKUP($A80,[1]Sheet1!$2:$65536,MATCH(BG$3,[1]Sheet1!$2:$2,0),FALSE)</f>
        <v>3.8500000000000006E-2</v>
      </c>
      <c r="BH80" s="409">
        <f>VLOOKUP($A80,[1]Sheet1!$2:$65536,MATCH(BH$3,[1]Sheet1!$2:$2,0),FALSE)</f>
        <v>3.8500000000000006E-2</v>
      </c>
      <c r="BI80" s="409">
        <f>VLOOKUP($A80,[1]Sheet1!$2:$65536,MATCH(BI$3,[1]Sheet1!$2:$2,0),FALSE)</f>
        <v>3.8500000000000006E-2</v>
      </c>
      <c r="BJ80" s="409">
        <f>VLOOKUP($A80,[1]Sheet1!$2:$65536,MATCH(BJ$3,[1]Sheet1!$2:$2,0),FALSE)</f>
        <v>3.8500000000000006E-2</v>
      </c>
      <c r="BK80" s="409">
        <f>VLOOKUP($A80,[1]Sheet1!$2:$65536,MATCH(BK$3,[1]Sheet1!$2:$2,0),FALSE)</f>
        <v>3.8500000000000006E-2</v>
      </c>
      <c r="BL80" s="409">
        <f>VLOOKUP($A80,[1]Sheet1!$2:$65536,MATCH(BL$3,[1]Sheet1!$2:$2,0),FALSE)</f>
        <v>3.8500000000000006E-2</v>
      </c>
      <c r="BM80" s="409">
        <f>VLOOKUP($A80,[1]Sheet1!$2:$65536,MATCH(BM$3,[1]Sheet1!$2:$2,0),FALSE)</f>
        <v>3.8500000000000006E-2</v>
      </c>
      <c r="BN80" s="409">
        <f>VLOOKUP($A80,[1]Sheet1!$2:$65536,MATCH(BN$3,[1]Sheet1!$2:$2,0),FALSE)</f>
        <v>3.8500000000000006E-2</v>
      </c>
      <c r="BO80" s="409">
        <f>VLOOKUP($A80,[1]Sheet1!$2:$65536,MATCH(BO$3,[1]Sheet1!$2:$2,0),FALSE)</f>
        <v>3.8500000000000006E-2</v>
      </c>
      <c r="BP80" s="409">
        <f>VLOOKUP($A80,[1]Sheet1!$2:$65536,MATCH(BP$3,[1]Sheet1!$2:$2,0),FALSE)</f>
        <v>3.8500000000000006E-2</v>
      </c>
      <c r="BQ80" s="409">
        <f>VLOOKUP($A80,[1]Sheet1!$2:$65536,MATCH(BQ$3,[1]Sheet1!$2:$2,0),FALSE)</f>
        <v>3.8500000000000006E-2</v>
      </c>
      <c r="BR80" s="166"/>
      <c r="BS80" s="417"/>
      <c r="BT80" s="417"/>
      <c r="BU80" s="417"/>
      <c r="BV80" s="417"/>
      <c r="BW80" s="417"/>
      <c r="BX80" s="417"/>
      <c r="BY80" s="417"/>
      <c r="BZ80" s="417"/>
      <c r="CA80" s="417"/>
      <c r="CB80" s="417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7"/>
      <c r="CN80" s="167"/>
      <c r="CO80" s="167"/>
      <c r="CP80" s="167"/>
      <c r="CQ80" s="167"/>
      <c r="CR80" s="167"/>
      <c r="CS80" s="167"/>
      <c r="CT80" s="379">
        <v>1.851884615384616E-2</v>
      </c>
      <c r="CU80" s="379">
        <v>7.0461832061068722E-3</v>
      </c>
      <c r="CV80" s="379">
        <v>5.1728624535315787E-4</v>
      </c>
      <c r="CW80" s="379">
        <v>5.1728624535315787E-4</v>
      </c>
      <c r="CX80" s="379">
        <v>3.243110785068172E-2</v>
      </c>
      <c r="CY80" s="379">
        <v>4.3183001861762861E-2</v>
      </c>
      <c r="CZ80" s="174">
        <f>AVERAGE(AX80:AY80)</f>
        <v>4.2499999999999996E-2</v>
      </c>
      <c r="DA80" s="166">
        <f>AVERAGE(AZ80:BA80)</f>
        <v>3.8721666666666668E-2</v>
      </c>
      <c r="DB80" s="166">
        <f>AVERAGE(BB80:BC80)</f>
        <v>4.1500000000000002E-2</v>
      </c>
      <c r="DC80" s="166">
        <f>AVERAGE(BD80:BE80)</f>
        <v>3.8500000000000006E-2</v>
      </c>
      <c r="DD80" s="166">
        <f>AVERAGE(BF80:BG80)</f>
        <v>3.8500000000000006E-2</v>
      </c>
      <c r="DE80" s="166">
        <f>AVERAGE(BH80:BI80)</f>
        <v>3.8500000000000006E-2</v>
      </c>
      <c r="DF80" s="166">
        <f>AVERAGE(BJ80:BK80)</f>
        <v>3.8500000000000006E-2</v>
      </c>
      <c r="DG80" s="166">
        <f>AVERAGE(BL80:BM80)</f>
        <v>3.8500000000000006E-2</v>
      </c>
      <c r="DH80" s="166">
        <f>AVERAGE(BN80:BO80)</f>
        <v>3.8500000000000006E-2</v>
      </c>
      <c r="DI80" s="166">
        <f>AVERAGE(BP80:BQ80)</f>
        <v>3.8500000000000006E-2</v>
      </c>
    </row>
    <row r="81" spans="1:113" ht="12" hidden="1" outlineLevel="1">
      <c r="A81" s="1" t="s">
        <v>695</v>
      </c>
      <c r="B81" s="19" t="s">
        <v>528</v>
      </c>
      <c r="C81" s="601"/>
      <c r="D81" s="601"/>
      <c r="E81" s="601"/>
      <c r="F81" s="601"/>
      <c r="G81" s="601"/>
      <c r="H81" s="601"/>
      <c r="I81" s="601"/>
      <c r="J81" s="601"/>
      <c r="K81" s="601"/>
      <c r="L81" s="601"/>
      <c r="M81" s="601"/>
      <c r="N81" s="601"/>
      <c r="O81" s="601"/>
      <c r="P81" s="601"/>
      <c r="Q81" s="601"/>
      <c r="R81" s="601"/>
      <c r="S81" s="601"/>
      <c r="T81" s="416"/>
      <c r="U81" s="601"/>
      <c r="V81" s="601"/>
      <c r="W81" s="601"/>
      <c r="X81" s="601"/>
      <c r="Y81" s="416"/>
      <c r="Z81" s="416"/>
      <c r="AA81" s="416"/>
      <c r="AB81" s="416"/>
      <c r="AC81" s="416"/>
      <c r="AD81" s="416"/>
      <c r="AE81" s="416"/>
      <c r="AF81" s="416"/>
      <c r="AG81" s="416"/>
      <c r="AH81" s="416"/>
      <c r="AI81" s="416"/>
      <c r="AJ81" s="416"/>
      <c r="AK81" s="416"/>
      <c r="AL81" s="416"/>
      <c r="AM81" s="416"/>
      <c r="AN81" s="416"/>
      <c r="AO81" s="416"/>
      <c r="AP81" s="167">
        <f t="shared" ref="AP81:BB81" si="344">AP323</f>
        <v>2.2801099450274864E-2</v>
      </c>
      <c r="AQ81" s="167">
        <f t="shared" si="344"/>
        <v>2.016982056757937E-2</v>
      </c>
      <c r="AR81" s="167">
        <f t="shared" si="344"/>
        <v>1.896236577380447E-2</v>
      </c>
      <c r="AS81" s="167">
        <f t="shared" si="344"/>
        <v>2.2347080851172044E-2</v>
      </c>
      <c r="AT81" s="167">
        <f t="shared" ref="AT81:AU81" si="345">AT323</f>
        <v>3.2324541767904405E-2</v>
      </c>
      <c r="AU81" s="167">
        <f t="shared" si="345"/>
        <v>3.3437498294106464E-2</v>
      </c>
      <c r="AV81" s="167">
        <f t="shared" si="344"/>
        <v>3.0192710798566499E-2</v>
      </c>
      <c r="AW81" s="167">
        <f t="shared" ref="AW81:AX81" si="346">AW323</f>
        <v>2.8508559573274639E-2</v>
      </c>
      <c r="AX81" s="167">
        <f t="shared" si="346"/>
        <v>2.8076654507888325E-2</v>
      </c>
      <c r="AY81" s="167">
        <f t="shared" si="344"/>
        <v>3.0422522611873112E-2</v>
      </c>
      <c r="AZ81" s="174">
        <f t="shared" si="344"/>
        <v>3.0297705823137459E-2</v>
      </c>
      <c r="BA81" s="166">
        <f t="shared" si="344"/>
        <v>3.1497806064230457E-2</v>
      </c>
      <c r="BB81" s="166">
        <f t="shared" si="344"/>
        <v>3.1806587737525198E-2</v>
      </c>
      <c r="BC81" s="166">
        <f t="shared" ref="BC81:BK81" si="347">BC323</f>
        <v>3.1853222364715168E-2</v>
      </c>
      <c r="BD81" s="166">
        <f t="shared" si="347"/>
        <v>3.2050709772316929E-2</v>
      </c>
      <c r="BE81" s="166">
        <f t="shared" si="347"/>
        <v>3.2097217776893554E-2</v>
      </c>
      <c r="BF81" s="166">
        <f t="shared" si="347"/>
        <v>3.2012201161499713E-2</v>
      </c>
      <c r="BG81" s="166">
        <f t="shared" si="347"/>
        <v>3.1916492173235105E-2</v>
      </c>
      <c r="BH81" s="166">
        <f t="shared" si="347"/>
        <v>3.1799074929274335E-2</v>
      </c>
      <c r="BI81" s="166">
        <f t="shared" si="347"/>
        <v>3.1692275208065439E-2</v>
      </c>
      <c r="BJ81" s="166">
        <f t="shared" si="347"/>
        <v>3.1560340051831642E-2</v>
      </c>
      <c r="BK81" s="166">
        <f t="shared" si="347"/>
        <v>3.1452018349830912E-2</v>
      </c>
      <c r="BL81" s="166">
        <f t="shared" ref="BL81:BM81" si="348">BL323</f>
        <v>3.132061581187888E-2</v>
      </c>
      <c r="BM81" s="166">
        <f t="shared" si="348"/>
        <v>3.1207699375022598E-2</v>
      </c>
      <c r="BN81" s="166">
        <f t="shared" ref="BN81:BO81" si="349">BN323</f>
        <v>3.1075716599485964E-2</v>
      </c>
      <c r="BO81" s="166">
        <f t="shared" si="349"/>
        <v>3.0958329429364898E-2</v>
      </c>
      <c r="BP81" s="166">
        <f t="shared" ref="BP81:BQ81" si="350">BP323</f>
        <v>3.0827331707437598E-2</v>
      </c>
      <c r="BQ81" s="166">
        <f t="shared" si="350"/>
        <v>3.070716110005741E-2</v>
      </c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7"/>
      <c r="CN81" s="167"/>
      <c r="CO81" s="167"/>
      <c r="CP81" s="167"/>
      <c r="CQ81" s="167"/>
      <c r="CR81" s="167"/>
      <c r="CS81" s="167"/>
      <c r="CT81" s="167">
        <f t="shared" ref="CT81:DF81" si="351">CT323</f>
        <v>5.2999999999999992E-3</v>
      </c>
      <c r="CU81" s="167">
        <f t="shared" si="351"/>
        <v>0.02</v>
      </c>
      <c r="CV81" s="167">
        <f t="shared" si="351"/>
        <v>2.0946950917203767E-2</v>
      </c>
      <c r="CW81" s="167">
        <f t="shared" ref="CW81" si="352">CW323</f>
        <v>2.0733866536418587E-2</v>
      </c>
      <c r="CX81" s="167">
        <f t="shared" si="351"/>
        <v>3.2891748675246031E-2</v>
      </c>
      <c r="CY81" s="167">
        <f t="shared" ref="CY81" si="353">CY323</f>
        <v>2.933242144458376E-2</v>
      </c>
      <c r="CZ81" s="174">
        <f t="shared" si="351"/>
        <v>2.9259006501203264E-2</v>
      </c>
      <c r="DA81" s="166">
        <f t="shared" si="351"/>
        <v>3.0906833146576291E-2</v>
      </c>
      <c r="DB81" s="166">
        <f t="shared" si="351"/>
        <v>3.1820960953146585E-2</v>
      </c>
      <c r="DC81" s="166">
        <f t="shared" si="351"/>
        <v>3.2068547637801613E-2</v>
      </c>
      <c r="DD81" s="166">
        <f t="shared" si="351"/>
        <v>3.1954546917360951E-2</v>
      </c>
      <c r="DE81" s="166">
        <f t="shared" si="351"/>
        <v>3.1737316953600866E-2</v>
      </c>
      <c r="DF81" s="166">
        <f t="shared" si="351"/>
        <v>3.1499104331792559E-2</v>
      </c>
      <c r="DG81" s="166">
        <f t="shared" ref="DG81:DH81" si="354">DG323</f>
        <v>3.1259927776578544E-2</v>
      </c>
      <c r="DH81" s="166">
        <f t="shared" si="354"/>
        <v>3.1011925215375994E-2</v>
      </c>
      <c r="DI81" s="166">
        <f t="shared" ref="DI81" si="355">DI323</f>
        <v>3.076216399037239E-2</v>
      </c>
    </row>
    <row r="82" spans="1:113" ht="12" hidden="1" outlineLevel="1">
      <c r="C82" s="601"/>
      <c r="D82" s="601"/>
      <c r="E82" s="601"/>
      <c r="F82" s="601"/>
      <c r="G82" s="601"/>
      <c r="H82" s="601"/>
      <c r="I82" s="601"/>
      <c r="J82" s="601"/>
      <c r="K82" s="601"/>
      <c r="L82" s="601"/>
      <c r="M82" s="601"/>
      <c r="N82" s="601"/>
      <c r="O82" s="601"/>
      <c r="P82" s="601"/>
      <c r="Q82" s="601"/>
      <c r="R82" s="601"/>
      <c r="S82" s="601"/>
      <c r="T82" s="416"/>
      <c r="U82" s="416"/>
      <c r="V82" s="416"/>
      <c r="W82" s="416"/>
      <c r="X82" s="416"/>
      <c r="Y82" s="416"/>
      <c r="Z82" s="416"/>
      <c r="AA82" s="416"/>
      <c r="AB82" s="416"/>
      <c r="AC82" s="416"/>
      <c r="AD82" s="416"/>
      <c r="AE82" s="416"/>
      <c r="AF82" s="408"/>
      <c r="AG82" s="416"/>
      <c r="AH82" s="602"/>
      <c r="AI82" s="602"/>
      <c r="AJ82" s="416"/>
      <c r="AK82" s="602"/>
      <c r="AL82" s="416"/>
      <c r="AM82" s="416"/>
      <c r="AN82" s="416"/>
      <c r="AO82" s="416"/>
      <c r="AP82" s="167"/>
      <c r="AQ82" s="167"/>
      <c r="AR82" s="167"/>
      <c r="AS82" s="167"/>
      <c r="AT82" s="652"/>
      <c r="AU82" s="652"/>
      <c r="AV82" s="652"/>
      <c r="AW82" s="652"/>
      <c r="AX82" s="652"/>
      <c r="AY82" s="652"/>
      <c r="AZ82" s="641"/>
      <c r="BA82" s="640"/>
      <c r="BB82" s="640"/>
      <c r="BC82" s="640"/>
      <c r="BD82" s="640"/>
      <c r="BE82" s="640"/>
      <c r="BF82" s="640"/>
      <c r="BG82" s="640"/>
      <c r="BH82" s="640"/>
      <c r="BI82" s="640"/>
      <c r="BJ82" s="640"/>
      <c r="BK82" s="640"/>
      <c r="BL82" s="640"/>
      <c r="BM82" s="640"/>
      <c r="BN82" s="640"/>
      <c r="BO82" s="640"/>
      <c r="BP82" s="640"/>
      <c r="BQ82" s="640"/>
      <c r="BR82" s="640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7"/>
      <c r="CN82" s="167"/>
      <c r="CO82" s="167"/>
      <c r="CP82" s="167"/>
      <c r="CQ82" s="167"/>
      <c r="CR82" s="167"/>
      <c r="CS82" s="167"/>
      <c r="CT82" s="167"/>
      <c r="CU82" s="167"/>
      <c r="CV82" s="167"/>
      <c r="CW82" s="167"/>
      <c r="CX82" s="167"/>
      <c r="CY82" s="167"/>
      <c r="CZ82" s="641"/>
      <c r="DA82" s="640"/>
      <c r="DB82" s="640"/>
      <c r="DC82" s="640"/>
      <c r="DD82" s="19"/>
      <c r="DE82" s="19"/>
      <c r="DF82" s="19"/>
      <c r="DG82" s="19"/>
      <c r="DH82" s="19"/>
      <c r="DI82" s="19"/>
    </row>
    <row r="83" spans="1:113" ht="12" hidden="1" outlineLevel="1">
      <c r="B83" s="24" t="s">
        <v>529</v>
      </c>
      <c r="C83" s="601"/>
      <c r="D83" s="601"/>
      <c r="E83" s="601"/>
      <c r="F83" s="601"/>
      <c r="G83" s="601"/>
      <c r="H83" s="601"/>
      <c r="I83" s="601"/>
      <c r="J83" s="601"/>
      <c r="K83" s="601"/>
      <c r="L83" s="601"/>
      <c r="M83" s="601"/>
      <c r="N83" s="601"/>
      <c r="O83" s="601"/>
      <c r="P83" s="601"/>
      <c r="Q83" s="601"/>
      <c r="R83" s="601"/>
      <c r="S83" s="601"/>
      <c r="T83" s="416"/>
      <c r="U83" s="601"/>
      <c r="V83" s="601"/>
      <c r="W83" s="601"/>
      <c r="X83" s="601"/>
      <c r="Y83" s="416"/>
      <c r="Z83" s="416"/>
      <c r="AA83" s="416"/>
      <c r="AB83" s="416"/>
      <c r="AC83" s="416"/>
      <c r="AD83" s="416"/>
      <c r="AE83" s="602"/>
      <c r="AF83" s="408"/>
      <c r="AG83" s="602"/>
      <c r="AH83" s="394"/>
      <c r="AI83" s="394"/>
      <c r="AJ83" s="394"/>
      <c r="AK83" s="602"/>
      <c r="AL83" s="416"/>
      <c r="AM83" s="416"/>
      <c r="AN83" s="416"/>
      <c r="AO83" s="416"/>
      <c r="AP83" s="167"/>
      <c r="AQ83" s="167"/>
      <c r="AR83" s="635"/>
      <c r="AS83" s="635"/>
      <c r="AT83" s="635"/>
      <c r="AU83" s="635"/>
      <c r="AV83" s="635"/>
      <c r="AW83" s="635"/>
      <c r="AX83" s="635"/>
      <c r="AY83" s="167"/>
      <c r="AZ83" s="174"/>
      <c r="BA83" s="166"/>
      <c r="BB83" s="166"/>
      <c r="BC83" s="166"/>
      <c r="BD83" s="166"/>
      <c r="BE83" s="166"/>
      <c r="BF83" s="166"/>
      <c r="BG83" s="166"/>
      <c r="BH83" s="166"/>
      <c r="BI83" s="166"/>
      <c r="BJ83" s="166"/>
      <c r="BK83" s="166"/>
      <c r="BL83" s="166"/>
      <c r="BM83" s="166"/>
      <c r="BN83" s="166"/>
      <c r="BO83" s="166"/>
      <c r="BP83" s="166"/>
      <c r="BQ83" s="166"/>
      <c r="BR83" s="166"/>
      <c r="BS83" s="166"/>
      <c r="BT83" s="166"/>
      <c r="BU83" s="166"/>
      <c r="BV83" s="166"/>
      <c r="BW83" s="166"/>
      <c r="BX83" s="166"/>
      <c r="BY83" s="166"/>
      <c r="BZ83" s="166"/>
      <c r="CA83" s="166"/>
      <c r="CB83" s="166"/>
      <c r="CC83" s="166"/>
      <c r="CD83" s="166"/>
      <c r="CE83" s="166"/>
      <c r="CF83" s="166"/>
      <c r="CG83" s="166"/>
      <c r="CH83" s="166"/>
      <c r="CI83" s="166"/>
      <c r="CJ83" s="166"/>
      <c r="CK83" s="166"/>
      <c r="CL83" s="166"/>
      <c r="CM83" s="167"/>
      <c r="CN83" s="167"/>
      <c r="CO83" s="167"/>
      <c r="CP83" s="167"/>
      <c r="CQ83" s="167"/>
      <c r="CR83" s="167"/>
      <c r="CS83" s="167"/>
      <c r="CT83" s="167"/>
      <c r="CU83" s="167"/>
      <c r="CV83" s="167"/>
      <c r="CW83" s="167"/>
      <c r="CX83" s="167"/>
      <c r="CY83" s="167"/>
      <c r="CZ83" s="174"/>
      <c r="DA83" s="166"/>
      <c r="DB83" s="19"/>
      <c r="DC83" s="19"/>
      <c r="DD83" s="19"/>
      <c r="DE83" s="19"/>
      <c r="DF83" s="19"/>
      <c r="DG83" s="19"/>
      <c r="DH83" s="19"/>
      <c r="DI83" s="19"/>
    </row>
    <row r="84" spans="1:113" ht="12" hidden="1" outlineLevel="1">
      <c r="A84" s="1" t="s">
        <v>696</v>
      </c>
      <c r="B84" s="19" t="s">
        <v>530</v>
      </c>
      <c r="C84" s="601"/>
      <c r="D84" s="601"/>
      <c r="E84" s="601"/>
      <c r="F84" s="601"/>
      <c r="G84" s="601"/>
      <c r="H84" s="601"/>
      <c r="I84" s="601"/>
      <c r="J84" s="601"/>
      <c r="K84" s="601"/>
      <c r="L84" s="601"/>
      <c r="M84" s="601"/>
      <c r="N84" s="601"/>
      <c r="O84" s="601"/>
      <c r="P84" s="601"/>
      <c r="Q84" s="601"/>
      <c r="R84" s="601"/>
      <c r="S84" s="601"/>
      <c r="T84" s="416"/>
      <c r="U84" s="601"/>
      <c r="V84" s="601"/>
      <c r="W84" s="601"/>
      <c r="X84" s="601"/>
      <c r="Y84" s="416"/>
      <c r="Z84" s="416"/>
      <c r="AA84" s="416"/>
      <c r="AB84" s="416"/>
      <c r="AC84" s="416"/>
      <c r="AD84" s="416"/>
      <c r="AE84" s="416"/>
      <c r="AF84" s="416"/>
      <c r="AG84" s="416"/>
      <c r="AH84" s="416"/>
      <c r="AI84" s="416"/>
      <c r="AJ84" s="416"/>
      <c r="AK84" s="416"/>
      <c r="AL84" s="416"/>
      <c r="AM84" s="416"/>
      <c r="AN84" s="416"/>
      <c r="AO84" s="416"/>
      <c r="AP84" s="167">
        <f t="shared" ref="AP84:AR84" si="356">AP395/(AP233+AP235)*AP$5</f>
        <v>0</v>
      </c>
      <c r="AQ84" s="167">
        <f t="shared" si="356"/>
        <v>0</v>
      </c>
      <c r="AR84" s="167">
        <f t="shared" si="356"/>
        <v>0</v>
      </c>
      <c r="AS84" s="167">
        <f t="shared" ref="AS84:AT84" si="357">AS395/(AS233+AS235)*AS$5</f>
        <v>0</v>
      </c>
      <c r="AT84" s="167">
        <f t="shared" si="357"/>
        <v>0</v>
      </c>
      <c r="AU84" s="167">
        <f t="shared" ref="AU84:AV84" si="358">AU395/(AU233+AU235)*AU$5</f>
        <v>0</v>
      </c>
      <c r="AV84" s="167">
        <f t="shared" si="358"/>
        <v>0</v>
      </c>
      <c r="AW84" s="167">
        <f t="shared" ref="AW84:AX84" si="359">AW395/(AW233+AW235)*AW$5</f>
        <v>0</v>
      </c>
      <c r="AX84" s="167">
        <f t="shared" si="359"/>
        <v>0</v>
      </c>
      <c r="AY84" s="167">
        <f t="shared" ref="AY84:AZ84" si="360">AY395/(AY233+AY235)*AY$5</f>
        <v>0</v>
      </c>
      <c r="AZ84" s="174">
        <f t="shared" si="360"/>
        <v>0</v>
      </c>
      <c r="BA84" s="676">
        <f>(AZ395/SUM(AZ$395:AZ$396)*[3]JDO!N$109)/SUM(BA$233,BA$235)*BA$5</f>
        <v>0</v>
      </c>
      <c r="BB84" s="676">
        <f>(BA395/SUM(BA$395:BA$396)*[3]JDO!O$109)/SUM(BB$233,BB$235)*BB$5</f>
        <v>0</v>
      </c>
      <c r="BC84" s="676">
        <f>(BB395/SUM(BB$395:BB$396)*[3]JDO!P$109)/SUM(BC$233,BC$235)*BC$5</f>
        <v>0</v>
      </c>
      <c r="BD84" s="676">
        <f>(BC395/SUM(BC$395:BC$396)*[3]JDO!Q$109)/SUM(BD$233,BD$235)*BD$5</f>
        <v>0</v>
      </c>
      <c r="BE84" s="676">
        <f>(BD395/SUM(BD$395:BD$396)*[3]JDO!R$109)/SUM(BE$233,BE$235)*BE$5</f>
        <v>0</v>
      </c>
      <c r="BF84" s="676">
        <f>(BE395/SUM(BE$395:BE$396)*[3]JDO!S$109)/SUM(BF$233,BF$235)*BF$5</f>
        <v>0</v>
      </c>
      <c r="BG84" s="676">
        <f>(BF395/SUM(BF$395:BF$396)*[3]JDO!T$109)/SUM(BG$233,BG$235)*BG$5</f>
        <v>0</v>
      </c>
      <c r="BH84" s="676">
        <f>(BG395/SUM(BG$395:BG$396)*[3]JDO!U$109)/SUM(BH$233,BH$235)*BH$5</f>
        <v>0</v>
      </c>
      <c r="BI84" s="676">
        <f>(BH395/SUM(BH$395:BH$396)*[3]JDO!V$109)/SUM(BI$233,BI$235)*BI$5</f>
        <v>0</v>
      </c>
      <c r="BJ84" s="676">
        <f>(BI395/SUM(BI$395:BI$396)*[3]JDO!W$109)/SUM(BJ$233,BJ$235)*BJ$5</f>
        <v>0</v>
      </c>
      <c r="BK84" s="676">
        <f>(BJ395/SUM(BJ$395:BJ$396)*[3]JDO!X$109)/SUM(BK$233,BK$235)*BK$5</f>
        <v>0</v>
      </c>
      <c r="BL84" s="676">
        <f>(BK395/SUM(BK$395:BK$396)*[3]JDO!Y$109)/SUM(BL$233,BL$235)*BL$5</f>
        <v>0</v>
      </c>
      <c r="BM84" s="676">
        <f>(BL395/SUM(BL$395:BL$396)*[3]JDO!Z$109)/SUM(BM$233,BM$235)*BM$5</f>
        <v>0</v>
      </c>
      <c r="BN84" s="676">
        <f>(BM395/SUM(BM$395:BM$396)*[3]JDO!AA$109)/SUM(BN$233,BN$235)*BN$5</f>
        <v>0</v>
      </c>
      <c r="BO84" s="676">
        <f>(BN395/SUM(BN$395:BN$396)*[3]JDO!AB$109)/SUM(BO$233,BO$235)*BO$5</f>
        <v>0</v>
      </c>
      <c r="BP84" s="676">
        <f>(BO395/SUM(BO$395:BO$396)*[3]JDO!AC$109)/SUM(BP$233,BP$235)*BP$5</f>
        <v>0</v>
      </c>
      <c r="BQ84" s="676">
        <f>(BP395/SUM(BP$395:BP$396)*[3]JDO!AD$109)/SUM(BQ$233,BQ$235)*BQ$5</f>
        <v>0</v>
      </c>
      <c r="BR84" s="166"/>
      <c r="BS84" s="166"/>
      <c r="BT84" s="166"/>
      <c r="BU84" s="166"/>
      <c r="BV84" s="166"/>
      <c r="BW84" s="166"/>
      <c r="BX84" s="166"/>
      <c r="BY84" s="166"/>
      <c r="BZ84" s="166"/>
      <c r="CA84" s="166"/>
      <c r="CB84" s="166"/>
      <c r="CC84" s="166"/>
      <c r="CD84" s="166"/>
      <c r="CE84" s="166"/>
      <c r="CF84" s="166"/>
      <c r="CG84" s="166"/>
      <c r="CH84" s="166"/>
      <c r="CI84" s="166"/>
      <c r="CJ84" s="166"/>
      <c r="CK84" s="166"/>
      <c r="CL84" s="166"/>
      <c r="CM84" s="167"/>
      <c r="CN84" s="167"/>
      <c r="CO84" s="167"/>
      <c r="CP84" s="167"/>
      <c r="CQ84" s="167"/>
      <c r="CR84" s="167"/>
      <c r="CS84" s="167"/>
      <c r="CT84" s="167">
        <f t="shared" ref="CT84:DG84" si="361">CT395/(CT233+CT235)*CT$5</f>
        <v>0</v>
      </c>
      <c r="CU84" s="167">
        <f t="shared" si="361"/>
        <v>0</v>
      </c>
      <c r="CV84" s="167">
        <f t="shared" si="361"/>
        <v>0</v>
      </c>
      <c r="CW84" s="167">
        <f t="shared" si="361"/>
        <v>0</v>
      </c>
      <c r="CX84" s="167">
        <f t="shared" si="361"/>
        <v>0</v>
      </c>
      <c r="CY84" s="167">
        <f t="shared" ref="CY84" si="362">CY395/(CY233+CY235)*CY$5</f>
        <v>0</v>
      </c>
      <c r="CZ84" s="174">
        <f t="shared" si="361"/>
        <v>0</v>
      </c>
      <c r="DA84" s="166">
        <f t="shared" si="361"/>
        <v>0</v>
      </c>
      <c r="DB84" s="166">
        <f t="shared" si="361"/>
        <v>0</v>
      </c>
      <c r="DC84" s="166">
        <f t="shared" si="361"/>
        <v>0</v>
      </c>
      <c r="DD84" s="166">
        <f t="shared" si="361"/>
        <v>0</v>
      </c>
      <c r="DE84" s="166">
        <f t="shared" si="361"/>
        <v>0</v>
      </c>
      <c r="DF84" s="166">
        <f t="shared" si="361"/>
        <v>0</v>
      </c>
      <c r="DG84" s="166">
        <f t="shared" si="361"/>
        <v>0</v>
      </c>
      <c r="DH84" s="166">
        <f t="shared" ref="DH84:DI84" si="363">DH395/(DH233+DH235)*DH$5</f>
        <v>0</v>
      </c>
      <c r="DI84" s="166">
        <f t="shared" si="363"/>
        <v>0</v>
      </c>
    </row>
    <row r="85" spans="1:113" ht="12" hidden="1" outlineLevel="1">
      <c r="A85" s="1" t="s">
        <v>697</v>
      </c>
      <c r="B85" s="19" t="s">
        <v>531</v>
      </c>
      <c r="C85" s="601"/>
      <c r="D85" s="601"/>
      <c r="E85" s="601"/>
      <c r="F85" s="601"/>
      <c r="G85" s="601"/>
      <c r="H85" s="601"/>
      <c r="I85" s="601"/>
      <c r="J85" s="601"/>
      <c r="K85" s="601"/>
      <c r="L85" s="601"/>
      <c r="M85" s="601"/>
      <c r="N85" s="601"/>
      <c r="O85" s="601"/>
      <c r="P85" s="601"/>
      <c r="Q85" s="601"/>
      <c r="R85" s="601"/>
      <c r="S85" s="601"/>
      <c r="T85" s="416"/>
      <c r="U85" s="601"/>
      <c r="V85" s="601"/>
      <c r="W85" s="601"/>
      <c r="X85" s="601"/>
      <c r="Y85" s="416"/>
      <c r="Z85" s="416"/>
      <c r="AA85" s="416"/>
      <c r="AB85" s="416"/>
      <c r="AC85" s="416"/>
      <c r="AD85" s="416"/>
      <c r="AE85" s="416"/>
      <c r="AF85" s="416"/>
      <c r="AG85" s="416"/>
      <c r="AH85" s="416"/>
      <c r="AI85" s="416"/>
      <c r="AJ85" s="416"/>
      <c r="AK85" s="416"/>
      <c r="AL85" s="416"/>
      <c r="AM85" s="416"/>
      <c r="AN85" s="416"/>
      <c r="AO85" s="416"/>
      <c r="AP85" s="167">
        <f t="shared" ref="AP85:AR85" si="364">AP396/AP259*AP$5</f>
        <v>4.5786397049599843E-4</v>
      </c>
      <c r="AQ85" s="167">
        <f t="shared" si="364"/>
        <v>5.4972501198601346E-4</v>
      </c>
      <c r="AR85" s="167">
        <f t="shared" si="364"/>
        <v>2.7455995185798106E-4</v>
      </c>
      <c r="AS85" s="167">
        <f t="shared" ref="AS85:AT85" si="365">AS396/AS259*AS$5</f>
        <v>1.5615211844336812E-3</v>
      </c>
      <c r="AT85" s="167">
        <f t="shared" si="365"/>
        <v>5.0273173867131896E-4</v>
      </c>
      <c r="AU85" s="167">
        <f t="shared" ref="AU85:AV85" si="366">AU396/AU259*AU$5</f>
        <v>6.2615101289134438E-4</v>
      </c>
      <c r="AV85" s="167">
        <f t="shared" si="366"/>
        <v>7.8777442961687472E-4</v>
      </c>
      <c r="AW85" s="167">
        <f t="shared" ref="AW85:AX85" si="367">AW396/AW259*AW$5</f>
        <v>9.6837352054045473E-4</v>
      </c>
      <c r="AX85" s="167">
        <f t="shared" si="367"/>
        <v>1.0041717521358973E-3</v>
      </c>
      <c r="AY85" s="167">
        <f t="shared" ref="AY85:AZ85" si="368">AY396/AY259*AY$5</f>
        <v>1.040141630243899E-3</v>
      </c>
      <c r="AZ85" s="174">
        <f t="shared" si="368"/>
        <v>1.1629546831581807E-3</v>
      </c>
      <c r="BA85" s="676">
        <f>(AZ396/SUM(AZ$395:AZ$396)*[3]JDO!N$109)/BA$259*BA$5</f>
        <v>1.1622223754348127E-3</v>
      </c>
      <c r="BB85" s="676">
        <f>(BA396/SUM(BA$395:BA$396)*[3]JDO!O$109)/BB$259*BB$5</f>
        <v>1.1661241981173534E-3</v>
      </c>
      <c r="BC85" s="676">
        <f>(BB396/SUM(BB$395:BB$396)*[3]JDO!P$109)/BC$259*BC$5</f>
        <v>1.1710690000201547E-3</v>
      </c>
      <c r="BD85" s="676">
        <f>(BC396/SUM(BC$395:BC$396)*[3]JDO!Q$109)/BD$259*BD$5</f>
        <v>1.1790511130157465E-3</v>
      </c>
      <c r="BE85" s="676">
        <f>(BD396/SUM(BD$395:BD$396)*[3]JDO!R$109)/BE$259*BE$5</f>
        <v>1.1902121054026219E-3</v>
      </c>
      <c r="BF85" s="676">
        <f>(BE396/SUM(BE$395:BE$396)*[3]JDO!S$109)/BF$259*BF$5</f>
        <v>1.1994790779785512E-3</v>
      </c>
      <c r="BG85" s="676">
        <f>(BF396/SUM(BF$395:BF$396)*[3]JDO!T$109)/BG$259*BG$5</f>
        <v>1.2088223223877517E-3</v>
      </c>
      <c r="BH85" s="676">
        <f>(BG396/SUM(BG$395:BG$396)*[3]JDO!U$109)/BH$259*BH$5</f>
        <v>1.2267679648794558E-3</v>
      </c>
      <c r="BI85" s="676">
        <f>(BH396/SUM(BH$395:BH$396)*[3]JDO!V$109)/BI$259*BI$5</f>
        <v>1.2513033241770455E-3</v>
      </c>
      <c r="BJ85" s="676">
        <f>(BI396/SUM(BI$395:BI$396)*[3]JDO!W$109)/BJ$259*BJ$5</f>
        <v>1.2763293906605862E-3</v>
      </c>
      <c r="BK85" s="676">
        <f>(BJ396/SUM(BJ$395:BJ$396)*[3]JDO!X$109)/BK$259*BK$5</f>
        <v>1.3018559784737985E-3</v>
      </c>
      <c r="BL85" s="676">
        <f>(BK396/SUM(BK$395:BK$396)*[3]JDO!Y$109)/BL$259*BL$5</f>
        <v>1.262800299119584E-3</v>
      </c>
      <c r="BM85" s="676">
        <f>(BL396/SUM(BL$395:BL$396)*[3]JDO!Z$109)/BM$259*BM$5</f>
        <v>1.2249162901459964E-3</v>
      </c>
      <c r="BN85" s="676">
        <f>(BM396/SUM(BM$395:BM$396)*[3]JDO!AA$109)/BN$259*BN$5</f>
        <v>1.1881688014416165E-3</v>
      </c>
      <c r="BO85" s="676">
        <f>(BN396/SUM(BN$395:BN$396)*[3]JDO!AB$109)/BO$259*BO$5</f>
        <v>1.1525237373983678E-3</v>
      </c>
      <c r="BP85" s="676">
        <f>(BO396/SUM(BO$395:BO$396)*[3]JDO!AC$109)/BP$259*BP$5</f>
        <v>1.1179480252764167E-3</v>
      </c>
      <c r="BQ85" s="676">
        <f>(BP396/SUM(BP$395:BP$396)*[3]JDO!AD$109)/BQ$259*BQ$5</f>
        <v>1.0844095845181244E-3</v>
      </c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7"/>
      <c r="CN85" s="167"/>
      <c r="CO85" s="167"/>
      <c r="CP85" s="167"/>
      <c r="CQ85" s="167"/>
      <c r="CR85" s="167"/>
      <c r="CS85" s="167"/>
      <c r="CT85" s="167">
        <f t="shared" ref="CT85:DG85" si="369">CT396/CT259*CT$5</f>
        <v>4.7701149425287354E-3</v>
      </c>
      <c r="CU85" s="167">
        <f t="shared" si="369"/>
        <v>5.581270544039713E-4</v>
      </c>
      <c r="CV85" s="167">
        <f t="shared" si="369"/>
        <v>5.0838840874428064E-4</v>
      </c>
      <c r="CW85" s="167">
        <f t="shared" si="369"/>
        <v>9.8461538461538456E-4</v>
      </c>
      <c r="CX85" s="167">
        <f t="shared" si="369"/>
        <v>5.6940899273512661E-4</v>
      </c>
      <c r="CY85" s="167">
        <f t="shared" ref="CY85" si="370">CY396/CY259*CY$5</f>
        <v>8.8218554354012519E-4</v>
      </c>
      <c r="CZ85" s="174">
        <f t="shared" si="369"/>
        <v>1.0226225548266383E-3</v>
      </c>
      <c r="DA85" s="166">
        <f t="shared" si="369"/>
        <v>1.1625737356414276E-3</v>
      </c>
      <c r="DB85" s="166">
        <f t="shared" si="369"/>
        <v>1.1686802677374148E-3</v>
      </c>
      <c r="DC85" s="166">
        <f t="shared" si="369"/>
        <v>1.1848121162751982E-3</v>
      </c>
      <c r="DD85" s="166">
        <f t="shared" si="369"/>
        <v>1.2042828694658685E-3</v>
      </c>
      <c r="DE85" s="166">
        <f t="shared" si="369"/>
        <v>1.2392573898122436E-3</v>
      </c>
      <c r="DF85" s="166">
        <f t="shared" si="369"/>
        <v>1.2892694816639917E-3</v>
      </c>
      <c r="DG85" s="166">
        <f t="shared" si="369"/>
        <v>1.2436239322680159E-3</v>
      </c>
      <c r="DH85" s="166">
        <f t="shared" ref="DH85:DI85" si="371">DH396/DH259*DH$5</f>
        <v>1.1702154384395649E-3</v>
      </c>
      <c r="DI85" s="166">
        <f t="shared" si="371"/>
        <v>1.1010555457557983E-3</v>
      </c>
    </row>
    <row r="86" spans="1:113" ht="12" hidden="1" outlineLevel="2">
      <c r="A86" s="1" t="s">
        <v>698</v>
      </c>
      <c r="B86" s="19" t="s">
        <v>532</v>
      </c>
      <c r="C86" s="601"/>
      <c r="D86" s="601"/>
      <c r="E86" s="601"/>
      <c r="F86" s="601"/>
      <c r="G86" s="601"/>
      <c r="H86" s="601"/>
      <c r="I86" s="601"/>
      <c r="J86" s="601"/>
      <c r="K86" s="601"/>
      <c r="L86" s="601"/>
      <c r="M86" s="601"/>
      <c r="N86" s="601"/>
      <c r="O86" s="601"/>
      <c r="P86" s="601"/>
      <c r="Q86" s="601"/>
      <c r="R86" s="601"/>
      <c r="S86" s="601"/>
      <c r="T86" s="416"/>
      <c r="U86" s="601"/>
      <c r="V86" s="601"/>
      <c r="W86" s="601"/>
      <c r="X86" s="601"/>
      <c r="Y86" s="416"/>
      <c r="Z86" s="416"/>
      <c r="AA86" s="416"/>
      <c r="AB86" s="416"/>
      <c r="AC86" s="416"/>
      <c r="AD86" s="416"/>
      <c r="AE86" s="416"/>
      <c r="AF86" s="416"/>
      <c r="AG86" s="416"/>
      <c r="AH86" s="416"/>
      <c r="AI86" s="416"/>
      <c r="AJ86" s="416"/>
      <c r="AK86" s="416"/>
      <c r="AL86" s="416"/>
      <c r="AM86" s="416"/>
      <c r="AN86" s="416"/>
      <c r="AO86" s="416"/>
      <c r="AP86" s="167">
        <f t="shared" ref="AP86:AR86" si="372">AP397/(AP233+AP235)*AP$5</f>
        <v>0</v>
      </c>
      <c r="AQ86" s="167">
        <f t="shared" si="372"/>
        <v>0</v>
      </c>
      <c r="AR86" s="167">
        <f t="shared" si="372"/>
        <v>0</v>
      </c>
      <c r="AS86" s="167">
        <f t="shared" ref="AS86:AT86" si="373">AS397/(AS233+AS235)*AS$5</f>
        <v>0</v>
      </c>
      <c r="AT86" s="167">
        <f t="shared" si="373"/>
        <v>0</v>
      </c>
      <c r="AU86" s="167">
        <f t="shared" ref="AU86:AV86" si="374">AU397/(AU233+AU235)*AU$5</f>
        <v>0</v>
      </c>
      <c r="AV86" s="167">
        <f t="shared" si="374"/>
        <v>0</v>
      </c>
      <c r="AW86" s="167">
        <f t="shared" ref="AW86:AX86" si="375">AW397/(AW233+AW235)*AW$5</f>
        <v>0</v>
      </c>
      <c r="AX86" s="167">
        <f t="shared" si="375"/>
        <v>0</v>
      </c>
      <c r="AY86" s="167">
        <f t="shared" ref="AY86:AZ86" si="376">AY397/(AY233+AY235)*AY$5</f>
        <v>0</v>
      </c>
      <c r="AZ86" s="174">
        <f t="shared" si="376"/>
        <v>0</v>
      </c>
      <c r="BA86" s="499">
        <f t="shared" ref="BA86" si="377">AZ86</f>
        <v>0</v>
      </c>
      <c r="BB86" s="499">
        <f t="shared" ref="BB86" si="378">BA86</f>
        <v>0</v>
      </c>
      <c r="BC86" s="499">
        <f t="shared" ref="BC86" si="379">BB86</f>
        <v>0</v>
      </c>
      <c r="BD86" s="499">
        <f t="shared" ref="BD86" si="380">BC86</f>
        <v>0</v>
      </c>
      <c r="BE86" s="499">
        <f t="shared" ref="BE86" si="381">BD86</f>
        <v>0</v>
      </c>
      <c r="BF86" s="499">
        <f t="shared" ref="BF86" si="382">BE86</f>
        <v>0</v>
      </c>
      <c r="BG86" s="499">
        <f t="shared" ref="BG86" si="383">BF86</f>
        <v>0</v>
      </c>
      <c r="BH86" s="499">
        <f t="shared" ref="BH86" si="384">BG86</f>
        <v>0</v>
      </c>
      <c r="BI86" s="499">
        <f t="shared" ref="BI86" si="385">BH86</f>
        <v>0</v>
      </c>
      <c r="BJ86" s="499">
        <f t="shared" ref="BJ86" si="386">BI86</f>
        <v>0</v>
      </c>
      <c r="BK86" s="499">
        <f t="shared" ref="BK86" si="387">BJ86</f>
        <v>0</v>
      </c>
      <c r="BL86" s="499">
        <f t="shared" ref="BL86" si="388">BK86</f>
        <v>0</v>
      </c>
      <c r="BM86" s="499">
        <f t="shared" ref="BM86" si="389">BL86</f>
        <v>0</v>
      </c>
      <c r="BN86" s="499">
        <f t="shared" ref="BN86" si="390">BM86</f>
        <v>0</v>
      </c>
      <c r="BO86" s="499">
        <f t="shared" ref="BO86" si="391">BN86</f>
        <v>0</v>
      </c>
      <c r="BP86" s="499">
        <f t="shared" ref="BP86" si="392">BO86</f>
        <v>0</v>
      </c>
      <c r="BQ86" s="499">
        <f t="shared" ref="BQ86" si="393">BP86</f>
        <v>0</v>
      </c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7"/>
      <c r="CN86" s="167"/>
      <c r="CO86" s="167"/>
      <c r="CP86" s="167"/>
      <c r="CQ86" s="167"/>
      <c r="CR86" s="167"/>
      <c r="CS86" s="167"/>
      <c r="CT86" s="167">
        <f t="shared" ref="CT86:DI86" si="394">CT397/(CT233+CT235)*CT$5</f>
        <v>0</v>
      </c>
      <c r="CU86" s="167">
        <f t="shared" si="394"/>
        <v>0</v>
      </c>
      <c r="CV86" s="167">
        <f t="shared" si="394"/>
        <v>0</v>
      </c>
      <c r="CW86" s="167">
        <f t="shared" si="394"/>
        <v>0</v>
      </c>
      <c r="CX86" s="167">
        <f t="shared" si="394"/>
        <v>0</v>
      </c>
      <c r="CY86" s="167">
        <f t="shared" ref="CY86" si="395">CY397/(CY233+CY235)*CY$5</f>
        <v>0</v>
      </c>
      <c r="CZ86" s="174">
        <f t="shared" si="394"/>
        <v>0</v>
      </c>
      <c r="DA86" s="166">
        <f t="shared" si="394"/>
        <v>0</v>
      </c>
      <c r="DB86" s="166">
        <f t="shared" si="394"/>
        <v>0</v>
      </c>
      <c r="DC86" s="166">
        <f t="shared" si="394"/>
        <v>0</v>
      </c>
      <c r="DD86" s="166">
        <f t="shared" si="394"/>
        <v>0</v>
      </c>
      <c r="DE86" s="166">
        <f t="shared" si="394"/>
        <v>0</v>
      </c>
      <c r="DF86" s="166">
        <f t="shared" si="394"/>
        <v>0</v>
      </c>
      <c r="DG86" s="166">
        <f t="shared" si="394"/>
        <v>0</v>
      </c>
      <c r="DH86" s="166">
        <f t="shared" si="394"/>
        <v>0</v>
      </c>
      <c r="DI86" s="166">
        <f t="shared" si="394"/>
        <v>0</v>
      </c>
    </row>
    <row r="87" spans="1:113" ht="12" hidden="1" outlineLevel="2">
      <c r="A87" s="1" t="s">
        <v>699</v>
      </c>
      <c r="B87" s="19" t="s">
        <v>647</v>
      </c>
      <c r="C87" s="601"/>
      <c r="D87" s="601"/>
      <c r="E87" s="601"/>
      <c r="F87" s="601"/>
      <c r="G87" s="601"/>
      <c r="H87" s="601"/>
      <c r="I87" s="601"/>
      <c r="J87" s="601"/>
      <c r="K87" s="601"/>
      <c r="L87" s="601"/>
      <c r="M87" s="601"/>
      <c r="N87" s="601"/>
      <c r="O87" s="601"/>
      <c r="P87" s="601"/>
      <c r="Q87" s="601"/>
      <c r="R87" s="601"/>
      <c r="S87" s="601"/>
      <c r="T87" s="416"/>
      <c r="U87" s="601"/>
      <c r="V87" s="601"/>
      <c r="W87" s="601"/>
      <c r="X87" s="601"/>
      <c r="Y87" s="416"/>
      <c r="Z87" s="416"/>
      <c r="AA87" s="416"/>
      <c r="AB87" s="416"/>
      <c r="AC87" s="416"/>
      <c r="AD87" s="416"/>
      <c r="AE87" s="416"/>
      <c r="AF87" s="416"/>
      <c r="AG87" s="416"/>
      <c r="AH87" s="416"/>
      <c r="AI87" s="416"/>
      <c r="AJ87" s="416"/>
      <c r="AK87" s="416"/>
      <c r="AL87" s="416"/>
      <c r="AM87" s="416"/>
      <c r="AN87" s="416"/>
      <c r="AO87" s="416"/>
      <c r="AP87" s="167" t="str">
        <f t="shared" ref="AP87:AR87" si="396">IF(ISERROR(AP398/AP267*AP$5),"n.a.",AP398/AP267*AP$5)</f>
        <v>n.a.</v>
      </c>
      <c r="AQ87" s="167" t="str">
        <f t="shared" si="396"/>
        <v>n.a.</v>
      </c>
      <c r="AR87" s="167" t="str">
        <f t="shared" si="396"/>
        <v>n.a.</v>
      </c>
      <c r="AS87" s="167" t="str">
        <f t="shared" ref="AS87:AT87" si="397">IF(ISERROR(AS398/AS267*AS$5),"n.a.",AS398/AS267*AS$5)</f>
        <v>n.a.</v>
      </c>
      <c r="AT87" s="167" t="str">
        <f t="shared" si="397"/>
        <v>n.a.</v>
      </c>
      <c r="AU87" s="167" t="str">
        <f t="shared" ref="AU87:AV87" si="398">IF(ISERROR(AU398/AU267*AU$5),"n.a.",AU398/AU267*AU$5)</f>
        <v>n.a.</v>
      </c>
      <c r="AV87" s="167" t="str">
        <f t="shared" si="398"/>
        <v>n.a.</v>
      </c>
      <c r="AW87" s="167" t="str">
        <f t="shared" ref="AW87:AX87" si="399">IF(ISERROR(AW398/AW267*AW$5),"n.a.",AW398/AW267*AW$5)</f>
        <v>n.a.</v>
      </c>
      <c r="AX87" s="167" t="str">
        <f t="shared" si="399"/>
        <v>n.a.</v>
      </c>
      <c r="AY87" s="167" t="str">
        <f t="shared" ref="AY87:AZ87" si="400">IF(ISERROR(AY398/AY267*AY$5),"n.a.",AY398/AY267*AY$5)</f>
        <v>n.a.</v>
      </c>
      <c r="AZ87" s="174" t="str">
        <f t="shared" si="400"/>
        <v>n.a.</v>
      </c>
      <c r="BA87" s="499">
        <v>2</v>
      </c>
      <c r="BB87" s="499">
        <v>3</v>
      </c>
      <c r="BC87" s="499">
        <v>4</v>
      </c>
      <c r="BD87" s="499">
        <v>5</v>
      </c>
      <c r="BE87" s="499">
        <v>6</v>
      </c>
      <c r="BF87" s="499">
        <v>7</v>
      </c>
      <c r="BG87" s="499">
        <v>8</v>
      </c>
      <c r="BH87" s="499">
        <v>9</v>
      </c>
      <c r="BI87" s="499">
        <v>10</v>
      </c>
      <c r="BJ87" s="499">
        <v>11</v>
      </c>
      <c r="BK87" s="499">
        <v>12</v>
      </c>
      <c r="BL87" s="499">
        <v>13</v>
      </c>
      <c r="BM87" s="499">
        <v>14</v>
      </c>
      <c r="BN87" s="499">
        <v>15</v>
      </c>
      <c r="BO87" s="499">
        <v>16</v>
      </c>
      <c r="BP87" s="499">
        <v>17</v>
      </c>
      <c r="BQ87" s="499">
        <v>18</v>
      </c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7"/>
      <c r="CN87" s="167"/>
      <c r="CO87" s="167"/>
      <c r="CP87" s="167"/>
      <c r="CQ87" s="167"/>
      <c r="CR87" s="167"/>
      <c r="CS87" s="167"/>
      <c r="CT87" s="167" t="str">
        <f>IF(ISERROR(CT398/CT267*CT$5),"n.a.",CT398/CT267*CT$5)</f>
        <v>n.a.</v>
      </c>
      <c r="CU87" s="167" t="str">
        <f t="shared" ref="CU87:CV87" si="401">IF(ISERROR(CU398/CU267*CU$5),"n.a.",CU398/CU267*CU$5)</f>
        <v>n.a.</v>
      </c>
      <c r="CV87" s="167" t="str">
        <f t="shared" si="401"/>
        <v>n.a.</v>
      </c>
      <c r="CW87" s="167" t="str">
        <f t="shared" ref="CW87:DF87" si="402">IF(ISERROR(CW398/CW267*CW$5),"n.a.",CW398/CW267*CW$5)</f>
        <v>n.a.</v>
      </c>
      <c r="CX87" s="167" t="str">
        <f t="shared" si="402"/>
        <v>n.a.</v>
      </c>
      <c r="CY87" s="167" t="str">
        <f t="shared" ref="CY87" si="403">IF(ISERROR(CY398/CY267*CY$5),"n.a.",CY398/CY267*CY$5)</f>
        <v>n.a.</v>
      </c>
      <c r="CZ87" s="174" t="str">
        <f t="shared" si="402"/>
        <v>n.a.</v>
      </c>
      <c r="DA87" s="167" t="str">
        <f t="shared" si="402"/>
        <v>n.a.</v>
      </c>
      <c r="DB87" s="167" t="str">
        <f t="shared" si="402"/>
        <v>n.a.</v>
      </c>
      <c r="DC87" s="167" t="str">
        <f t="shared" si="402"/>
        <v>n.a.</v>
      </c>
      <c r="DD87" s="167" t="str">
        <f t="shared" si="402"/>
        <v>n.a.</v>
      </c>
      <c r="DE87" s="167" t="str">
        <f t="shared" si="402"/>
        <v>n.a.</v>
      </c>
      <c r="DF87" s="167" t="str">
        <f t="shared" si="402"/>
        <v>n.a.</v>
      </c>
      <c r="DG87" s="167" t="str">
        <f>IF(ISERROR(DG398/DG267*#REF!),"n.a.",DG398/DG267*#REF!)</f>
        <v>n.a.</v>
      </c>
      <c r="DH87" s="167" t="str">
        <f>IF(ISERROR(DH398/DH267*#REF!),"n.a.",DH398/DH267*#REF!)</f>
        <v>n.a.</v>
      </c>
      <c r="DI87" s="167" t="str">
        <f>IF(ISERROR(DI398/DI267*DJ$5),"n.a.",DI398/DI267*DJ$5)</f>
        <v>n.a.</v>
      </c>
    </row>
    <row r="88" spans="1:113" ht="12" hidden="1" outlineLevel="2">
      <c r="A88" s="1" t="s">
        <v>700</v>
      </c>
      <c r="B88" s="19" t="s">
        <v>382</v>
      </c>
      <c r="C88" s="601"/>
      <c r="D88" s="601"/>
      <c r="E88" s="601"/>
      <c r="F88" s="601"/>
      <c r="G88" s="601"/>
      <c r="H88" s="601"/>
      <c r="I88" s="601"/>
      <c r="J88" s="601"/>
      <c r="K88" s="601"/>
      <c r="L88" s="601"/>
      <c r="M88" s="601"/>
      <c r="N88" s="601"/>
      <c r="O88" s="601"/>
      <c r="P88" s="601"/>
      <c r="Q88" s="601"/>
      <c r="R88" s="601"/>
      <c r="S88" s="601"/>
      <c r="T88" s="416"/>
      <c r="U88" s="601"/>
      <c r="V88" s="601"/>
      <c r="W88" s="601"/>
      <c r="X88" s="601"/>
      <c r="Y88" s="416"/>
      <c r="Z88" s="416"/>
      <c r="AA88" s="416"/>
      <c r="AB88" s="416"/>
      <c r="AC88" s="416"/>
      <c r="AD88" s="416"/>
      <c r="AE88" s="416"/>
      <c r="AF88" s="416"/>
      <c r="AG88" s="416"/>
      <c r="AH88" s="416"/>
      <c r="AI88" s="416"/>
      <c r="AJ88" s="416"/>
      <c r="AK88" s="416"/>
      <c r="AL88" s="416"/>
      <c r="AM88" s="416"/>
      <c r="AN88" s="416"/>
      <c r="AO88" s="416"/>
      <c r="AP88" s="167" t="str">
        <f t="shared" ref="AP88:AR88" si="404">IF(ISERROR(AP399*AP$5/AP265),"n.a.",AP399*AP$5/AP265)</f>
        <v>n.a.</v>
      </c>
      <c r="AQ88" s="167" t="str">
        <f t="shared" si="404"/>
        <v>n.a.</v>
      </c>
      <c r="AR88" s="167" t="str">
        <f t="shared" si="404"/>
        <v>n.a.</v>
      </c>
      <c r="AS88" s="167" t="str">
        <f t="shared" ref="AS88:AT88" si="405">IF(ISERROR(AS399*AS$5/AS265),"n.a.",AS399*AS$5/AS265)</f>
        <v>n.a.</v>
      </c>
      <c r="AT88" s="167" t="str">
        <f t="shared" si="405"/>
        <v>n.a.</v>
      </c>
      <c r="AU88" s="167" t="str">
        <f t="shared" ref="AU88:AV88" si="406">IF(ISERROR(AU399*AU$5/AU265),"n.a.",AU399*AU$5/AU265)</f>
        <v>n.a.</v>
      </c>
      <c r="AV88" s="167" t="str">
        <f t="shared" si="406"/>
        <v>n.a.</v>
      </c>
      <c r="AW88" s="167" t="str">
        <f t="shared" ref="AW88:AX88" si="407">IF(ISERROR(AW399*AW$5/AW265),"n.a.",AW399*AW$5/AW265)</f>
        <v>n.a.</v>
      </c>
      <c r="AX88" s="167" t="str">
        <f t="shared" si="407"/>
        <v>n.a.</v>
      </c>
      <c r="AY88" s="167" t="str">
        <f t="shared" ref="AY88:AZ88" si="408">IF(ISERROR(AY399*AY$5/AY265),"n.a.",AY399*AY$5/AY265)</f>
        <v>n.a.</v>
      </c>
      <c r="AZ88" s="174" t="str">
        <f t="shared" si="408"/>
        <v>n.a.</v>
      </c>
      <c r="BA88" s="499" t="str">
        <f t="shared" ref="BA88" si="409">AZ88</f>
        <v>n.a.</v>
      </c>
      <c r="BB88" s="499" t="str">
        <f t="shared" ref="BB88" si="410">BA88</f>
        <v>n.a.</v>
      </c>
      <c r="BC88" s="499" t="str">
        <f t="shared" ref="BC88" si="411">BB88</f>
        <v>n.a.</v>
      </c>
      <c r="BD88" s="499" t="str">
        <f t="shared" ref="BD88" si="412">BC88</f>
        <v>n.a.</v>
      </c>
      <c r="BE88" s="499" t="str">
        <f t="shared" ref="BE88" si="413">BD88</f>
        <v>n.a.</v>
      </c>
      <c r="BF88" s="499" t="str">
        <f t="shared" ref="BF88" si="414">BE88</f>
        <v>n.a.</v>
      </c>
      <c r="BG88" s="499" t="str">
        <f t="shared" ref="BG88" si="415">BF88</f>
        <v>n.a.</v>
      </c>
      <c r="BH88" s="499" t="str">
        <f t="shared" ref="BH88" si="416">BG88</f>
        <v>n.a.</v>
      </c>
      <c r="BI88" s="499" t="str">
        <f t="shared" ref="BI88" si="417">BH88</f>
        <v>n.a.</v>
      </c>
      <c r="BJ88" s="499" t="str">
        <f t="shared" ref="BJ88" si="418">BI88</f>
        <v>n.a.</v>
      </c>
      <c r="BK88" s="499" t="str">
        <f t="shared" ref="BK88" si="419">BJ88</f>
        <v>n.a.</v>
      </c>
      <c r="BL88" s="499" t="str">
        <f t="shared" ref="BL88" si="420">BK88</f>
        <v>n.a.</v>
      </c>
      <c r="BM88" s="499" t="str">
        <f t="shared" ref="BM88" si="421">BL88</f>
        <v>n.a.</v>
      </c>
      <c r="BN88" s="499" t="str">
        <f t="shared" ref="BN88" si="422">BM88</f>
        <v>n.a.</v>
      </c>
      <c r="BO88" s="499" t="str">
        <f t="shared" ref="BO88" si="423">BN88</f>
        <v>n.a.</v>
      </c>
      <c r="BP88" s="499" t="str">
        <f t="shared" ref="BP88" si="424">BO88</f>
        <v>n.a.</v>
      </c>
      <c r="BQ88" s="499" t="str">
        <f t="shared" ref="BQ88" si="425">BP88</f>
        <v>n.a.</v>
      </c>
      <c r="BR88" s="166"/>
      <c r="BS88" s="166"/>
      <c r="BT88" s="166"/>
      <c r="BU88" s="166"/>
      <c r="BV88" s="166"/>
      <c r="BW88" s="166"/>
      <c r="BX88" s="166"/>
      <c r="BY88" s="166"/>
      <c r="BZ88" s="166"/>
      <c r="CA88" s="166"/>
      <c r="CB88" s="166"/>
      <c r="CC88" s="166"/>
      <c r="CD88" s="166"/>
      <c r="CE88" s="166"/>
      <c r="CF88" s="166"/>
      <c r="CG88" s="166"/>
      <c r="CH88" s="166"/>
      <c r="CI88" s="166"/>
      <c r="CJ88" s="166"/>
      <c r="CK88" s="166"/>
      <c r="CL88" s="166"/>
      <c r="CM88" s="167"/>
      <c r="CN88" s="167"/>
      <c r="CO88" s="167"/>
      <c r="CP88" s="167"/>
      <c r="CQ88" s="167"/>
      <c r="CR88" s="167"/>
      <c r="CS88" s="167"/>
      <c r="CT88" s="167" t="str">
        <f t="shared" ref="CT88:CV88" si="426">IF(ISERROR(CT399*CT$5/CT265),"n.a.",CT399*CT$5/CT265)</f>
        <v>n.a.</v>
      </c>
      <c r="CU88" s="167" t="str">
        <f t="shared" si="426"/>
        <v>n.a.</v>
      </c>
      <c r="CV88" s="167" t="str">
        <f t="shared" si="426"/>
        <v>n.a.</v>
      </c>
      <c r="CW88" s="167" t="str">
        <f t="shared" ref="CW88:DF88" si="427">IF(ISERROR(CW399*CW$5/CW265),"n.a.",CW399*CW$5/CW265)</f>
        <v>n.a.</v>
      </c>
      <c r="CX88" s="167" t="str">
        <f t="shared" si="427"/>
        <v>n.a.</v>
      </c>
      <c r="CY88" s="167" t="str">
        <f t="shared" ref="CY88" si="428">IF(ISERROR(CY399*CY$5/CY265),"n.a.",CY399*CY$5/CY265)</f>
        <v>n.a.</v>
      </c>
      <c r="CZ88" s="174" t="str">
        <f t="shared" si="427"/>
        <v>n.a.</v>
      </c>
      <c r="DA88" s="167" t="str">
        <f t="shared" si="427"/>
        <v>n.a.</v>
      </c>
      <c r="DB88" s="167" t="str">
        <f t="shared" si="427"/>
        <v>n.a.</v>
      </c>
      <c r="DC88" s="167" t="str">
        <f t="shared" si="427"/>
        <v>n.a.</v>
      </c>
      <c r="DD88" s="167" t="str">
        <f t="shared" si="427"/>
        <v>n.a.</v>
      </c>
      <c r="DE88" s="167" t="str">
        <f t="shared" si="427"/>
        <v>n.a.</v>
      </c>
      <c r="DF88" s="167" t="str">
        <f t="shared" si="427"/>
        <v>n.a.</v>
      </c>
      <c r="DG88" s="167" t="str">
        <f>IF(ISERROR(DG399*#REF!/DG265),"n.a.",DG399*#REF!/DG265)</f>
        <v>n.a.</v>
      </c>
      <c r="DH88" s="167" t="str">
        <f>IF(ISERROR(DH399*#REF!/DH265),"n.a.",DH399*#REF!/DH265)</f>
        <v>n.a.</v>
      </c>
      <c r="DI88" s="167" t="str">
        <f>IF(ISERROR(DI399*DJ$5/DI265),"n.a.",DI399*DJ$5/DI265)</f>
        <v>n.a.</v>
      </c>
    </row>
    <row r="89" spans="1:113" ht="12" hidden="1" outlineLevel="1" collapsed="1">
      <c r="A89" s="1" t="s">
        <v>701</v>
      </c>
      <c r="B89" s="19" t="s">
        <v>319</v>
      </c>
      <c r="C89" s="601"/>
      <c r="D89" s="601"/>
      <c r="E89" s="601"/>
      <c r="F89" s="601"/>
      <c r="G89" s="601"/>
      <c r="H89" s="601"/>
      <c r="I89" s="601"/>
      <c r="J89" s="601"/>
      <c r="K89" s="601"/>
      <c r="L89" s="601"/>
      <c r="M89" s="601"/>
      <c r="N89" s="601"/>
      <c r="O89" s="601"/>
      <c r="P89" s="601"/>
      <c r="Q89" s="601"/>
      <c r="R89" s="601"/>
      <c r="S89" s="601"/>
      <c r="T89" s="416"/>
      <c r="U89" s="601"/>
      <c r="V89" s="601"/>
      <c r="W89" s="601"/>
      <c r="X89" s="601"/>
      <c r="Y89" s="416"/>
      <c r="Z89" s="416"/>
      <c r="AA89" s="416"/>
      <c r="AB89" s="416"/>
      <c r="AC89" s="416"/>
      <c r="AD89" s="416"/>
      <c r="AE89" s="416"/>
      <c r="AF89" s="416"/>
      <c r="AG89" s="416"/>
      <c r="AH89" s="416"/>
      <c r="AI89" s="416"/>
      <c r="AJ89" s="416"/>
      <c r="AK89" s="416"/>
      <c r="AL89" s="416"/>
      <c r="AM89" s="416"/>
      <c r="AN89" s="416"/>
      <c r="AO89" s="416"/>
      <c r="AP89" s="167">
        <f t="shared" ref="AP89:AR89" si="429">AP405/SUM(AP237,AP259)*AP$5</f>
        <v>0</v>
      </c>
      <c r="AQ89" s="167">
        <f t="shared" si="429"/>
        <v>0</v>
      </c>
      <c r="AR89" s="167">
        <f t="shared" si="429"/>
        <v>0</v>
      </c>
      <c r="AS89" s="167">
        <f t="shared" ref="AS89:AT89" si="430">AS405/SUM(AS237,AS259)*AS$5</f>
        <v>0</v>
      </c>
      <c r="AT89" s="167">
        <f t="shared" si="430"/>
        <v>1.7225561411722071E-4</v>
      </c>
      <c r="AU89" s="167">
        <f t="shared" ref="AU89:AV89" si="431">AU405/SUM(AU237,AU259)*AU$5</f>
        <v>2.2364967678026169E-4</v>
      </c>
      <c r="AV89" s="167">
        <f t="shared" si="431"/>
        <v>2.7496619268122771E-4</v>
      </c>
      <c r="AW89" s="167">
        <f t="shared" ref="AW89:AX89" si="432">AW405/SUM(AW237,AW259)*AW$5</f>
        <v>2.6427121044879018E-4</v>
      </c>
      <c r="AX89" s="167">
        <f t="shared" si="432"/>
        <v>3.486109049311456E-4</v>
      </c>
      <c r="AY89" s="167">
        <f t="shared" ref="AY89:AZ89" si="433">AY405/SUM(AY237,AY259)*AY$5</f>
        <v>2.7712013923814348E-4</v>
      </c>
      <c r="AZ89" s="174">
        <f t="shared" si="433"/>
        <v>3.4981299672744273E-4</v>
      </c>
      <c r="BA89" s="676">
        <f>[3]JDO!N$110/SUM(BA$237,BA$259)*BA$5</f>
        <v>3.3522702242862266E-4</v>
      </c>
      <c r="BB89" s="676">
        <f>[3]JDO!O$110/SUM(BB$237,BB$259)*BB$5</f>
        <v>3.1548064760610891E-4</v>
      </c>
      <c r="BC89" s="676">
        <f>[3]JDO!P$110/SUM(BC$237,BC$259)*BC$5</f>
        <v>3.0524121121781249E-4</v>
      </c>
      <c r="BD89" s="676">
        <f>[3]JDO!Q$110/SUM(BD$237,BD$259)*BD$5</f>
        <v>2.8963547518292318E-4</v>
      </c>
      <c r="BE89" s="676">
        <f>[3]JDO!R$110/SUM(BE$237,BE$259)*BE$5</f>
        <v>2.802725203364673E-4</v>
      </c>
      <c r="BF89" s="676">
        <f>[3]JDO!S$110/SUM(BF$237,BF$259)*BF$5</f>
        <v>2.6709749789802201E-4</v>
      </c>
      <c r="BG89" s="676">
        <f>[3]JDO!T$110/SUM(BG$237,BG$259)*BG$5</f>
        <v>2.6079857034703324E-4</v>
      </c>
      <c r="BH89" s="676">
        <f>[3]JDO!U$110/SUM(BH$237,BH$259)*BH$5</f>
        <v>2.5050730688838912E-4</v>
      </c>
      <c r="BI89" s="676">
        <f>[3]JDO!V$110/SUM(BI$237,BI$259)*BI$5</f>
        <v>2.4806570080682192E-4</v>
      </c>
      <c r="BJ89" s="676">
        <f>[3]JDO!W$110/SUM(BJ$237,BJ$259)*BJ$5</f>
        <v>2.4089870727893637E-4</v>
      </c>
      <c r="BK89" s="676">
        <f>[3]JDO!X$110/SUM(BK$237,BK$259)*BK$5</f>
        <v>2.4054559036648809E-4</v>
      </c>
      <c r="BL89" s="676">
        <f>[3]JDO!Y$110/SUM(BL$237,BL$259)*BL$5</f>
        <v>2.3621269180541801E-4</v>
      </c>
      <c r="BM89" s="676">
        <f>[3]JDO!Z$110/SUM(BM$237,BM$259)*BM$5</f>
        <v>2.3655589928752561E-4</v>
      </c>
      <c r="BN89" s="676">
        <f>[3]JDO!AA$110/SUM(BN$237,BN$259)*BN$5</f>
        <v>2.3357262260457269E-4</v>
      </c>
      <c r="BO89" s="676">
        <f>[3]JDO!AB$110/SUM(BO$237,BO$259)*BO$5</f>
        <v>2.3627249495695901E-4</v>
      </c>
      <c r="BP89" s="676">
        <f>[3]JDO!AC$110/SUM(BP$237,BP$259)*BP$5</f>
        <v>2.3289078581949259E-4</v>
      </c>
      <c r="BQ89" s="676">
        <f>[3]JDO!AD$110/SUM(BQ$237,BQ$259)*BQ$5</f>
        <v>2.3557670772763554E-4</v>
      </c>
      <c r="BR89" s="166"/>
      <c r="BS89" s="166"/>
      <c r="BT89" s="166"/>
      <c r="BU89" s="166"/>
      <c r="BV89" s="166"/>
      <c r="BW89" s="166"/>
      <c r="BX89" s="166"/>
      <c r="BY89" s="166"/>
      <c r="BZ89" s="166"/>
      <c r="CA89" s="166"/>
      <c r="CB89" s="166"/>
      <c r="CC89" s="166"/>
      <c r="CD89" s="166"/>
      <c r="CE89" s="166"/>
      <c r="CF89" s="166"/>
      <c r="CG89" s="166"/>
      <c r="CH89" s="166"/>
      <c r="CI89" s="166"/>
      <c r="CJ89" s="166"/>
      <c r="CK89" s="166"/>
      <c r="CL89" s="166"/>
      <c r="CM89" s="167"/>
      <c r="CN89" s="167"/>
      <c r="CO89" s="167"/>
      <c r="CP89" s="167"/>
      <c r="CQ89" s="167"/>
      <c r="CR89" s="167"/>
      <c r="CS89" s="167"/>
      <c r="CT89" s="167">
        <f t="shared" ref="CT89:DI89" si="434">CT405/SUM(CT237,CT259)*CT$5</f>
        <v>0</v>
      </c>
      <c r="CU89" s="167">
        <f t="shared" si="434"/>
        <v>0</v>
      </c>
      <c r="CV89" s="167">
        <f t="shared" si="434"/>
        <v>0</v>
      </c>
      <c r="CW89" s="167">
        <f t="shared" si="434"/>
        <v>0</v>
      </c>
      <c r="CX89" s="167">
        <f t="shared" si="434"/>
        <v>1.9995201151723591E-4</v>
      </c>
      <c r="CY89" s="167">
        <f t="shared" ref="CY89" si="435">CY405/SUM(CY237,CY259)*CY$5</f>
        <v>2.6921926413401139E-4</v>
      </c>
      <c r="CZ89" s="174">
        <f t="shared" si="434"/>
        <v>3.1212475049060108E-4</v>
      </c>
      <c r="DA89" s="166">
        <f t="shared" si="434"/>
        <v>3.4225703082179038E-4</v>
      </c>
      <c r="DB89" s="166">
        <f t="shared" si="434"/>
        <v>3.1020085263371304E-4</v>
      </c>
      <c r="DC89" s="166">
        <f t="shared" si="434"/>
        <v>2.8480793735644619E-4</v>
      </c>
      <c r="DD89" s="166">
        <f t="shared" si="434"/>
        <v>2.6386392532505565E-4</v>
      </c>
      <c r="DE89" s="166">
        <f t="shared" si="434"/>
        <v>2.4926248565879523E-4</v>
      </c>
      <c r="DF89" s="166">
        <f t="shared" si="434"/>
        <v>2.4071941011674463E-4</v>
      </c>
      <c r="DG89" s="166">
        <f t="shared" si="434"/>
        <v>2.3638670701207697E-4</v>
      </c>
      <c r="DH89" s="166">
        <f t="shared" si="434"/>
        <v>2.3493475246983252E-4</v>
      </c>
      <c r="DI89" s="166">
        <f t="shared" si="434"/>
        <v>2.3424589475438165E-4</v>
      </c>
    </row>
    <row r="90" spans="1:113" ht="12" hidden="1" outlineLevel="1">
      <c r="AA90" s="165"/>
      <c r="AB90" s="165"/>
      <c r="AC90" s="165"/>
      <c r="AD90" s="42"/>
      <c r="AE90" s="95"/>
      <c r="AF90" s="42"/>
      <c r="AG90" s="42"/>
      <c r="AH90" s="165"/>
      <c r="AI90" s="165"/>
      <c r="AJ90" s="165"/>
      <c r="AK90" s="165"/>
      <c r="AL90" s="42"/>
      <c r="AM90" s="42"/>
      <c r="AN90" s="42"/>
      <c r="AO90" s="42"/>
      <c r="BA90" s="627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5"/>
      <c r="BM90" s="165"/>
      <c r="BN90" s="165"/>
      <c r="BO90" s="165"/>
      <c r="BP90" s="165"/>
      <c r="BQ90" s="165"/>
      <c r="CU90" s="42"/>
      <c r="DB90" s="19"/>
      <c r="DC90" s="19"/>
      <c r="DD90" s="19"/>
      <c r="DE90" s="19"/>
      <c r="DF90" s="19"/>
      <c r="DG90" s="19"/>
      <c r="DH90" s="19"/>
      <c r="DI90" s="19"/>
    </row>
    <row r="91" spans="1:113" ht="12" hidden="1" outlineLevel="1">
      <c r="B91" s="24" t="s">
        <v>320</v>
      </c>
      <c r="AC91" s="394"/>
      <c r="AD91" s="394"/>
      <c r="AE91" s="394"/>
      <c r="AF91" s="394"/>
      <c r="AG91" s="42"/>
      <c r="AH91" s="555"/>
      <c r="AI91" s="555"/>
      <c r="AJ91" s="42"/>
      <c r="AK91" s="42"/>
      <c r="AL91" s="42"/>
      <c r="AM91" s="42"/>
      <c r="AN91" s="42"/>
      <c r="AO91" s="42"/>
      <c r="AP91" s="620"/>
      <c r="AQ91" s="620"/>
      <c r="AR91" s="620"/>
      <c r="AS91" s="620"/>
      <c r="AT91" s="620"/>
      <c r="AY91" s="654"/>
      <c r="AZ91" s="784"/>
      <c r="BA91" s="636"/>
      <c r="BC91" s="636"/>
      <c r="BE91" s="636"/>
      <c r="CU91" s="42"/>
      <c r="CV91" s="620"/>
      <c r="CW91" s="620"/>
      <c r="CX91" s="620"/>
      <c r="CY91" s="620"/>
      <c r="DB91" s="19"/>
      <c r="DC91" s="19"/>
      <c r="DD91" s="19"/>
      <c r="DE91" s="19"/>
      <c r="DF91" s="19"/>
      <c r="DG91" s="19"/>
      <c r="DH91" s="19"/>
      <c r="DI91" s="19"/>
    </row>
    <row r="92" spans="1:113" ht="12" hidden="1" outlineLevel="1">
      <c r="A92" s="1" t="s">
        <v>840</v>
      </c>
      <c r="B92" s="19" t="s">
        <v>2623</v>
      </c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113">
        <v>246</v>
      </c>
      <c r="AQ92" s="113">
        <f>AVERAGE([3]JDO!$C$148:$D$148)</f>
        <v>283</v>
      </c>
      <c r="AR92" s="679">
        <f>[3]JDO!E$152</f>
        <v>339.5</v>
      </c>
      <c r="AS92" s="679">
        <f>[3]JDO!F$152</f>
        <v>412</v>
      </c>
      <c r="AT92" s="679">
        <f>[3]JDO!G$152</f>
        <v>491.5</v>
      </c>
      <c r="AU92" s="679">
        <f>[3]JDO!H$152</f>
        <v>530.5</v>
      </c>
      <c r="AV92" s="679">
        <f>[3]JDO!I$152</f>
        <v>550</v>
      </c>
      <c r="AW92" s="679">
        <f>[3]JDO!J$152</f>
        <v>564</v>
      </c>
      <c r="AX92" s="679">
        <f>[3]JDO!K$152</f>
        <v>544</v>
      </c>
      <c r="AY92" s="679">
        <f>[3]JDO!L$152</f>
        <v>552</v>
      </c>
      <c r="AZ92" s="680">
        <f>[3]JDO!M$152</f>
        <v>563</v>
      </c>
      <c r="BA92" s="679">
        <f>[3]JDO!N$152</f>
        <v>583.1</v>
      </c>
      <c r="BB92" s="679">
        <f>[3]JDO!O$152</f>
        <v>605.44000000000005</v>
      </c>
      <c r="BC92" s="679">
        <f>[3]JDO!P$152</f>
        <v>624.26</v>
      </c>
      <c r="BD92" s="679">
        <f>[3]JDO!Q$152</f>
        <v>641.41000000000008</v>
      </c>
      <c r="BE92" s="679">
        <f>[3]JDO!R$152</f>
        <v>656.6400000000001</v>
      </c>
      <c r="BF92" s="679">
        <f>[3]JDO!S$152</f>
        <v>673.74</v>
      </c>
      <c r="BG92" s="679">
        <f>[3]JDO!T$152</f>
        <v>688.82000000000016</v>
      </c>
      <c r="BH92" s="679">
        <f>[3]JDO!U$152</f>
        <v>705.87000000000012</v>
      </c>
      <c r="BI92" s="679">
        <f>[3]JDO!V$152</f>
        <v>720.80000000000018</v>
      </c>
      <c r="BJ92" s="679">
        <f>[3]JDO!W$152</f>
        <v>737.80000000000018</v>
      </c>
      <c r="BK92" s="679">
        <f>[3]JDO!X$152</f>
        <v>749.19000000000017</v>
      </c>
      <c r="BL92" s="679">
        <f>[3]JDO!Y$152</f>
        <v>762.75000000000023</v>
      </c>
      <c r="BM92" s="679">
        <f>[3]JDO!Z$152</f>
        <v>770.64000000000033</v>
      </c>
      <c r="BN92" s="679">
        <f>[3]JDO!AA$152</f>
        <v>780.78000000000031</v>
      </c>
      <c r="BO92" s="679">
        <f>[3]JDO!AB$152</f>
        <v>788.58000000000038</v>
      </c>
      <c r="BP92" s="679">
        <f>[3]JDO!AC$152</f>
        <v>802.06000000000029</v>
      </c>
      <c r="BQ92" s="679">
        <f>[3]JDO!AD$152</f>
        <v>813.12000000000035</v>
      </c>
      <c r="BR92" s="42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113">
        <v>105</v>
      </c>
      <c r="CU92" s="113">
        <v>197</v>
      </c>
      <c r="CV92" s="42">
        <f>AQ92</f>
        <v>283</v>
      </c>
      <c r="CW92" s="42">
        <f>AS92</f>
        <v>412</v>
      </c>
      <c r="CX92" s="42">
        <f>AU92</f>
        <v>530.5</v>
      </c>
      <c r="CY92" s="42">
        <f>AW92</f>
        <v>564</v>
      </c>
      <c r="CZ92" s="43">
        <f>AY92</f>
        <v>552</v>
      </c>
      <c r="DA92" s="42">
        <f>BA92</f>
        <v>583.1</v>
      </c>
      <c r="DB92" s="42">
        <f>BC92</f>
        <v>624.26</v>
      </c>
      <c r="DC92" s="42">
        <f>BE92</f>
        <v>656.6400000000001</v>
      </c>
      <c r="DD92" s="42">
        <f>BG92</f>
        <v>688.82000000000016</v>
      </c>
      <c r="DE92" s="42">
        <f>BI92</f>
        <v>720.80000000000018</v>
      </c>
      <c r="DF92" s="42">
        <f>BK92</f>
        <v>749.19000000000017</v>
      </c>
      <c r="DG92" s="42">
        <f>BM92</f>
        <v>770.64000000000033</v>
      </c>
      <c r="DH92" s="42">
        <f>BO92</f>
        <v>788.58000000000038</v>
      </c>
      <c r="DI92" s="42">
        <f>BQ92</f>
        <v>813.12000000000035</v>
      </c>
    </row>
    <row r="93" spans="1:113" ht="12" hidden="1" outlineLevel="1">
      <c r="A93" s="1" t="s">
        <v>841</v>
      </c>
      <c r="B93" s="19" t="s">
        <v>976</v>
      </c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>
        <f t="shared" ref="AP93" si="436">-AP432/AVERAGE(AO92:AP92)*1000000*AP$5</f>
        <v>183048.33863556027</v>
      </c>
      <c r="AQ93" s="42">
        <f t="shared" ref="AQ93" si="437">-AQ432/AVERAGE(AP92:AQ92)*1000000*AQ$5</f>
        <v>215762.04451221423</v>
      </c>
      <c r="AR93" s="42">
        <f t="shared" ref="AR93:AZ93" si="438">-AR432/AVERAGE(AQ92:AR92)*1000000*AR$5</f>
        <v>234538.15261044173</v>
      </c>
      <c r="AS93" s="42">
        <f t="shared" si="438"/>
        <v>229162.30154791707</v>
      </c>
      <c r="AT93" s="42">
        <f t="shared" si="438"/>
        <v>247220.95233512184</v>
      </c>
      <c r="AU93" s="42">
        <f t="shared" si="438"/>
        <v>248618.78453038674</v>
      </c>
      <c r="AV93" s="42">
        <f t="shared" si="438"/>
        <v>238585.19606462386</v>
      </c>
      <c r="AW93" s="42">
        <f t="shared" si="438"/>
        <v>232509.32191686233</v>
      </c>
      <c r="AX93" s="42">
        <f t="shared" si="438"/>
        <v>254228.14314864227</v>
      </c>
      <c r="AY93" s="42">
        <f t="shared" si="438"/>
        <v>227416.62297858609</v>
      </c>
      <c r="AZ93" s="43">
        <f t="shared" si="438"/>
        <v>255478.65080912461</v>
      </c>
      <c r="BA93" s="679">
        <f>[3]JDO!N$134*1000000/AVERAGE(AZ92:BA92)*BA$5</f>
        <v>261867.87578098418</v>
      </c>
      <c r="BB93" s="679">
        <f>[3]JDO!O$134*1000000/AVERAGE(BA92:BB92)*BB$5</f>
        <v>266534.40024265827</v>
      </c>
      <c r="BC93" s="679">
        <f>[3]JDO!P$134*1000000/AVERAGE(BB92:BC92)*BC$5</f>
        <v>270320.38540593564</v>
      </c>
      <c r="BD93" s="679">
        <f>[3]JDO!Q$134*1000000/AVERAGE(BC92:BD92)*BD$5</f>
        <v>274477.61742429005</v>
      </c>
      <c r="BE93" s="679">
        <f>[3]JDO!R$134*1000000/AVERAGE(BD92:BE92)*BE$5</f>
        <v>278841.2227301008</v>
      </c>
      <c r="BF93" s="679">
        <f>[3]JDO!S$134*1000000/AVERAGE(BE92:BF92)*BF$5</f>
        <v>283938.45708882785</v>
      </c>
      <c r="BG93" s="679">
        <f>[3]JDO!T$134*1000000/AVERAGE(BF92:BG92)*BG$5</f>
        <v>288469.58203691349</v>
      </c>
      <c r="BH93" s="679">
        <f>[3]JDO!U$134*1000000/AVERAGE(BG92:BH92)*BH$5</f>
        <v>293758.7400560673</v>
      </c>
      <c r="BI93" s="679">
        <f>[3]JDO!V$134*1000000/AVERAGE(BH92:BI92)*BI$5</f>
        <v>298462.90088074206</v>
      </c>
      <c r="BJ93" s="679">
        <f>[3]JDO!W$134*1000000/AVERAGE(BI92:BJ92)*BJ$5</f>
        <v>303950.41243832104</v>
      </c>
      <c r="BK93" s="679">
        <f>[3]JDO!X$134*1000000/AVERAGE(BJ92:BK92)*BK$5</f>
        <v>308143.26111459022</v>
      </c>
      <c r="BL93" s="679">
        <f>[3]JDO!Y$134*1000000/AVERAGE(BK92:BL92)*BL$5</f>
        <v>313852.04427153058</v>
      </c>
      <c r="BM93" s="679">
        <f>[3]JDO!Z$134*1000000/AVERAGE(BL92:BM92)*BM$5</f>
        <v>318242.27078378393</v>
      </c>
      <c r="BN93" s="679">
        <f>[3]JDO!AA$134*1000000/AVERAGE(BM92:BN92)*BN$5</f>
        <v>324171.01060159813</v>
      </c>
      <c r="BO93" s="679">
        <f>[3]JDO!AB$134*1000000/AVERAGE(BN92:BO92)*BO$5</f>
        <v>329452.62066310755</v>
      </c>
      <c r="BP93" s="679">
        <f>[3]JDO!AC$134*1000000/AVERAGE(BO92:BP92)*BP$5</f>
        <v>336300.94491146115</v>
      </c>
      <c r="BQ93" s="679">
        <f>[3]JDO!AD$134*1000000/AVERAGE(BP92:BQ92)*BQ$5</f>
        <v>341770.90946767805</v>
      </c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>
        <f t="shared" ref="CT93:CV93" si="439">-CT432/AVERAGE(CS92:CT92)*1000000*CT$5</f>
        <v>156523.8095238095</v>
      </c>
      <c r="CU93" s="42">
        <f t="shared" si="439"/>
        <v>240596.0264900662</v>
      </c>
      <c r="CV93" s="42">
        <f t="shared" si="439"/>
        <v>212500</v>
      </c>
      <c r="CW93" s="42">
        <f t="shared" ref="CW93:DG93" si="440">-CW432/AVERAGE(CW92:CW92)*1000000*CW$5</f>
        <v>192961.16504854368</v>
      </c>
      <c r="CX93" s="42">
        <f t="shared" si="440"/>
        <v>224882.18661639962</v>
      </c>
      <c r="CY93" s="42">
        <f t="shared" si="440"/>
        <v>229078.01418439712</v>
      </c>
      <c r="CZ93" s="43">
        <f t="shared" si="440"/>
        <v>240579.71014492755</v>
      </c>
      <c r="DA93" s="42">
        <f t="shared" si="440"/>
        <v>250754.57770653791</v>
      </c>
      <c r="DB93" s="42">
        <f t="shared" si="440"/>
        <v>259936.30043033345</v>
      </c>
      <c r="DC93" s="42">
        <f t="shared" si="440"/>
        <v>270037.01319556951</v>
      </c>
      <c r="DD93" s="42">
        <f t="shared" si="440"/>
        <v>279709.25417308224</v>
      </c>
      <c r="DE93" s="42">
        <f t="shared" si="440"/>
        <v>289739.89610055264</v>
      </c>
      <c r="DF93" s="42">
        <f t="shared" si="440"/>
        <v>300800.14768661099</v>
      </c>
      <c r="DG93" s="42">
        <f t="shared" si="440"/>
        <v>312221.46570958459</v>
      </c>
      <c r="DH93" s="42">
        <f t="shared" ref="DH93:DI93" si="441">-DH432/AVERAGE(DH92:DH92)*1000000*DH$5</f>
        <v>323315.08143036952</v>
      </c>
      <c r="DI93" s="42">
        <f t="shared" si="441"/>
        <v>334149.57966716494</v>
      </c>
    </row>
    <row r="94" spans="1:113" ht="12" hidden="1" outlineLevel="1">
      <c r="A94" s="1" t="s">
        <v>977</v>
      </c>
      <c r="B94" s="19" t="s">
        <v>559</v>
      </c>
      <c r="C94" s="412"/>
      <c r="D94" s="412"/>
      <c r="E94" s="412"/>
      <c r="F94" s="412"/>
      <c r="G94" s="412"/>
      <c r="H94" s="412"/>
      <c r="I94" s="412"/>
      <c r="J94" s="412"/>
      <c r="K94" s="412"/>
      <c r="L94" s="412"/>
      <c r="M94" s="412"/>
      <c r="N94" s="412"/>
      <c r="O94" s="412"/>
      <c r="P94" s="412"/>
      <c r="Q94" s="412"/>
      <c r="R94" s="412"/>
      <c r="S94" s="412"/>
      <c r="T94" s="388"/>
      <c r="U94" s="412"/>
      <c r="V94" s="412"/>
      <c r="W94" s="412"/>
      <c r="X94" s="412"/>
      <c r="Y94" s="388"/>
      <c r="Z94" s="388"/>
      <c r="AA94" s="388"/>
      <c r="AB94" s="388"/>
      <c r="AC94" s="388"/>
      <c r="AD94" s="388"/>
      <c r="AE94" s="388"/>
      <c r="AF94" s="388"/>
      <c r="AG94" s="388"/>
      <c r="AH94" s="388"/>
      <c r="AI94" s="388"/>
      <c r="AJ94" s="388"/>
      <c r="AK94" s="388"/>
      <c r="AL94" s="388"/>
      <c r="AM94" s="388"/>
      <c r="AN94" s="388"/>
      <c r="AO94" s="388"/>
      <c r="AP94" s="426"/>
      <c r="AQ94" s="426"/>
      <c r="AR94" s="426"/>
      <c r="AS94" s="426"/>
      <c r="AT94" s="426"/>
      <c r="AU94" s="426"/>
      <c r="AV94" s="426"/>
      <c r="AW94" s="426"/>
      <c r="AX94" s="426"/>
      <c r="AY94" s="426"/>
      <c r="AZ94" s="392"/>
      <c r="BA94" s="387"/>
      <c r="BB94" s="387"/>
      <c r="BC94" s="387"/>
      <c r="BD94" s="387"/>
      <c r="BE94" s="387"/>
      <c r="BF94" s="387"/>
      <c r="BG94" s="387"/>
      <c r="BH94" s="387"/>
      <c r="BI94" s="387"/>
      <c r="BJ94" s="387"/>
      <c r="BK94" s="387"/>
      <c r="BL94" s="387"/>
      <c r="BM94" s="387"/>
      <c r="BN94" s="387"/>
      <c r="BO94" s="387"/>
      <c r="BP94" s="387"/>
      <c r="BQ94" s="387"/>
      <c r="BR94" s="160"/>
      <c r="BS94" s="160"/>
      <c r="BT94" s="160"/>
      <c r="BU94" s="160"/>
      <c r="BV94" s="160"/>
      <c r="BW94" s="160"/>
      <c r="BX94" s="160"/>
      <c r="BY94" s="160"/>
      <c r="BZ94" s="160"/>
      <c r="CA94" s="160"/>
      <c r="CB94" s="160"/>
      <c r="CC94" s="160"/>
      <c r="CD94" s="160"/>
      <c r="CE94" s="160"/>
      <c r="CF94" s="160"/>
      <c r="CG94" s="160"/>
      <c r="CH94" s="160"/>
      <c r="CI94" s="160"/>
      <c r="CJ94" s="160"/>
      <c r="CK94" s="160"/>
      <c r="CL94" s="160"/>
      <c r="CM94" s="172"/>
      <c r="CN94" s="172"/>
      <c r="CO94" s="172"/>
      <c r="CP94" s="172"/>
      <c r="CQ94" s="172"/>
      <c r="CR94" s="172"/>
      <c r="CS94" s="172"/>
      <c r="CT94" s="426"/>
      <c r="CU94" s="426"/>
      <c r="CV94" s="426"/>
      <c r="CW94" s="426"/>
      <c r="CX94" s="426"/>
      <c r="CY94" s="426"/>
      <c r="CZ94" s="161"/>
      <c r="DA94" s="160"/>
      <c r="DB94" s="19"/>
      <c r="DC94" s="19"/>
      <c r="DD94" s="19"/>
      <c r="DE94" s="19"/>
      <c r="DF94" s="19"/>
      <c r="DG94" s="19"/>
      <c r="DH94" s="19"/>
      <c r="DI94" s="19"/>
    </row>
    <row r="95" spans="1:113" ht="12" hidden="1" outlineLevel="1">
      <c r="A95" s="1" t="s">
        <v>978</v>
      </c>
      <c r="B95" s="19" t="s">
        <v>560</v>
      </c>
      <c r="C95" s="408"/>
      <c r="D95" s="408"/>
      <c r="E95" s="408"/>
      <c r="F95" s="408"/>
      <c r="G95" s="408"/>
      <c r="H95" s="408"/>
      <c r="I95" s="408"/>
      <c r="J95" s="408"/>
      <c r="K95" s="408"/>
      <c r="L95" s="408"/>
      <c r="M95" s="408"/>
      <c r="N95" s="408"/>
      <c r="O95" s="408"/>
      <c r="P95" s="408"/>
      <c r="Q95" s="408"/>
      <c r="R95" s="408"/>
      <c r="S95" s="408"/>
      <c r="T95" s="394"/>
      <c r="U95" s="408"/>
      <c r="V95" s="408"/>
      <c r="W95" s="408"/>
      <c r="X95" s="408"/>
      <c r="Y95" s="394"/>
      <c r="Z95" s="394"/>
      <c r="AA95" s="394"/>
      <c r="AB95" s="394"/>
      <c r="AC95" s="394"/>
      <c r="AD95" s="394"/>
      <c r="AE95" s="394"/>
      <c r="AF95" s="394"/>
      <c r="AG95" s="394"/>
      <c r="AH95" s="394"/>
      <c r="AI95" s="394"/>
      <c r="AJ95" s="394"/>
      <c r="AK95" s="394"/>
      <c r="AL95" s="394"/>
      <c r="AM95" s="394"/>
      <c r="AN95" s="394"/>
      <c r="AO95" s="394"/>
      <c r="AP95" s="427"/>
      <c r="AQ95" s="427"/>
      <c r="AR95" s="427"/>
      <c r="AS95" s="427"/>
      <c r="AT95" s="427"/>
      <c r="AU95" s="427"/>
      <c r="AV95" s="427"/>
      <c r="AW95" s="427"/>
      <c r="AX95" s="427"/>
      <c r="AY95" s="427"/>
      <c r="AZ95" s="393"/>
      <c r="BA95" s="386"/>
      <c r="BB95" s="386"/>
      <c r="BC95" s="386"/>
      <c r="BD95" s="386"/>
      <c r="BE95" s="386"/>
      <c r="BF95" s="386"/>
      <c r="BG95" s="386"/>
      <c r="BH95" s="386"/>
      <c r="BI95" s="386"/>
      <c r="BJ95" s="386"/>
      <c r="BK95" s="386"/>
      <c r="BL95" s="386"/>
      <c r="BM95" s="386"/>
      <c r="BN95" s="386"/>
      <c r="BO95" s="386"/>
      <c r="BP95" s="386"/>
      <c r="BQ95" s="386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285"/>
      <c r="CN95" s="285"/>
      <c r="CO95" s="285"/>
      <c r="CP95" s="285"/>
      <c r="CQ95" s="285"/>
      <c r="CR95" s="285"/>
      <c r="CS95" s="285"/>
      <c r="CT95" s="427"/>
      <c r="CU95" s="427"/>
      <c r="CV95" s="427"/>
      <c r="CW95" s="427"/>
      <c r="CX95" s="427"/>
      <c r="CY95" s="427"/>
      <c r="CZ95" s="286"/>
      <c r="DA95" s="162"/>
      <c r="DB95" s="19"/>
      <c r="DC95" s="19"/>
      <c r="DD95" s="19"/>
      <c r="DE95" s="19"/>
      <c r="DF95" s="19"/>
      <c r="DG95" s="19"/>
      <c r="DH95" s="19"/>
      <c r="DI95" s="19"/>
    </row>
    <row r="96" spans="1:113" ht="12" hidden="1" outlineLevel="1">
      <c r="A96" s="1" t="s">
        <v>983</v>
      </c>
      <c r="B96" s="19" t="s">
        <v>562</v>
      </c>
      <c r="C96" s="408"/>
      <c r="D96" s="408"/>
      <c r="E96" s="408"/>
      <c r="F96" s="408"/>
      <c r="G96" s="408"/>
      <c r="H96" s="408"/>
      <c r="I96" s="408"/>
      <c r="J96" s="408"/>
      <c r="K96" s="408"/>
      <c r="L96" s="408"/>
      <c r="M96" s="408"/>
      <c r="N96" s="408"/>
      <c r="O96" s="408"/>
      <c r="P96" s="394"/>
      <c r="Q96" s="394"/>
      <c r="R96" s="394"/>
      <c r="S96" s="394"/>
      <c r="T96" s="394"/>
      <c r="U96" s="394"/>
      <c r="V96" s="394"/>
      <c r="W96" s="394"/>
      <c r="X96" s="394"/>
      <c r="Y96" s="394"/>
      <c r="Z96" s="394"/>
      <c r="AA96" s="394"/>
      <c r="AB96" s="394"/>
      <c r="AC96" s="394"/>
      <c r="AD96" s="394"/>
      <c r="AE96" s="394"/>
      <c r="AF96" s="394"/>
      <c r="AG96" s="394"/>
      <c r="AH96" s="394"/>
      <c r="AI96" s="394"/>
      <c r="AJ96" s="394"/>
      <c r="AK96" s="394"/>
      <c r="AL96" s="394"/>
      <c r="AM96" s="394"/>
      <c r="AN96" s="394"/>
      <c r="AO96" s="394"/>
      <c r="AP96" s="285" t="str">
        <f t="shared" ref="AP96" si="442">IF(ISERROR(-AP102/SUM(AO432:AO435,AO440,AO442)),"n.a.",-AP102/SUM(AO432:AO435,AO440,AO442))</f>
        <v>n.a.</v>
      </c>
      <c r="AQ96" s="285">
        <f t="shared" ref="AQ96" si="443">IF(ISERROR(-AQ102/SUM(AP432:AP435,AP440,AP442)),"n.a.",-AQ102/SUM(AP432:AP435,AP440,AP442))</f>
        <v>0.16402116402116404</v>
      </c>
      <c r="AR96" s="285">
        <f t="shared" ref="AR96:AZ96" si="444">IF(ISERROR(-AR102/SUM(AQ432:AQ435,AQ440,AQ442)),"n.a.",-AR102/SUM(AQ432:AQ435,AQ440,AQ442))</f>
        <v>5.6795131845841784E-2</v>
      </c>
      <c r="AS96" s="285">
        <f t="shared" si="444"/>
        <v>0.19902120717781402</v>
      </c>
      <c r="AT96" s="285">
        <f t="shared" si="444"/>
        <v>0.12729844413012728</v>
      </c>
      <c r="AU96" s="285">
        <f t="shared" si="444"/>
        <v>0.13043478260869565</v>
      </c>
      <c r="AV96" s="285">
        <f t="shared" si="444"/>
        <v>0.10869565217391304</v>
      </c>
      <c r="AW96" s="285">
        <f t="shared" si="444"/>
        <v>0.11247637051039697</v>
      </c>
      <c r="AX96" s="285">
        <f t="shared" si="444"/>
        <v>6.0085836909871244E-2</v>
      </c>
      <c r="AY96" s="285">
        <f t="shared" si="444"/>
        <v>3.5528596187175118E-2</v>
      </c>
      <c r="AZ96" s="286">
        <f t="shared" si="444"/>
        <v>3.477443609022559E-2</v>
      </c>
      <c r="BA96" s="386">
        <f t="shared" ref="BA96:BI97" si="445">AZ96</f>
        <v>3.477443609022559E-2</v>
      </c>
      <c r="BB96" s="386">
        <f t="shared" si="445"/>
        <v>3.477443609022559E-2</v>
      </c>
      <c r="BC96" s="386">
        <f t="shared" si="445"/>
        <v>3.477443609022559E-2</v>
      </c>
      <c r="BD96" s="386">
        <f t="shared" si="445"/>
        <v>3.477443609022559E-2</v>
      </c>
      <c r="BE96" s="386">
        <f t="shared" si="445"/>
        <v>3.477443609022559E-2</v>
      </c>
      <c r="BF96" s="386">
        <f t="shared" si="445"/>
        <v>3.477443609022559E-2</v>
      </c>
      <c r="BG96" s="386">
        <f t="shared" si="445"/>
        <v>3.477443609022559E-2</v>
      </c>
      <c r="BH96" s="386">
        <f t="shared" si="445"/>
        <v>3.477443609022559E-2</v>
      </c>
      <c r="BI96" s="386">
        <f t="shared" si="445"/>
        <v>3.477443609022559E-2</v>
      </c>
      <c r="BJ96" s="386">
        <f t="shared" ref="BJ96:BJ97" si="446">BI96</f>
        <v>3.477443609022559E-2</v>
      </c>
      <c r="BK96" s="386">
        <f t="shared" ref="BK96:BK97" si="447">BJ96</f>
        <v>3.477443609022559E-2</v>
      </c>
      <c r="BL96" s="386">
        <f t="shared" ref="BL96:BL97" si="448">BK96</f>
        <v>3.477443609022559E-2</v>
      </c>
      <c r="BM96" s="386">
        <f t="shared" ref="BM96:BM97" si="449">BL96</f>
        <v>3.477443609022559E-2</v>
      </c>
      <c r="BN96" s="386">
        <f t="shared" ref="BN96:BN97" si="450">BM96</f>
        <v>3.477443609022559E-2</v>
      </c>
      <c r="BO96" s="386">
        <f t="shared" ref="BO96:BO97" si="451">BN96</f>
        <v>3.477443609022559E-2</v>
      </c>
      <c r="BP96" s="386">
        <f t="shared" ref="BP96:BP97" si="452">BO96</f>
        <v>3.477443609022559E-2</v>
      </c>
      <c r="BQ96" s="386">
        <f t="shared" ref="BQ96:BQ97" si="453">BP96</f>
        <v>3.477443609022559E-2</v>
      </c>
      <c r="BR96" s="162"/>
      <c r="BS96" s="162"/>
      <c r="BT96" s="285"/>
      <c r="BU96" s="285"/>
      <c r="BV96" s="285"/>
      <c r="BW96" s="285"/>
      <c r="BX96" s="285"/>
      <c r="BY96" s="285"/>
      <c r="BZ96" s="285"/>
      <c r="CA96" s="285"/>
      <c r="CB96" s="285"/>
      <c r="CC96" s="285"/>
      <c r="CD96" s="285"/>
      <c r="CE96" s="285"/>
      <c r="CF96" s="285"/>
      <c r="CG96" s="285"/>
      <c r="CH96" s="285"/>
      <c r="CI96" s="285"/>
      <c r="CJ96" s="285"/>
      <c r="CK96" s="285"/>
      <c r="CL96" s="285"/>
      <c r="CM96" s="285"/>
      <c r="CN96" s="285"/>
      <c r="CO96" s="285"/>
      <c r="CP96" s="285"/>
      <c r="CQ96" s="285"/>
      <c r="CR96" s="285"/>
      <c r="CS96" s="285"/>
      <c r="CT96" s="285" t="str">
        <f>IF(ISERROR(-CT102/SUM(CS432:CS435,CS440,CS442)),"n.a.",-CT102/SUM(CS432:CS435,CS440,CS442))</f>
        <v>n.a.</v>
      </c>
      <c r="CU96" s="285">
        <f t="shared" ref="CU96:CV96" si="454">IF(ISERROR(-CU102/SUM(CT432:CT435,CT440,CT442)),"n.a.",-CU102/SUM(CT432:CT435,CT440,CT442))</f>
        <v>8.3095645559992395E-2</v>
      </c>
      <c r="CV96" s="285">
        <f t="shared" si="454"/>
        <v>0.11884038564542047</v>
      </c>
      <c r="CW96" s="285">
        <f t="shared" ref="CW96:DI96" si="455">-CW102/SUM(CV432:CV435,CV440,CV442)</f>
        <v>0.17221584385763491</v>
      </c>
      <c r="CX96" s="285">
        <f t="shared" si="455"/>
        <v>0.1568181818181818</v>
      </c>
      <c r="CY96" s="285">
        <f t="shared" si="455"/>
        <v>0.11995809324253535</v>
      </c>
      <c r="CZ96" s="286">
        <f t="shared" si="455"/>
        <v>4.9932523616734184E-2</v>
      </c>
      <c r="DA96" s="285">
        <f t="shared" si="455"/>
        <v>3.5354532634562084E-2</v>
      </c>
      <c r="DB96" s="285">
        <f t="shared" si="455"/>
        <v>3.6247162350746091E-2</v>
      </c>
      <c r="DC96" s="285">
        <f t="shared" si="455"/>
        <v>3.598100943489025E-2</v>
      </c>
      <c r="DD96" s="285">
        <f t="shared" si="455"/>
        <v>3.5947514689233059E-2</v>
      </c>
      <c r="DE96" s="285">
        <f t="shared" si="455"/>
        <v>3.5899738175486862E-2</v>
      </c>
      <c r="DF96" s="285">
        <f t="shared" si="455"/>
        <v>3.5882873193536127E-2</v>
      </c>
      <c r="DG96" s="285">
        <f t="shared" si="455"/>
        <v>3.5725191029630093E-2</v>
      </c>
      <c r="DH96" s="285">
        <f t="shared" si="455"/>
        <v>3.5675651661037477E-2</v>
      </c>
      <c r="DI96" s="285">
        <f t="shared" si="455"/>
        <v>3.5691808613951138E-2</v>
      </c>
    </row>
    <row r="97" spans="1:115" ht="12" hidden="1" outlineLevel="1">
      <c r="A97" s="1" t="s">
        <v>984</v>
      </c>
      <c r="B97" s="19" t="s">
        <v>563</v>
      </c>
      <c r="C97" s="408"/>
      <c r="D97" s="408"/>
      <c r="E97" s="408"/>
      <c r="F97" s="408"/>
      <c r="G97" s="408"/>
      <c r="H97" s="408"/>
      <c r="I97" s="408"/>
      <c r="J97" s="408"/>
      <c r="K97" s="408"/>
      <c r="L97" s="408"/>
      <c r="M97" s="408"/>
      <c r="N97" s="408"/>
      <c r="O97" s="408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>
        <f t="shared" ref="AP97:AR97" si="456">-AVERAGE(AP101,AP106)/(AP103*AP$5)</f>
        <v>3.0526636225266364</v>
      </c>
      <c r="AQ97" s="44">
        <f t="shared" si="456"/>
        <v>6.6945205479452055</v>
      </c>
      <c r="AR97" s="44">
        <f t="shared" si="456"/>
        <v>5.2616438356164386</v>
      </c>
      <c r="AS97" s="44">
        <f t="shared" ref="AS97:AU97" si="457">-AVERAGE(AS101,AS106)/(AS103*AS$5)</f>
        <v>5.3634462869502526</v>
      </c>
      <c r="AT97" s="44">
        <f t="shared" si="457"/>
        <v>7.6736681887366816</v>
      </c>
      <c r="AU97" s="44">
        <f t="shared" si="457"/>
        <v>5.925035427491733</v>
      </c>
      <c r="AV97" s="44">
        <f t="shared" ref="AV97:AW97" si="458">-AVERAGE(AV101,AV106)/(AV103*AV$5)</f>
        <v>4.8694878637692218</v>
      </c>
      <c r="AW97" s="44">
        <f t="shared" si="458"/>
        <v>2.9740437158469946</v>
      </c>
      <c r="AX97" s="44">
        <f t="shared" ref="AX97:AY97" si="459">-AVERAGE(AX101,AX106)/(AX103*AX$5)</f>
        <v>4.4957409713574092</v>
      </c>
      <c r="AY97" s="44">
        <f t="shared" si="459"/>
        <v>3.8991383119752534</v>
      </c>
      <c r="AZ97" s="45">
        <f t="shared" ref="AZ97" si="460">-AVERAGE(AZ101,AZ106)/(AZ103*AZ$5)</f>
        <v>3.2171993911719943</v>
      </c>
      <c r="BA97" s="46">
        <f t="shared" si="445"/>
        <v>3.2171993911719943</v>
      </c>
      <c r="BB97" s="46">
        <f t="shared" si="445"/>
        <v>3.2171993911719943</v>
      </c>
      <c r="BC97" s="46">
        <f t="shared" si="445"/>
        <v>3.2171993911719943</v>
      </c>
      <c r="BD97" s="46">
        <f t="shared" si="445"/>
        <v>3.2171993911719943</v>
      </c>
      <c r="BE97" s="46">
        <f t="shared" si="445"/>
        <v>3.2171993911719943</v>
      </c>
      <c r="BF97" s="46">
        <f t="shared" si="445"/>
        <v>3.2171993911719943</v>
      </c>
      <c r="BG97" s="46">
        <f t="shared" si="445"/>
        <v>3.2171993911719943</v>
      </c>
      <c r="BH97" s="46">
        <f t="shared" si="445"/>
        <v>3.2171993911719943</v>
      </c>
      <c r="BI97" s="46">
        <f t="shared" si="445"/>
        <v>3.2171993911719943</v>
      </c>
      <c r="BJ97" s="46">
        <f t="shared" si="446"/>
        <v>3.2171993911719943</v>
      </c>
      <c r="BK97" s="46">
        <f t="shared" si="447"/>
        <v>3.2171993911719943</v>
      </c>
      <c r="BL97" s="46">
        <f t="shared" si="448"/>
        <v>3.2171993911719943</v>
      </c>
      <c r="BM97" s="46">
        <f t="shared" si="449"/>
        <v>3.2171993911719943</v>
      </c>
      <c r="BN97" s="46">
        <f t="shared" si="450"/>
        <v>3.2171993911719943</v>
      </c>
      <c r="BO97" s="46">
        <f t="shared" si="451"/>
        <v>3.2171993911719943</v>
      </c>
      <c r="BP97" s="46">
        <f t="shared" si="452"/>
        <v>3.2171993911719943</v>
      </c>
      <c r="BQ97" s="46">
        <f t="shared" si="453"/>
        <v>3.2171993911719943</v>
      </c>
      <c r="BR97" s="46"/>
      <c r="BS97" s="162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>
        <f t="shared" ref="CT97:DG97" si="461">-AVERAGE(CT101,CT106)/(CT103*CT$5)</f>
        <v>0</v>
      </c>
      <c r="CU97" s="44">
        <f t="shared" si="461"/>
        <v>0</v>
      </c>
      <c r="CV97" s="44">
        <f t="shared" si="461"/>
        <v>4.2368421052631584</v>
      </c>
      <c r="CW97" s="44">
        <f t="shared" si="461"/>
        <v>5.7000000000000011</v>
      </c>
      <c r="CX97" s="44">
        <f t="shared" si="461"/>
        <v>6.6063829787234036</v>
      </c>
      <c r="CY97" s="44">
        <f t="shared" ref="CY97" si="462">-AVERAGE(CY101,CY106)/(CY103*CY$5)</f>
        <v>3.5785123966942147</v>
      </c>
      <c r="CZ97" s="45">
        <f t="shared" si="461"/>
        <v>4.1025641025641031</v>
      </c>
      <c r="DA97" s="44">
        <f t="shared" si="461"/>
        <v>3.2347578477734817</v>
      </c>
      <c r="DB97" s="44">
        <f t="shared" si="461"/>
        <v>3.2294270466378889</v>
      </c>
      <c r="DC97" s="44">
        <f t="shared" si="461"/>
        <v>3.2268930710871557</v>
      </c>
      <c r="DD97" s="44">
        <f t="shared" si="461"/>
        <v>3.2262513067023915</v>
      </c>
      <c r="DE97" s="44">
        <f t="shared" si="461"/>
        <v>3.225563624314534</v>
      </c>
      <c r="DF97" s="44">
        <f t="shared" si="461"/>
        <v>3.2248480517813851</v>
      </c>
      <c r="DG97" s="44">
        <f t="shared" si="461"/>
        <v>3.2229654400601944</v>
      </c>
      <c r="DH97" s="44">
        <f t="shared" ref="DH97" si="463">-AVERAGE(DH101,DH106)/(DH103*DH$5)</f>
        <v>3.2229679746574096</v>
      </c>
      <c r="DI97" s="44">
        <f t="shared" ref="DI97" si="464">-AVERAGE(DI101,DI106)/(DI103*DI$5)</f>
        <v>3.2234311377264069</v>
      </c>
    </row>
    <row r="98" spans="1:115" ht="12" hidden="1" outlineLevel="1">
      <c r="A98" s="1" t="s">
        <v>564</v>
      </c>
      <c r="B98" s="19" t="s">
        <v>642</v>
      </c>
      <c r="C98" s="408"/>
      <c r="D98" s="408"/>
      <c r="E98" s="408"/>
      <c r="F98" s="408"/>
      <c r="G98" s="408"/>
      <c r="H98" s="408"/>
      <c r="I98" s="408"/>
      <c r="J98" s="408"/>
      <c r="K98" s="408"/>
      <c r="L98" s="408"/>
      <c r="M98" s="408"/>
      <c r="N98" s="408"/>
      <c r="O98" s="408"/>
      <c r="P98" s="408"/>
      <c r="Q98" s="408"/>
      <c r="R98" s="408"/>
      <c r="S98" s="408"/>
      <c r="T98" s="394"/>
      <c r="U98" s="408"/>
      <c r="V98" s="408"/>
      <c r="W98" s="408"/>
      <c r="X98" s="408"/>
      <c r="Y98" s="394"/>
      <c r="Z98" s="394"/>
      <c r="AA98" s="394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394"/>
      <c r="AM98" s="394"/>
      <c r="AN98" s="394"/>
      <c r="AO98" s="394"/>
      <c r="AP98" s="285" t="str">
        <f t="shared" ref="AP98" si="465">IF(ISERROR(AP443/AN443-1),"n.a.",AP443/AN443-1)</f>
        <v>n.a.</v>
      </c>
      <c r="AQ98" s="285" t="str">
        <f t="shared" ref="AQ98" si="466">IF(ISERROR(AQ443/AO443-1),"n.a.",AQ443/AO443-1)</f>
        <v>n.a.</v>
      </c>
      <c r="AR98" s="285">
        <f t="shared" ref="AR98:AX98" si="467">IF(ISERROR(AR443/AP443-1),"n.a.",AR443/AP443-1)</f>
        <v>0.62169312169312163</v>
      </c>
      <c r="AS98" s="285">
        <f t="shared" si="467"/>
        <v>0.43407707910750526</v>
      </c>
      <c r="AT98" s="285">
        <f t="shared" si="467"/>
        <v>0.46329526916802632</v>
      </c>
      <c r="AU98" s="285">
        <f t="shared" si="467"/>
        <v>0.43140028288543131</v>
      </c>
      <c r="AV98" s="285">
        <f t="shared" si="467"/>
        <v>0.17948717948717952</v>
      </c>
      <c r="AW98" s="285">
        <f t="shared" si="467"/>
        <v>0.15118577075098805</v>
      </c>
      <c r="AX98" s="285">
        <f t="shared" si="467"/>
        <v>9.0737240075614345E-2</v>
      </c>
      <c r="AY98" s="285">
        <f t="shared" ref="AY98:BI98" si="468">AY443/AW443-1</f>
        <v>-8.669527896995699E-2</v>
      </c>
      <c r="AZ98" s="286">
        <f t="shared" si="468"/>
        <v>3.2062391681109137E-2</v>
      </c>
      <c r="BA98" s="162">
        <f t="shared" si="468"/>
        <v>0.14735896861543485</v>
      </c>
      <c r="BB98" s="162">
        <f t="shared" si="468"/>
        <v>8.5760963802161028E-2</v>
      </c>
      <c r="BC98" s="162">
        <f t="shared" si="468"/>
        <v>7.8942572516131904E-2</v>
      </c>
      <c r="BD98" s="162">
        <f t="shared" si="468"/>
        <v>7.0038794032067919E-2</v>
      </c>
      <c r="BE98" s="162">
        <f t="shared" si="468"/>
        <v>6.9518875352469811E-2</v>
      </c>
      <c r="BF98" s="162">
        <f t="shared" si="468"/>
        <v>6.8077806083671755E-2</v>
      </c>
      <c r="BG98" s="162">
        <f t="shared" si="468"/>
        <v>6.381657300268162E-2</v>
      </c>
      <c r="BH98" s="162">
        <f t="shared" si="468"/>
        <v>6.5173731023959292E-2</v>
      </c>
      <c r="BI98" s="162">
        <f t="shared" si="468"/>
        <v>6.467662014929676E-2</v>
      </c>
      <c r="BJ98" s="162">
        <f t="shared" ref="BJ98" si="469">BJ443/BH443-1</f>
        <v>6.4181883244013749E-2</v>
      </c>
      <c r="BK98" s="162">
        <f t="shared" ref="BK98" si="470">BK443/BI443-1</f>
        <v>6.0494608808720818E-2</v>
      </c>
      <c r="BL98" s="162">
        <f t="shared" ref="BL98" si="471">BL443/BJ443-1</f>
        <v>5.4955590322930625E-2</v>
      </c>
      <c r="BM98" s="162">
        <f t="shared" ref="BM98" si="472">BM443/BK443-1</f>
        <v>5.5486158653536899E-2</v>
      </c>
      <c r="BN98" s="162">
        <f t="shared" ref="BN98" si="473">BN443/BL443-1</f>
        <v>5.2105277683407891E-2</v>
      </c>
      <c r="BO98" s="162">
        <f t="shared" ref="BO98" si="474">BO443/BM443-1</f>
        <v>4.8054110739740752E-2</v>
      </c>
      <c r="BP98" s="162">
        <f t="shared" ref="BP98" si="475">BP443/BN443-1</f>
        <v>5.2936768340517526E-2</v>
      </c>
      <c r="BQ98" s="162">
        <f t="shared" ref="BQ98" si="476">BQ443/BO443-1</f>
        <v>5.5805208604748247E-2</v>
      </c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285"/>
      <c r="CN98" s="285"/>
      <c r="CO98" s="285"/>
      <c r="CP98" s="285"/>
      <c r="CQ98" s="285"/>
      <c r="CR98" s="285"/>
      <c r="CS98" s="285"/>
      <c r="CT98" s="285" t="str">
        <f>IF(ISERROR(CT443/CR443-1),"n.a.",CT443/CR443-1)</f>
        <v>n.a.</v>
      </c>
      <c r="CU98" s="285" t="str">
        <f t="shared" ref="CU98:CV98" si="477">IF(ISERROR(CU443/CS443-1),"n.a.",CU443/CS443-1)</f>
        <v>n.a.</v>
      </c>
      <c r="CV98" s="285">
        <f t="shared" si="477"/>
        <v>1.760347341066109</v>
      </c>
      <c r="CW98" s="285">
        <f t="shared" ref="CW98:DI98" si="478">CW443/CV443-1</f>
        <v>0.51549942594718723</v>
      </c>
      <c r="CX98" s="285">
        <f t="shared" si="478"/>
        <v>0.44621212121212128</v>
      </c>
      <c r="CY98" s="285">
        <f t="shared" si="478"/>
        <v>0.16448402304871657</v>
      </c>
      <c r="CZ98" s="286">
        <f t="shared" si="478"/>
        <v>-2.2492127755285862E-3</v>
      </c>
      <c r="DA98" s="162">
        <f t="shared" si="478"/>
        <v>8.73714799850418E-2</v>
      </c>
      <c r="DB98" s="162">
        <f t="shared" si="478"/>
        <v>8.2309658462631718E-2</v>
      </c>
      <c r="DC98" s="162">
        <f t="shared" si="478"/>
        <v>6.9776442454798415E-2</v>
      </c>
      <c r="DD98" s="162">
        <f t="shared" si="478"/>
        <v>6.5928100562083758E-2</v>
      </c>
      <c r="DE98" s="162">
        <f t="shared" si="478"/>
        <v>6.4923445468523244E-2</v>
      </c>
      <c r="DF98" s="162">
        <f t="shared" si="478"/>
        <v>6.2325843321670238E-2</v>
      </c>
      <c r="DG98" s="162">
        <f t="shared" si="478"/>
        <v>5.5222198762460373E-2</v>
      </c>
      <c r="DH98" s="162">
        <f t="shared" si="478"/>
        <v>5.0069073463130165E-2</v>
      </c>
      <c r="DI98" s="162">
        <f t="shared" si="478"/>
        <v>5.4375741988855975E-2</v>
      </c>
    </row>
    <row r="99" spans="1:115" ht="12" hidden="1" outlineLevel="1">
      <c r="A99" s="1" t="s">
        <v>565</v>
      </c>
      <c r="B99" s="19" t="s">
        <v>471</v>
      </c>
      <c r="C99" s="408"/>
      <c r="D99" s="408"/>
      <c r="E99" s="408"/>
      <c r="F99" s="408"/>
      <c r="G99" s="408"/>
      <c r="H99" s="408"/>
      <c r="I99" s="408"/>
      <c r="J99" s="408"/>
      <c r="K99" s="408"/>
      <c r="L99" s="408"/>
      <c r="M99" s="408"/>
      <c r="N99" s="408"/>
      <c r="O99" s="408"/>
      <c r="P99" s="408"/>
      <c r="Q99" s="408"/>
      <c r="R99" s="408"/>
      <c r="S99" s="408"/>
      <c r="T99" s="394"/>
      <c r="U99" s="408"/>
      <c r="V99" s="408"/>
      <c r="W99" s="408"/>
      <c r="X99" s="408"/>
      <c r="Y99" s="394"/>
      <c r="Z99" s="394"/>
      <c r="AA99" s="394"/>
      <c r="AB99" s="394"/>
      <c r="AC99" s="394"/>
      <c r="AD99" s="394"/>
      <c r="AE99" s="394"/>
      <c r="AF99" s="394"/>
      <c r="AG99" s="394"/>
      <c r="AH99" s="394"/>
      <c r="AI99" s="394"/>
      <c r="AJ99" s="394"/>
      <c r="AK99" s="394"/>
      <c r="AL99" s="394"/>
      <c r="AM99" s="394"/>
      <c r="AN99" s="394"/>
      <c r="AO99" s="394"/>
      <c r="AP99" s="285">
        <f t="shared" ref="AP99:AR99" si="479">-AP443/SUM(AP408,AP381)</f>
        <v>0.95214105793450865</v>
      </c>
      <c r="AQ99" s="285">
        <f t="shared" si="479"/>
        <v>0.98403193612774442</v>
      </c>
      <c r="AR99" s="285">
        <f t="shared" si="479"/>
        <v>0.82949932341001342</v>
      </c>
      <c r="AS99" s="285">
        <f t="shared" ref="AS99:AT99" si="480">-AS443/SUM(AS408,AS381)</f>
        <v>0.71342078708375389</v>
      </c>
      <c r="AT99" s="285">
        <f t="shared" si="480"/>
        <v>0.54297820823244558</v>
      </c>
      <c r="AU99" s="285">
        <f t="shared" ref="AU99:AV99" si="481">-AU443/SUM(AU408,AU381)</f>
        <v>0.53887113951011723</v>
      </c>
      <c r="AV99" s="285">
        <f t="shared" si="481"/>
        <v>0.52900000000000003</v>
      </c>
      <c r="AW99" s="285">
        <f t="shared" ref="AW99:AX99" si="482">-AW443/SUM(AW408,AW381)</f>
        <v>0.59227249618708688</v>
      </c>
      <c r="AX99" s="285">
        <f t="shared" si="482"/>
        <v>0.57441513190642113</v>
      </c>
      <c r="AY99" s="285">
        <f t="shared" ref="AY99:BI99" si="483">-AY443/SUM(AY408,AY381)</f>
        <v>0.47927927927927927</v>
      </c>
      <c r="AZ99" s="286">
        <f t="shared" ref="AZ99" si="484">-AZ443/SUM(AZ408,AZ381)</f>
        <v>0.48473748473748479</v>
      </c>
      <c r="BA99" s="162">
        <f t="shared" si="483"/>
        <v>0.44883899907475189</v>
      </c>
      <c r="BB99" s="162">
        <f t="shared" si="483"/>
        <v>0.43482163032475746</v>
      </c>
      <c r="BC99" s="162">
        <f t="shared" si="483"/>
        <v>0.41775986702379575</v>
      </c>
      <c r="BD99" s="162">
        <f t="shared" si="483"/>
        <v>0.4053846284879738</v>
      </c>
      <c r="BE99" s="162">
        <f t="shared" si="483"/>
        <v>0.3886447844084478</v>
      </c>
      <c r="BF99" s="162">
        <f t="shared" si="483"/>
        <v>0.38136630107889014</v>
      </c>
      <c r="BG99" s="162">
        <f t="shared" si="483"/>
        <v>0.36913816635115027</v>
      </c>
      <c r="BH99" s="162">
        <f t="shared" si="483"/>
        <v>0.3651785290383483</v>
      </c>
      <c r="BI99" s="162">
        <f t="shared" si="483"/>
        <v>0.35679921557589545</v>
      </c>
      <c r="BJ99" s="162">
        <f t="shared" ref="BJ99:BK99" si="485">-BJ443/SUM(BJ408,BJ381)</f>
        <v>0.35610865075296588</v>
      </c>
      <c r="BK99" s="162">
        <f t="shared" si="485"/>
        <v>0.34948430340807313</v>
      </c>
      <c r="BL99" s="162">
        <f t="shared" ref="BL99:BM99" si="486">-BL443/SUM(BL408,BL381)</f>
        <v>0.35128639461241445</v>
      </c>
      <c r="BM99" s="162">
        <f t="shared" si="486"/>
        <v>0.34638626041408938</v>
      </c>
      <c r="BN99" s="162">
        <f t="shared" ref="BN99:BO99" si="487">-BN443/SUM(BN408,BN381)</f>
        <v>0.34870514912283529</v>
      </c>
      <c r="BO99" s="162">
        <f t="shared" si="487"/>
        <v>0.34591523422576081</v>
      </c>
      <c r="BP99" s="162">
        <f t="shared" ref="BP99:BQ99" si="488">-BP443/SUM(BP408,BP381)</f>
        <v>0.34900321449926841</v>
      </c>
      <c r="BQ99" s="162">
        <f t="shared" si="488"/>
        <v>0.34716257239560028</v>
      </c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285"/>
      <c r="CN99" s="285"/>
      <c r="CO99" s="285"/>
      <c r="CP99" s="285"/>
      <c r="CQ99" s="285"/>
      <c r="CR99" s="285"/>
      <c r="CS99" s="285"/>
      <c r="CT99" s="285">
        <f t="shared" ref="CT99:DF99" si="489">-CT443/SUM(CT408,CT381)</f>
        <v>23.26991150442478</v>
      </c>
      <c r="CU99" s="285">
        <f t="shared" si="489"/>
        <v>2.1143827859569648</v>
      </c>
      <c r="CV99" s="285">
        <f t="shared" si="489"/>
        <v>0.96993318485523383</v>
      </c>
      <c r="CW99" s="285">
        <f t="shared" si="489"/>
        <v>0.76300578034682076</v>
      </c>
      <c r="CX99" s="285">
        <f t="shared" si="489"/>
        <v>0.54079320113314444</v>
      </c>
      <c r="CY99" s="285">
        <f t="shared" ref="CY99" si="490">-CY443/SUM(CY408,CY381)</f>
        <v>0.56037307789261415</v>
      </c>
      <c r="CZ99" s="286">
        <f t="shared" si="489"/>
        <v>0.52447387089146358</v>
      </c>
      <c r="DA99" s="162">
        <f t="shared" si="489"/>
        <v>0.46587677351851536</v>
      </c>
      <c r="DB99" s="162">
        <f t="shared" si="489"/>
        <v>0.42604157135535703</v>
      </c>
      <c r="DC99" s="162">
        <f t="shared" si="489"/>
        <v>0.39676330878851773</v>
      </c>
      <c r="DD99" s="162">
        <f t="shared" si="489"/>
        <v>0.37511007384413719</v>
      </c>
      <c r="DE99" s="162">
        <f t="shared" si="489"/>
        <v>0.36091206783016189</v>
      </c>
      <c r="DF99" s="162">
        <f t="shared" si="489"/>
        <v>0.35274884942909618</v>
      </c>
      <c r="DG99" s="162">
        <f t="shared" ref="DG99:DH99" si="491">-DG443/SUM(DG408,DG381)</f>
        <v>0.34880627402248504</v>
      </c>
      <c r="DH99" s="162">
        <f t="shared" si="491"/>
        <v>0.3472999656341007</v>
      </c>
      <c r="DI99" s="162">
        <f t="shared" ref="DI99" si="492">-DI443/SUM(DI408,DI381)</f>
        <v>0.34807615809910769</v>
      </c>
    </row>
    <row r="100" spans="1:115" ht="12" hidden="1" outlineLevel="1">
      <c r="AA100" s="157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394"/>
      <c r="AM100" s="394"/>
      <c r="AN100" s="394"/>
      <c r="AO100" s="394"/>
      <c r="AP100" s="285"/>
      <c r="AQ100" s="285"/>
      <c r="AR100" s="285"/>
      <c r="AS100" s="285"/>
      <c r="AT100" s="285"/>
      <c r="AU100" s="285"/>
      <c r="AV100" s="285"/>
      <c r="AW100" s="285"/>
      <c r="AX100" s="285"/>
      <c r="AY100" s="157"/>
      <c r="AZ100" s="642"/>
      <c r="BA100" s="636"/>
      <c r="BB100" s="636"/>
      <c r="BC100" s="636"/>
      <c r="BD100" s="636"/>
      <c r="BE100" s="636"/>
      <c r="BF100" s="636"/>
      <c r="BG100" s="636"/>
      <c r="BH100" s="636"/>
      <c r="BI100" s="636"/>
      <c r="BJ100" s="636"/>
      <c r="BK100" s="636"/>
      <c r="BL100" s="636"/>
      <c r="BM100" s="636"/>
      <c r="BN100" s="636"/>
      <c r="BO100" s="636"/>
      <c r="BP100" s="636"/>
      <c r="BQ100" s="636"/>
      <c r="CN100" s="42"/>
      <c r="CO100" s="285"/>
      <c r="CP100" s="285"/>
      <c r="CQ100" s="42"/>
      <c r="CR100" s="42"/>
      <c r="CS100" s="42"/>
      <c r="CT100" s="285"/>
      <c r="CU100" s="285"/>
      <c r="CV100" s="285"/>
      <c r="CW100" s="285"/>
      <c r="CX100" s="285"/>
      <c r="CY100" s="285"/>
      <c r="DA100" s="157"/>
      <c r="DB100" s="19"/>
      <c r="DC100" s="19"/>
      <c r="DD100" s="19"/>
      <c r="DE100" s="19"/>
      <c r="DF100" s="19"/>
      <c r="DG100" s="19"/>
      <c r="DH100" s="19"/>
      <c r="DI100" s="19"/>
    </row>
    <row r="101" spans="1:115" ht="12" hidden="1" outlineLevel="1">
      <c r="A101" s="1" t="s">
        <v>985</v>
      </c>
      <c r="B101" s="19" t="s">
        <v>566</v>
      </c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4">
        <f t="shared" ref="AP101" si="493">AO106</f>
        <v>0</v>
      </c>
      <c r="AQ101" s="44">
        <f t="shared" ref="AQ101" si="494">AP106</f>
        <v>10.9</v>
      </c>
      <c r="AR101" s="44">
        <f t="shared" ref="AR101:AX101" si="495">AQ106</f>
        <v>16.100000000000001</v>
      </c>
      <c r="AS101" s="44">
        <f t="shared" si="495"/>
        <v>17.3</v>
      </c>
      <c r="AT101" s="44">
        <f t="shared" si="495"/>
        <v>23.8</v>
      </c>
      <c r="AU101" s="44">
        <f t="shared" si="495"/>
        <v>31</v>
      </c>
      <c r="AV101" s="44">
        <f t="shared" si="495"/>
        <v>38.299999999999997</v>
      </c>
      <c r="AW101" s="44">
        <f t="shared" si="495"/>
        <v>45</v>
      </c>
      <c r="AX101" s="44">
        <f t="shared" si="495"/>
        <v>48.3</v>
      </c>
      <c r="AY101" s="44">
        <f t="shared" ref="AY101:BI101" si="496">AX106</f>
        <v>49.8</v>
      </c>
      <c r="AZ101" s="45">
        <f t="shared" si="496"/>
        <v>47.7</v>
      </c>
      <c r="BA101" s="44">
        <f t="shared" si="496"/>
        <v>44.2</v>
      </c>
      <c r="BB101" s="44">
        <f t="shared" si="496"/>
        <v>41.719904513160706</v>
      </c>
      <c r="BC101" s="44">
        <f t="shared" si="496"/>
        <v>39.59447409044418</v>
      </c>
      <c r="BD101" s="44">
        <f t="shared" si="496"/>
        <v>38.103242169263794</v>
      </c>
      <c r="BE101" s="44">
        <f t="shared" si="496"/>
        <v>36.828996319269407</v>
      </c>
      <c r="BF101" s="44">
        <f t="shared" si="496"/>
        <v>36.011466385004603</v>
      </c>
      <c r="BG101" s="44">
        <f t="shared" si="496"/>
        <v>35.32158392157411</v>
      </c>
      <c r="BH101" s="44">
        <f t="shared" si="496"/>
        <v>35.03838949120631</v>
      </c>
      <c r="BI101" s="44">
        <f t="shared" si="496"/>
        <v>34.779812635556212</v>
      </c>
      <c r="BJ101" s="44">
        <f t="shared" ref="BJ101" si="497">BI106</f>
        <v>34.885133837340945</v>
      </c>
      <c r="BK101" s="44">
        <f t="shared" ref="BK101" si="498">BJ106</f>
        <v>34.961393667358116</v>
      </c>
      <c r="BL101" s="44">
        <f t="shared" ref="BL101" si="499">BK106</f>
        <v>35.366939703861178</v>
      </c>
      <c r="BM101" s="44">
        <f t="shared" ref="BM101" si="500">BL106</f>
        <v>35.698561840895671</v>
      </c>
      <c r="BN101" s="44">
        <f t="shared" ref="BN101" si="501">BM106</f>
        <v>36.281551679462048</v>
      </c>
      <c r="BO101" s="44">
        <f t="shared" ref="BO101" si="502">BN106</f>
        <v>36.768932645758063</v>
      </c>
      <c r="BP101" s="44">
        <f t="shared" ref="BP101" si="503">BO106</f>
        <v>37.510364607822211</v>
      </c>
      <c r="BQ101" s="44">
        <f t="shared" ref="BQ101" si="504">BP106</f>
        <v>38.095951023595035</v>
      </c>
      <c r="BR101" s="44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4">
        <f t="shared" ref="CT101:DI101" si="505">CS106</f>
        <v>0</v>
      </c>
      <c r="CU101" s="44">
        <f t="shared" si="505"/>
        <v>0</v>
      </c>
      <c r="CV101" s="44">
        <f>CV106-SUM(CV102:CV105)</f>
        <v>0</v>
      </c>
      <c r="CW101" s="44">
        <f t="shared" si="505"/>
        <v>16.100000000000001</v>
      </c>
      <c r="CX101" s="44">
        <f t="shared" si="505"/>
        <v>23.8</v>
      </c>
      <c r="CY101" s="44">
        <f t="shared" si="505"/>
        <v>38.299999999999997</v>
      </c>
      <c r="CZ101" s="45">
        <f t="shared" si="505"/>
        <v>48.3</v>
      </c>
      <c r="DA101" s="44">
        <f t="shared" si="505"/>
        <v>47.7</v>
      </c>
      <c r="DB101" s="44">
        <f t="shared" si="505"/>
        <v>41.719904513160706</v>
      </c>
      <c r="DC101" s="44">
        <f t="shared" si="505"/>
        <v>38.103242169263794</v>
      </c>
      <c r="DD101" s="44">
        <f t="shared" si="505"/>
        <v>36.011466385004603</v>
      </c>
      <c r="DE101" s="44">
        <f t="shared" si="505"/>
        <v>35.03838949120631</v>
      </c>
      <c r="DF101" s="44">
        <f t="shared" si="505"/>
        <v>34.885133837340945</v>
      </c>
      <c r="DG101" s="44">
        <f t="shared" si="505"/>
        <v>35.366939703861178</v>
      </c>
      <c r="DH101" s="44">
        <f t="shared" si="505"/>
        <v>36.281551679462048</v>
      </c>
      <c r="DI101" s="44">
        <f t="shared" si="505"/>
        <v>37.510364607822211</v>
      </c>
    </row>
    <row r="102" spans="1:115" ht="12" hidden="1" outlineLevel="1">
      <c r="A102" s="1" t="s">
        <v>774</v>
      </c>
      <c r="B102" s="19" t="s">
        <v>693</v>
      </c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525">
        <f t="shared" ref="AP102" si="506">-AP103</f>
        <v>0.9</v>
      </c>
      <c r="AQ102" s="525">
        <v>6.2</v>
      </c>
      <c r="AR102" s="525">
        <v>2.8</v>
      </c>
      <c r="AS102" s="525">
        <f>15-AR102</f>
        <v>12.2</v>
      </c>
      <c r="AT102" s="525">
        <v>9</v>
      </c>
      <c r="AU102" s="525">
        <f>20.7-AT102</f>
        <v>11.7</v>
      </c>
      <c r="AV102" s="525">
        <v>11</v>
      </c>
      <c r="AW102" s="525">
        <f>22.9-AV102</f>
        <v>11.899999999999999</v>
      </c>
      <c r="AX102" s="525">
        <f>AX106-AX105-AX104-AX103-AX101</f>
        <v>7</v>
      </c>
      <c r="AY102" s="525">
        <f>AY106-AY105-AY104-AY103-AY101</f>
        <v>4.1000000000000085</v>
      </c>
      <c r="AZ102" s="523">
        <f>AZ106-AZ105-AZ104-AZ103-AZ101</f>
        <v>3.7000000000000028</v>
      </c>
      <c r="BA102" s="44">
        <f t="shared" ref="BA102:BI102" si="507">-BA96*SUM(AZ432:AZ435,AZ440,AZ442)</f>
        <v>4.1416353383458677</v>
      </c>
      <c r="BB102" s="44">
        <f t="shared" si="507"/>
        <v>4.2452281838771126</v>
      </c>
      <c r="BC102" s="44">
        <f t="shared" si="507"/>
        <v>4.4968259766794976</v>
      </c>
      <c r="BD102" s="44">
        <f t="shared" si="507"/>
        <v>4.580357417630359</v>
      </c>
      <c r="BE102" s="44">
        <f t="shared" si="507"/>
        <v>4.8117782450582061</v>
      </c>
      <c r="BF102" s="44">
        <f t="shared" si="507"/>
        <v>4.8987787140163634</v>
      </c>
      <c r="BG102" s="44">
        <f t="shared" si="507"/>
        <v>5.1393535513429098</v>
      </c>
      <c r="BH102" s="44">
        <f t="shared" si="507"/>
        <v>5.2114019834433716</v>
      </c>
      <c r="BI102" s="44">
        <f t="shared" si="507"/>
        <v>5.4743043973351631</v>
      </c>
      <c r="BJ102" s="44">
        <f t="shared" ref="BJ102" si="508">-BJ96*SUM(BI432:BI435,BI440,BI442)</f>
        <v>5.5484578499718298</v>
      </c>
      <c r="BK102" s="44">
        <f t="shared" ref="BK102" si="509">-BK96*SUM(BJ432:BJ435,BJ440,BJ442)</f>
        <v>5.8256555630071185</v>
      </c>
      <c r="BL102" s="44">
        <f t="shared" ref="BL102" si="510">-BL96*SUM(BK432:BK435,BK440,BK442)</f>
        <v>5.8841096370975512</v>
      </c>
      <c r="BM102" s="44">
        <f t="shared" ref="BM102" si="511">-BM96*SUM(BL432:BL435,BL440,BL442)</f>
        <v>6.1458079034902404</v>
      </c>
      <c r="BN102" s="44">
        <f t="shared" ref="BN102" si="512">-BN96*SUM(BM432:BM435,BM440,BM442)</f>
        <v>6.2105962779563519</v>
      </c>
      <c r="BO102" s="44">
        <f t="shared" ref="BO102" si="513">-BO96*SUM(BN432:BN435,BN440,BN442)</f>
        <v>6.4660369308904819</v>
      </c>
      <c r="BP102" s="44">
        <f t="shared" ref="BP102" si="514">-BP96*SUM(BO432:BO435,BO440,BO442)</f>
        <v>6.5090409592570877</v>
      </c>
      <c r="BQ102" s="44">
        <f t="shared" ref="BQ102" si="515">-BQ96*SUM(BP432:BP435,BP440,BP442)</f>
        <v>6.8083280299822624</v>
      </c>
      <c r="BR102" s="44"/>
      <c r="BZ102" s="40"/>
      <c r="CA102" s="40"/>
      <c r="CB102" s="40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525">
        <f t="shared" ref="CT102" si="516">-CT103</f>
        <v>0.49399999999999999</v>
      </c>
      <c r="CU102" s="525">
        <f>-CU103</f>
        <v>2.6219999999999999</v>
      </c>
      <c r="CV102" s="44">
        <f>SUM(AP102:AQ102)</f>
        <v>7.1000000000000005</v>
      </c>
      <c r="CW102" s="44">
        <f>SUM(AR102:AS102)</f>
        <v>15</v>
      </c>
      <c r="CX102" s="44">
        <f>SUM(AT102:AU102)</f>
        <v>20.7</v>
      </c>
      <c r="CY102" s="44">
        <f>SUM(AV102:AW102)</f>
        <v>22.9</v>
      </c>
      <c r="CZ102" s="45">
        <f>SUM(AX102:AY102)</f>
        <v>11.100000000000009</v>
      </c>
      <c r="DA102" s="44">
        <f>SUM(AZ102:BA102)</f>
        <v>7.8416353383458706</v>
      </c>
      <c r="DB102" s="44">
        <f>SUM(BB102:BC102)</f>
        <v>8.7420541605566093</v>
      </c>
      <c r="DC102" s="44">
        <f>SUM(BD102:BE102)</f>
        <v>9.392135662688565</v>
      </c>
      <c r="DD102" s="44">
        <f>SUM(BF102:BG102)</f>
        <v>10.038132265359273</v>
      </c>
      <c r="DE102" s="44">
        <f>SUM(BH102:BI102)</f>
        <v>10.685706380778534</v>
      </c>
      <c r="DF102" s="44">
        <f>SUM(BJ102:BK102)</f>
        <v>11.374113412978948</v>
      </c>
      <c r="DG102" s="44">
        <f>SUM(BL102:BM102)</f>
        <v>12.029917540587793</v>
      </c>
      <c r="DH102" s="44">
        <f>SUM(BN102:BO102)</f>
        <v>12.676633208846834</v>
      </c>
      <c r="DI102" s="44">
        <f>SUM(BP102:BQ102)</f>
        <v>13.31736898923935</v>
      </c>
    </row>
    <row r="103" spans="1:115" ht="12" hidden="1" outlineLevel="1">
      <c r="A103" s="1" t="s">
        <v>775</v>
      </c>
      <c r="B103" s="19" t="s">
        <v>694</v>
      </c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525">
        <v>-0.9</v>
      </c>
      <c r="AQ103" s="525">
        <v>-1</v>
      </c>
      <c r="AR103" s="525">
        <v>-1.6</v>
      </c>
      <c r="AS103" s="525">
        <f>-3.5-AR103</f>
        <v>-1.9</v>
      </c>
      <c r="AT103" s="525">
        <v>-1.8</v>
      </c>
      <c r="AU103" s="525">
        <f>-4.7-AT103</f>
        <v>-2.9000000000000004</v>
      </c>
      <c r="AV103" s="525">
        <v>-4.3</v>
      </c>
      <c r="AW103" s="525">
        <f>-12.1-AV103</f>
        <v>-7.8</v>
      </c>
      <c r="AX103" s="525">
        <v>-5.5</v>
      </c>
      <c r="AY103" s="525">
        <v>-6.2</v>
      </c>
      <c r="AZ103" s="523">
        <v>-7.2</v>
      </c>
      <c r="BA103" s="44">
        <f t="shared" ref="BA103:BI103" si="517">AVERAGE((BA101*(2+1/-BA97/BA$5)+2*(BA102+BA104+BA105))/(2-(1/-BA97/BA$5)),BA101)*(1/-BA97/BA$5)</f>
        <v>-6.6217308251851623</v>
      </c>
      <c r="BB103" s="44">
        <f t="shared" si="517"/>
        <v>-6.3706586065936355</v>
      </c>
      <c r="BC103" s="44">
        <f t="shared" si="517"/>
        <v>-5.9880578978598793</v>
      </c>
      <c r="BD103" s="44">
        <f t="shared" si="517"/>
        <v>-5.8546032676247428</v>
      </c>
      <c r="BE103" s="44">
        <f t="shared" si="517"/>
        <v>-5.6293081793230142</v>
      </c>
      <c r="BF103" s="44">
        <f t="shared" si="517"/>
        <v>-5.5886611774468617</v>
      </c>
      <c r="BG103" s="44">
        <f t="shared" si="517"/>
        <v>-5.4225479817107098</v>
      </c>
      <c r="BH103" s="44">
        <f t="shared" si="517"/>
        <v>-5.4699788390934714</v>
      </c>
      <c r="BI103" s="44">
        <f t="shared" si="517"/>
        <v>-5.3689831955504301</v>
      </c>
      <c r="BJ103" s="44">
        <f t="shared" ref="BJ103:BK103" si="518">AVERAGE((BJ101*(2+1/-BJ97/BJ$5)+2*(BJ102+BJ104+BJ105))/(2-(1/-BJ97/BJ$5)),BJ101)*(1/-BJ97/BJ$5)</f>
        <v>-5.472198019954658</v>
      </c>
      <c r="BK103" s="44">
        <f t="shared" si="518"/>
        <v>-5.4201095265040546</v>
      </c>
      <c r="BL103" s="44">
        <f t="shared" ref="BL103:BM103" si="519">AVERAGE((BL101*(2+1/-BL97/BL$5)+2*(BL102+BL104+BL105))/(2-(1/-BL97/BL$5)),BL101)*(1/-BL97/BL$5)</f>
        <v>-5.5524875000630587</v>
      </c>
      <c r="BM103" s="44">
        <f t="shared" si="519"/>
        <v>-5.5628180649238681</v>
      </c>
      <c r="BN103" s="44">
        <f t="shared" ref="BN103:BO103" si="520">AVERAGE((BN101*(2+1/-BN97/BN$5)+2*(BN102+BN104+BN105))/(2-(1/-BN97/BN$5)),BN101)*(1/-BN97/BN$5)</f>
        <v>-5.7232153116603337</v>
      </c>
      <c r="BO103" s="44">
        <f t="shared" si="520"/>
        <v>-5.7246049688263341</v>
      </c>
      <c r="BP103" s="44">
        <f t="shared" ref="BP103:BQ103" si="521">AVERAGE((BP101*(2+1/-BP97/BP$5)+2*(BP102+BP104+BP105))/(2-(1/-BP97/BP$5)),BP101)*(1/-BP97/BP$5)</f>
        <v>-5.9234545434842651</v>
      </c>
      <c r="BQ103" s="44">
        <f t="shared" si="521"/>
        <v>-5.9390044274669993</v>
      </c>
      <c r="BR103" s="44"/>
      <c r="BZ103" s="40"/>
      <c r="CA103" s="40"/>
      <c r="CB103" s="40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525">
        <v>-0.49399999999999999</v>
      </c>
      <c r="CU103" s="525">
        <v>-2.6219999999999999</v>
      </c>
      <c r="CV103" s="44">
        <f t="shared" ref="CV103:CV105" si="522">SUM(AP103:AQ103)</f>
        <v>-1.9</v>
      </c>
      <c r="CW103" s="44">
        <f>SUM(AR103:AS103)</f>
        <v>-3.5</v>
      </c>
      <c r="CX103" s="44">
        <f>SUM(AT103:AU103)</f>
        <v>-4.7</v>
      </c>
      <c r="CY103" s="44">
        <f>SUM(AV103:AW103)</f>
        <v>-12.1</v>
      </c>
      <c r="CZ103" s="45">
        <f>SUM(AX103:AY103)</f>
        <v>-11.7</v>
      </c>
      <c r="DA103" s="44">
        <f>SUM(AZ103:BA103)</f>
        <v>-13.821730825185163</v>
      </c>
      <c r="DB103" s="44">
        <f>SUM(BB103:BC103)</f>
        <v>-12.358716504453515</v>
      </c>
      <c r="DC103" s="44">
        <f>SUM(BD103:BE103)</f>
        <v>-11.483911446947758</v>
      </c>
      <c r="DD103" s="44">
        <f>SUM(BF103:BG103)</f>
        <v>-11.011209159157572</v>
      </c>
      <c r="DE103" s="44">
        <f>SUM(BH103:BI103)</f>
        <v>-10.838962034643902</v>
      </c>
      <c r="DF103" s="44">
        <f>SUM(BJ103:BK103)</f>
        <v>-10.892307546458714</v>
      </c>
      <c r="DG103" s="44">
        <f>SUM(BL103:BM103)</f>
        <v>-11.115305564986926</v>
      </c>
      <c r="DH103" s="44">
        <f>SUM(BN103:BO103)</f>
        <v>-11.447820280486667</v>
      </c>
      <c r="DI103" s="44">
        <f>SUM(BP103:BQ103)</f>
        <v>-11.862458970951264</v>
      </c>
    </row>
    <row r="104" spans="1:115" ht="12" hidden="1" outlineLevel="1">
      <c r="A104" s="1" t="s">
        <v>986</v>
      </c>
      <c r="B104" s="19" t="s">
        <v>561</v>
      </c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525">
        <v>0</v>
      </c>
      <c r="AQ104" s="525">
        <v>0</v>
      </c>
      <c r="AR104" s="525">
        <v>0</v>
      </c>
      <c r="AS104" s="525">
        <v>0</v>
      </c>
      <c r="AT104" s="525">
        <v>0</v>
      </c>
      <c r="AU104" s="525">
        <v>-1.5</v>
      </c>
      <c r="AV104" s="525">
        <v>0</v>
      </c>
      <c r="AW104" s="525">
        <f>-0.8-AV104</f>
        <v>-0.8</v>
      </c>
      <c r="AX104" s="525">
        <v>0</v>
      </c>
      <c r="AY104" s="525">
        <v>0</v>
      </c>
      <c r="AZ104" s="523">
        <v>0</v>
      </c>
      <c r="BA104" s="46">
        <v>0</v>
      </c>
      <c r="BB104" s="46">
        <v>0</v>
      </c>
      <c r="BC104" s="46">
        <v>0</v>
      </c>
      <c r="BD104" s="46">
        <v>0</v>
      </c>
      <c r="BE104" s="46">
        <v>0</v>
      </c>
      <c r="BF104" s="46">
        <v>0</v>
      </c>
      <c r="BG104" s="46">
        <v>0</v>
      </c>
      <c r="BH104" s="46">
        <v>0</v>
      </c>
      <c r="BI104" s="46">
        <v>0</v>
      </c>
      <c r="BJ104" s="46">
        <v>0</v>
      </c>
      <c r="BK104" s="46">
        <v>0</v>
      </c>
      <c r="BL104" s="46">
        <v>0</v>
      </c>
      <c r="BM104" s="46">
        <v>0</v>
      </c>
      <c r="BN104" s="46">
        <v>0</v>
      </c>
      <c r="BO104" s="46">
        <v>0</v>
      </c>
      <c r="BP104" s="46">
        <v>0</v>
      </c>
      <c r="BQ104" s="46">
        <v>0</v>
      </c>
      <c r="BR104" s="44"/>
      <c r="BZ104" s="40"/>
      <c r="CA104" s="40"/>
      <c r="CB104" s="40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525">
        <v>0</v>
      </c>
      <c r="CU104" s="525">
        <v>0</v>
      </c>
      <c r="CV104" s="44">
        <f t="shared" si="522"/>
        <v>0</v>
      </c>
      <c r="CW104" s="44">
        <f>SUM(AR104:AS104)</f>
        <v>0</v>
      </c>
      <c r="CX104" s="44">
        <f>SUM(AT104:AU104)</f>
        <v>-1.5</v>
      </c>
      <c r="CY104" s="44">
        <f>SUM(AV104:AW104)</f>
        <v>-0.8</v>
      </c>
      <c r="CZ104" s="45">
        <f>SUM(AX104:AY104)</f>
        <v>0</v>
      </c>
      <c r="DA104" s="44">
        <f>SUM(AZ104:BA104)</f>
        <v>0</v>
      </c>
      <c r="DB104" s="44">
        <f>SUM(BB104:BC104)</f>
        <v>0</v>
      </c>
      <c r="DC104" s="44">
        <f>SUM(BD104:BE104)</f>
        <v>0</v>
      </c>
      <c r="DD104" s="44">
        <f>SUM(BF104:BG104)</f>
        <v>0</v>
      </c>
      <c r="DE104" s="44">
        <f>SUM(BH104:BI104)</f>
        <v>0</v>
      </c>
      <c r="DF104" s="44">
        <f>SUM(BJ104:BK104)</f>
        <v>0</v>
      </c>
      <c r="DG104" s="44">
        <f>SUM(BL104:BM104)</f>
        <v>0</v>
      </c>
      <c r="DH104" s="44">
        <f>SUM(BN104:BO104)</f>
        <v>0</v>
      </c>
      <c r="DI104" s="44">
        <f>SUM(BP104:BQ104)</f>
        <v>0</v>
      </c>
    </row>
    <row r="105" spans="1:115" ht="12" hidden="1" outlineLevel="1">
      <c r="A105" s="1" t="s">
        <v>861</v>
      </c>
      <c r="B105" s="19" t="s">
        <v>269</v>
      </c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4">
        <f t="shared" ref="AP105:AR105" si="523">AP106-SUM(AP101:AP104)</f>
        <v>10.9</v>
      </c>
      <c r="AQ105" s="44">
        <f t="shared" si="523"/>
        <v>0</v>
      </c>
      <c r="AR105" s="44">
        <f t="shared" si="523"/>
        <v>0</v>
      </c>
      <c r="AS105" s="44">
        <f t="shared" ref="AS105:AT105" si="524">AS106-SUM(AS101:AS104)</f>
        <v>-3.8000000000000007</v>
      </c>
      <c r="AT105" s="44">
        <f t="shared" si="524"/>
        <v>0</v>
      </c>
      <c r="AU105" s="44">
        <f t="shared" ref="AU105:AV105" si="525">AU106-SUM(AU101:AU104)</f>
        <v>0</v>
      </c>
      <c r="AV105" s="44">
        <f t="shared" si="525"/>
        <v>0</v>
      </c>
      <c r="AW105" s="44">
        <f t="shared" ref="AW105" si="526">AW106-SUM(AW101:AW104)</f>
        <v>0</v>
      </c>
      <c r="AX105" s="44">
        <v>0</v>
      </c>
      <c r="AY105" s="44">
        <v>0</v>
      </c>
      <c r="AZ105" s="45">
        <v>0</v>
      </c>
      <c r="BA105" s="46">
        <v>0</v>
      </c>
      <c r="BB105" s="46">
        <v>0</v>
      </c>
      <c r="BC105" s="46">
        <v>0</v>
      </c>
      <c r="BD105" s="46">
        <v>0</v>
      </c>
      <c r="BE105" s="46">
        <v>0</v>
      </c>
      <c r="BF105" s="46">
        <v>0</v>
      </c>
      <c r="BG105" s="46">
        <v>0</v>
      </c>
      <c r="BH105" s="46">
        <v>0</v>
      </c>
      <c r="BI105" s="46">
        <v>0</v>
      </c>
      <c r="BJ105" s="46">
        <v>0</v>
      </c>
      <c r="BK105" s="46">
        <v>0</v>
      </c>
      <c r="BL105" s="46">
        <v>0</v>
      </c>
      <c r="BM105" s="46">
        <v>0</v>
      </c>
      <c r="BN105" s="46">
        <v>0</v>
      </c>
      <c r="BO105" s="46">
        <v>0</v>
      </c>
      <c r="BP105" s="46">
        <v>0</v>
      </c>
      <c r="BQ105" s="46">
        <v>0</v>
      </c>
      <c r="BR105" s="44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4">
        <f t="shared" ref="CT105:CU105" si="527">CT106-SUM(CT101:CT104)</f>
        <v>0</v>
      </c>
      <c r="CU105" s="44">
        <f t="shared" si="527"/>
        <v>0</v>
      </c>
      <c r="CV105" s="44">
        <f t="shared" si="522"/>
        <v>10.9</v>
      </c>
      <c r="CW105" s="44">
        <f>SUM(AR105:AS105)</f>
        <v>-3.8000000000000007</v>
      </c>
      <c r="CX105" s="44">
        <f>SUM(AT105:AU105)</f>
        <v>0</v>
      </c>
      <c r="CY105" s="44">
        <f>SUM(AV105:AW105)</f>
        <v>0</v>
      </c>
      <c r="CZ105" s="45">
        <f>SUM(AX105:AY105)</f>
        <v>0</v>
      </c>
      <c r="DA105" s="44">
        <f>SUM(AZ105:BA105)</f>
        <v>0</v>
      </c>
      <c r="DB105" s="44">
        <f>SUM(BB105:BC105)</f>
        <v>0</v>
      </c>
      <c r="DC105" s="44">
        <f>SUM(BD105:BE105)</f>
        <v>0</v>
      </c>
      <c r="DD105" s="44">
        <f>SUM(BF105:BG105)</f>
        <v>0</v>
      </c>
      <c r="DE105" s="44">
        <f>SUM(BH105:BI105)</f>
        <v>0</v>
      </c>
      <c r="DF105" s="44">
        <f>SUM(BJ105:BK105)</f>
        <v>0</v>
      </c>
      <c r="DG105" s="44">
        <f>SUM(BL105:BM105)</f>
        <v>0</v>
      </c>
      <c r="DH105" s="44">
        <f>SUM(BN105:BO105)</f>
        <v>0</v>
      </c>
      <c r="DI105" s="44">
        <f>SUM(BP105:BQ105)</f>
        <v>0</v>
      </c>
    </row>
    <row r="106" spans="1:115" ht="12" hidden="1" outlineLevel="1">
      <c r="A106" s="1" t="s">
        <v>862</v>
      </c>
      <c r="B106" s="19" t="s">
        <v>459</v>
      </c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525">
        <v>10.9</v>
      </c>
      <c r="AQ106" s="525">
        <v>16.100000000000001</v>
      </c>
      <c r="AR106" s="525">
        <v>17.3</v>
      </c>
      <c r="AS106" s="525">
        <v>23.8</v>
      </c>
      <c r="AT106" s="525">
        <v>31</v>
      </c>
      <c r="AU106" s="525">
        <v>38.299999999999997</v>
      </c>
      <c r="AV106" s="525">
        <v>45</v>
      </c>
      <c r="AW106" s="525">
        <v>48.3</v>
      </c>
      <c r="AX106" s="525">
        <v>49.8</v>
      </c>
      <c r="AY106" s="525">
        <v>47.7</v>
      </c>
      <c r="AZ106" s="523">
        <v>44.2</v>
      </c>
      <c r="BA106" s="44">
        <f t="shared" ref="BA106:BI106" si="528">SUM(BA101:BA105)</f>
        <v>41.719904513160706</v>
      </c>
      <c r="BB106" s="44">
        <f t="shared" si="528"/>
        <v>39.59447409044418</v>
      </c>
      <c r="BC106" s="44">
        <f t="shared" si="528"/>
        <v>38.103242169263794</v>
      </c>
      <c r="BD106" s="44">
        <f t="shared" si="528"/>
        <v>36.828996319269407</v>
      </c>
      <c r="BE106" s="44">
        <f t="shared" si="528"/>
        <v>36.011466385004603</v>
      </c>
      <c r="BF106" s="44">
        <f t="shared" si="528"/>
        <v>35.32158392157411</v>
      </c>
      <c r="BG106" s="44">
        <f t="shared" si="528"/>
        <v>35.03838949120631</v>
      </c>
      <c r="BH106" s="44">
        <f t="shared" si="528"/>
        <v>34.779812635556212</v>
      </c>
      <c r="BI106" s="44">
        <f t="shared" si="528"/>
        <v>34.885133837340945</v>
      </c>
      <c r="BJ106" s="44">
        <f t="shared" ref="BJ106:BK106" si="529">SUM(BJ101:BJ105)</f>
        <v>34.961393667358116</v>
      </c>
      <c r="BK106" s="44">
        <f t="shared" si="529"/>
        <v>35.366939703861178</v>
      </c>
      <c r="BL106" s="44">
        <f t="shared" ref="BL106:BM106" si="530">SUM(BL101:BL105)</f>
        <v>35.698561840895671</v>
      </c>
      <c r="BM106" s="44">
        <f t="shared" si="530"/>
        <v>36.281551679462048</v>
      </c>
      <c r="BN106" s="44">
        <f t="shared" ref="BN106:BO106" si="531">SUM(BN101:BN105)</f>
        <v>36.768932645758063</v>
      </c>
      <c r="BO106" s="44">
        <f t="shared" si="531"/>
        <v>37.510364607822211</v>
      </c>
      <c r="BP106" s="44">
        <f t="shared" ref="BP106:BQ106" si="532">SUM(BP101:BP105)</f>
        <v>38.095951023595035</v>
      </c>
      <c r="BQ106" s="44">
        <f t="shared" si="532"/>
        <v>38.9652746261103</v>
      </c>
      <c r="BR106" s="44"/>
      <c r="BZ106" s="114"/>
      <c r="CA106" s="40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525">
        <v>0</v>
      </c>
      <c r="CU106" s="525">
        <v>0</v>
      </c>
      <c r="CV106" s="44">
        <f>AQ106</f>
        <v>16.100000000000001</v>
      </c>
      <c r="CW106" s="44">
        <f>AS106</f>
        <v>23.8</v>
      </c>
      <c r="CX106" s="44">
        <f>AU106</f>
        <v>38.299999999999997</v>
      </c>
      <c r="CY106" s="44">
        <f>AW106</f>
        <v>48.3</v>
      </c>
      <c r="CZ106" s="45">
        <f>AY106</f>
        <v>47.7</v>
      </c>
      <c r="DA106" s="44">
        <f>BA106</f>
        <v>41.719904513160706</v>
      </c>
      <c r="DB106" s="44">
        <f>BC106</f>
        <v>38.103242169263794</v>
      </c>
      <c r="DC106" s="44">
        <f>BE106</f>
        <v>36.011466385004603</v>
      </c>
      <c r="DD106" s="44">
        <f>BG106</f>
        <v>35.03838949120631</v>
      </c>
      <c r="DE106" s="44">
        <f>BI106</f>
        <v>34.885133837340945</v>
      </c>
      <c r="DF106" s="44">
        <f>BK106</f>
        <v>35.366939703861178</v>
      </c>
      <c r="DG106" s="44">
        <f>BM106</f>
        <v>36.281551679462048</v>
      </c>
      <c r="DH106" s="44">
        <f>BO106</f>
        <v>37.510364607822211</v>
      </c>
      <c r="DI106" s="44">
        <f>BQ106</f>
        <v>38.9652746261103</v>
      </c>
    </row>
    <row r="107" spans="1:115" ht="12" hidden="1" outlineLevel="1">
      <c r="AB107" s="157"/>
      <c r="AC107" s="157"/>
      <c r="AD107" s="157"/>
      <c r="AE107" s="157"/>
      <c r="AF107" s="157"/>
      <c r="AG107" s="157"/>
      <c r="AH107" s="157"/>
      <c r="AI107" s="157"/>
      <c r="AJ107" s="416"/>
      <c r="AK107" s="416"/>
      <c r="AL107" s="42"/>
      <c r="AM107" s="42"/>
      <c r="AN107" s="42"/>
      <c r="AO107" s="42"/>
      <c r="AP107" s="42"/>
      <c r="AQ107" s="167"/>
      <c r="AR107" s="167"/>
      <c r="AS107" s="167"/>
      <c r="AT107" s="167"/>
      <c r="AU107" s="167"/>
      <c r="AV107" s="167"/>
      <c r="AW107" s="167"/>
      <c r="AX107" s="167"/>
      <c r="AY107" s="44"/>
      <c r="AZ107" s="174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CO107" s="42"/>
      <c r="CU107" s="42"/>
      <c r="DB107" s="19"/>
      <c r="DC107" s="19"/>
      <c r="DD107" s="19"/>
      <c r="DE107" s="19"/>
      <c r="DF107" s="19"/>
      <c r="DG107" s="19"/>
      <c r="DH107" s="19"/>
      <c r="DI107" s="19"/>
    </row>
    <row r="108" spans="1:115" ht="12" hidden="1" outlineLevel="1">
      <c r="B108" s="24" t="s">
        <v>570</v>
      </c>
      <c r="AD108" s="165"/>
      <c r="AH108" s="42"/>
      <c r="AI108" s="42"/>
      <c r="AJ108" s="416"/>
      <c r="AK108" s="416"/>
      <c r="AL108" s="42"/>
      <c r="AM108" s="42"/>
      <c r="AN108" s="42"/>
      <c r="AO108" s="42"/>
      <c r="AP108" s="42"/>
      <c r="AQ108" s="167"/>
      <c r="AR108" s="167"/>
      <c r="AS108" s="167"/>
      <c r="AT108" s="167"/>
      <c r="AU108" s="167"/>
      <c r="AV108" s="167"/>
      <c r="AW108" s="167"/>
      <c r="AX108" s="518"/>
      <c r="AY108" s="518"/>
      <c r="AZ108" s="174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CT108" s="42"/>
      <c r="CU108" s="42"/>
      <c r="CV108" s="42"/>
      <c r="CW108" s="42"/>
      <c r="CX108" s="42"/>
      <c r="CY108" s="42"/>
      <c r="DB108" s="19"/>
      <c r="DC108" s="19"/>
      <c r="DD108" s="19"/>
      <c r="DE108" s="19"/>
      <c r="DF108" s="19"/>
      <c r="DG108" s="19"/>
      <c r="DH108" s="19"/>
      <c r="DI108" s="19"/>
      <c r="DJ108" s="544"/>
    </row>
    <row r="109" spans="1:115" ht="12" hidden="1" outlineLevel="1">
      <c r="A109" s="1" t="s">
        <v>460</v>
      </c>
      <c r="B109" s="19" t="s">
        <v>486</v>
      </c>
      <c r="C109" s="601"/>
      <c r="D109" s="601"/>
      <c r="E109" s="601"/>
      <c r="F109" s="601"/>
      <c r="G109" s="601"/>
      <c r="H109" s="601"/>
      <c r="I109" s="601"/>
      <c r="J109" s="601"/>
      <c r="K109" s="601"/>
      <c r="L109" s="601"/>
      <c r="M109" s="601"/>
      <c r="N109" s="601"/>
      <c r="O109" s="601"/>
      <c r="P109" s="601"/>
      <c r="Q109" s="601"/>
      <c r="R109" s="601"/>
      <c r="S109" s="601"/>
      <c r="T109" s="416"/>
      <c r="U109" s="601"/>
      <c r="V109" s="601"/>
      <c r="W109" s="601"/>
      <c r="X109" s="601"/>
      <c r="Y109" s="416"/>
      <c r="Z109" s="416"/>
      <c r="AA109" s="416"/>
      <c r="AB109" s="416"/>
      <c r="AC109" s="416"/>
      <c r="AD109" s="416"/>
      <c r="AE109" s="416"/>
      <c r="AF109" s="416"/>
      <c r="AG109" s="416"/>
      <c r="AH109" s="416"/>
      <c r="AI109" s="416"/>
      <c r="AJ109" s="416"/>
      <c r="AK109" s="416"/>
      <c r="AL109" s="416"/>
      <c r="AM109" s="416"/>
      <c r="AN109" s="416"/>
      <c r="AO109" s="416"/>
      <c r="AP109" s="167">
        <f t="shared" ref="AP109:AR109" si="533">-AP467*AP$5/AP232</f>
        <v>0</v>
      </c>
      <c r="AQ109" s="167">
        <f t="shared" si="533"/>
        <v>0</v>
      </c>
      <c r="AR109" s="167">
        <f t="shared" si="533"/>
        <v>0</v>
      </c>
      <c r="AS109" s="167">
        <f t="shared" ref="AS109:AT109" si="534">-AS467*AS$5/AS232</f>
        <v>0</v>
      </c>
      <c r="AT109" s="167">
        <f t="shared" si="534"/>
        <v>0</v>
      </c>
      <c r="AU109" s="167">
        <f t="shared" ref="AU109:AV109" si="535">-AU467*AU$5/AU232</f>
        <v>0</v>
      </c>
      <c r="AV109" s="167">
        <f t="shared" si="535"/>
        <v>0</v>
      </c>
      <c r="AW109" s="167">
        <f t="shared" ref="AW109:AX109" si="536">-AW467*AW$5/AW232</f>
        <v>0</v>
      </c>
      <c r="AX109" s="167">
        <f t="shared" si="536"/>
        <v>0</v>
      </c>
      <c r="AY109" s="167">
        <f t="shared" ref="AY109:AZ109" si="537">-AY467*AY$5/AY232</f>
        <v>0</v>
      </c>
      <c r="AZ109" s="174">
        <f t="shared" si="537"/>
        <v>0</v>
      </c>
      <c r="BA109" s="499">
        <f t="shared" ref="BA109:BC109" si="538">AZ109</f>
        <v>0</v>
      </c>
      <c r="BB109" s="499">
        <f t="shared" si="538"/>
        <v>0</v>
      </c>
      <c r="BC109" s="499">
        <f t="shared" si="538"/>
        <v>0</v>
      </c>
      <c r="BD109" s="499">
        <f t="shared" ref="BD109:BO110" si="539">BC109</f>
        <v>0</v>
      </c>
      <c r="BE109" s="499">
        <f t="shared" si="539"/>
        <v>0</v>
      </c>
      <c r="BF109" s="499">
        <f t="shared" si="539"/>
        <v>0</v>
      </c>
      <c r="BG109" s="499">
        <f t="shared" si="539"/>
        <v>0</v>
      </c>
      <c r="BH109" s="499">
        <f t="shared" si="539"/>
        <v>0</v>
      </c>
      <c r="BI109" s="499">
        <f t="shared" si="539"/>
        <v>0</v>
      </c>
      <c r="BJ109" s="499">
        <f t="shared" si="539"/>
        <v>0</v>
      </c>
      <c r="BK109" s="499">
        <f t="shared" si="539"/>
        <v>0</v>
      </c>
      <c r="BL109" s="499">
        <f t="shared" si="539"/>
        <v>0</v>
      </c>
      <c r="BM109" s="499">
        <f t="shared" si="539"/>
        <v>0</v>
      </c>
      <c r="BN109" s="499">
        <f t="shared" si="539"/>
        <v>0</v>
      </c>
      <c r="BO109" s="499">
        <f t="shared" si="539"/>
        <v>0</v>
      </c>
      <c r="BP109" s="499">
        <f t="shared" ref="BP109:BP111" si="540">BO109</f>
        <v>0</v>
      </c>
      <c r="BQ109" s="499">
        <f t="shared" ref="BQ109:BQ111" si="541">BP109</f>
        <v>0</v>
      </c>
      <c r="BR109" s="166"/>
      <c r="BS109" s="166"/>
      <c r="BT109" s="417"/>
      <c r="BU109" s="417"/>
      <c r="BV109" s="417"/>
      <c r="BW109" s="417"/>
      <c r="BX109" s="417"/>
      <c r="BY109" s="417"/>
      <c r="BZ109" s="417"/>
      <c r="CA109" s="417"/>
      <c r="CB109" s="417"/>
      <c r="CC109" s="417"/>
      <c r="CD109" s="417"/>
      <c r="CE109" s="417"/>
      <c r="CF109" s="417"/>
      <c r="CG109" s="417"/>
      <c r="CH109" s="417"/>
      <c r="CI109" s="166"/>
      <c r="CJ109" s="166"/>
      <c r="CK109" s="166"/>
      <c r="CL109" s="166"/>
      <c r="CM109" s="167"/>
      <c r="CN109" s="167"/>
      <c r="CO109" s="167"/>
      <c r="CP109" s="167"/>
      <c r="CQ109" s="167"/>
      <c r="CR109" s="167"/>
      <c r="CS109" s="167"/>
      <c r="CT109" s="167">
        <f t="shared" ref="CT109:DG109" si="542">-CT467*CT$5/CT232</f>
        <v>0</v>
      </c>
      <c r="CU109" s="167">
        <f t="shared" si="542"/>
        <v>0</v>
      </c>
      <c r="CV109" s="167">
        <f t="shared" si="542"/>
        <v>0</v>
      </c>
      <c r="CW109" s="167">
        <f t="shared" si="542"/>
        <v>0</v>
      </c>
      <c r="CX109" s="167">
        <f t="shared" si="542"/>
        <v>0</v>
      </c>
      <c r="CY109" s="167">
        <f t="shared" ref="CY109" si="543">-CY467*CY$5/CY232</f>
        <v>0</v>
      </c>
      <c r="CZ109" s="174">
        <f t="shared" si="542"/>
        <v>0</v>
      </c>
      <c r="DA109" s="166">
        <f t="shared" si="542"/>
        <v>0</v>
      </c>
      <c r="DB109" s="166">
        <f t="shared" si="542"/>
        <v>0</v>
      </c>
      <c r="DC109" s="166">
        <f t="shared" si="542"/>
        <v>0</v>
      </c>
      <c r="DD109" s="166">
        <f t="shared" si="542"/>
        <v>0</v>
      </c>
      <c r="DE109" s="166">
        <f t="shared" si="542"/>
        <v>0</v>
      </c>
      <c r="DF109" s="166">
        <f t="shared" si="542"/>
        <v>0</v>
      </c>
      <c r="DG109" s="166">
        <f t="shared" si="542"/>
        <v>0</v>
      </c>
      <c r="DH109" s="166">
        <f t="shared" ref="DH109:DI109" si="544">-DH467*DH$5/DH232</f>
        <v>0</v>
      </c>
      <c r="DI109" s="166">
        <f t="shared" si="544"/>
        <v>0</v>
      </c>
      <c r="DJ109" s="545"/>
      <c r="DK109" s="545"/>
    </row>
    <row r="110" spans="1:115" ht="12" hidden="1" outlineLevel="1">
      <c r="A110" s="1" t="s">
        <v>461</v>
      </c>
      <c r="B110" s="19" t="s">
        <v>488</v>
      </c>
      <c r="C110" s="601"/>
      <c r="D110" s="601"/>
      <c r="E110" s="601"/>
      <c r="F110" s="601"/>
      <c r="G110" s="601"/>
      <c r="H110" s="601"/>
      <c r="I110" s="601"/>
      <c r="J110" s="601"/>
      <c r="K110" s="601"/>
      <c r="L110" s="601"/>
      <c r="M110" s="601"/>
      <c r="N110" s="601"/>
      <c r="O110" s="601"/>
      <c r="P110" s="601"/>
      <c r="Q110" s="601"/>
      <c r="R110" s="601"/>
      <c r="S110" s="601"/>
      <c r="T110" s="416"/>
      <c r="U110" s="601"/>
      <c r="V110" s="601"/>
      <c r="W110" s="601"/>
      <c r="X110" s="601"/>
      <c r="Y110" s="416"/>
      <c r="Z110" s="416"/>
      <c r="AA110" s="416"/>
      <c r="AB110" s="416"/>
      <c r="AC110" s="416"/>
      <c r="AD110" s="416"/>
      <c r="AE110" s="416"/>
      <c r="AF110" s="416"/>
      <c r="AG110" s="416"/>
      <c r="AH110" s="416"/>
      <c r="AI110" s="416"/>
      <c r="AJ110" s="416"/>
      <c r="AK110" s="416"/>
      <c r="AL110" s="416"/>
      <c r="AM110" s="416"/>
      <c r="AN110" s="416"/>
      <c r="AO110" s="416"/>
      <c r="AP110" s="167">
        <f t="shared" ref="AP110" si="545">-AP468*AP$5/(AP237-AP232-((SUM(AVERAGE(AO160:AP160),AVERAGE(AO166:AP166),AVERAGE(AO172:AP172))/AVERAGE(AO178:AP178))*AP234))</f>
        <v>0</v>
      </c>
      <c r="AQ110" s="167">
        <f t="shared" ref="AQ110" si="546">-AQ468*AQ$5/(AQ237-AQ232-((SUM(AVERAGE(AP160:AQ160),AVERAGE(AP166:AQ166),AVERAGE(AP172:AQ172))/AVERAGE(AP178:AQ178))*AQ234))</f>
        <v>0</v>
      </c>
      <c r="AR110" s="167">
        <f t="shared" ref="AR110:AZ110" si="547">-AR468*AR$5/(AR237-AR232-((SUM(AVERAGE(AQ160:AR160),AVERAGE(AQ166:AR166),AVERAGE(AQ172:AR172))/AVERAGE(AQ178:AR178))*AR234))</f>
        <v>0</v>
      </c>
      <c r="AS110" s="167">
        <f t="shared" si="547"/>
        <v>2.2087143336980437E-3</v>
      </c>
      <c r="AT110" s="167">
        <f t="shared" si="547"/>
        <v>0</v>
      </c>
      <c r="AU110" s="167">
        <f t="shared" si="547"/>
        <v>1.4273119989962222E-3</v>
      </c>
      <c r="AV110" s="167">
        <f t="shared" si="547"/>
        <v>1.4058613835114463E-3</v>
      </c>
      <c r="AW110" s="167">
        <f t="shared" si="547"/>
        <v>5.6162761415218254E-3</v>
      </c>
      <c r="AX110" s="167">
        <f t="shared" si="547"/>
        <v>3.5999972808500418E-3</v>
      </c>
      <c r="AY110" s="167">
        <f t="shared" si="547"/>
        <v>3.8523676625207845E-3</v>
      </c>
      <c r="AZ110" s="174">
        <f t="shared" si="547"/>
        <v>5.7022160968498228E-3</v>
      </c>
      <c r="BA110" s="661">
        <f t="shared" ref="BA110" si="548">AZ110+0.05%</f>
        <v>6.2022160968498233E-3</v>
      </c>
      <c r="BB110" s="661">
        <f>BA110+0.04%</f>
        <v>6.6022160968498235E-3</v>
      </c>
      <c r="BC110" s="661">
        <f t="shared" ref="BC110:BE110" si="549">BB110+0.04%</f>
        <v>7.0022160968498236E-3</v>
      </c>
      <c r="BD110" s="661">
        <f t="shared" si="549"/>
        <v>7.4022160968498238E-3</v>
      </c>
      <c r="BE110" s="661">
        <f t="shared" si="549"/>
        <v>7.802216096849824E-3</v>
      </c>
      <c r="BF110" s="661">
        <f>BE110-0.04%</f>
        <v>7.4022160968498238E-3</v>
      </c>
      <c r="BG110" s="661">
        <f t="shared" ref="BG110:BI110" si="550">BF110-0.04%</f>
        <v>7.0022160968498236E-3</v>
      </c>
      <c r="BH110" s="661">
        <f t="shared" si="550"/>
        <v>6.6022160968498235E-3</v>
      </c>
      <c r="BI110" s="661">
        <f t="shared" si="550"/>
        <v>6.2022160968498233E-3</v>
      </c>
      <c r="BJ110" s="661">
        <f>BI110-0.02%</f>
        <v>6.0022160968498236E-3</v>
      </c>
      <c r="BK110" s="661">
        <f>BJ110</f>
        <v>6.0022160968498236E-3</v>
      </c>
      <c r="BL110" s="661">
        <f t="shared" si="539"/>
        <v>6.0022160968498236E-3</v>
      </c>
      <c r="BM110" s="661">
        <f t="shared" si="539"/>
        <v>6.0022160968498236E-3</v>
      </c>
      <c r="BN110" s="661">
        <f t="shared" si="539"/>
        <v>6.0022160968498236E-3</v>
      </c>
      <c r="BO110" s="661">
        <f t="shared" si="539"/>
        <v>6.0022160968498236E-3</v>
      </c>
      <c r="BP110" s="661">
        <f t="shared" si="540"/>
        <v>6.0022160968498236E-3</v>
      </c>
      <c r="BQ110" s="661">
        <f t="shared" si="541"/>
        <v>6.0022160968498236E-3</v>
      </c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7"/>
      <c r="CN110" s="167"/>
      <c r="CO110" s="167"/>
      <c r="CP110" s="167"/>
      <c r="CQ110" s="167"/>
      <c r="CR110" s="167"/>
      <c r="CS110" s="167"/>
      <c r="CT110" s="167">
        <f t="shared" ref="CT110:CV110" si="551">-CT468*CT$5/(CT237-CT232-((SUM(AVERAGE(CS160:CT160),AVERAGE(CS166:CT166),AVERAGE(CS172:CT172))/AVERAGE(CS178:CT178))*CT234))</f>
        <v>0</v>
      </c>
      <c r="CU110" s="167">
        <f t="shared" si="551"/>
        <v>0</v>
      </c>
      <c r="CV110" s="167">
        <f t="shared" si="551"/>
        <v>0</v>
      </c>
      <c r="CW110" s="167">
        <f t="shared" ref="CW110:DG110" si="552">-CW468*CW$5/(CW237-CW232-((SUM(AVERAGE(CW160:CW160),AVERAGE(CW166:CW166),AVERAGE(CW172:CW172))/AVERAGE(CW178:CW178))*CW234))</f>
        <v>1.2369382653590428E-3</v>
      </c>
      <c r="CX110" s="167">
        <f t="shared" si="552"/>
        <v>7.6879963270786171E-4</v>
      </c>
      <c r="CY110" s="167">
        <f t="shared" ref="CY110" si="553">-CY468*CY$5/(CY237-CY232-((SUM(AVERAGE(CY160:CY160),AVERAGE(CY166:CY166),AVERAGE(CY172:CY172))/AVERAGE(CY178:CY178))*CY234))</f>
        <v>3.5704916401686766E-3</v>
      </c>
      <c r="CZ110" s="174">
        <f t="shared" si="552"/>
        <v>3.7287612744439625E-3</v>
      </c>
      <c r="DA110" s="166">
        <f t="shared" si="552"/>
        <v>5.9611853956945179E-3</v>
      </c>
      <c r="DB110" s="166">
        <f t="shared" si="552"/>
        <v>6.8084972659604795E-3</v>
      </c>
      <c r="DC110" s="166">
        <f t="shared" si="552"/>
        <v>7.6085873592407899E-3</v>
      </c>
      <c r="DD110" s="166">
        <f t="shared" si="552"/>
        <v>7.1968534874249724E-3</v>
      </c>
      <c r="DE110" s="166">
        <f t="shared" si="552"/>
        <v>6.3977280495795029E-3</v>
      </c>
      <c r="DF110" s="166">
        <f t="shared" si="552"/>
        <v>6.002216096849821E-3</v>
      </c>
      <c r="DG110" s="166">
        <f t="shared" si="552"/>
        <v>6.0022160968498254E-3</v>
      </c>
      <c r="DH110" s="166">
        <f t="shared" ref="DH110:DI110" si="554">-DH468*DH$5/(DH237-DH232-((SUM(AVERAGE(DH160:DH160),AVERAGE(DH166:DH166),AVERAGE(DH172:DH172))/AVERAGE(DH178:DH178))*DH234))</f>
        <v>6.0022160968498236E-3</v>
      </c>
      <c r="DI110" s="166">
        <f t="shared" si="554"/>
        <v>6.0022160968498236E-3</v>
      </c>
      <c r="DJ110" s="544"/>
      <c r="DK110" s="544"/>
    </row>
    <row r="111" spans="1:115" ht="12" hidden="1" outlineLevel="1">
      <c r="A111" s="1" t="s">
        <v>462</v>
      </c>
      <c r="B111" s="19" t="s">
        <v>487</v>
      </c>
      <c r="C111" s="601"/>
      <c r="D111" s="601"/>
      <c r="E111" s="601"/>
      <c r="F111" s="601"/>
      <c r="G111" s="601"/>
      <c r="H111" s="601"/>
      <c r="I111" s="601"/>
      <c r="J111" s="601"/>
      <c r="K111" s="601"/>
      <c r="L111" s="601"/>
      <c r="M111" s="601"/>
      <c r="N111" s="601"/>
      <c r="O111" s="601"/>
      <c r="P111" s="601"/>
      <c r="Q111" s="601"/>
      <c r="R111" s="601"/>
      <c r="S111" s="601"/>
      <c r="T111" s="416"/>
      <c r="U111" s="601"/>
      <c r="V111" s="601"/>
      <c r="W111" s="601"/>
      <c r="X111" s="601"/>
      <c r="Y111" s="416"/>
      <c r="Z111" s="416"/>
      <c r="AA111" s="416"/>
      <c r="AB111" s="416"/>
      <c r="AC111" s="416"/>
      <c r="AD111" s="416"/>
      <c r="AE111" s="416"/>
      <c r="AF111" s="416"/>
      <c r="AG111" s="416"/>
      <c r="AH111" s="416"/>
      <c r="AI111" s="416"/>
      <c r="AJ111" s="416"/>
      <c r="AK111" s="416"/>
      <c r="AL111" s="416"/>
      <c r="AM111" s="416"/>
      <c r="AN111" s="416"/>
      <c r="AO111" s="416"/>
      <c r="AP111" s="167" t="str">
        <f t="shared" ref="AP111" si="555">IF(ISERROR(-AP469*AP$5/((SUM(AVERAGE(AO160:AP160),AVERAGE(AO166:AP166),AVERAGE(AO172:AP172))/AVERAGE(AO178:AP178))*AP234)),"n.a.",-AP469*AP$5/((SUM(AVERAGE(AO160:AP160),AVERAGE(AO166:AP166),AVERAGE(AO172:AP172))/AVERAGE(AO178:AP178))*AP234))</f>
        <v>n.a.</v>
      </c>
      <c r="AQ111" s="167" t="str">
        <f t="shared" ref="AQ111" si="556">IF(ISERROR(-AQ469*AQ$5/((SUM(AVERAGE(AP160:AQ160),AVERAGE(AP166:AQ166),AVERAGE(AP172:AQ172))/AVERAGE(AP178:AQ178))*AQ234)),"n.a.",-AQ469*AQ$5/((SUM(AVERAGE(AP160:AQ160),AVERAGE(AP166:AQ166),AVERAGE(AP172:AQ172))/AVERAGE(AP178:AQ178))*AQ234))</f>
        <v>n.a.</v>
      </c>
      <c r="AR111" s="167" t="str">
        <f t="shared" ref="AR111:AZ111" si="557">IF(ISERROR(-AR469*AR$5/((SUM(AVERAGE(AQ160:AR160),AVERAGE(AQ166:AR166),AVERAGE(AQ172:AR172))/AVERAGE(AQ178:AR178))*AR234)),"n.a.",-AR469*AR$5/((SUM(AVERAGE(AQ160:AR160),AVERAGE(AQ166:AR166),AVERAGE(AQ172:AR172))/AVERAGE(AQ178:AR178))*AR234))</f>
        <v>n.a.</v>
      </c>
      <c r="AS111" s="167" t="str">
        <f t="shared" si="557"/>
        <v>n.a.</v>
      </c>
      <c r="AT111" s="167" t="str">
        <f t="shared" si="557"/>
        <v>n.a.</v>
      </c>
      <c r="AU111" s="167" t="str">
        <f t="shared" si="557"/>
        <v>n.a.</v>
      </c>
      <c r="AV111" s="167" t="str">
        <f t="shared" si="557"/>
        <v>n.a.</v>
      </c>
      <c r="AW111" s="167" t="str">
        <f t="shared" si="557"/>
        <v>n.a.</v>
      </c>
      <c r="AX111" s="167" t="str">
        <f t="shared" si="557"/>
        <v>n.a.</v>
      </c>
      <c r="AY111" s="167" t="str">
        <f t="shared" si="557"/>
        <v>n.a.</v>
      </c>
      <c r="AZ111" s="174" t="str">
        <f t="shared" si="557"/>
        <v>n.a.</v>
      </c>
      <c r="BA111" s="499">
        <v>0</v>
      </c>
      <c r="BB111" s="499">
        <f t="shared" ref="BB111:BM111" si="558">BA111</f>
        <v>0</v>
      </c>
      <c r="BC111" s="499">
        <f t="shared" si="558"/>
        <v>0</v>
      </c>
      <c r="BD111" s="499">
        <f t="shared" si="558"/>
        <v>0</v>
      </c>
      <c r="BE111" s="499">
        <f t="shared" si="558"/>
        <v>0</v>
      </c>
      <c r="BF111" s="499">
        <f t="shared" si="558"/>
        <v>0</v>
      </c>
      <c r="BG111" s="499">
        <f t="shared" si="558"/>
        <v>0</v>
      </c>
      <c r="BH111" s="499">
        <f t="shared" si="558"/>
        <v>0</v>
      </c>
      <c r="BI111" s="499">
        <f t="shared" si="558"/>
        <v>0</v>
      </c>
      <c r="BJ111" s="499">
        <f t="shared" si="558"/>
        <v>0</v>
      </c>
      <c r="BK111" s="499">
        <f t="shared" si="558"/>
        <v>0</v>
      </c>
      <c r="BL111" s="499">
        <f t="shared" si="558"/>
        <v>0</v>
      </c>
      <c r="BM111" s="499">
        <f t="shared" si="558"/>
        <v>0</v>
      </c>
      <c r="BN111" s="499">
        <f t="shared" ref="BN111:BO111" si="559">BM111</f>
        <v>0</v>
      </c>
      <c r="BO111" s="499">
        <f t="shared" si="559"/>
        <v>0</v>
      </c>
      <c r="BP111" s="499">
        <f t="shared" si="540"/>
        <v>0</v>
      </c>
      <c r="BQ111" s="499">
        <f t="shared" si="541"/>
        <v>0</v>
      </c>
      <c r="BR111" s="166"/>
      <c r="BS111" s="166"/>
      <c r="BT111" s="417"/>
      <c r="BU111" s="417"/>
      <c r="BV111" s="417"/>
      <c r="BW111" s="417"/>
      <c r="BX111" s="417"/>
      <c r="BY111" s="417"/>
      <c r="BZ111" s="417"/>
      <c r="CA111" s="417"/>
      <c r="CB111" s="417"/>
      <c r="CC111" s="417"/>
      <c r="CD111" s="417"/>
      <c r="CE111" s="417"/>
      <c r="CF111" s="417"/>
      <c r="CG111" s="417"/>
      <c r="CH111" s="417"/>
      <c r="CI111" s="166"/>
      <c r="CJ111" s="166"/>
      <c r="CK111" s="166"/>
      <c r="CL111" s="166"/>
      <c r="CM111" s="167"/>
      <c r="CN111" s="167"/>
      <c r="CO111" s="167"/>
      <c r="CP111" s="167"/>
      <c r="CQ111" s="167"/>
      <c r="CR111" s="167"/>
      <c r="CS111" s="167"/>
      <c r="CT111" s="167" t="str">
        <f>IF(ISERROR(-CT469*CT$5/((SUM(AVERAGE(CS160:CT160),AVERAGE(CS166:CT166),AVERAGE(CS172:CT172))/AVERAGE(CS178:CT178))*CT234)),"n.a.",-CT469*CT$5/((SUM(AVERAGE(CS160:CT160),AVERAGE(CS166:CT166),AVERAGE(CS172:CT172))/AVERAGE(CS178:CT178))*CT234))</f>
        <v>n.a.</v>
      </c>
      <c r="CU111" s="167" t="str">
        <f t="shared" ref="CU111:CV111" si="560">IF(ISERROR(-CU469*CU$5/((SUM(AVERAGE(CT160:CU160),AVERAGE(CT166:CU166),AVERAGE(CT172:CU172))/AVERAGE(CT178:CU178))*CU234)),"n.a.",-CU469*CU$5/((SUM(AVERAGE(CT160:CU160),AVERAGE(CT166:CU166),AVERAGE(CT172:CU172))/AVERAGE(CT178:CU178))*CU234))</f>
        <v>n.a.</v>
      </c>
      <c r="CV111" s="167" t="str">
        <f t="shared" si="560"/>
        <v>n.a.</v>
      </c>
      <c r="CW111" s="167" t="str">
        <f t="shared" ref="CW111" si="561">IF(ISERROR(-CW469*CW$5/((SUM(AVERAGE(CV160:CW160),AVERAGE(CV166:CW166),AVERAGE(CV172:CW172))/AVERAGE(CV178:CW178))*CW234)),"n.a.",-CW469*CW$5/((SUM(AVERAGE(CV160:CW160),AVERAGE(CV166:CW166),AVERAGE(CV172:CW172))/AVERAGE(CV178:CW178))*CW234))</f>
        <v>n.a.</v>
      </c>
      <c r="CX111" s="167" t="str">
        <f t="shared" ref="CX111:CY111" si="562">IF(ISERROR(-CX469*CX$5/((SUM(AVERAGE(CW160:CX160),AVERAGE(CW166:CX166),AVERAGE(CW172:CX172))/AVERAGE(CW178:CX178))*CX234)),"n.a.",-CX469*CX$5/((SUM(AVERAGE(CW160:CX160),AVERAGE(CW166:CX166),AVERAGE(CW172:CX172))/AVERAGE(CW178:CX178))*CX234))</f>
        <v>n.a.</v>
      </c>
      <c r="CY111" s="167" t="str">
        <f t="shared" si="562"/>
        <v>n.a.</v>
      </c>
      <c r="CZ111" s="174" t="str">
        <f t="shared" ref="CZ111" si="563">IF(ISERROR(-CZ469*CZ$5/((SUM(AVERAGE(CY160:CZ160),AVERAGE(CY166:CZ166),AVERAGE(CY172:CZ172))/AVERAGE(CY178:CZ178))*CZ234)),"n.a.",-CZ469*CZ$5/((SUM(AVERAGE(CY160:CZ160),AVERAGE(CY166:CZ166),AVERAGE(CY172:CZ172))/AVERAGE(CY178:CZ178))*CZ234))</f>
        <v>n.a.</v>
      </c>
      <c r="DA111" s="167" t="str">
        <f t="shared" ref="DA111" si="564">IF(ISERROR(-DA469*DA$5/((SUM(AVERAGE(CZ160:DA160),AVERAGE(CZ166:DA166),AVERAGE(CZ172:DA172))/AVERAGE(CZ178:DA178))*DA234)),"n.a.",-DA469*DA$5/((SUM(AVERAGE(CZ160:DA160),AVERAGE(CZ166:DA166),AVERAGE(CZ172:DA172))/AVERAGE(CZ178:DA178))*DA234))</f>
        <v>n.a.</v>
      </c>
      <c r="DB111" s="167" t="str">
        <f t="shared" ref="DB111" si="565">IF(ISERROR(-DB469*DB$5/((SUM(AVERAGE(DA160:DB160),AVERAGE(DA166:DB166),AVERAGE(DA172:DB172))/AVERAGE(DA178:DB178))*DB234)),"n.a.",-DB469*DB$5/((SUM(AVERAGE(DA160:DB160),AVERAGE(DA166:DB166),AVERAGE(DA172:DB172))/AVERAGE(DA178:DB178))*DB234))</f>
        <v>n.a.</v>
      </c>
      <c r="DC111" s="167" t="str">
        <f t="shared" ref="DC111" si="566">IF(ISERROR(-DC469*DC$5/((SUM(AVERAGE(DB160:DC160),AVERAGE(DB166:DC166),AVERAGE(DB172:DC172))/AVERAGE(DB178:DC178))*DC234)),"n.a.",-DC469*DC$5/((SUM(AVERAGE(DB160:DC160),AVERAGE(DB166:DC166),AVERAGE(DB172:DC172))/AVERAGE(DB178:DC178))*DC234))</f>
        <v>n.a.</v>
      </c>
      <c r="DD111" s="167" t="str">
        <f t="shared" ref="DD111" si="567">IF(ISERROR(-DD469*DD$5/((SUM(AVERAGE(DC160:DD160),AVERAGE(DC166:DD166),AVERAGE(DC172:DD172))/AVERAGE(DC178:DD178))*DD234)),"n.a.",-DD469*DD$5/((SUM(AVERAGE(DC160:DD160),AVERAGE(DC166:DD166),AVERAGE(DC172:DD172))/AVERAGE(DC178:DD178))*DD234))</f>
        <v>n.a.</v>
      </c>
      <c r="DE111" s="167" t="str">
        <f t="shared" ref="DE111" si="568">IF(ISERROR(-DE469*DE$5/((SUM(AVERAGE(DD160:DE160),AVERAGE(DD166:DE166),AVERAGE(DD172:DE172))/AVERAGE(DD178:DE178))*DE234)),"n.a.",-DE469*DE$5/((SUM(AVERAGE(DD160:DE160),AVERAGE(DD166:DE166),AVERAGE(DD172:DE172))/AVERAGE(DD178:DE178))*DE234))</f>
        <v>n.a.</v>
      </c>
      <c r="DF111" s="167" t="str">
        <f t="shared" ref="DF111" si="569">IF(ISERROR(-DF469*DF$5/((SUM(AVERAGE(DE160:DF160),AVERAGE(DE166:DF166),AVERAGE(DE172:DF172))/AVERAGE(DE178:DF178))*DF234)),"n.a.",-DF469*DF$5/((SUM(AVERAGE(DE160:DF160),AVERAGE(DE166:DF166),AVERAGE(DE172:DF172))/AVERAGE(DE178:DF178))*DF234))</f>
        <v>n.a.</v>
      </c>
      <c r="DG111" s="167" t="str">
        <f>IF(ISERROR(-DG469*#REF!/((SUM(AVERAGE(DG160:DG160),AVERAGE(DG166:DG166),AVERAGE(DG172:DG172))/AVERAGE(DG178:DG178))*DG234)),"n.a.",-DG469*#REF!/((SUM(AVERAGE(DG160:DG160),AVERAGE(DG166:DG166),AVERAGE(DG172:DG172))/AVERAGE(DG178:DG178))*DG234))</f>
        <v>n.a.</v>
      </c>
      <c r="DH111" s="167" t="str">
        <f>IF(ISERROR(-DH469*#REF!/((SUM(AVERAGE(DH160:DH160),AVERAGE(DH166:DH166),AVERAGE(DH172:DH172))/AVERAGE(DH178:DH178))*DH234)),"n.a.",-DH469*#REF!/((SUM(AVERAGE(DH160:DH160),AVERAGE(DH166:DH166),AVERAGE(DH172:DH172))/AVERAGE(DH178:DH178))*DH234))</f>
        <v>n.a.</v>
      </c>
      <c r="DI111" s="167" t="str">
        <f>IF(ISERROR(-DI469*DJ$5/((SUM(AVERAGE(DI160:DI160),AVERAGE(DI166:DI166),AVERAGE(DI172:DI172))/AVERAGE(DI178:DI178))*DI234)),"n.a.",-DI469*DJ$5/((SUM(AVERAGE(DI160:DI160),AVERAGE(DI166:DI166),AVERAGE(DI172:DI172))/AVERAGE(DI178:DI178))*DI234))</f>
        <v>n.a.</v>
      </c>
      <c r="DJ111" s="545"/>
      <c r="DK111" s="545"/>
    </row>
    <row r="112" spans="1:115" ht="12" hidden="1" outlineLevel="1">
      <c r="A112" s="1" t="s">
        <v>463</v>
      </c>
      <c r="B112" s="19" t="s">
        <v>859</v>
      </c>
      <c r="C112" s="601"/>
      <c r="D112" s="601"/>
      <c r="E112" s="601"/>
      <c r="F112" s="601"/>
      <c r="G112" s="601"/>
      <c r="H112" s="601"/>
      <c r="I112" s="601"/>
      <c r="J112" s="601"/>
      <c r="K112" s="601"/>
      <c r="L112" s="601"/>
      <c r="M112" s="601"/>
      <c r="N112" s="601"/>
      <c r="O112" s="601"/>
      <c r="P112" s="601"/>
      <c r="Q112" s="601"/>
      <c r="R112" s="601"/>
      <c r="S112" s="601"/>
      <c r="T112" s="416"/>
      <c r="U112" s="601"/>
      <c r="V112" s="601"/>
      <c r="W112" s="601"/>
      <c r="X112" s="601"/>
      <c r="Y112" s="416"/>
      <c r="Z112" s="416"/>
      <c r="AA112" s="416"/>
      <c r="AB112" s="416"/>
      <c r="AC112" s="416"/>
      <c r="AD112" s="416"/>
      <c r="AE112" s="416"/>
      <c r="AF112" s="416"/>
      <c r="AG112" s="416"/>
      <c r="AH112" s="416"/>
      <c r="AI112" s="416"/>
      <c r="AJ112" s="416"/>
      <c r="AK112" s="416"/>
      <c r="AL112" s="416"/>
      <c r="AM112" s="416"/>
      <c r="AN112" s="416"/>
      <c r="AO112" s="416"/>
      <c r="AP112" s="167">
        <f t="shared" ref="AP112:AR112" si="570">-AP470/AP237*AP$5</f>
        <v>0</v>
      </c>
      <c r="AQ112" s="167">
        <f t="shared" si="570"/>
        <v>0</v>
      </c>
      <c r="AR112" s="167">
        <f t="shared" si="570"/>
        <v>0</v>
      </c>
      <c r="AS112" s="167">
        <f t="shared" ref="AS112:AT112" si="571">-AS470/AS237*AS$5</f>
        <v>1.9840069247943942E-3</v>
      </c>
      <c r="AT112" s="167">
        <f t="shared" si="571"/>
        <v>0</v>
      </c>
      <c r="AU112" s="167">
        <f t="shared" ref="AU112:AV112" si="572">-AU470/AU237*AU$5</f>
        <v>1.2775814145019047E-3</v>
      </c>
      <c r="AV112" s="167">
        <f t="shared" si="572"/>
        <v>1.2551732155312717E-3</v>
      </c>
      <c r="AW112" s="167">
        <f t="shared" ref="AW112:AX112" si="573">-AW470/AW237*AW$5</f>
        <v>5.0144349964816749E-3</v>
      </c>
      <c r="AX112" s="167">
        <f t="shared" si="573"/>
        <v>3.2342863894139892E-3</v>
      </c>
      <c r="AY112" s="167">
        <f>-AY470/AY237*AY$5</f>
        <v>3.4871680551802433E-3</v>
      </c>
      <c r="AZ112" s="174">
        <f>-AZ470/AZ237*AZ$5</f>
        <v>5.1889586541878927E-3</v>
      </c>
      <c r="BA112" s="166">
        <f t="shared" ref="BA112:BI112" si="574">-BA470/BA237*BA$5</f>
        <v>5.6821170343622478E-3</v>
      </c>
      <c r="BB112" s="166">
        <f t="shared" si="574"/>
        <v>6.0715056219324895E-3</v>
      </c>
      <c r="BC112" s="166">
        <f t="shared" si="574"/>
        <v>6.4693760776626565E-3</v>
      </c>
      <c r="BD112" s="166">
        <f t="shared" si="574"/>
        <v>6.8555730328502956E-3</v>
      </c>
      <c r="BE112" s="166">
        <f t="shared" si="574"/>
        <v>7.2500386516061756E-3</v>
      </c>
      <c r="BF112" s="166">
        <f t="shared" si="574"/>
        <v>6.8916883694809129E-3</v>
      </c>
      <c r="BG112" s="166">
        <f t="shared" si="574"/>
        <v>6.5392219544374418E-3</v>
      </c>
      <c r="BH112" s="166">
        <f t="shared" si="574"/>
        <v>6.1748779026420822E-3</v>
      </c>
      <c r="BI112" s="166">
        <f t="shared" si="574"/>
        <v>5.8160448220873542E-3</v>
      </c>
      <c r="BJ112" s="166">
        <f t="shared" ref="BJ112:BK112" si="575">-BJ470/BJ237*BJ$5</f>
        <v>5.6350213099360504E-3</v>
      </c>
      <c r="BK112" s="166">
        <f t="shared" si="575"/>
        <v>5.6460842704247971E-3</v>
      </c>
      <c r="BL112" s="166">
        <f t="shared" ref="BL112:BM112" si="576">-BL470/BL237*BL$5</f>
        <v>5.6493118521333792E-3</v>
      </c>
      <c r="BM112" s="166">
        <f t="shared" si="576"/>
        <v>5.6570643575953585E-3</v>
      </c>
      <c r="BN112" s="166">
        <f t="shared" ref="BN112:BO112" si="577">-BN470/BN237*BN$5</f>
        <v>5.6586226322805641E-3</v>
      </c>
      <c r="BO112" s="166">
        <f t="shared" si="577"/>
        <v>5.6646541932660515E-3</v>
      </c>
      <c r="BP112" s="166">
        <f t="shared" ref="BP112:BQ112" si="578">-BP470/BP237*BP$5</f>
        <v>5.6661801747727083E-3</v>
      </c>
      <c r="BQ112" s="166">
        <f t="shared" si="578"/>
        <v>5.672089577225147E-3</v>
      </c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7"/>
      <c r="CN112" s="167"/>
      <c r="CO112" s="167"/>
      <c r="CP112" s="167"/>
      <c r="CQ112" s="167"/>
      <c r="CR112" s="167"/>
      <c r="CS112" s="167"/>
      <c r="CT112" s="167">
        <f t="shared" ref="CT112:DE112" si="579">-CT470/CT237*CT$5</f>
        <v>0</v>
      </c>
      <c r="CU112" s="167">
        <f t="shared" si="579"/>
        <v>0</v>
      </c>
      <c r="CV112" s="167">
        <f t="shared" si="579"/>
        <v>0</v>
      </c>
      <c r="CW112" s="167">
        <f t="shared" si="579"/>
        <v>1.1104127383197151E-3</v>
      </c>
      <c r="CX112" s="167">
        <f t="shared" si="579"/>
        <v>6.8825910931174085E-4</v>
      </c>
      <c r="CY112" s="167">
        <f t="shared" ref="CY112" si="580">-CY470/CY237*CY$5</f>
        <v>3.1898420563641994E-3</v>
      </c>
      <c r="CZ112" s="174">
        <f t="shared" si="579"/>
        <v>3.3628355663755014E-3</v>
      </c>
      <c r="DA112" s="166">
        <f t="shared" si="579"/>
        <v>5.4435545287139023E-3</v>
      </c>
      <c r="DB112" s="166">
        <f t="shared" si="579"/>
        <v>6.2762263053967298E-3</v>
      </c>
      <c r="DC112" s="166">
        <f t="shared" si="579"/>
        <v>7.0587622041212777E-3</v>
      </c>
      <c r="DD112" s="166">
        <f t="shared" si="579"/>
        <v>6.7109988114975429E-3</v>
      </c>
      <c r="DE112" s="166">
        <f t="shared" si="579"/>
        <v>5.9916710370749512E-3</v>
      </c>
      <c r="DF112" s="166">
        <f t="shared" ref="DF112:DG112" si="581">-DF470/DF237*DF$5</f>
        <v>5.6406469640339334E-3</v>
      </c>
      <c r="DG112" s="166">
        <f t="shared" si="581"/>
        <v>5.6532485388981028E-3</v>
      </c>
      <c r="DH112" s="166">
        <f t="shared" ref="DH112:DI112" si="582">-DH470/DH237*DH$5</f>
        <v>5.661670336924573E-3</v>
      </c>
      <c r="DI112" s="166">
        <f t="shared" si="582"/>
        <v>5.6691662006072268E-3</v>
      </c>
      <c r="DJ112" s="544"/>
      <c r="DK112" s="544"/>
    </row>
    <row r="113" spans="1:115" ht="12" hidden="1" outlineLevel="1">
      <c r="A113" s="1" t="s">
        <v>464</v>
      </c>
      <c r="B113" s="19" t="s">
        <v>421</v>
      </c>
      <c r="C113" s="601"/>
      <c r="D113" s="601"/>
      <c r="E113" s="601"/>
      <c r="F113" s="601"/>
      <c r="G113" s="601"/>
      <c r="H113" s="601"/>
      <c r="I113" s="601"/>
      <c r="J113" s="601"/>
      <c r="K113" s="601"/>
      <c r="L113" s="601"/>
      <c r="M113" s="601"/>
      <c r="N113" s="601"/>
      <c r="O113" s="601"/>
      <c r="P113" s="601"/>
      <c r="Q113" s="601"/>
      <c r="R113" s="601"/>
      <c r="S113" s="601"/>
      <c r="T113" s="416"/>
      <c r="U113" s="601"/>
      <c r="V113" s="601"/>
      <c r="W113" s="601"/>
      <c r="X113" s="601"/>
      <c r="Y113" s="416"/>
      <c r="Z113" s="416"/>
      <c r="AA113" s="416"/>
      <c r="AB113" s="416"/>
      <c r="AC113" s="416"/>
      <c r="AD113" s="416"/>
      <c r="AE113" s="416"/>
      <c r="AF113" s="416"/>
      <c r="AG113" s="416"/>
      <c r="AH113" s="416"/>
      <c r="AI113" s="416"/>
      <c r="AJ113" s="416"/>
      <c r="AK113" s="416"/>
      <c r="AL113" s="416"/>
      <c r="AM113" s="416"/>
      <c r="AN113" s="416"/>
      <c r="AO113" s="416"/>
      <c r="AP113" s="167">
        <f t="shared" ref="AP113:AR113" si="583">-AP470/(AP233+AP235)*AP$5</f>
        <v>0</v>
      </c>
      <c r="AQ113" s="167">
        <f t="shared" si="583"/>
        <v>0</v>
      </c>
      <c r="AR113" s="167">
        <f t="shared" si="583"/>
        <v>0</v>
      </c>
      <c r="AS113" s="167">
        <f t="shared" ref="AS113:AT113" si="584">-AS470/(AS233+AS235)*AS$5</f>
        <v>2.2087143336980437E-3</v>
      </c>
      <c r="AT113" s="167">
        <f t="shared" si="584"/>
        <v>0</v>
      </c>
      <c r="AU113" s="167">
        <f t="shared" ref="AU113:AV113" si="585">-AU470/(AU233+AU235)*AU$5</f>
        <v>1.4273119989962222E-3</v>
      </c>
      <c r="AV113" s="167">
        <f t="shared" si="585"/>
        <v>1.4058613835114461E-3</v>
      </c>
      <c r="AW113" s="167">
        <f t="shared" ref="AW113:AX113" si="586">-AW470/(AW233+AW235)*AW$5</f>
        <v>5.6162761415218263E-3</v>
      </c>
      <c r="AX113" s="167">
        <f t="shared" si="586"/>
        <v>3.5999972808500418E-3</v>
      </c>
      <c r="AY113" s="167">
        <f>-AY470/(AY233+AY235)*AY$5</f>
        <v>3.852367662520785E-3</v>
      </c>
      <c r="AZ113" s="174">
        <f>-AZ470/(AZ233+AZ235)*AZ$5</f>
        <v>5.7022160968498228E-3</v>
      </c>
      <c r="BA113" s="166">
        <f t="shared" ref="BA113:BI113" si="587">-BA470/(BA233+BA235)*BA$5</f>
        <v>6.2022160968498233E-3</v>
      </c>
      <c r="BB113" s="166">
        <f t="shared" si="587"/>
        <v>6.6022160968498235E-3</v>
      </c>
      <c r="BC113" s="166">
        <f t="shared" si="587"/>
        <v>7.0022160968498236E-3</v>
      </c>
      <c r="BD113" s="166">
        <f t="shared" si="587"/>
        <v>7.402216096849823E-3</v>
      </c>
      <c r="BE113" s="166">
        <f t="shared" si="587"/>
        <v>7.8022160968498231E-3</v>
      </c>
      <c r="BF113" s="166">
        <f t="shared" si="587"/>
        <v>7.4022160968498238E-3</v>
      </c>
      <c r="BG113" s="166">
        <f t="shared" si="587"/>
        <v>7.0022160968498245E-3</v>
      </c>
      <c r="BH113" s="166">
        <f t="shared" si="587"/>
        <v>6.6022160968498235E-3</v>
      </c>
      <c r="BI113" s="166">
        <f t="shared" si="587"/>
        <v>6.2022160968498224E-3</v>
      </c>
      <c r="BJ113" s="166">
        <f t="shared" ref="BJ113:BK113" si="588">-BJ470/(BJ233+BJ235)*BJ$5</f>
        <v>6.0022160968498236E-3</v>
      </c>
      <c r="BK113" s="166">
        <f t="shared" si="588"/>
        <v>6.0022160968498236E-3</v>
      </c>
      <c r="BL113" s="166">
        <f t="shared" ref="BL113:BM113" si="589">-BL470/(BL233+BL235)*BL$5</f>
        <v>6.0022160968498236E-3</v>
      </c>
      <c r="BM113" s="166">
        <f t="shared" si="589"/>
        <v>6.0022160968498236E-3</v>
      </c>
      <c r="BN113" s="166">
        <f t="shared" ref="BN113:BO113" si="590">-BN470/(BN233+BN235)*BN$5</f>
        <v>6.0022160968498236E-3</v>
      </c>
      <c r="BO113" s="166">
        <f t="shared" si="590"/>
        <v>6.0022160968498245E-3</v>
      </c>
      <c r="BP113" s="166">
        <f t="shared" ref="BP113:BQ113" si="591">-BP470/(BP233+BP235)*BP$5</f>
        <v>6.0022160968498245E-3</v>
      </c>
      <c r="BQ113" s="166">
        <f t="shared" si="591"/>
        <v>6.0022160968498245E-3</v>
      </c>
      <c r="BR113" s="166"/>
      <c r="BS113" s="166"/>
      <c r="BT113" s="166"/>
      <c r="BU113" s="166"/>
      <c r="BV113" s="166"/>
      <c r="BW113" s="166"/>
      <c r="BX113" s="166"/>
      <c r="BY113" s="166"/>
      <c r="BZ113" s="166"/>
      <c r="CA113" s="166"/>
      <c r="CB113" s="166"/>
      <c r="CC113" s="166"/>
      <c r="CD113" s="166"/>
      <c r="CE113" s="166"/>
      <c r="CF113" s="166"/>
      <c r="CG113" s="166"/>
      <c r="CH113" s="166"/>
      <c r="CI113" s="166"/>
      <c r="CJ113" s="166"/>
      <c r="CK113" s="166"/>
      <c r="CL113" s="166"/>
      <c r="CM113" s="167"/>
      <c r="CN113" s="167"/>
      <c r="CO113" s="167"/>
      <c r="CP113" s="167"/>
      <c r="CQ113" s="167"/>
      <c r="CR113" s="167"/>
      <c r="CS113" s="167"/>
      <c r="CT113" s="167">
        <f t="shared" ref="CT113:DE113" si="592">-CT470/(CT233+CT235)*CT$5</f>
        <v>0</v>
      </c>
      <c r="CU113" s="167">
        <f t="shared" si="592"/>
        <v>0</v>
      </c>
      <c r="CV113" s="167">
        <f t="shared" si="592"/>
        <v>0</v>
      </c>
      <c r="CW113" s="167">
        <f t="shared" si="592"/>
        <v>1.2369382653590428E-3</v>
      </c>
      <c r="CX113" s="167">
        <f t="shared" si="592"/>
        <v>7.6879963270786171E-4</v>
      </c>
      <c r="CY113" s="167">
        <f t="shared" ref="CY113" si="593">-CY470/(CY233+CY235)*CY$5</f>
        <v>3.5704916401686766E-3</v>
      </c>
      <c r="CZ113" s="174">
        <f t="shared" si="592"/>
        <v>3.7287612744439625E-3</v>
      </c>
      <c r="DA113" s="166">
        <f t="shared" si="592"/>
        <v>5.961185395694517E-3</v>
      </c>
      <c r="DB113" s="166">
        <f t="shared" si="592"/>
        <v>6.8084972659604795E-3</v>
      </c>
      <c r="DC113" s="166">
        <f t="shared" si="592"/>
        <v>7.6085873592407907E-3</v>
      </c>
      <c r="DD113" s="166">
        <f t="shared" si="592"/>
        <v>7.1968534874249724E-3</v>
      </c>
      <c r="DE113" s="166">
        <f t="shared" si="592"/>
        <v>6.3977280495795012E-3</v>
      </c>
      <c r="DF113" s="166">
        <f t="shared" ref="DF113:DG113" si="594">-DF470/(DF233+DF235)*DF$5</f>
        <v>6.0022160968498219E-3</v>
      </c>
      <c r="DG113" s="166">
        <f t="shared" si="594"/>
        <v>6.0022160968498245E-3</v>
      </c>
      <c r="DH113" s="166">
        <f t="shared" ref="DH113:DI113" si="595">-DH470/(DH233+DH235)*DH$5</f>
        <v>6.0022160968498245E-3</v>
      </c>
      <c r="DI113" s="166">
        <f t="shared" si="595"/>
        <v>6.0022160968498245E-3</v>
      </c>
      <c r="DJ113" s="545"/>
      <c r="DK113" s="545"/>
    </row>
    <row r="114" spans="1:115" ht="12" hidden="1" outlineLevel="1">
      <c r="A114" s="1" t="s">
        <v>465</v>
      </c>
      <c r="B114" s="19" t="s">
        <v>622</v>
      </c>
      <c r="C114" s="601"/>
      <c r="D114" s="601"/>
      <c r="E114" s="601"/>
      <c r="F114" s="601"/>
      <c r="G114" s="601"/>
      <c r="H114" s="601"/>
      <c r="I114" s="601"/>
      <c r="J114" s="601"/>
      <c r="K114" s="601"/>
      <c r="L114" s="601"/>
      <c r="M114" s="601"/>
      <c r="N114" s="601"/>
      <c r="O114" s="601"/>
      <c r="P114" s="601"/>
      <c r="Q114" s="601"/>
      <c r="R114" s="601"/>
      <c r="S114" s="601"/>
      <c r="T114" s="416"/>
      <c r="U114" s="601"/>
      <c r="V114" s="601"/>
      <c r="W114" s="601"/>
      <c r="X114" s="601"/>
      <c r="Y114" s="416"/>
      <c r="Z114" s="416"/>
      <c r="AA114" s="416"/>
      <c r="AB114" s="416"/>
      <c r="AC114" s="416"/>
      <c r="AD114" s="416"/>
      <c r="AE114" s="416"/>
      <c r="AF114" s="416"/>
      <c r="AG114" s="416"/>
      <c r="AH114" s="416"/>
      <c r="AI114" s="416"/>
      <c r="AJ114" s="416"/>
      <c r="AK114" s="416"/>
      <c r="AL114" s="416"/>
      <c r="AM114" s="416"/>
      <c r="AN114" s="416"/>
      <c r="AO114" s="416"/>
      <c r="AP114" s="167">
        <f t="shared" ref="AP114:AR114" si="596">AP124/(AP177+AP179)</f>
        <v>1.0067114093959731E-2</v>
      </c>
      <c r="AQ114" s="167">
        <f t="shared" si="596"/>
        <v>2.9458346531517268E-3</v>
      </c>
      <c r="AR114" s="167">
        <f t="shared" si="596"/>
        <v>2.3181087904521457E-3</v>
      </c>
      <c r="AS114" s="167">
        <f t="shared" ref="AS114" si="597">AS124/(AS177+AS179)</f>
        <v>1.7001828153564902E-3</v>
      </c>
      <c r="AT114" s="167">
        <f t="shared" ref="AT114:AZ114" si="598">AT124/(AT177+AT179)</f>
        <v>2.2040208488458674E-3</v>
      </c>
      <c r="AU114" s="167">
        <f t="shared" si="598"/>
        <v>6.546542018496181E-3</v>
      </c>
      <c r="AV114" s="167">
        <f t="shared" si="598"/>
        <v>1.1053999422466071E-2</v>
      </c>
      <c r="AW114" s="167">
        <f t="shared" si="598"/>
        <v>1.3585252685699956E-2</v>
      </c>
      <c r="AX114" s="167">
        <f t="shared" si="598"/>
        <v>1.3634029930213544E-2</v>
      </c>
      <c r="AY114" s="167">
        <f t="shared" si="598"/>
        <v>1.6368363340525625E-2</v>
      </c>
      <c r="AZ114" s="174">
        <f t="shared" si="598"/>
        <v>1.5470453969059092E-2</v>
      </c>
      <c r="BA114" s="661">
        <f t="shared" ref="BA114:BB114" si="599">AZ114+($BC114-$AW114)/6</f>
        <v>1.6456245188109099E-2</v>
      </c>
      <c r="BB114" s="661">
        <f t="shared" si="599"/>
        <v>1.7442036407159106E-2</v>
      </c>
      <c r="BC114" s="661">
        <v>1.95E-2</v>
      </c>
      <c r="BD114" s="499">
        <f t="shared" ref="BD114:BK114" si="600">BC114</f>
        <v>1.95E-2</v>
      </c>
      <c r="BE114" s="499">
        <f t="shared" si="600"/>
        <v>1.95E-2</v>
      </c>
      <c r="BF114" s="499">
        <f t="shared" si="600"/>
        <v>1.95E-2</v>
      </c>
      <c r="BG114" s="499">
        <f t="shared" si="600"/>
        <v>1.95E-2</v>
      </c>
      <c r="BH114" s="499">
        <f t="shared" si="600"/>
        <v>1.95E-2</v>
      </c>
      <c r="BI114" s="499">
        <f t="shared" si="600"/>
        <v>1.95E-2</v>
      </c>
      <c r="BJ114" s="499">
        <f t="shared" si="600"/>
        <v>1.95E-2</v>
      </c>
      <c r="BK114" s="499">
        <f t="shared" si="600"/>
        <v>1.95E-2</v>
      </c>
      <c r="BL114" s="499">
        <f t="shared" ref="BL114" si="601">BK114</f>
        <v>1.95E-2</v>
      </c>
      <c r="BM114" s="499">
        <f t="shared" ref="BM114" si="602">BL114</f>
        <v>1.95E-2</v>
      </c>
      <c r="BN114" s="499">
        <f t="shared" ref="BN114" si="603">BM114</f>
        <v>1.95E-2</v>
      </c>
      <c r="BO114" s="499">
        <f t="shared" ref="BO114" si="604">BN114</f>
        <v>1.95E-2</v>
      </c>
      <c r="BP114" s="499">
        <f t="shared" ref="BP114" si="605">BO114</f>
        <v>1.95E-2</v>
      </c>
      <c r="BQ114" s="499">
        <f t="shared" ref="BQ114" si="606">BP114</f>
        <v>1.95E-2</v>
      </c>
      <c r="BR114" s="166"/>
      <c r="BS114" s="166"/>
      <c r="BT114" s="166"/>
      <c r="BU114" s="166"/>
      <c r="BV114" s="166"/>
      <c r="BW114" s="166"/>
      <c r="BX114" s="166"/>
      <c r="BY114" s="166"/>
      <c r="BZ114" s="166"/>
      <c r="CA114" s="166"/>
      <c r="CB114" s="166"/>
      <c r="CC114" s="166"/>
      <c r="CD114" s="166"/>
      <c r="CE114" s="166"/>
      <c r="CF114" s="166"/>
      <c r="CG114" s="166"/>
      <c r="CH114" s="166"/>
      <c r="CI114" s="166"/>
      <c r="CJ114" s="166"/>
      <c r="CK114" s="166"/>
      <c r="CL114" s="166"/>
      <c r="CM114" s="167"/>
      <c r="CN114" s="167"/>
      <c r="CO114" s="167"/>
      <c r="CP114" s="167"/>
      <c r="CQ114" s="167"/>
      <c r="CR114" s="167"/>
      <c r="CS114" s="167"/>
      <c r="CT114" s="167">
        <f t="shared" ref="CT114:DF114" si="607">CT124/(CT177+CT179)</f>
        <v>0</v>
      </c>
      <c r="CU114" s="167">
        <f t="shared" si="607"/>
        <v>0</v>
      </c>
      <c r="CV114" s="167">
        <f t="shared" si="607"/>
        <v>2.9458346531517268E-3</v>
      </c>
      <c r="CW114" s="167">
        <f t="shared" si="607"/>
        <v>1.7001828153564902E-3</v>
      </c>
      <c r="CX114" s="167">
        <f t="shared" si="607"/>
        <v>6.546542018496181E-3</v>
      </c>
      <c r="CY114" s="167">
        <f t="shared" ref="CY114" si="608">CY124/(CY177+CY179)</f>
        <v>1.3585252685699956E-2</v>
      </c>
      <c r="CZ114" s="174">
        <f t="shared" si="607"/>
        <v>1.6368363340525625E-2</v>
      </c>
      <c r="DA114" s="166">
        <f t="shared" si="607"/>
        <v>1.5409306532510573E-2</v>
      </c>
      <c r="DB114" s="166">
        <f t="shared" si="607"/>
        <v>1.5695671690981169E-2</v>
      </c>
      <c r="DC114" s="166">
        <f t="shared" si="607"/>
        <v>1.6413500398280826E-2</v>
      </c>
      <c r="DD114" s="166">
        <f t="shared" si="607"/>
        <v>1.5712396077111706E-2</v>
      </c>
      <c r="DE114" s="166">
        <f t="shared" si="607"/>
        <v>1.5038721139072108E-2</v>
      </c>
      <c r="DF114" s="166">
        <f t="shared" si="607"/>
        <v>1.4407214837442625E-2</v>
      </c>
      <c r="DG114" s="166">
        <f t="shared" ref="DG114:DH114" si="609">DG124/(DG177+DG179)</f>
        <v>1.378931872893378E-2</v>
      </c>
      <c r="DH114" s="166">
        <f t="shared" si="609"/>
        <v>1.318026286977521E-2</v>
      </c>
      <c r="DI114" s="166">
        <f t="shared" ref="DI114" si="610">DI124/(DI177+DI179)</f>
        <v>1.2573948890572669E-2</v>
      </c>
    </row>
    <row r="115" spans="1:115" ht="12" hidden="1" outlineLevel="1">
      <c r="A115" s="1" t="s">
        <v>466</v>
      </c>
      <c r="B115" s="19" t="s">
        <v>512</v>
      </c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394"/>
      <c r="U115" s="408"/>
      <c r="V115" s="408"/>
      <c r="W115" s="408"/>
      <c r="X115" s="408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394"/>
      <c r="AM115" s="394"/>
      <c r="AN115" s="394"/>
      <c r="AO115" s="394"/>
      <c r="AP115" s="285">
        <f t="shared" ref="AP115:AR115" si="611">IF(ISERROR(AP120/AP124),"n.a.",AP120/AP124)</f>
        <v>0.1125</v>
      </c>
      <c r="AQ115" s="285">
        <f t="shared" si="611"/>
        <v>0.62365591397849451</v>
      </c>
      <c r="AR115" s="285">
        <f t="shared" si="611"/>
        <v>0.55445544554455439</v>
      </c>
      <c r="AS115" s="285">
        <f t="shared" ref="AS115:AT115" si="612">IF(ISERROR(AS120/AS124),"n.a.",AS120/AS124)</f>
        <v>0.18279569892473116</v>
      </c>
      <c r="AT115" s="285">
        <f t="shared" si="612"/>
        <v>0.29054054054054052</v>
      </c>
      <c r="AU115" s="285">
        <f t="shared" ref="AU115:AV115" si="613">IF(ISERROR(AU120/AU124),"n.a.",AU120/AU124)</f>
        <v>0.36084452975047987</v>
      </c>
      <c r="AV115" s="285">
        <f t="shared" si="613"/>
        <v>0.36259143155694884</v>
      </c>
      <c r="AW115" s="285">
        <f t="shared" ref="AW115:BQ115" si="614">IF(ISERROR(AW120/AW124),"n.a.",AW120/AW124)</f>
        <v>0.27769230769230768</v>
      </c>
      <c r="AX115" s="285">
        <f t="shared" si="614"/>
        <v>0.28312412831241285</v>
      </c>
      <c r="AY115" s="285">
        <f t="shared" si="614"/>
        <v>0.36628849270664504</v>
      </c>
      <c r="AZ115" s="286">
        <f t="shared" ref="AZ115" si="615">IF(ISERROR(AZ120/AZ124),"n.a.",AZ120/AZ124)</f>
        <v>0.3844526705446854</v>
      </c>
      <c r="BA115" s="285">
        <f t="shared" si="614"/>
        <v>0.34908485877030315</v>
      </c>
      <c r="BB115" s="285">
        <f t="shared" si="614"/>
        <v>0.29376094589859064</v>
      </c>
      <c r="BC115" s="285">
        <f t="shared" si="614"/>
        <v>0.24628632222907623</v>
      </c>
      <c r="BD115" s="285">
        <f t="shared" si="614"/>
        <v>0.17874452980224267</v>
      </c>
      <c r="BE115" s="285">
        <f t="shared" si="614"/>
        <v>0.11281283642615511</v>
      </c>
      <c r="BF115" s="285">
        <f t="shared" si="614"/>
        <v>6.2317513106485561E-2</v>
      </c>
      <c r="BG115" s="285">
        <f t="shared" si="614"/>
        <v>2.4884280621183925E-2</v>
      </c>
      <c r="BH115" s="285">
        <f t="shared" si="614"/>
        <v>-5.9518763235420118E-3</v>
      </c>
      <c r="BI115" s="285">
        <f t="shared" si="614"/>
        <v>-2.2862053883633916E-2</v>
      </c>
      <c r="BJ115" s="285">
        <f t="shared" si="614"/>
        <v>-4.0892343931690216E-2</v>
      </c>
      <c r="BK115" s="285">
        <f t="shared" si="614"/>
        <v>-5.765000597735525E-2</v>
      </c>
      <c r="BL115" s="285">
        <f t="shared" si="614"/>
        <v>-8.2585667670847115E-2</v>
      </c>
      <c r="BM115" s="285">
        <f t="shared" si="614"/>
        <v>-0.1070329525322701</v>
      </c>
      <c r="BN115" s="285">
        <f t="shared" si="614"/>
        <v>-0.14080480751354119</v>
      </c>
      <c r="BO115" s="285">
        <f t="shared" si="614"/>
        <v>-0.17253008187525679</v>
      </c>
      <c r="BP115" s="285">
        <f t="shared" si="614"/>
        <v>-0.21516626240745573</v>
      </c>
      <c r="BQ115" s="285">
        <f t="shared" si="614"/>
        <v>-0.25514472357440082</v>
      </c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285"/>
      <c r="CN115" s="285"/>
      <c r="CO115" s="285"/>
      <c r="CP115" s="285"/>
      <c r="CQ115" s="285"/>
      <c r="CR115" s="285"/>
      <c r="CS115" s="285"/>
      <c r="CT115" s="285" t="str">
        <f>IF(ISERROR(CT120/CT124),"n.a.",CT120/CT124)</f>
        <v>n.a.</v>
      </c>
      <c r="CU115" s="285" t="str">
        <f t="shared" ref="CU115:CV115" si="616">IF(ISERROR(CU120/CU124),"n.a.",CU120/CU124)</f>
        <v>n.a.</v>
      </c>
      <c r="CV115" s="285">
        <f t="shared" si="616"/>
        <v>0.62365591397849451</v>
      </c>
      <c r="CW115" s="285">
        <f t="shared" ref="CW115:DF115" si="617">CW120/CW124</f>
        <v>0.18279569892473116</v>
      </c>
      <c r="CX115" s="285">
        <f t="shared" si="617"/>
        <v>0.36084452975047987</v>
      </c>
      <c r="CY115" s="285">
        <f t="shared" ref="CY115" si="618">CY120/CY124</f>
        <v>0.27769230769230768</v>
      </c>
      <c r="CZ115" s="286">
        <f t="shared" si="617"/>
        <v>0.36628849270664504</v>
      </c>
      <c r="DA115" s="162">
        <f t="shared" si="617"/>
        <v>0.34908485877030315</v>
      </c>
      <c r="DB115" s="162">
        <f t="shared" si="617"/>
        <v>0.24628632222907623</v>
      </c>
      <c r="DC115" s="162">
        <f t="shared" si="617"/>
        <v>0.11281283642615511</v>
      </c>
      <c r="DD115" s="162">
        <f t="shared" si="617"/>
        <v>2.4884280621183925E-2</v>
      </c>
      <c r="DE115" s="162">
        <f t="shared" si="617"/>
        <v>-2.2862053883633916E-2</v>
      </c>
      <c r="DF115" s="162">
        <f t="shared" si="617"/>
        <v>-5.765000597735525E-2</v>
      </c>
      <c r="DG115" s="162">
        <f t="shared" ref="DG115:DH115" si="619">DG120/DG124</f>
        <v>-0.1070329525322701</v>
      </c>
      <c r="DH115" s="162">
        <f t="shared" si="619"/>
        <v>-0.17253008187525679</v>
      </c>
      <c r="DI115" s="162">
        <f t="shared" ref="DI115" si="620">DI120/DI124</f>
        <v>-0.25514472357440082</v>
      </c>
    </row>
    <row r="116" spans="1:115" ht="12" hidden="1" outlineLevel="1">
      <c r="A116" s="1" t="s">
        <v>467</v>
      </c>
      <c r="B116" s="19" t="s">
        <v>295</v>
      </c>
      <c r="C116" s="601"/>
      <c r="D116" s="601"/>
      <c r="E116" s="601"/>
      <c r="F116" s="601"/>
      <c r="G116" s="601"/>
      <c r="H116" s="601"/>
      <c r="I116" s="601"/>
      <c r="J116" s="601"/>
      <c r="K116" s="601"/>
      <c r="L116" s="601"/>
      <c r="M116" s="601"/>
      <c r="N116" s="601"/>
      <c r="O116" s="601"/>
      <c r="P116" s="601"/>
      <c r="Q116" s="601"/>
      <c r="R116" s="601"/>
      <c r="S116" s="601"/>
      <c r="T116" s="601"/>
      <c r="U116" s="601"/>
      <c r="V116" s="601"/>
      <c r="W116" s="601"/>
      <c r="X116" s="601"/>
      <c r="Y116" s="416"/>
      <c r="Z116" s="416"/>
      <c r="AA116" s="416"/>
      <c r="AB116" s="416"/>
      <c r="AC116" s="416"/>
      <c r="AD116" s="416"/>
      <c r="AE116" s="416"/>
      <c r="AF116" s="416"/>
      <c r="AG116" s="416"/>
      <c r="AH116" s="416"/>
      <c r="AI116" s="416"/>
      <c r="AJ116" s="416"/>
      <c r="AK116" s="416"/>
      <c r="AL116" s="416"/>
      <c r="AM116" s="416"/>
      <c r="AN116" s="416"/>
      <c r="AO116" s="416"/>
      <c r="AP116" s="416">
        <f t="shared" ref="AP116:AR116" si="621">IF(ISERROR(AP121/(AP613-AP612)),"n.a.",AP121/(AP613-AP612))</f>
        <v>1.2770607954615223E-2</v>
      </c>
      <c r="AQ116" s="416">
        <f t="shared" si="621"/>
        <v>9.0219245124453125E-3</v>
      </c>
      <c r="AR116" s="416">
        <f t="shared" si="621"/>
        <v>7.9101760064738021E-3</v>
      </c>
      <c r="AS116" s="416">
        <f t="shared" ref="AS116:AT116" si="622">IF(ISERROR(AS121/(AS613-AS612)),"n.a.",AS121/(AS613-AS612))</f>
        <v>9.4489579653832569E-3</v>
      </c>
      <c r="AT116" s="416">
        <f t="shared" si="622"/>
        <v>1.0439247005134057E-2</v>
      </c>
      <c r="AU116" s="416">
        <f t="shared" ref="AU116:AV116" si="623">IF(ISERROR(AU121/(AU613-AU612)),"n.a.",AU121/(AU613-AU612))</f>
        <v>1.192845615922539E-2</v>
      </c>
      <c r="AV116" s="416">
        <f t="shared" si="623"/>
        <v>1.2263184843830004E-2</v>
      </c>
      <c r="AW116" s="416">
        <f t="shared" ref="AW116:AY116" si="624">IF(ISERROR(AW121/(AW613-AW612)),"n.a.",AW121/(AW613-AW612))</f>
        <v>1.293350120178551E-2</v>
      </c>
      <c r="AX116" s="416">
        <f t="shared" si="624"/>
        <v>1.2304828869816979E-2</v>
      </c>
      <c r="AY116" s="416">
        <f t="shared" si="624"/>
        <v>1.1240236235473424E-2</v>
      </c>
      <c r="AZ116" s="435">
        <f t="shared" ref="AZ116" si="625">IF(ISERROR(AZ121/(AZ613-AZ612)),"n.a.",AZ121/(AZ613-AZ612))</f>
        <v>1.0330507008132895E-2</v>
      </c>
      <c r="BA116" s="676">
        <f>[3]JDO!N$224</f>
        <v>9.8587493357526826E-3</v>
      </c>
      <c r="BB116" s="676">
        <f>[3]JDO!O$224</f>
        <v>1.0188599584473464E-2</v>
      </c>
      <c r="BC116" s="676">
        <f>[3]JDO!P$224</f>
        <v>1.0870050223745542E-2</v>
      </c>
      <c r="BD116" s="676">
        <f>[3]JDO!Q$224</f>
        <v>1.1297467053162636E-2</v>
      </c>
      <c r="BE116" s="676">
        <f>[3]JDO!R$224</f>
        <v>1.1574836283593907E-2</v>
      </c>
      <c r="BF116" s="676">
        <f>[3]JDO!S$224</f>
        <v>1.1631350746607691E-2</v>
      </c>
      <c r="BG116" s="676">
        <f>[3]JDO!T$224</f>
        <v>1.1532318315823464E-2</v>
      </c>
      <c r="BH116" s="676">
        <f>[3]JDO!U$224</f>
        <v>1.1466353807818096E-2</v>
      </c>
      <c r="BI116" s="676">
        <f>[3]JDO!V$224</f>
        <v>1.1388060652673358E-2</v>
      </c>
      <c r="BJ116" s="676">
        <f>[3]JDO!W$224</f>
        <v>1.1339222208646178E-2</v>
      </c>
      <c r="BK116" s="676">
        <f>[3]JDO!X$224</f>
        <v>1.1276949328985869E-2</v>
      </c>
      <c r="BL116" s="676">
        <f>[3]JDO!Y$224</f>
        <v>1.1241487137484654E-2</v>
      </c>
      <c r="BM116" s="676">
        <f>[3]JDO!Z$224</f>
        <v>1.1192699787868979E-2</v>
      </c>
      <c r="BN116" s="676">
        <f>[3]JDO!AA$224</f>
        <v>1.1164394149438933E-2</v>
      </c>
      <c r="BO116" s="676">
        <f>[3]JDO!AB$224</f>
        <v>1.1123183670753227E-2</v>
      </c>
      <c r="BP116" s="676">
        <f>[3]JDO!AC$224</f>
        <v>1.1096512995098218E-2</v>
      </c>
      <c r="BQ116" s="676">
        <f>[3]JDO!AD$224</f>
        <v>1.1057640734849368E-2</v>
      </c>
      <c r="BR116" s="166"/>
      <c r="BS116" s="166"/>
      <c r="BT116" s="166"/>
      <c r="BU116" s="166"/>
      <c r="BV116" s="166"/>
      <c r="BW116" s="166"/>
      <c r="BX116" s="166"/>
      <c r="BY116" s="166"/>
      <c r="BZ116" s="166"/>
      <c r="CA116" s="166"/>
      <c r="CB116" s="166"/>
      <c r="CC116" s="166"/>
      <c r="CD116" s="166"/>
      <c r="CE116" s="166"/>
      <c r="CF116" s="166"/>
      <c r="CG116" s="166"/>
      <c r="CH116" s="166"/>
      <c r="CI116" s="166"/>
      <c r="CJ116" s="166"/>
      <c r="CK116" s="166"/>
      <c r="CL116" s="166"/>
      <c r="CM116" s="167"/>
      <c r="CN116" s="167"/>
      <c r="CO116" s="167"/>
      <c r="CP116" s="416"/>
      <c r="CQ116" s="167"/>
      <c r="CR116" s="167"/>
      <c r="CS116" s="167"/>
      <c r="CT116" s="416">
        <f>IF(ISERROR(CT121/(CT613-CT612)),"n.a.",CT121/(CT613-CT612))</f>
        <v>8.9130434782608691E-3</v>
      </c>
      <c r="CU116" s="416">
        <f t="shared" ref="CU116:CV116" si="626">IF(ISERROR(CU121/(CU613-CU612)),"n.a.",CU121/(CU613-CU612))</f>
        <v>1.4468085106382983E-2</v>
      </c>
      <c r="CV116" s="416">
        <f t="shared" si="626"/>
        <v>9.0219245124453125E-3</v>
      </c>
      <c r="CW116" s="416">
        <f t="shared" ref="CW116:DF116" si="627">CW121/(CW613-CW612)</f>
        <v>9.4489579653832569E-3</v>
      </c>
      <c r="CX116" s="416">
        <f t="shared" si="627"/>
        <v>1.192845615922539E-2</v>
      </c>
      <c r="CY116" s="416">
        <f t="shared" ref="CY116" si="628">CY121/(CY613-CY612)</f>
        <v>1.293350120178551E-2</v>
      </c>
      <c r="CZ116" s="174">
        <f t="shared" si="627"/>
        <v>1.1240236235473424E-2</v>
      </c>
      <c r="DA116" s="166">
        <f t="shared" si="627"/>
        <v>9.8587493357526826E-3</v>
      </c>
      <c r="DB116" s="166">
        <f t="shared" si="627"/>
        <v>1.0870050223745542E-2</v>
      </c>
      <c r="DC116" s="166">
        <f t="shared" si="627"/>
        <v>1.1574836283593907E-2</v>
      </c>
      <c r="DD116" s="166">
        <f t="shared" si="627"/>
        <v>1.1532318315823464E-2</v>
      </c>
      <c r="DE116" s="166">
        <f t="shared" si="627"/>
        <v>1.1388060652673358E-2</v>
      </c>
      <c r="DF116" s="166">
        <f t="shared" si="627"/>
        <v>1.1276949328985869E-2</v>
      </c>
      <c r="DG116" s="166">
        <f t="shared" ref="DG116:DH116" si="629">DG121/(DG613-DG612)</f>
        <v>1.1192699787868979E-2</v>
      </c>
      <c r="DH116" s="166">
        <f t="shared" si="629"/>
        <v>1.1123183670753227E-2</v>
      </c>
      <c r="DI116" s="166">
        <f t="shared" ref="DI116" si="630">DI121/(DI613-DI612)</f>
        <v>1.1057640734849368E-2</v>
      </c>
      <c r="DJ116" s="546"/>
    </row>
    <row r="117" spans="1:115" ht="12" hidden="1" outlineLevel="1">
      <c r="A117" s="1" t="s">
        <v>708</v>
      </c>
      <c r="B117" s="19" t="s">
        <v>349</v>
      </c>
      <c r="C117" s="601"/>
      <c r="D117" s="601"/>
      <c r="E117" s="601"/>
      <c r="F117" s="601"/>
      <c r="G117" s="601"/>
      <c r="H117" s="601"/>
      <c r="I117" s="601"/>
      <c r="J117" s="601"/>
      <c r="K117" s="601"/>
      <c r="L117" s="601"/>
      <c r="M117" s="601"/>
      <c r="N117" s="601"/>
      <c r="O117" s="601"/>
      <c r="P117" s="601"/>
      <c r="Q117" s="601"/>
      <c r="R117" s="601"/>
      <c r="S117" s="601"/>
      <c r="T117" s="416"/>
      <c r="U117" s="601"/>
      <c r="V117" s="601"/>
      <c r="W117" s="601"/>
      <c r="X117" s="601"/>
      <c r="Y117" s="416"/>
      <c r="Z117" s="416"/>
      <c r="AA117" s="416"/>
      <c r="AB117" s="416"/>
      <c r="AC117" s="416"/>
      <c r="AD117" s="416"/>
      <c r="AE117" s="416"/>
      <c r="AF117" s="416"/>
      <c r="AG117" s="416"/>
      <c r="AH117" s="416"/>
      <c r="AI117" s="416"/>
      <c r="AJ117" s="416"/>
      <c r="AK117" s="416"/>
      <c r="AL117" s="416"/>
      <c r="AM117" s="416"/>
      <c r="AN117" s="416"/>
      <c r="AO117" s="416"/>
      <c r="AP117" s="416">
        <f t="shared" ref="AP117:AR117" si="631">-AP472/AP237*AP$5</f>
        <v>7.6642786561264831E-3</v>
      </c>
      <c r="AQ117" s="416">
        <f t="shared" si="631"/>
        <v>1.0222581542592224E-3</v>
      </c>
      <c r="AR117" s="416">
        <f t="shared" si="631"/>
        <v>4.5678767716165903E-3</v>
      </c>
      <c r="AS117" s="416">
        <f t="shared" ref="AS117:AT117" si="632">-AS472/AS237*AS$5</f>
        <v>5.9145866814625352E-3</v>
      </c>
      <c r="AT117" s="416">
        <f t="shared" si="632"/>
        <v>6.523582516366061E-3</v>
      </c>
      <c r="AU117" s="416">
        <f t="shared" ref="AU117:AV117" si="633">-AU472/AU237*AU$5</f>
        <v>8.0913489585120631E-3</v>
      </c>
      <c r="AV117" s="416">
        <f t="shared" si="633"/>
        <v>5.7014647756335737E-3</v>
      </c>
      <c r="AW117" s="416">
        <f t="shared" ref="AW117:AX117" si="634">-AW472/AW237*AW$5</f>
        <v>8.6850014139062612E-3</v>
      </c>
      <c r="AX117" s="416">
        <f t="shared" si="634"/>
        <v>5.0900244817007039E-3</v>
      </c>
      <c r="AY117" s="167">
        <f>-AY472/AY237*AY$5</f>
        <v>7.9828798125939869E-3</v>
      </c>
      <c r="AZ117" s="174">
        <f>-AZ472/AZ237*AZ$5</f>
        <v>6.192775060504003E-3</v>
      </c>
      <c r="BA117" s="166">
        <f t="shared" ref="BA117:BI117" si="635">-BA472/BA237*BA$5</f>
        <v>6.3638665617982747E-3</v>
      </c>
      <c r="BB117" s="166">
        <f t="shared" si="635"/>
        <v>7.1041367470951579E-3</v>
      </c>
      <c r="BC117" s="166">
        <f t="shared" si="635"/>
        <v>8.159363293115271E-3</v>
      </c>
      <c r="BD117" s="166">
        <f t="shared" si="635"/>
        <v>7.4773909392050492E-3</v>
      </c>
      <c r="BE117" s="166">
        <f t="shared" si="635"/>
        <v>7.7192865127279813E-3</v>
      </c>
      <c r="BF117" s="166">
        <f t="shared" si="635"/>
        <v>6.852413033510623E-3</v>
      </c>
      <c r="BG117" s="166">
        <f t="shared" si="635"/>
        <v>6.6141881507177595E-3</v>
      </c>
      <c r="BH117" s="166">
        <f t="shared" si="635"/>
        <v>6.0657149870036869E-3</v>
      </c>
      <c r="BI117" s="166">
        <f t="shared" si="635"/>
        <v>6.3005101179057048E-3</v>
      </c>
      <c r="BJ117" s="166">
        <f t="shared" ref="BJ117:BK117" si="636">-BJ472/BJ237*BJ$5</f>
        <v>5.7493359719721603E-3</v>
      </c>
      <c r="BK117" s="166">
        <f t="shared" si="636"/>
        <v>5.9945191726898245E-3</v>
      </c>
      <c r="BL117" s="166">
        <f t="shared" ref="BL117:BM117" si="637">-BL472/BL237*BL$5</f>
        <v>5.4556698749646197E-3</v>
      </c>
      <c r="BM117" s="166">
        <f t="shared" si="637"/>
        <v>5.6665887025416587E-3</v>
      </c>
      <c r="BN117" s="166">
        <f t="shared" ref="BN117:BO117" si="638">-BN472/BN237*BN$5</f>
        <v>5.19207930082122E-3</v>
      </c>
      <c r="BO117" s="166">
        <f t="shared" si="638"/>
        <v>5.4292476245745881E-3</v>
      </c>
      <c r="BP117" s="166">
        <f t="shared" ref="BP117:BQ117" si="639">-BP472/BP237*BP$5</f>
        <v>5.0144635954223965E-3</v>
      </c>
      <c r="BQ117" s="166">
        <f t="shared" si="639"/>
        <v>5.2464610110032721E-3</v>
      </c>
      <c r="BR117" s="166"/>
      <c r="BS117" s="166"/>
      <c r="BT117" s="166"/>
      <c r="BU117" s="166"/>
      <c r="BV117" s="166"/>
      <c r="BW117" s="166"/>
      <c r="BX117" s="166"/>
      <c r="BY117" s="166"/>
      <c r="BZ117" s="166"/>
      <c r="CA117" s="166"/>
      <c r="CB117" s="166"/>
      <c r="CC117" s="166"/>
      <c r="CD117" s="166"/>
      <c r="CE117" s="166"/>
      <c r="CF117" s="166"/>
      <c r="CG117" s="166"/>
      <c r="CH117" s="166"/>
      <c r="CI117" s="166"/>
      <c r="CJ117" s="166"/>
      <c r="CK117" s="166"/>
      <c r="CL117" s="166"/>
      <c r="CM117" s="167"/>
      <c r="CN117" s="167"/>
      <c r="CO117" s="167"/>
      <c r="CP117" s="416"/>
      <c r="CQ117" s="167"/>
      <c r="CR117" s="167"/>
      <c r="CS117" s="167"/>
      <c r="CT117" s="416">
        <f t="shared" ref="CT117:DE117" si="640">-CT472/CT237*CT$5</f>
        <v>2.1533117496290301E-2</v>
      </c>
      <c r="CU117" s="416">
        <f t="shared" si="640"/>
        <v>2.4227614955798917E-2</v>
      </c>
      <c r="CV117" s="416">
        <f t="shared" si="640"/>
        <v>3.8813351637709964E-3</v>
      </c>
      <c r="CW117" s="416">
        <f t="shared" si="640"/>
        <v>5.3216006704378798E-3</v>
      </c>
      <c r="CX117" s="416">
        <f t="shared" si="640"/>
        <v>7.3684210526315779E-3</v>
      </c>
      <c r="CY117" s="416">
        <f t="shared" ref="CY117" si="641">-CY472/CY237*CY$5</f>
        <v>7.2365025291627949E-3</v>
      </c>
      <c r="CZ117" s="174">
        <f t="shared" si="640"/>
        <v>6.5605706785878638E-3</v>
      </c>
      <c r="DA117" s="166">
        <f t="shared" si="640"/>
        <v>6.2811020405313589E-3</v>
      </c>
      <c r="DB117" s="166">
        <f t="shared" si="640"/>
        <v>7.6470941258087845E-3</v>
      </c>
      <c r="DC117" s="166">
        <f t="shared" si="640"/>
        <v>7.6019913068448479E-3</v>
      </c>
      <c r="DD117" s="166">
        <f t="shared" si="640"/>
        <v>6.7302886354536507E-3</v>
      </c>
      <c r="DE117" s="166">
        <f t="shared" si="640"/>
        <v>6.1855926747477587E-3</v>
      </c>
      <c r="DF117" s="166">
        <f t="shared" ref="DF117:DG117" si="642">-DF472/DF237*DF$5</f>
        <v>5.8740147032442167E-3</v>
      </c>
      <c r="DG117" s="166">
        <f t="shared" si="642"/>
        <v>5.5627734895347973E-3</v>
      </c>
      <c r="DH117" s="166">
        <f t="shared" ref="DH117:DI117" si="643">-DH472/DH237*DH$5</f>
        <v>5.3119187592058966E-3</v>
      </c>
      <c r="DI117" s="166">
        <f t="shared" si="643"/>
        <v>5.1316920769891479E-3</v>
      </c>
      <c r="DJ117" s="546"/>
    </row>
    <row r="118" spans="1:115" ht="12" hidden="1" outlineLevel="1">
      <c r="A118" s="1" t="s">
        <v>709</v>
      </c>
      <c r="B118" s="19" t="s">
        <v>350</v>
      </c>
      <c r="C118" s="601"/>
      <c r="D118" s="601"/>
      <c r="E118" s="601"/>
      <c r="F118" s="601"/>
      <c r="G118" s="601"/>
      <c r="H118" s="601"/>
      <c r="I118" s="601"/>
      <c r="J118" s="601"/>
      <c r="K118" s="601"/>
      <c r="L118" s="601"/>
      <c r="M118" s="601"/>
      <c r="N118" s="601"/>
      <c r="O118" s="601"/>
      <c r="P118" s="601"/>
      <c r="Q118" s="601"/>
      <c r="R118" s="601"/>
      <c r="S118" s="601"/>
      <c r="T118" s="416"/>
      <c r="U118" s="601"/>
      <c r="V118" s="601"/>
      <c r="W118" s="601"/>
      <c r="X118" s="601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>
        <f t="shared" ref="AP118:AR118" si="644">-AP472/(AP233+AP235)*AP$5</f>
        <v>8.4454949788776296E-3</v>
      </c>
      <c r="AQ118" s="416">
        <f t="shared" si="644"/>
        <v>1.1336900122582423E-3</v>
      </c>
      <c r="AR118" s="416">
        <f t="shared" si="644"/>
        <v>5.0858207441235549E-3</v>
      </c>
      <c r="AS118" s="416">
        <f t="shared" ref="AS118:AT118" si="645">-AS472/(AS233+AS235)*AS$5</f>
        <v>6.5844691457413382E-3</v>
      </c>
      <c r="AT118" s="416">
        <f t="shared" si="645"/>
        <v>7.2689894870297022E-3</v>
      </c>
      <c r="AU118" s="416">
        <f t="shared" ref="AU118:AV118" si="646">-AU472/(AU233+AU235)*AU$5</f>
        <v>9.0396426603094084E-3</v>
      </c>
      <c r="AV118" s="416">
        <f t="shared" si="646"/>
        <v>6.3859466234079251E-3</v>
      </c>
      <c r="AW118" s="416">
        <f t="shared" ref="AW118:AX118" si="647">-AW472/(AW233+AW235)*AW$5</f>
        <v>9.7273902771158015E-3</v>
      </c>
      <c r="AX118" s="416">
        <f t="shared" si="647"/>
        <v>5.6655694911738365E-3</v>
      </c>
      <c r="AY118" s="167">
        <f t="shared" ref="AY118:BI118" si="648">-AY472/(AY233+AY235)*AY$5</f>
        <v>8.8189004823392477E-3</v>
      </c>
      <c r="AZ118" s="174">
        <f t="shared" ref="AZ118" si="649">-AZ472/(AZ233+AZ235)*AZ$5</f>
        <v>6.8053233774904133E-3</v>
      </c>
      <c r="BA118" s="166">
        <f t="shared" si="648"/>
        <v>6.9463679450980659E-3</v>
      </c>
      <c r="BB118" s="166">
        <f t="shared" si="648"/>
        <v>7.7251095373218658E-3</v>
      </c>
      <c r="BC118" s="166">
        <f t="shared" si="648"/>
        <v>8.8313964600647173E-3</v>
      </c>
      <c r="BD118" s="166">
        <f t="shared" si="648"/>
        <v>8.073615919107267E-3</v>
      </c>
      <c r="BE118" s="166">
        <f t="shared" si="648"/>
        <v>8.3072028136648851E-3</v>
      </c>
      <c r="BF118" s="166">
        <f t="shared" si="648"/>
        <v>7.3600312926999575E-3</v>
      </c>
      <c r="BG118" s="166">
        <f t="shared" si="648"/>
        <v>7.0824900973304825E-3</v>
      </c>
      <c r="BH118" s="166">
        <f t="shared" si="648"/>
        <v>6.4854984596478807E-3</v>
      </c>
      <c r="BI118" s="166">
        <f t="shared" si="648"/>
        <v>6.7188487136891281E-3</v>
      </c>
      <c r="BJ118" s="166">
        <f t="shared" ref="BJ118:BK118" si="650">-BJ472/(BJ233+BJ235)*BJ$5</f>
        <v>6.1239798430435125E-3</v>
      </c>
      <c r="BK118" s="166">
        <f t="shared" si="650"/>
        <v>6.3726288429072049E-3</v>
      </c>
      <c r="BL118" s="166">
        <f t="shared" ref="BL118:BM118" si="651">-BL472/(BL233+BL235)*BL$5</f>
        <v>5.796477588725292E-3</v>
      </c>
      <c r="BM118" s="166">
        <f t="shared" si="651"/>
        <v>6.0123215460607515E-3</v>
      </c>
      <c r="BN118" s="166">
        <f t="shared" ref="BN118:BO118" si="652">-BN472/(BN233+BN235)*BN$5</f>
        <v>5.5073440977897571E-3</v>
      </c>
      <c r="BO118" s="166">
        <f t="shared" si="652"/>
        <v>5.7527814362868255E-3</v>
      </c>
      <c r="BP118" s="166">
        <f t="shared" ref="BP118:BQ118" si="653">-BP472/(BP233+BP235)*BP$5</f>
        <v>5.3118491084196938E-3</v>
      </c>
      <c r="BQ118" s="166">
        <f t="shared" si="653"/>
        <v>5.5518151296800062E-3</v>
      </c>
      <c r="BR118" s="166"/>
      <c r="BS118" s="166"/>
      <c r="BT118" s="166"/>
      <c r="BU118" s="166"/>
      <c r="BV118" s="166"/>
      <c r="BW118" s="166"/>
      <c r="BX118" s="166"/>
      <c r="BY118" s="166"/>
      <c r="BZ118" s="166"/>
      <c r="CA118" s="166"/>
      <c r="CB118" s="166"/>
      <c r="CC118" s="166"/>
      <c r="CD118" s="166"/>
      <c r="CE118" s="166"/>
      <c r="CF118" s="166"/>
      <c r="CG118" s="166"/>
      <c r="CH118" s="166"/>
      <c r="CI118" s="166"/>
      <c r="CJ118" s="166"/>
      <c r="CK118" s="166"/>
      <c r="CL118" s="166"/>
      <c r="CM118" s="167"/>
      <c r="CN118" s="167"/>
      <c r="CO118" s="167"/>
      <c r="CP118" s="416"/>
      <c r="CQ118" s="167"/>
      <c r="CR118" s="167"/>
      <c r="CS118" s="167"/>
      <c r="CT118" s="416">
        <f t="shared" ref="CT118:DE118" si="654">-CT472/(CT233+CT235)*CT$5</f>
        <v>2.1972568873765613E-2</v>
      </c>
      <c r="CU118" s="416">
        <f t="shared" si="654"/>
        <v>2.563861857390087E-2</v>
      </c>
      <c r="CV118" s="416">
        <f t="shared" si="654"/>
        <v>4.2565548877702159E-3</v>
      </c>
      <c r="CW118" s="416">
        <f t="shared" si="654"/>
        <v>5.9279682905886196E-3</v>
      </c>
      <c r="CX118" s="416">
        <f t="shared" si="654"/>
        <v>8.2306784207547556E-3</v>
      </c>
      <c r="CY118" s="416">
        <f t="shared" ref="CY118" si="655">-CY472/(CY233+CY235)*CY$5</f>
        <v>8.1000473778583895E-3</v>
      </c>
      <c r="CZ118" s="174">
        <f t="shared" si="654"/>
        <v>7.2744567498842158E-3</v>
      </c>
      <c r="DA118" s="166">
        <f t="shared" si="654"/>
        <v>6.878375803048827E-3</v>
      </c>
      <c r="DB118" s="166">
        <f t="shared" si="654"/>
        <v>8.2956249368099279E-3</v>
      </c>
      <c r="DC118" s="166">
        <f t="shared" si="654"/>
        <v>8.1941299748768716E-3</v>
      </c>
      <c r="DD118" s="166">
        <f t="shared" si="654"/>
        <v>7.2175398324400373E-3</v>
      </c>
      <c r="DE118" s="166">
        <f t="shared" si="654"/>
        <v>6.6047918040952006E-3</v>
      </c>
      <c r="DF118" s="166">
        <f t="shared" ref="DF118:DG118" si="656">-DF472/(DF233+DF235)*DF$5</f>
        <v>6.2505428596670576E-3</v>
      </c>
      <c r="DG118" s="166">
        <f t="shared" si="656"/>
        <v>5.9061561423094993E-3</v>
      </c>
      <c r="DH118" s="166">
        <f t="shared" ref="DH118:DI118" si="657">-DH472/(DH233+DH235)*DH$5</f>
        <v>5.6314271909697986E-3</v>
      </c>
      <c r="DI118" s="166">
        <f t="shared" si="657"/>
        <v>5.433166659548949E-3</v>
      </c>
      <c r="DJ118" s="546"/>
    </row>
    <row r="119" spans="1:115" ht="12" hidden="1" outlineLevel="1">
      <c r="Z119" s="416"/>
      <c r="AA119" s="416"/>
      <c r="AB119" s="416"/>
      <c r="AC119" s="416"/>
      <c r="AD119" s="42"/>
      <c r="AE119" s="416"/>
      <c r="AF119" s="416"/>
      <c r="AG119" s="416"/>
      <c r="AH119" s="42"/>
      <c r="AI119" s="42"/>
      <c r="AJ119" s="42"/>
      <c r="AK119" s="416"/>
      <c r="AL119" s="416"/>
      <c r="AM119" s="416"/>
      <c r="AN119" s="416"/>
      <c r="AO119" s="42"/>
      <c r="AP119" s="113"/>
      <c r="AQ119" s="167"/>
      <c r="AR119" s="167"/>
      <c r="AS119" s="167"/>
      <c r="AT119" s="167"/>
      <c r="AU119" s="652"/>
      <c r="AV119" s="667"/>
      <c r="AW119" s="667"/>
      <c r="AX119" s="667"/>
      <c r="AY119" s="666"/>
      <c r="AZ119" s="664"/>
      <c r="BA119" s="665"/>
      <c r="BB119" s="665"/>
      <c r="BC119" s="665"/>
      <c r="BD119" s="665"/>
      <c r="BE119" s="665"/>
      <c r="BF119" s="665"/>
      <c r="BG119" s="665"/>
      <c r="BH119" s="665"/>
      <c r="BI119" s="665"/>
      <c r="BJ119" s="665"/>
      <c r="BK119" s="665"/>
      <c r="BL119" s="665"/>
      <c r="BM119" s="665"/>
      <c r="BN119" s="665"/>
      <c r="BO119" s="665"/>
      <c r="BP119" s="665"/>
      <c r="BQ119" s="665"/>
      <c r="BR119" s="665"/>
      <c r="BS119" s="167"/>
      <c r="BT119" s="167"/>
      <c r="BU119" s="167"/>
      <c r="BV119" s="167"/>
      <c r="BW119" s="167"/>
      <c r="BX119" s="167"/>
      <c r="BY119" s="167"/>
      <c r="BZ119" s="167"/>
      <c r="CA119" s="167"/>
      <c r="CB119" s="167"/>
      <c r="CC119" s="167"/>
      <c r="CD119" s="167"/>
      <c r="CE119" s="167"/>
      <c r="CF119" s="167"/>
      <c r="CG119" s="167"/>
      <c r="CH119" s="167"/>
      <c r="CI119" s="167"/>
      <c r="CJ119" s="167"/>
      <c r="CK119" s="167"/>
      <c r="CL119" s="165"/>
      <c r="CM119" s="42"/>
      <c r="CT119" s="113"/>
      <c r="CU119" s="113"/>
      <c r="CV119" s="509"/>
      <c r="CW119" s="509"/>
      <c r="CX119" s="509"/>
      <c r="CY119" s="509"/>
      <c r="DB119" s="19"/>
      <c r="DC119" s="19"/>
      <c r="DD119" s="19"/>
      <c r="DE119" s="19"/>
      <c r="DF119" s="19"/>
      <c r="DG119" s="19"/>
      <c r="DH119" s="19"/>
      <c r="DI119" s="19"/>
    </row>
    <row r="120" spans="1:115" ht="12" hidden="1" outlineLevel="1">
      <c r="A120" s="1" t="s">
        <v>710</v>
      </c>
      <c r="B120" s="19" t="s">
        <v>351</v>
      </c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525">
        <v>2.7</v>
      </c>
      <c r="AQ120" s="525">
        <v>5.8</v>
      </c>
      <c r="AR120" s="525">
        <v>5.6</v>
      </c>
      <c r="AS120" s="525">
        <v>1.7</v>
      </c>
      <c r="AT120" s="525">
        <v>4.3</v>
      </c>
      <c r="AU120" s="525">
        <v>18.8</v>
      </c>
      <c r="AV120" s="525">
        <v>34.700000000000003</v>
      </c>
      <c r="AW120" s="525">
        <v>36.1</v>
      </c>
      <c r="AX120" s="525">
        <v>40.6</v>
      </c>
      <c r="AY120" s="525">
        <v>67.8</v>
      </c>
      <c r="AZ120" s="523">
        <v>72.7</v>
      </c>
      <c r="BA120" s="677">
        <f>AZ120+([3]JDO!N$195-(BA121-AZ121)+BA470)</f>
        <v>71.800127577450041</v>
      </c>
      <c r="BB120" s="677">
        <f>BA120+([3]JDO!O$195-(BB121-BA121)+BB470)</f>
        <v>66.479611859268232</v>
      </c>
      <c r="BC120" s="677">
        <f>BB120+([3]JDO!P$195-(BC121-BB121)+BC470)</f>
        <v>59.64281561435233</v>
      </c>
      <c r="BD120" s="677">
        <f>BC120+([3]JDO!Q$195-(BD121-BC121)+BD470)</f>
        <v>47.380443506106971</v>
      </c>
      <c r="BE120" s="677">
        <f>BD120+([3]JDO!R$195-(BE121-BD121)+BE470)</f>
        <v>32.720820838305201</v>
      </c>
      <c r="BF120" s="677">
        <f>BE120+([3]JDO!S$195-(BF121-BE121)+BF470)</f>
        <v>18.657654980925088</v>
      </c>
      <c r="BG120" s="677">
        <f>BF120+([3]JDO!T$195-(BG121-BF121)+BG470)</f>
        <v>7.8405735113301489</v>
      </c>
      <c r="BH120" s="677">
        <f>BG120+([3]JDO!U$195-(BH121-BG121)+BH470)</f>
        <v>-1.9257739080825615</v>
      </c>
      <c r="BI120" s="677">
        <f>BH120+([3]JDO!V$195-(BI121-BH121)+BI470)</f>
        <v>-7.6874307436152378</v>
      </c>
      <c r="BJ120" s="677">
        <f>BI120+([3]JDO!W$195-(BJ121-BI121)+BJ470)</f>
        <v>-14.00207371884656</v>
      </c>
      <c r="BK120" s="677">
        <f>BJ120+([3]JDO!X$195-(BK121-BJ121)+BK470)</f>
        <v>-20.340754679242352</v>
      </c>
      <c r="BL120" s="677">
        <f>BK120+([3]JDO!Y$195-(BL121-BK121)+BL470)</f>
        <v>-29.377395940039307</v>
      </c>
      <c r="BM120" s="677">
        <f>BL120+([3]JDO!Z$195-(BM121-BL121)+BM470)</f>
        <v>-38.882311628762082</v>
      </c>
      <c r="BN120" s="677">
        <f>BM120+([3]JDO!AA$195-(BN121-BM121)+BN470)</f>
        <v>-51.289457139288359</v>
      </c>
      <c r="BO120" s="677">
        <f>BN120+([3]JDO!AB$195-(BO121-BN121)+BO470)</f>
        <v>-63.824473242716124</v>
      </c>
      <c r="BP120" s="677">
        <f>BO120+([3]JDO!AC$195-(BP121-BO121)+BP470)</f>
        <v>-79.740257275138873</v>
      </c>
      <c r="BQ120" s="677">
        <f>BP120+([3]JDO!AD$195-(BQ121-BP121)+BQ470)</f>
        <v>-95.932856705602092</v>
      </c>
      <c r="BR120" s="42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525">
        <f>0%*CT$181</f>
        <v>0</v>
      </c>
      <c r="CU120" s="525">
        <f>0.06%*CU$181</f>
        <v>1.0731557999999999</v>
      </c>
      <c r="CV120" s="44">
        <f>AQ120</f>
        <v>5.8</v>
      </c>
      <c r="CW120" s="44">
        <f>AS120</f>
        <v>1.7</v>
      </c>
      <c r="CX120" s="44">
        <f>AU120</f>
        <v>18.8</v>
      </c>
      <c r="CY120" s="44">
        <f>AW120</f>
        <v>36.1</v>
      </c>
      <c r="CZ120" s="45">
        <f>AY120</f>
        <v>67.8</v>
      </c>
      <c r="DA120" s="44">
        <f>BA120</f>
        <v>71.800127577450041</v>
      </c>
      <c r="DB120" s="44">
        <f>BC120</f>
        <v>59.64281561435233</v>
      </c>
      <c r="DC120" s="44">
        <f>BE120</f>
        <v>32.720820838305201</v>
      </c>
      <c r="DD120" s="44">
        <f>BG120</f>
        <v>7.8405735113301489</v>
      </c>
      <c r="DE120" s="44">
        <f>BI120</f>
        <v>-7.6874307436152378</v>
      </c>
      <c r="DF120" s="44">
        <f>BK120</f>
        <v>-20.340754679242352</v>
      </c>
      <c r="DG120" s="44">
        <f>BM120</f>
        <v>-38.882311628762082</v>
      </c>
      <c r="DH120" s="44">
        <f>BO120</f>
        <v>-63.824473242716124</v>
      </c>
      <c r="DI120" s="44">
        <f>BQ120</f>
        <v>-95.932856705602092</v>
      </c>
    </row>
    <row r="121" spans="1:115" ht="12" hidden="1" outlineLevel="1">
      <c r="A121" s="1" t="s">
        <v>711</v>
      </c>
      <c r="B121" s="19" t="s">
        <v>418</v>
      </c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525">
        <v>31.2</v>
      </c>
      <c r="AQ121" s="525">
        <v>29.2</v>
      </c>
      <c r="AR121" s="525">
        <v>39.1</v>
      </c>
      <c r="AS121" s="525">
        <v>53.5</v>
      </c>
      <c r="AT121" s="525">
        <v>73.2</v>
      </c>
      <c r="AU121" s="525">
        <v>88.7</v>
      </c>
      <c r="AV121" s="525">
        <v>95.8</v>
      </c>
      <c r="AW121" s="525">
        <v>113</v>
      </c>
      <c r="AX121" s="525">
        <v>119</v>
      </c>
      <c r="AY121" s="525">
        <f>185.8-AY120</f>
        <v>118.00000000000001</v>
      </c>
      <c r="AZ121" s="523">
        <f>192.1-AZ120</f>
        <v>119.39999999999999</v>
      </c>
      <c r="BA121" s="44">
        <f t="shared" ref="BA121:BQ121" si="658">BA116*(BA613-BA612)</f>
        <v>125.01108919248848</v>
      </c>
      <c r="BB121" s="44">
        <f t="shared" si="658"/>
        <v>138.05065973321356</v>
      </c>
      <c r="BC121" s="44">
        <f t="shared" si="658"/>
        <v>158.27712542868812</v>
      </c>
      <c r="BD121" s="44">
        <f t="shared" si="658"/>
        <v>175.83642510086204</v>
      </c>
      <c r="BE121" s="44">
        <f t="shared" si="658"/>
        <v>194.74226465762064</v>
      </c>
      <c r="BF121" s="44">
        <f t="shared" si="658"/>
        <v>208.42492438924245</v>
      </c>
      <c r="BG121" s="44">
        <f t="shared" si="658"/>
        <v>220.00597465931028</v>
      </c>
      <c r="BH121" s="44">
        <f t="shared" si="658"/>
        <v>228.58799244108303</v>
      </c>
      <c r="BI121" s="44">
        <f t="shared" si="658"/>
        <v>239.83257731442811</v>
      </c>
      <c r="BJ121" s="44">
        <f t="shared" si="658"/>
        <v>247.5126897723232</v>
      </c>
      <c r="BK121" s="44">
        <f t="shared" si="658"/>
        <v>258.15753836477921</v>
      </c>
      <c r="BL121" s="44">
        <f t="shared" si="658"/>
        <v>264.69661652748846</v>
      </c>
      <c r="BM121" s="44">
        <f t="shared" si="658"/>
        <v>274.32826681814959</v>
      </c>
      <c r="BN121" s="44">
        <f t="shared" si="658"/>
        <v>280.28637856883262</v>
      </c>
      <c r="BO121" s="44">
        <f t="shared" si="658"/>
        <v>289.49773759905554</v>
      </c>
      <c r="BP121" s="44">
        <f t="shared" si="658"/>
        <v>295.8282126348779</v>
      </c>
      <c r="BQ121" s="44">
        <f t="shared" si="658"/>
        <v>305.62660187760173</v>
      </c>
      <c r="BR121" s="42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525">
        <f>0.82%*CT$181</f>
        <v>1.9538303999999997</v>
      </c>
      <c r="CU121" s="525">
        <f>1.36%*CU$181</f>
        <v>24.324864800000004</v>
      </c>
      <c r="CV121" s="44">
        <f>AQ121</f>
        <v>29.2</v>
      </c>
      <c r="CW121" s="44">
        <f>AS121</f>
        <v>53.5</v>
      </c>
      <c r="CX121" s="44">
        <f>AU121</f>
        <v>88.7</v>
      </c>
      <c r="CY121" s="44">
        <f>AW121</f>
        <v>113</v>
      </c>
      <c r="CZ121" s="45">
        <f>AY121</f>
        <v>118.00000000000001</v>
      </c>
      <c r="DA121" s="44">
        <f>BA121</f>
        <v>125.01108919248848</v>
      </c>
      <c r="DB121" s="44">
        <f>BC121</f>
        <v>158.27712542868812</v>
      </c>
      <c r="DC121" s="44">
        <f>BE121</f>
        <v>194.74226465762064</v>
      </c>
      <c r="DD121" s="44">
        <f>BG121</f>
        <v>220.00597465931028</v>
      </c>
      <c r="DE121" s="44">
        <f>BI121</f>
        <v>239.83257731442811</v>
      </c>
      <c r="DF121" s="44">
        <f>BK121</f>
        <v>258.15753836477921</v>
      </c>
      <c r="DG121" s="44">
        <f>BM121</f>
        <v>274.32826681814959</v>
      </c>
      <c r="DH121" s="44">
        <f>BO121</f>
        <v>289.49773759905554</v>
      </c>
      <c r="DI121" s="44">
        <f>BQ121</f>
        <v>305.62660187760173</v>
      </c>
    </row>
    <row r="122" spans="1:115" ht="12" hidden="1" outlineLevel="1">
      <c r="A122" s="1" t="s">
        <v>875</v>
      </c>
      <c r="B122" s="19" t="s">
        <v>419</v>
      </c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4">
        <f t="shared" ref="AP122:AY122" si="659">AP120+AP121</f>
        <v>33.9</v>
      </c>
      <c r="AQ122" s="44">
        <f t="shared" si="659"/>
        <v>35</v>
      </c>
      <c r="AR122" s="44">
        <f t="shared" si="659"/>
        <v>44.7</v>
      </c>
      <c r="AS122" s="44">
        <f t="shared" ref="AS122:AT122" si="660">AS120+AS121</f>
        <v>55.2</v>
      </c>
      <c r="AT122" s="44">
        <f t="shared" si="660"/>
        <v>77.5</v>
      </c>
      <c r="AU122" s="44">
        <f t="shared" ref="AU122:AV122" si="661">AU120+AU121</f>
        <v>107.5</v>
      </c>
      <c r="AV122" s="44">
        <f t="shared" si="661"/>
        <v>130.5</v>
      </c>
      <c r="AW122" s="44">
        <f t="shared" ref="AW122:AX122" si="662">AW120+AW121</f>
        <v>149.1</v>
      </c>
      <c r="AX122" s="44">
        <f t="shared" si="662"/>
        <v>159.6</v>
      </c>
      <c r="AY122" s="44">
        <f t="shared" si="659"/>
        <v>185.8</v>
      </c>
      <c r="AZ122" s="45">
        <f t="shared" ref="AZ122" si="663">AZ120+AZ121</f>
        <v>192.1</v>
      </c>
      <c r="BA122" s="44">
        <f t="shared" ref="BA122:BQ122" si="664">BA120+BA121</f>
        <v>196.81121676993854</v>
      </c>
      <c r="BB122" s="44">
        <f t="shared" si="664"/>
        <v>204.5302715924818</v>
      </c>
      <c r="BC122" s="44">
        <f t="shared" si="664"/>
        <v>217.91994104304047</v>
      </c>
      <c r="BD122" s="44">
        <f t="shared" si="664"/>
        <v>223.216868606969</v>
      </c>
      <c r="BE122" s="44">
        <f t="shared" si="664"/>
        <v>227.46308549592584</v>
      </c>
      <c r="BF122" s="44">
        <f t="shared" si="664"/>
        <v>227.08257937016754</v>
      </c>
      <c r="BG122" s="44">
        <f t="shared" si="664"/>
        <v>227.84654817064043</v>
      </c>
      <c r="BH122" s="44">
        <f t="shared" si="664"/>
        <v>226.66221853300047</v>
      </c>
      <c r="BI122" s="44">
        <f t="shared" si="664"/>
        <v>232.14514657081287</v>
      </c>
      <c r="BJ122" s="44">
        <f t="shared" si="664"/>
        <v>233.51061605347664</v>
      </c>
      <c r="BK122" s="44">
        <f t="shared" si="664"/>
        <v>237.81678368553685</v>
      </c>
      <c r="BL122" s="44">
        <f t="shared" si="664"/>
        <v>235.31922058744914</v>
      </c>
      <c r="BM122" s="44">
        <f t="shared" si="664"/>
        <v>235.44595518938752</v>
      </c>
      <c r="BN122" s="44">
        <f t="shared" si="664"/>
        <v>228.99692142954427</v>
      </c>
      <c r="BO122" s="44">
        <f t="shared" si="664"/>
        <v>225.67326435633942</v>
      </c>
      <c r="BP122" s="44">
        <f t="shared" si="664"/>
        <v>216.08795535973903</v>
      </c>
      <c r="BQ122" s="44">
        <f t="shared" si="664"/>
        <v>209.69374517199964</v>
      </c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4">
        <f t="shared" ref="CT122:DF122" si="665">CT120+CT121</f>
        <v>1.9538303999999997</v>
      </c>
      <c r="CU122" s="44">
        <f t="shared" si="665"/>
        <v>25.398020600000002</v>
      </c>
      <c r="CV122" s="44">
        <f t="shared" si="665"/>
        <v>35</v>
      </c>
      <c r="CW122" s="44">
        <f t="shared" si="665"/>
        <v>55.2</v>
      </c>
      <c r="CX122" s="44">
        <f t="shared" si="665"/>
        <v>107.5</v>
      </c>
      <c r="CY122" s="44">
        <f t="shared" si="665"/>
        <v>149.1</v>
      </c>
      <c r="CZ122" s="45">
        <f t="shared" si="665"/>
        <v>185.8</v>
      </c>
      <c r="DA122" s="44">
        <f t="shared" si="665"/>
        <v>196.81121676993854</v>
      </c>
      <c r="DB122" s="44">
        <f t="shared" si="665"/>
        <v>217.91994104304047</v>
      </c>
      <c r="DC122" s="44">
        <f t="shared" si="665"/>
        <v>227.46308549592584</v>
      </c>
      <c r="DD122" s="44">
        <f t="shared" si="665"/>
        <v>227.84654817064043</v>
      </c>
      <c r="DE122" s="44">
        <f t="shared" si="665"/>
        <v>232.14514657081287</v>
      </c>
      <c r="DF122" s="44">
        <f t="shared" si="665"/>
        <v>237.81678368553685</v>
      </c>
      <c r="DG122" s="44">
        <f t="shared" ref="DG122:DH122" si="666">DG120+DG121</f>
        <v>235.44595518938752</v>
      </c>
      <c r="DH122" s="44">
        <f t="shared" si="666"/>
        <v>225.67326435633942</v>
      </c>
      <c r="DI122" s="44">
        <f t="shared" ref="DI122" si="667">DI120+DI121</f>
        <v>209.69374517199964</v>
      </c>
    </row>
    <row r="123" spans="1:115" ht="12" hidden="1" outlineLevel="1">
      <c r="A123" s="1" t="s">
        <v>2197</v>
      </c>
      <c r="B123" s="19" t="s">
        <v>2198</v>
      </c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113">
        <f t="shared" ref="AP123:BI123" si="668">AO123</f>
        <v>0</v>
      </c>
      <c r="AQ123" s="113">
        <f t="shared" ref="AQ123" si="669">AP123</f>
        <v>0</v>
      </c>
      <c r="AR123" s="113">
        <f t="shared" ref="AR123:AZ123" si="670">AQ123</f>
        <v>0</v>
      </c>
      <c r="AS123" s="113">
        <f t="shared" si="670"/>
        <v>0</v>
      </c>
      <c r="AT123" s="113">
        <f t="shared" si="670"/>
        <v>0</v>
      </c>
      <c r="AU123" s="113">
        <f t="shared" si="670"/>
        <v>0</v>
      </c>
      <c r="AV123" s="113">
        <f t="shared" si="670"/>
        <v>0</v>
      </c>
      <c r="AW123" s="113">
        <f t="shared" si="670"/>
        <v>0</v>
      </c>
      <c r="AX123" s="113">
        <f t="shared" si="670"/>
        <v>0</v>
      </c>
      <c r="AY123" s="113">
        <f t="shared" si="670"/>
        <v>0</v>
      </c>
      <c r="AZ123" s="115">
        <f t="shared" si="670"/>
        <v>0</v>
      </c>
      <c r="BA123" s="41">
        <f t="shared" si="668"/>
        <v>0</v>
      </c>
      <c r="BB123" s="41">
        <f t="shared" si="668"/>
        <v>0</v>
      </c>
      <c r="BC123" s="41">
        <f t="shared" si="668"/>
        <v>0</v>
      </c>
      <c r="BD123" s="41">
        <f t="shared" si="668"/>
        <v>0</v>
      </c>
      <c r="BE123" s="41">
        <f t="shared" si="668"/>
        <v>0</v>
      </c>
      <c r="BF123" s="41">
        <f t="shared" si="668"/>
        <v>0</v>
      </c>
      <c r="BG123" s="41">
        <f t="shared" si="668"/>
        <v>0</v>
      </c>
      <c r="BH123" s="41">
        <f t="shared" si="668"/>
        <v>0</v>
      </c>
      <c r="BI123" s="41">
        <f t="shared" si="668"/>
        <v>0</v>
      </c>
      <c r="BJ123" s="41">
        <f t="shared" ref="BJ123" si="671">BI123</f>
        <v>0</v>
      </c>
      <c r="BK123" s="41">
        <f t="shared" ref="BK123" si="672">BJ123</f>
        <v>0</v>
      </c>
      <c r="BL123" s="41">
        <f t="shared" ref="BL123" si="673">BK123</f>
        <v>0</v>
      </c>
      <c r="BM123" s="41">
        <f t="shared" ref="BM123" si="674">BL123</f>
        <v>0</v>
      </c>
      <c r="BN123" s="41">
        <f t="shared" ref="BN123" si="675">BM123</f>
        <v>0</v>
      </c>
      <c r="BO123" s="41">
        <f t="shared" ref="BO123" si="676">BN123</f>
        <v>0</v>
      </c>
      <c r="BP123" s="41">
        <f t="shared" ref="BP123" si="677">BO123</f>
        <v>0</v>
      </c>
      <c r="BQ123" s="41">
        <f t="shared" ref="BQ123" si="678">BP123</f>
        <v>0</v>
      </c>
      <c r="BR123" s="42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525">
        <f t="shared" ref="CT123:CU123" si="679">CS123</f>
        <v>0</v>
      </c>
      <c r="CU123" s="525">
        <f t="shared" si="679"/>
        <v>0</v>
      </c>
      <c r="CV123" s="44">
        <f t="shared" ref="CV123:CV125" si="680">AQ123</f>
        <v>0</v>
      </c>
      <c r="CW123" s="44">
        <f>AS123</f>
        <v>0</v>
      </c>
      <c r="CX123" s="44">
        <f>AU123</f>
        <v>0</v>
      </c>
      <c r="CY123" s="44">
        <f>AW123</f>
        <v>0</v>
      </c>
      <c r="CZ123" s="45">
        <f>AY123</f>
        <v>0</v>
      </c>
      <c r="DA123" s="44">
        <f>BA123</f>
        <v>0</v>
      </c>
      <c r="DB123" s="44">
        <f>BC123</f>
        <v>0</v>
      </c>
      <c r="DC123" s="44">
        <f>BE123</f>
        <v>0</v>
      </c>
      <c r="DD123" s="44">
        <f>BG123</f>
        <v>0</v>
      </c>
      <c r="DE123" s="44">
        <f>BI123</f>
        <v>0</v>
      </c>
      <c r="DF123" s="44">
        <f>BK123</f>
        <v>0</v>
      </c>
      <c r="DG123" s="44">
        <f>BM123</f>
        <v>0</v>
      </c>
      <c r="DH123" s="44">
        <f>BO123</f>
        <v>0</v>
      </c>
      <c r="DI123" s="44">
        <f>BQ123</f>
        <v>0</v>
      </c>
    </row>
    <row r="124" spans="1:115" ht="12" hidden="1" outlineLevel="1">
      <c r="A124" s="1" t="s">
        <v>876</v>
      </c>
      <c r="B124" s="19" t="s">
        <v>420</v>
      </c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525">
        <v>24</v>
      </c>
      <c r="AQ124" s="525">
        <v>9.3000000000000007</v>
      </c>
      <c r="AR124" s="525">
        <v>10.1</v>
      </c>
      <c r="AS124" s="525">
        <v>9.3000000000000007</v>
      </c>
      <c r="AT124" s="525">
        <v>14.8</v>
      </c>
      <c r="AU124" s="525">
        <v>52.1</v>
      </c>
      <c r="AV124" s="525">
        <v>95.7</v>
      </c>
      <c r="AW124" s="525">
        <v>130</v>
      </c>
      <c r="AX124" s="525">
        <v>143.4</v>
      </c>
      <c r="AY124" s="525">
        <v>185.1</v>
      </c>
      <c r="AZ124" s="523">
        <v>189.1</v>
      </c>
      <c r="BA124" s="677">
        <f>[3]JDO!N$206*((AVERAGE(AX124/SUM(AX124:AX125),AY124/SUM(AY124:AY125),AZ124/SUM(AZ124:AZ125))))</f>
        <v>205.68101358040946</v>
      </c>
      <c r="BB124" s="677">
        <f>[3]JDO!O$206*((AVERAGE(AY124/SUM(AY124:AY125),AZ124/SUM(AZ124:AZ125),BA124/SUM(BA124:BA125))))</f>
        <v>226.30513956139592</v>
      </c>
      <c r="BC124" s="677">
        <f>[3]JDO!P$206*((AVERAGE(AZ124/SUM(AZ124:AZ125),BA124/SUM(BA124:BA125),BB124/SUM(BB124:BB125))))</f>
        <v>242.16860715016588</v>
      </c>
      <c r="BD124" s="677">
        <f>[3]JDO!Q$206*((AVERAGE(BA124/SUM(BA124:BA125),BB124/SUM(BB124:BB125),BC124/SUM(BC124:BC125))))</f>
        <v>265.07353012999727</v>
      </c>
      <c r="BE124" s="677">
        <f>[3]JDO!R$206*((AVERAGE(BB124/SUM(BB124:BB125),BC124/SUM(BC124:BC125),BD124/SUM(BD124:BD125))))</f>
        <v>290.04519232812265</v>
      </c>
      <c r="BF124" s="677">
        <f>[3]JDO!S$206*((AVERAGE(BC124/SUM(BC124:BC125),BD124/SUM(BD124:BD125),BE124/SUM(BE124:BE125))))</f>
        <v>299.39665514321257</v>
      </c>
      <c r="BG124" s="677">
        <f>[3]JDO!T$206*((AVERAGE(BD124/SUM(BD124:BD125),BE124/SUM(BE124:BE125),BF124/SUM(BF124:BF125))))</f>
        <v>315.08138132213026</v>
      </c>
      <c r="BH124" s="677">
        <f>[3]JDO!U$206*((AVERAGE(BE124/SUM(BE124:BE125),BF124/SUM(BF124:BF125),BG124/SUM(BG124:BG125))))</f>
        <v>323.55744699623011</v>
      </c>
      <c r="BI124" s="677">
        <f>[3]JDO!V$206*((AVERAGE(BF124/SUM(BF124:BF125),BG124/SUM(BG124:BG125),BH124/SUM(BH124:BH125))))</f>
        <v>336.25284861734929</v>
      </c>
      <c r="BJ124" s="677">
        <f>[3]JDO!W$206*((AVERAGE(BG124/SUM(BG124:BG125),BH124/SUM(BH124:BH125),BI124/SUM(BI124:BI125))))</f>
        <v>342.4130869640714</v>
      </c>
      <c r="BK124" s="677">
        <f>[3]JDO!X$206*((AVERAGE(BH124/SUM(BH124:BH125),BI124/SUM(BI124:BI125),BJ124/SUM(BJ124:BJ125))))</f>
        <v>352.83178786194992</v>
      </c>
      <c r="BL124" s="677">
        <f>[3]JDO!Y$206*((AVERAGE(BI124/SUM(BI124:BI125),BJ124/SUM(BJ124:BJ125),BK124/SUM(BK124:BK125))))</f>
        <v>355.72026924969185</v>
      </c>
      <c r="BM124" s="677">
        <f>[3]JDO!Z$206*((AVERAGE(BJ124/SUM(BJ124:BJ125),BK124/SUM(BK124:BK125),BL124/SUM(BL124:BL125))))</f>
        <v>363.27421330397465</v>
      </c>
      <c r="BN124" s="677">
        <f>[3]JDO!AA$206*((AVERAGE(BK124/SUM(BK124:BK125),BL124/SUM(BL124:BL125),BM124/SUM(BM124:BM125))))</f>
        <v>364.2592752691051</v>
      </c>
      <c r="BO124" s="677">
        <f>[3]JDO!AB$206*((AVERAGE(BL124/SUM(BL124:BL125),BM124/SUM(BM124:BM125),BN124/SUM(BN124:BN125))))</f>
        <v>369.93243467456699</v>
      </c>
      <c r="BP124" s="677">
        <f>[3]JDO!AC$206*((AVERAGE(BM124/SUM(BM124:BM125),BN124/SUM(BN124:BN125),BO124/SUM(BO124:BO125))))</f>
        <v>370.59832885945872</v>
      </c>
      <c r="BQ124" s="677">
        <f>[3]JDO!AD$206*((AVERAGE(BN124/SUM(BN124:BN125),BO124/SUM(BO124:BO125),BP124/SUM(BP124:BP125))))</f>
        <v>375.99388833776072</v>
      </c>
      <c r="BR124" s="42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525"/>
      <c r="CU124" s="525"/>
      <c r="CV124" s="44">
        <f t="shared" si="680"/>
        <v>9.3000000000000007</v>
      </c>
      <c r="CW124" s="44">
        <f>AS124</f>
        <v>9.3000000000000007</v>
      </c>
      <c r="CX124" s="44">
        <f>AU124</f>
        <v>52.1</v>
      </c>
      <c r="CY124" s="44">
        <f>AW124</f>
        <v>130</v>
      </c>
      <c r="CZ124" s="45">
        <f>AY124</f>
        <v>185.1</v>
      </c>
      <c r="DA124" s="44">
        <f>BA124</f>
        <v>205.68101358040946</v>
      </c>
      <c r="DB124" s="44">
        <f>BC124</f>
        <v>242.16860715016588</v>
      </c>
      <c r="DC124" s="44">
        <f>BE124</f>
        <v>290.04519232812265</v>
      </c>
      <c r="DD124" s="44">
        <f>BG124</f>
        <v>315.08138132213026</v>
      </c>
      <c r="DE124" s="44">
        <f>BI124</f>
        <v>336.25284861734929</v>
      </c>
      <c r="DF124" s="44">
        <f>BK124</f>
        <v>352.83178786194992</v>
      </c>
      <c r="DG124" s="44">
        <f>BM124</f>
        <v>363.27421330397465</v>
      </c>
      <c r="DH124" s="44">
        <f>BO124</f>
        <v>369.93243467456699</v>
      </c>
      <c r="DI124" s="44">
        <f>BQ124</f>
        <v>375.99388833776072</v>
      </c>
    </row>
    <row r="125" spans="1:115" ht="12" hidden="1" outlineLevel="1">
      <c r="A125" s="1" t="s">
        <v>877</v>
      </c>
      <c r="B125" s="19" t="s">
        <v>414</v>
      </c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525">
        <v>1.1000000000000001</v>
      </c>
      <c r="AQ125" s="525">
        <v>2.8</v>
      </c>
      <c r="AR125" s="525">
        <v>0.2</v>
      </c>
      <c r="AS125" s="525">
        <v>0.7</v>
      </c>
      <c r="AT125" s="525">
        <v>13</v>
      </c>
      <c r="AU125" s="525">
        <v>45</v>
      </c>
      <c r="AV125" s="525">
        <v>72.099999999999994</v>
      </c>
      <c r="AW125" s="525">
        <v>117.7</v>
      </c>
      <c r="AX125" s="525">
        <v>124.4</v>
      </c>
      <c r="AY125" s="525">
        <v>118.1</v>
      </c>
      <c r="AZ125" s="523">
        <v>167.1</v>
      </c>
      <c r="BA125" s="677">
        <f>[3]JDO!N$206-BA124</f>
        <v>162.29780962164836</v>
      </c>
      <c r="BB125" s="677">
        <f>[3]JDO!O$206-BB124</f>
        <v>172.98227122925439</v>
      </c>
      <c r="BC125" s="677">
        <f>[3]JDO!P$206-BC124</f>
        <v>196.38320479271493</v>
      </c>
      <c r="BD125" s="677">
        <f>[3]JDO!Q$206-BD124</f>
        <v>208.85850006299864</v>
      </c>
      <c r="BE125" s="677">
        <f>[3]JDO!R$206-BE124</f>
        <v>228.42337945350641</v>
      </c>
      <c r="BF125" s="677">
        <f>[3]JDO!S$206-BF124</f>
        <v>238.14085381067287</v>
      </c>
      <c r="BG125" s="677">
        <f>[3]JDO!T$206-BG124</f>
        <v>249.00370851242621</v>
      </c>
      <c r="BH125" s="677">
        <f>[3]JDO!U$206-BH124</f>
        <v>255.9568758150894</v>
      </c>
      <c r="BI125" s="677">
        <f>[3]JDO!V$206-BI124</f>
        <v>266.39617628987799</v>
      </c>
      <c r="BJ125" s="677">
        <f>[3]JDO!W$206-BJ124</f>
        <v>270.9175947875994</v>
      </c>
      <c r="BK125" s="677">
        <f>[3]JDO!X$206-BK124</f>
        <v>279.26883527899156</v>
      </c>
      <c r="BL125" s="677">
        <f>[3]JDO!Y$206-BL124</f>
        <v>281.60681884993988</v>
      </c>
      <c r="BM125" s="677">
        <f>[3]JDO!Z$206-BM124</f>
        <v>287.51464124397683</v>
      </c>
      <c r="BN125" s="677">
        <f>[3]JDO!AA$206-BN124</f>
        <v>288.32492772623294</v>
      </c>
      <c r="BO125" s="677">
        <f>[3]JDO!AB$206-BO124</f>
        <v>292.81922361181108</v>
      </c>
      <c r="BP125" s="677">
        <f>[3]JDO!AC$206-BP124</f>
        <v>293.33339162536055</v>
      </c>
      <c r="BQ125" s="677">
        <f>[3]JDO!AD$206-BQ124</f>
        <v>297.61150560756391</v>
      </c>
      <c r="BR125" s="42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525"/>
      <c r="CU125" s="525"/>
      <c r="CV125" s="44">
        <f t="shared" si="680"/>
        <v>2.8</v>
      </c>
      <c r="CW125" s="44">
        <f>AS125</f>
        <v>0.7</v>
      </c>
      <c r="CX125" s="44">
        <f>AU125</f>
        <v>45</v>
      </c>
      <c r="CY125" s="44">
        <f>AW125</f>
        <v>117.7</v>
      </c>
      <c r="CZ125" s="45">
        <f>AY125</f>
        <v>118.1</v>
      </c>
      <c r="DA125" s="44">
        <f>BA125</f>
        <v>162.29780962164836</v>
      </c>
      <c r="DB125" s="44">
        <f>BC125</f>
        <v>196.38320479271493</v>
      </c>
      <c r="DC125" s="44">
        <f>BE125</f>
        <v>228.42337945350641</v>
      </c>
      <c r="DD125" s="44">
        <f>BG125</f>
        <v>249.00370851242621</v>
      </c>
      <c r="DE125" s="44">
        <f>BI125</f>
        <v>266.39617628987799</v>
      </c>
      <c r="DF125" s="44">
        <f>BK125</f>
        <v>279.26883527899156</v>
      </c>
      <c r="DG125" s="44">
        <f>BM125</f>
        <v>287.51464124397683</v>
      </c>
      <c r="DH125" s="44">
        <f>BO125</f>
        <v>292.81922361181108</v>
      </c>
      <c r="DI125" s="44">
        <f>BQ125</f>
        <v>297.61150560756391</v>
      </c>
    </row>
    <row r="126" spans="1:115" ht="12" hidden="1" outlineLevel="1">
      <c r="AC126" s="42"/>
      <c r="AE126" s="165"/>
      <c r="AF126" s="42"/>
      <c r="AV126" s="666"/>
      <c r="AW126" s="666"/>
      <c r="AX126" s="666"/>
      <c r="BC126" s="665"/>
      <c r="CT126" s="167"/>
      <c r="CU126" s="167"/>
      <c r="CV126" s="167"/>
      <c r="CW126" s="167"/>
      <c r="CX126" s="167"/>
      <c r="CY126" s="167"/>
      <c r="DB126" s="19"/>
      <c r="DC126" s="19"/>
      <c r="DD126" s="19"/>
      <c r="DE126" s="19"/>
      <c r="DF126" s="19"/>
      <c r="DG126" s="19"/>
      <c r="DH126" s="19"/>
      <c r="DI126" s="19"/>
    </row>
    <row r="127" spans="1:115" ht="12" hidden="1" outlineLevel="1">
      <c r="B127" s="24" t="s">
        <v>415</v>
      </c>
      <c r="AC127" s="42"/>
      <c r="AD127" s="416"/>
      <c r="AF127" s="42"/>
      <c r="AL127" s="603"/>
      <c r="AM127" s="603"/>
      <c r="AN127" s="603"/>
      <c r="AO127" s="603"/>
      <c r="AP127" s="505"/>
      <c r="CT127" s="505"/>
      <c r="CU127" s="505"/>
      <c r="CV127" s="505"/>
      <c r="CW127" s="505"/>
      <c r="CX127" s="505"/>
      <c r="CY127" s="505"/>
      <c r="DB127" s="19"/>
      <c r="DC127" s="19"/>
      <c r="DD127" s="19"/>
      <c r="DE127" s="19"/>
      <c r="DF127" s="19"/>
      <c r="DG127" s="19"/>
      <c r="DH127" s="19"/>
      <c r="DI127" s="19"/>
    </row>
    <row r="128" spans="1:115" ht="12" hidden="1" outlineLevel="1">
      <c r="A128" s="1" t="s">
        <v>727</v>
      </c>
      <c r="B128" s="19" t="s">
        <v>506</v>
      </c>
      <c r="C128" s="408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  <c r="T128" s="394"/>
      <c r="U128" s="408"/>
      <c r="V128" s="408"/>
      <c r="W128" s="408"/>
      <c r="X128" s="408"/>
      <c r="Y128" s="394"/>
      <c r="Z128" s="394"/>
      <c r="AA128" s="394"/>
      <c r="AB128" s="394"/>
      <c r="AC128" s="394"/>
      <c r="AD128" s="394"/>
      <c r="AE128" s="394"/>
      <c r="AF128" s="394"/>
      <c r="AG128" s="394"/>
      <c r="AH128" s="394"/>
      <c r="AI128" s="394"/>
      <c r="AJ128" s="394"/>
      <c r="AK128" s="394"/>
      <c r="AL128" s="394"/>
      <c r="AM128" s="394"/>
      <c r="AN128" s="394"/>
      <c r="AO128" s="394"/>
      <c r="AP128" s="506">
        <v>0.3</v>
      </c>
      <c r="AQ128" s="506">
        <v>0.3</v>
      </c>
      <c r="AR128" s="506">
        <v>0.3</v>
      </c>
      <c r="AS128" s="506">
        <v>0.3</v>
      </c>
      <c r="AT128" s="506">
        <v>0.3</v>
      </c>
      <c r="AU128" s="506">
        <v>0.3</v>
      </c>
      <c r="AV128" s="506">
        <v>0.3</v>
      </c>
      <c r="AW128" s="506">
        <v>0.3</v>
      </c>
      <c r="AX128" s="506">
        <v>0.3</v>
      </c>
      <c r="AY128" s="506">
        <v>0.3</v>
      </c>
      <c r="AZ128" s="560">
        <v>0.3</v>
      </c>
      <c r="BA128" s="556">
        <f>VLOOKUP($A128,[1]Sheet1!$2:$65536,MATCH(BA$3,[1]Sheet1!$2:$2,0),FALSE)</f>
        <v>0.3</v>
      </c>
      <c r="BB128" s="556">
        <f>VLOOKUP($A128,[1]Sheet1!$2:$65536,MATCH(BB$3,[1]Sheet1!$2:$2,0),FALSE)</f>
        <v>0.3</v>
      </c>
      <c r="BC128" s="556">
        <f>VLOOKUP($A128,[1]Sheet1!$2:$65536,MATCH(BC$3,[1]Sheet1!$2:$2,0),FALSE)</f>
        <v>0.3</v>
      </c>
      <c r="BD128" s="556">
        <f>VLOOKUP($A128,[1]Sheet1!$2:$65536,MATCH(BD$3,[1]Sheet1!$2:$2,0),FALSE)</f>
        <v>0.3</v>
      </c>
      <c r="BE128" s="556">
        <f>VLOOKUP($A128,[1]Sheet1!$2:$65536,MATCH(BE$3,[1]Sheet1!$2:$2,0),FALSE)</f>
        <v>0.3</v>
      </c>
      <c r="BF128" s="556">
        <f>VLOOKUP($A128,[1]Sheet1!$2:$65536,MATCH(BF$3,[1]Sheet1!$2:$2,0),FALSE)</f>
        <v>0.3</v>
      </c>
      <c r="BG128" s="556">
        <f>VLOOKUP($A128,[1]Sheet1!$2:$65536,MATCH(BG$3,[1]Sheet1!$2:$2,0),FALSE)</f>
        <v>0.3</v>
      </c>
      <c r="BH128" s="556">
        <f>VLOOKUP($A128,[1]Sheet1!$2:$65536,MATCH(BH$3,[1]Sheet1!$2:$2,0),FALSE)</f>
        <v>0.3</v>
      </c>
      <c r="BI128" s="556">
        <f>VLOOKUP($A128,[1]Sheet1!$2:$65536,MATCH(BI$3,[1]Sheet1!$2:$2,0),FALSE)</f>
        <v>0.3</v>
      </c>
      <c r="BJ128" s="556">
        <f>VLOOKUP($A128,[1]Sheet1!$2:$65536,MATCH(BJ$3,[1]Sheet1!$2:$2,0),FALSE)</f>
        <v>0.3</v>
      </c>
      <c r="BK128" s="556">
        <f>VLOOKUP($A128,[1]Sheet1!$2:$65536,MATCH(BK$3,[1]Sheet1!$2:$2,0),FALSE)</f>
        <v>0.3</v>
      </c>
      <c r="BL128" s="556">
        <f>VLOOKUP($A128,[1]Sheet1!$2:$65536,MATCH(BL$3,[1]Sheet1!$2:$2,0),FALSE)</f>
        <v>0.3</v>
      </c>
      <c r="BM128" s="556">
        <f>VLOOKUP($A128,[1]Sheet1!$2:$65536,MATCH(BM$3,[1]Sheet1!$2:$2,0),FALSE)</f>
        <v>0.3</v>
      </c>
      <c r="BN128" s="556">
        <f>VLOOKUP($A128,[1]Sheet1!$2:$65536,MATCH(BN$3,[1]Sheet1!$2:$2,0),FALSE)</f>
        <v>0.3</v>
      </c>
      <c r="BO128" s="556">
        <f>VLOOKUP($A128,[1]Sheet1!$2:$65536,MATCH(BO$3,[1]Sheet1!$2:$2,0),FALSE)</f>
        <v>0.3</v>
      </c>
      <c r="BP128" s="556">
        <f>VLOOKUP($A128,[1]Sheet1!$2:$65536,MATCH(BP$3,[1]Sheet1!$2:$2,0),FALSE)</f>
        <v>0.3</v>
      </c>
      <c r="BQ128" s="556">
        <f>VLOOKUP($A128,[1]Sheet1!$2:$65536,MATCH(BQ$3,[1]Sheet1!$2:$2,0),FALSE)</f>
        <v>0.3</v>
      </c>
      <c r="BR128" s="162"/>
      <c r="BS128" s="162"/>
      <c r="BT128" s="410"/>
      <c r="BU128" s="410"/>
      <c r="BV128" s="410"/>
      <c r="BW128" s="410"/>
      <c r="BX128" s="410"/>
      <c r="BY128" s="410"/>
      <c r="BZ128" s="410"/>
      <c r="CA128" s="410"/>
      <c r="CB128" s="410"/>
      <c r="CC128" s="410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285"/>
      <c r="CN128" s="285"/>
      <c r="CO128" s="285"/>
      <c r="CP128" s="285"/>
      <c r="CQ128" s="285"/>
      <c r="CR128" s="285"/>
      <c r="CS128" s="285"/>
      <c r="CT128" s="506">
        <v>0.3</v>
      </c>
      <c r="CU128" s="506">
        <v>0.3</v>
      </c>
      <c r="CV128" s="394">
        <f>SUMPRODUCT(AP128:AQ128,AP$5:AQ$5)/SUM(AP$5:AQ$5)</f>
        <v>0.3</v>
      </c>
      <c r="CW128" s="394">
        <f>SUMPRODUCT(AR128:AS128,AR$5:AS$5)/SUM(AR$5:AS$5)</f>
        <v>0.3</v>
      </c>
      <c r="CX128" s="394">
        <f>SUMPRODUCT(AT128:AU128,AT$5:AU$5)/SUM(AT$5:AU$5)</f>
        <v>0.3</v>
      </c>
      <c r="CY128" s="394">
        <f>SUMPRODUCT(AV128:AW128,AV$5:AW$5)/SUM(AV$5:AW$5)</f>
        <v>0.3</v>
      </c>
      <c r="CZ128" s="286">
        <f>SUMPRODUCT(AX128:AY128,AX$5:AY$5)/SUM(AX$5:AY$5)</f>
        <v>0.3</v>
      </c>
      <c r="DA128" s="162">
        <f>SUMPRODUCT(AZ128:BA128,AZ$5:BA$5)/SUM(AZ$5:BA$5)</f>
        <v>0.3</v>
      </c>
      <c r="DB128" s="162">
        <f>SUMPRODUCT(BB128:BC128,BA$5:BB$5)/SUM(BA$5:BB$5)</f>
        <v>0.3</v>
      </c>
      <c r="DC128" s="162">
        <f>SUMPRODUCT(BD128:BE128,BD$5:BE$5)/SUM(BD$5:BE$5)</f>
        <v>0.3</v>
      </c>
      <c r="DD128" s="162">
        <f>SUMPRODUCT(BF128:BG128,BF$5:BG$5)/SUM(BF$5:BG$5)</f>
        <v>0.3</v>
      </c>
      <c r="DE128" s="162">
        <f>SUMPRODUCT(BH128:BI128,BH$5:BI$5)/SUM(BH$5:BI$5)</f>
        <v>0.3</v>
      </c>
      <c r="DF128" s="162">
        <f>SUMPRODUCT(BJ128:BK128,BJ$5:BK$5)/SUM(BJ$5:BK$5)</f>
        <v>0.3</v>
      </c>
      <c r="DG128" s="162">
        <f>SUMPRODUCT(BL128:BM128,BL$5:BM$5)/SUM(BL$5:BM$5)</f>
        <v>0.3</v>
      </c>
      <c r="DH128" s="162">
        <f>SUMPRODUCT(BN128:BO128,BN$5:BO$5)/SUM(BN$5:BO$5)</f>
        <v>0.3</v>
      </c>
      <c r="DI128" s="162">
        <f>SUMPRODUCT(BP128:BQ128,BP$5:BQ$5)/SUM(BP$5:BQ$5)</f>
        <v>0.3</v>
      </c>
    </row>
    <row r="129" spans="1:113" ht="12" hidden="1" outlineLevel="1">
      <c r="A129" s="1" t="s">
        <v>503</v>
      </c>
      <c r="B129" s="19" t="s">
        <v>897</v>
      </c>
      <c r="C129" s="408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  <c r="T129" s="394"/>
      <c r="U129" s="408"/>
      <c r="V129" s="408"/>
      <c r="W129" s="408"/>
      <c r="X129" s="408"/>
      <c r="Y129" s="394"/>
      <c r="Z129" s="394"/>
      <c r="AA129" s="394"/>
      <c r="AB129" s="394"/>
      <c r="AC129" s="394"/>
      <c r="AD129" s="394"/>
      <c r="AE129" s="394"/>
      <c r="AF129" s="394"/>
      <c r="AG129" s="394"/>
      <c r="AH129" s="394"/>
      <c r="AI129" s="394"/>
      <c r="AJ129" s="394"/>
      <c r="AK129" s="394"/>
      <c r="AL129" s="394"/>
      <c r="AM129" s="394"/>
      <c r="AN129" s="394"/>
      <c r="AO129" s="394"/>
      <c r="AP129" s="285">
        <f t="shared" ref="AP129:AR129" si="681">-AP497/AP483</f>
        <v>1.5151515151515166E-2</v>
      </c>
      <c r="AQ129" s="285">
        <f t="shared" si="681"/>
        <v>2.8571428571428745</v>
      </c>
      <c r="AR129" s="285">
        <f t="shared" si="681"/>
        <v>0.76666666666666439</v>
      </c>
      <c r="AS129" s="285">
        <f t="shared" ref="AS129:AT129" si="682">-AS497/AS483</f>
        <v>0.33333333333333359</v>
      </c>
      <c r="AT129" s="285">
        <f t="shared" si="682"/>
        <v>0.32142857142857151</v>
      </c>
      <c r="AU129" s="285">
        <f t="shared" ref="AU129:AV129" si="683">-AU497/AU483</f>
        <v>0.31307550644567228</v>
      </c>
      <c r="AV129" s="285">
        <f t="shared" si="683"/>
        <v>0.31899109792284863</v>
      </c>
      <c r="AW129" s="285">
        <f t="shared" ref="AW129:AY129" si="684">-AW497/AW483</f>
        <v>0.3495934959349592</v>
      </c>
      <c r="AX129" s="285">
        <f t="shared" si="684"/>
        <v>0.27865961199294531</v>
      </c>
      <c r="AY129" s="285">
        <f t="shared" si="684"/>
        <v>0.33962264150943383</v>
      </c>
      <c r="AZ129" s="286">
        <f t="shared" ref="AZ129" si="685">-AZ497/AZ483</f>
        <v>0.30751445086705215</v>
      </c>
      <c r="BA129" s="386">
        <f>IF(AZ129&gt;30%,AZ129-0.1%,AZ129)</f>
        <v>0.30651445086705215</v>
      </c>
      <c r="BB129" s="386">
        <f t="shared" ref="BB129:BQ129" si="686">IF(BA129&gt;30%,BA129-0.1%,BA129)</f>
        <v>0.30551445086705215</v>
      </c>
      <c r="BC129" s="386">
        <f t="shared" si="686"/>
        <v>0.30451445086705214</v>
      </c>
      <c r="BD129" s="386">
        <f t="shared" si="686"/>
        <v>0.30351445086705214</v>
      </c>
      <c r="BE129" s="386">
        <f t="shared" si="686"/>
        <v>0.30251445086705214</v>
      </c>
      <c r="BF129" s="386">
        <f t="shared" si="686"/>
        <v>0.30151445086705214</v>
      </c>
      <c r="BG129" s="386">
        <f t="shared" si="686"/>
        <v>0.30051445086705214</v>
      </c>
      <c r="BH129" s="386">
        <f t="shared" si="686"/>
        <v>0.29951445086705214</v>
      </c>
      <c r="BI129" s="386">
        <f t="shared" si="686"/>
        <v>0.29951445086705214</v>
      </c>
      <c r="BJ129" s="386">
        <f t="shared" si="686"/>
        <v>0.29951445086705214</v>
      </c>
      <c r="BK129" s="386">
        <f t="shared" si="686"/>
        <v>0.29951445086705214</v>
      </c>
      <c r="BL129" s="386">
        <f t="shared" si="686"/>
        <v>0.29951445086705214</v>
      </c>
      <c r="BM129" s="386">
        <f t="shared" si="686"/>
        <v>0.29951445086705214</v>
      </c>
      <c r="BN129" s="386">
        <f t="shared" si="686"/>
        <v>0.29951445086705214</v>
      </c>
      <c r="BO129" s="386">
        <f t="shared" si="686"/>
        <v>0.29951445086705214</v>
      </c>
      <c r="BP129" s="386">
        <f t="shared" si="686"/>
        <v>0.29951445086705214</v>
      </c>
      <c r="BQ129" s="386">
        <f t="shared" si="686"/>
        <v>0.29951445086705214</v>
      </c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285"/>
      <c r="CN129" s="285"/>
      <c r="CO129" s="285"/>
      <c r="CP129" s="285"/>
      <c r="CQ129" s="285"/>
      <c r="CR129" s="285"/>
      <c r="CS129" s="285"/>
      <c r="CT129" s="285">
        <f t="shared" ref="CT129:CW129" si="687">-CT497/CT483</f>
        <v>0.28080059787939649</v>
      </c>
      <c r="CU129" s="285">
        <f t="shared" si="687"/>
        <v>0.30720184028440756</v>
      </c>
      <c r="CV129" s="285">
        <f t="shared" si="687"/>
        <v>0.28767123287671248</v>
      </c>
      <c r="CW129" s="285">
        <f t="shared" si="687"/>
        <v>0.41666666666666663</v>
      </c>
      <c r="CX129" s="285">
        <f t="shared" ref="CX129:DF129" si="688">-CX497/SUM(CX381,CX408,CX443,CX472)</f>
        <v>0.31720930232558142</v>
      </c>
      <c r="CY129" s="285">
        <f>-CY497/SUM(CY381,CY408,CY443,CY472)</f>
        <v>0.32981783317353791</v>
      </c>
      <c r="CZ129" s="286">
        <f t="shared" si="688"/>
        <v>0.3121019108280253</v>
      </c>
      <c r="DA129" s="162">
        <f t="shared" si="688"/>
        <v>0.30696396026937905</v>
      </c>
      <c r="DB129" s="162">
        <f t="shared" si="688"/>
        <v>0.305006003010103</v>
      </c>
      <c r="DC129" s="162">
        <f t="shared" si="688"/>
        <v>0.3029930057563594</v>
      </c>
      <c r="DD129" s="162">
        <f t="shared" si="688"/>
        <v>0.3009932372410592</v>
      </c>
      <c r="DE129" s="162">
        <f t="shared" si="688"/>
        <v>0.29951445086705214</v>
      </c>
      <c r="DF129" s="162">
        <f t="shared" si="688"/>
        <v>0.29951445086705214</v>
      </c>
      <c r="DG129" s="162">
        <f t="shared" ref="DG129:DH129" si="689">-DG497/SUM(DG381,DG408,DG443,DG472)</f>
        <v>0.29951445086705208</v>
      </c>
      <c r="DH129" s="162">
        <f t="shared" si="689"/>
        <v>0.29951445086705208</v>
      </c>
      <c r="DI129" s="162">
        <f t="shared" ref="DI129" si="690">-DI497/SUM(DI381,DI408,DI443,DI472)</f>
        <v>0.29951445086705214</v>
      </c>
    </row>
    <row r="130" spans="1:113" ht="12" hidden="1" outlineLevel="1">
      <c r="A130" s="1" t="s">
        <v>898</v>
      </c>
      <c r="B130" s="19" t="s">
        <v>505</v>
      </c>
      <c r="C130" s="408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  <c r="T130" s="394"/>
      <c r="U130" s="408"/>
      <c r="V130" s="408"/>
      <c r="W130" s="408"/>
      <c r="X130" s="408"/>
      <c r="Y130" s="394"/>
      <c r="Z130" s="394"/>
      <c r="AA130" s="394"/>
      <c r="AB130" s="394"/>
      <c r="AC130" s="394"/>
      <c r="AD130" s="394"/>
      <c r="AE130" s="394"/>
      <c r="AF130" s="394"/>
      <c r="AG130" s="394"/>
      <c r="AH130" s="394"/>
      <c r="AI130" s="394"/>
      <c r="AJ130" s="394"/>
      <c r="AK130" s="394"/>
      <c r="AL130" s="394"/>
      <c r="AM130" s="394"/>
      <c r="AN130" s="394"/>
      <c r="AO130" s="394"/>
      <c r="AP130" s="285">
        <f t="shared" ref="AP130:AR130" si="691">-(AP497-AP502)/SUM(AP387,AP414,AP449,AP478)</f>
        <v>1.5151515151515166E-2</v>
      </c>
      <c r="AQ130" s="285">
        <f t="shared" si="691"/>
        <v>2.8571428571428745</v>
      </c>
      <c r="AR130" s="285">
        <f t="shared" si="691"/>
        <v>0.76666666666666439</v>
      </c>
      <c r="AS130" s="285">
        <f t="shared" ref="AS130:AT130" si="692">-(AS497-AS502)/SUM(AS387,AS414,AS449,AS478)</f>
        <v>0.33333333333333359</v>
      </c>
      <c r="AT130" s="285">
        <f t="shared" si="692"/>
        <v>0.32142857142857151</v>
      </c>
      <c r="AU130" s="285">
        <f t="shared" ref="AU130:AV130" si="693">-(AU497-AU502)/SUM(AU387,AU414,AU449,AU478)</f>
        <v>0.31307550644567228</v>
      </c>
      <c r="AV130" s="285">
        <f t="shared" si="693"/>
        <v>0.31899109792284863</v>
      </c>
      <c r="AW130" s="285">
        <f t="shared" ref="AW130:AX130" si="694">-(AW497-AW502)/SUM(AW387,AW414,AW449,AW478)</f>
        <v>0.30210772833723643</v>
      </c>
      <c r="AX130" s="285">
        <f t="shared" si="694"/>
        <v>0.27865961199294531</v>
      </c>
      <c r="AY130" s="285">
        <f t="shared" ref="AY130:BI130" si="695">-(AY497-AY502)/SUM(AY387,AY414,AY449,AY478)</f>
        <v>0.33962264150943383</v>
      </c>
      <c r="AZ130" s="286">
        <f t="shared" ref="AZ130" si="696">-(AZ497-AZ502)/SUM(AZ387,AZ414,AZ449,AZ478)</f>
        <v>0.30751445086705215</v>
      </c>
      <c r="BA130" s="162">
        <f t="shared" si="695"/>
        <v>0.30651445086705215</v>
      </c>
      <c r="BB130" s="162">
        <f t="shared" si="695"/>
        <v>0.30551445086705215</v>
      </c>
      <c r="BC130" s="162">
        <f t="shared" si="695"/>
        <v>0.30451445086705214</v>
      </c>
      <c r="BD130" s="162">
        <f t="shared" si="695"/>
        <v>0.30351445086705214</v>
      </c>
      <c r="BE130" s="162">
        <f t="shared" si="695"/>
        <v>0.30251445086705214</v>
      </c>
      <c r="BF130" s="162">
        <f t="shared" si="695"/>
        <v>0.30151445086705214</v>
      </c>
      <c r="BG130" s="162">
        <f t="shared" si="695"/>
        <v>0.30051445086705214</v>
      </c>
      <c r="BH130" s="162">
        <f t="shared" si="695"/>
        <v>0.29951445086705214</v>
      </c>
      <c r="BI130" s="162">
        <f t="shared" si="695"/>
        <v>0.2995144508670522</v>
      </c>
      <c r="BJ130" s="162">
        <f t="shared" ref="BJ130:BK130" si="697">-(BJ497-BJ502)/SUM(BJ387,BJ414,BJ449,BJ478)</f>
        <v>0.29951445086705214</v>
      </c>
      <c r="BK130" s="162">
        <f t="shared" si="697"/>
        <v>0.2995144508670522</v>
      </c>
      <c r="BL130" s="162">
        <f t="shared" ref="BL130:BM130" si="698">-(BL497-BL502)/SUM(BL387,BL414,BL449,BL478)</f>
        <v>0.29951445086705214</v>
      </c>
      <c r="BM130" s="162">
        <f t="shared" si="698"/>
        <v>0.29951445086705214</v>
      </c>
      <c r="BN130" s="162">
        <f t="shared" ref="BN130:BO130" si="699">-(BN497-BN502)/SUM(BN387,BN414,BN449,BN478)</f>
        <v>0.29951445086705214</v>
      </c>
      <c r="BO130" s="162">
        <f t="shared" si="699"/>
        <v>0.29951445086705214</v>
      </c>
      <c r="BP130" s="162">
        <f t="shared" ref="BP130:BQ130" si="700">-(BP497-BP502)/SUM(BP387,BP414,BP449,BP478)</f>
        <v>0.29951445086705214</v>
      </c>
      <c r="BQ130" s="162">
        <f t="shared" si="700"/>
        <v>0.29951445086705214</v>
      </c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285"/>
      <c r="CN130" s="285"/>
      <c r="CO130" s="285"/>
      <c r="CP130" s="285"/>
      <c r="CQ130" s="285"/>
      <c r="CR130" s="285"/>
      <c r="CS130" s="285"/>
      <c r="CT130" s="285">
        <f t="shared" ref="CT130:DF130" si="701">-(CT497-CT502)/SUM(CT387,CT414,CT449,CT478)</f>
        <v>0.28080059787939649</v>
      </c>
      <c r="CU130" s="285">
        <f t="shared" si="701"/>
        <v>0.30720184028440756</v>
      </c>
      <c r="CV130" s="285">
        <f t="shared" si="701"/>
        <v>0.28767123287671248</v>
      </c>
      <c r="CW130" s="285">
        <f t="shared" si="701"/>
        <v>0.41666666666666663</v>
      </c>
      <c r="CX130" s="285">
        <f t="shared" si="701"/>
        <v>0.31720930232558142</v>
      </c>
      <c r="CY130" s="285">
        <f t="shared" si="701"/>
        <v>0.31244323342415986</v>
      </c>
      <c r="CZ130" s="286">
        <f t="shared" si="701"/>
        <v>0.3121019108280253</v>
      </c>
      <c r="DA130" s="162">
        <f t="shared" si="701"/>
        <v>0.30696396026937905</v>
      </c>
      <c r="DB130" s="162">
        <f t="shared" si="701"/>
        <v>0.305006003010103</v>
      </c>
      <c r="DC130" s="162">
        <f t="shared" si="701"/>
        <v>0.3029930057563594</v>
      </c>
      <c r="DD130" s="162">
        <f t="shared" si="701"/>
        <v>0.3009932372410592</v>
      </c>
      <c r="DE130" s="162">
        <f t="shared" si="701"/>
        <v>0.29951445086705214</v>
      </c>
      <c r="DF130" s="162">
        <f t="shared" si="701"/>
        <v>0.29951445086705214</v>
      </c>
      <c r="DG130" s="162">
        <f t="shared" ref="DG130:DH130" si="702">-(DG497-DG502)/SUM(DG387,DG414,DG449,DG478)</f>
        <v>0.29951445086705208</v>
      </c>
      <c r="DH130" s="162">
        <f t="shared" si="702"/>
        <v>0.29951445086705208</v>
      </c>
      <c r="DI130" s="162">
        <f t="shared" ref="DI130" si="703">-(DI497-DI502)/SUM(DI387,DI414,DI449,DI478)</f>
        <v>0.29951445086705214</v>
      </c>
    </row>
    <row r="131" spans="1:113" ht="12" hidden="1" outlineLevel="1">
      <c r="A131" s="1" t="s">
        <v>763</v>
      </c>
      <c r="B131" s="19" t="s">
        <v>764</v>
      </c>
      <c r="C131" s="408"/>
      <c r="D131" s="412"/>
      <c r="E131" s="388"/>
      <c r="F131" s="412"/>
      <c r="G131" s="388"/>
      <c r="H131" s="412"/>
      <c r="I131" s="388"/>
      <c r="J131" s="412"/>
      <c r="K131" s="388"/>
      <c r="L131" s="412"/>
      <c r="M131" s="408"/>
      <c r="N131" s="408"/>
      <c r="O131" s="408"/>
      <c r="P131" s="408"/>
      <c r="Q131" s="408"/>
      <c r="R131" s="408"/>
      <c r="S131" s="408"/>
      <c r="T131" s="412"/>
      <c r="U131" s="388"/>
      <c r="V131" s="412"/>
      <c r="W131" s="388"/>
      <c r="X131" s="412"/>
      <c r="Y131" s="388"/>
      <c r="Z131" s="412"/>
      <c r="AA131" s="388"/>
      <c r="AB131" s="388"/>
      <c r="AC131" s="388"/>
      <c r="AD131" s="388"/>
      <c r="AE131" s="388"/>
      <c r="AF131" s="388"/>
      <c r="AG131" s="388"/>
      <c r="AH131" s="388"/>
      <c r="AI131" s="388"/>
      <c r="AJ131" s="388"/>
      <c r="AK131" s="388"/>
      <c r="AL131" s="388"/>
      <c r="AM131" s="388"/>
      <c r="AN131" s="388"/>
      <c r="AO131" s="388"/>
      <c r="AP131" s="426">
        <v>1</v>
      </c>
      <c r="AQ131" s="426">
        <v>1</v>
      </c>
      <c r="AR131" s="426">
        <v>1</v>
      </c>
      <c r="AS131" s="426">
        <v>1</v>
      </c>
      <c r="AT131" s="426">
        <v>1</v>
      </c>
      <c r="AU131" s="426">
        <v>1</v>
      </c>
      <c r="AV131" s="426">
        <v>1</v>
      </c>
      <c r="AW131" s="426">
        <v>1</v>
      </c>
      <c r="AX131" s="426">
        <v>1</v>
      </c>
      <c r="AY131" s="426">
        <f t="shared" ref="AY131:BI131" si="704">AX131</f>
        <v>1</v>
      </c>
      <c r="AZ131" s="392">
        <f t="shared" si="704"/>
        <v>1</v>
      </c>
      <c r="BA131" s="387">
        <f t="shared" si="704"/>
        <v>1</v>
      </c>
      <c r="BB131" s="387">
        <f t="shared" si="704"/>
        <v>1</v>
      </c>
      <c r="BC131" s="387">
        <f t="shared" si="704"/>
        <v>1</v>
      </c>
      <c r="BD131" s="387">
        <f t="shared" si="704"/>
        <v>1</v>
      </c>
      <c r="BE131" s="387">
        <f t="shared" si="704"/>
        <v>1</v>
      </c>
      <c r="BF131" s="387">
        <f t="shared" si="704"/>
        <v>1</v>
      </c>
      <c r="BG131" s="387">
        <f t="shared" si="704"/>
        <v>1</v>
      </c>
      <c r="BH131" s="387">
        <f t="shared" si="704"/>
        <v>1</v>
      </c>
      <c r="BI131" s="387">
        <f t="shared" si="704"/>
        <v>1</v>
      </c>
      <c r="BJ131" s="387">
        <f t="shared" ref="BJ131" si="705">BI131</f>
        <v>1</v>
      </c>
      <c r="BK131" s="387">
        <f t="shared" ref="BK131" si="706">BJ131</f>
        <v>1</v>
      </c>
      <c r="BL131" s="387">
        <f t="shared" ref="BL131" si="707">BK131</f>
        <v>1</v>
      </c>
      <c r="BM131" s="387">
        <f t="shared" ref="BM131" si="708">BL131</f>
        <v>1</v>
      </c>
      <c r="BN131" s="387">
        <f t="shared" ref="BN131" si="709">BM131</f>
        <v>1</v>
      </c>
      <c r="BO131" s="387">
        <f t="shared" ref="BO131" si="710">BN131</f>
        <v>1</v>
      </c>
      <c r="BP131" s="387">
        <f t="shared" ref="BP131" si="711">BO131</f>
        <v>1</v>
      </c>
      <c r="BQ131" s="387">
        <f t="shared" ref="BQ131" si="712">BP131</f>
        <v>1</v>
      </c>
      <c r="BR131" s="162"/>
      <c r="BS131" s="162"/>
      <c r="BT131" s="388"/>
      <c r="BU131" s="388"/>
      <c r="BV131" s="388"/>
      <c r="BW131" s="388"/>
      <c r="BX131" s="388"/>
      <c r="BY131" s="388"/>
      <c r="BZ131" s="388"/>
      <c r="CA131" s="388"/>
      <c r="CB131" s="388"/>
      <c r="CC131" s="388"/>
      <c r="CD131" s="388"/>
      <c r="CE131" s="388"/>
      <c r="CF131" s="388"/>
      <c r="CG131" s="388"/>
      <c r="CH131" s="388"/>
      <c r="CI131" s="388"/>
      <c r="CJ131" s="388"/>
      <c r="CK131" s="388"/>
      <c r="CL131" s="388"/>
      <c r="CM131" s="388"/>
      <c r="CN131" s="172"/>
      <c r="CO131" s="388"/>
      <c r="CP131" s="388"/>
      <c r="CQ131" s="388"/>
      <c r="CR131" s="388"/>
      <c r="CS131" s="388"/>
      <c r="CT131" s="426">
        <v>1</v>
      </c>
      <c r="CU131" s="426">
        <v>1</v>
      </c>
      <c r="CV131" s="426">
        <v>1</v>
      </c>
      <c r="CW131" s="426">
        <v>1</v>
      </c>
      <c r="CX131" s="426">
        <f>(CW137-CX137+SUM(-AU543*AU135,-AT543*AT135)*CX128/(1-CX128))/(SUM(CX509)-SUM(CX498)-SUM(CX499))</f>
        <v>1.0557184750733137</v>
      </c>
      <c r="CY131" s="426">
        <f>(CX137-CY137+SUM(-AV543*AV135,-AU543*AU135)*CY128/(1-CY128))/(SUM(CY509)-SUM(CY498)-SUM(CY499))</f>
        <v>1.1482558139534882</v>
      </c>
      <c r="CZ131" s="628">
        <f>(CY137-CZ137+SUM(-AX543*AX135,-AW543*AW135)*CZ128/(1-CZ128))/(SUM(CZ509)-SUM(CZ498)-SUM(CZ499))</f>
        <v>-1.9260204081632653</v>
      </c>
      <c r="DA131" s="388">
        <f>(CZ137-DA137+SUM(-AY543*BA135,-AX543*AZ135)*DA128/(1-DA128))/(SUM(DA509)-SUM(DA498)-SUM(DA499))</f>
        <v>0.54968447470242621</v>
      </c>
      <c r="DB131" s="388">
        <f>(DA137-DB137+SUM(-AZ543*BC135,-AY543*BB135)*DB128/(1-DB128))/(SUM(DB509)-SUM(DB498)-SUM(DB499))</f>
        <v>1.0000000000000002</v>
      </c>
      <c r="DC131" s="388">
        <f>(DB137-DC137+SUM(-BA543*BE135,-AZ543*BD135)*DC128/(1-DC128))/(SUM(DC509)-SUM(DC498)-SUM(DC499))</f>
        <v>1</v>
      </c>
      <c r="DD131" s="388">
        <f>(DC137-DD137+SUM(-BG543*BG135,-BF543*BF135)*DD128/(1-DD128))/(SUM(DD509)-SUM(DD498)-SUM(DD499))</f>
        <v>1</v>
      </c>
      <c r="DE131" s="388">
        <f>(DD137-DE137+SUM(-BI543*BI135,-BH543*BH135)*DE128/(1-DE128))/(SUM(DE509)-SUM(DE498)-SUM(DE499))</f>
        <v>1.0000000000000002</v>
      </c>
      <c r="DF131" s="388">
        <f>(DE137-DF137+SUM(-BK543*BK135,-BJ543*BJ135)*DF128/(1-DF128))/(SUM(DF509)-SUM(DF498)-SUM(DF499))</f>
        <v>0.99999999999999978</v>
      </c>
      <c r="DG131" s="388">
        <f>(DF137-DG137+SUM(-BM543*BM135,-BL543*BL135)*DG128/(1-DG128))/(SUM(DG509)-SUM(DG498)-SUM(DG499))</f>
        <v>0.99999999999999978</v>
      </c>
      <c r="DH131" s="388">
        <f>(DG137-DH137+SUM(-BO543*BO135,-BN543*BN135)*DH128/(1-DH128))/(SUM(DH509)-SUM(DH498)-SUM(DH499))</f>
        <v>1.0000000000000002</v>
      </c>
      <c r="DI131" s="388">
        <f>(DH137-DI137+SUM(-BQ543*BQ135,-BP543*BP135)*DI128/(1-DI128))/(SUM(DI509)-SUM(DI498)-SUM(DI499))</f>
        <v>1</v>
      </c>
    </row>
    <row r="132" spans="1:113" ht="12" hidden="1" outlineLevel="1">
      <c r="A132" s="1" t="s">
        <v>765</v>
      </c>
      <c r="B132" s="19" t="s">
        <v>619</v>
      </c>
      <c r="C132" s="412"/>
      <c r="D132" s="412"/>
      <c r="E132" s="412"/>
      <c r="F132" s="412"/>
      <c r="G132" s="412"/>
      <c r="H132" s="412"/>
      <c r="I132" s="412"/>
      <c r="J132" s="412"/>
      <c r="K132" s="412"/>
      <c r="L132" s="412"/>
      <c r="M132" s="388"/>
      <c r="N132" s="388"/>
      <c r="O132" s="388"/>
      <c r="P132" s="388"/>
      <c r="Q132" s="388"/>
      <c r="R132" s="388"/>
      <c r="S132" s="388"/>
      <c r="T132" s="388"/>
      <c r="U132" s="388"/>
      <c r="V132" s="388"/>
      <c r="W132" s="388"/>
      <c r="X132" s="388"/>
      <c r="Y132" s="388"/>
      <c r="Z132" s="388"/>
      <c r="AA132" s="388"/>
      <c r="AB132" s="388"/>
      <c r="AC132" s="388"/>
      <c r="AD132" s="388"/>
      <c r="AE132" s="388"/>
      <c r="AF132" s="388"/>
      <c r="AG132" s="388"/>
      <c r="AH132" s="388"/>
      <c r="AI132" s="388"/>
      <c r="AJ132" s="388"/>
      <c r="AK132" s="388"/>
      <c r="AL132" s="388"/>
      <c r="AM132" s="388"/>
      <c r="AN132" s="388"/>
      <c r="AO132" s="388"/>
      <c r="AP132" s="405">
        <f>VLOOKUP($A132,[1]Sheet1!$2:$65536,MATCH(AP$3,[1]Sheet1!$2:$2,0),FALSE)</f>
        <v>0.6</v>
      </c>
      <c r="AQ132" s="405">
        <f>VLOOKUP($A132,[1]Sheet1!$2:$65536,MATCH(AQ$3,[1]Sheet1!$2:$2,0),FALSE)</f>
        <v>0.6</v>
      </c>
      <c r="AR132" s="405">
        <f>VLOOKUP($A132,[1]Sheet1!$2:$65536,MATCH(AR$3,[1]Sheet1!$2:$2,0),FALSE)</f>
        <v>0.6</v>
      </c>
      <c r="AS132" s="405">
        <f>VLOOKUP($A132,[1]Sheet1!$2:$65536,MATCH(AS$3,[1]Sheet1!$2:$2,0),FALSE)</f>
        <v>0.6</v>
      </c>
      <c r="AT132" s="405">
        <f>VLOOKUP($A132,[1]Sheet1!$2:$65536,MATCH(AT$3,[1]Sheet1!$2:$2,0),FALSE)</f>
        <v>0.6</v>
      </c>
      <c r="AU132" s="405">
        <f>VLOOKUP($A132,[1]Sheet1!$2:$65536,MATCH(AU$3,[1]Sheet1!$2:$2,0),FALSE)</f>
        <v>0.6</v>
      </c>
      <c r="AV132" s="405">
        <f>VLOOKUP($A132,[1]Sheet1!$2:$65536,MATCH(AV$3,[1]Sheet1!$2:$2,0),FALSE)</f>
        <v>0.6</v>
      </c>
      <c r="AW132" s="405">
        <f>VLOOKUP($A132,[1]Sheet1!$2:$65536,MATCH(AW$3,[1]Sheet1!$2:$2,0),FALSE)</f>
        <v>0.6</v>
      </c>
      <c r="AX132" s="405">
        <f>VLOOKUP($A132,[1]Sheet1!$2:$65536,MATCH(AX$3,[1]Sheet1!$2:$2,0),FALSE)</f>
        <v>0.6</v>
      </c>
      <c r="AY132" s="405">
        <f>VLOOKUP($A132,[1]Sheet1!$2:$65536,MATCH(AY$3,[1]Sheet1!$2:$2,0),FALSE)</f>
        <v>0.6</v>
      </c>
      <c r="AZ132" s="406">
        <f>VLOOKUP($A132,[1]Sheet1!$2:$65536,MATCH(AZ$3,[1]Sheet1!$2:$2,0),FALSE)</f>
        <v>0.6</v>
      </c>
      <c r="BA132" s="405">
        <f>VLOOKUP($A132,[1]Sheet1!$2:$65536,MATCH(BA$3,[1]Sheet1!$2:$2,0),FALSE)</f>
        <v>0.6</v>
      </c>
      <c r="BB132" s="405">
        <f>VLOOKUP($A132,[1]Sheet1!$2:$65536,MATCH(BB$3,[1]Sheet1!$2:$2,0),FALSE)</f>
        <v>0.6</v>
      </c>
      <c r="BC132" s="405">
        <f>VLOOKUP($A132,[1]Sheet1!$2:$65536,MATCH(BC$3,[1]Sheet1!$2:$2,0),FALSE)</f>
        <v>0.6</v>
      </c>
      <c r="BD132" s="405">
        <f>VLOOKUP($A132,[1]Sheet1!$2:$65536,MATCH(BD$3,[1]Sheet1!$2:$2,0),FALSE)</f>
        <v>0.6</v>
      </c>
      <c r="BE132" s="405">
        <f>VLOOKUP($A132,[1]Sheet1!$2:$65536,MATCH(BE$3,[1]Sheet1!$2:$2,0),FALSE)</f>
        <v>0.6</v>
      </c>
      <c r="BF132" s="405">
        <f>VLOOKUP($A132,[1]Sheet1!$2:$65536,MATCH(BF$3,[1]Sheet1!$2:$2,0),FALSE)</f>
        <v>0.6</v>
      </c>
      <c r="BG132" s="405">
        <f>VLOOKUP($A132,[1]Sheet1!$2:$65536,MATCH(BG$3,[1]Sheet1!$2:$2,0),FALSE)</f>
        <v>0.6</v>
      </c>
      <c r="BH132" s="405">
        <f>VLOOKUP($A132,[1]Sheet1!$2:$65536,MATCH(BH$3,[1]Sheet1!$2:$2,0),FALSE)</f>
        <v>0.6</v>
      </c>
      <c r="BI132" s="405">
        <f>VLOOKUP($A132,[1]Sheet1!$2:$65536,MATCH(BI$3,[1]Sheet1!$2:$2,0),FALSE)</f>
        <v>0.6</v>
      </c>
      <c r="BJ132" s="405">
        <f>VLOOKUP($A132,[1]Sheet1!$2:$65536,MATCH(BJ$3,[1]Sheet1!$2:$2,0),FALSE)</f>
        <v>0.6</v>
      </c>
      <c r="BK132" s="405">
        <f>VLOOKUP($A132,[1]Sheet1!$2:$65536,MATCH(BK$3,[1]Sheet1!$2:$2,0),FALSE)</f>
        <v>0.6</v>
      </c>
      <c r="BL132" s="405">
        <f>VLOOKUP($A132,[1]Sheet1!$2:$65536,MATCH(BL$3,[1]Sheet1!$2:$2,0),FALSE)</f>
        <v>0.6</v>
      </c>
      <c r="BM132" s="405">
        <f>VLOOKUP($A132,[1]Sheet1!$2:$65536,MATCH(BM$3,[1]Sheet1!$2:$2,0),FALSE)</f>
        <v>0.6</v>
      </c>
      <c r="BN132" s="405">
        <f>VLOOKUP($A132,[1]Sheet1!$2:$65536,MATCH(BN$3,[1]Sheet1!$2:$2,0),FALSE)</f>
        <v>0.6</v>
      </c>
      <c r="BO132" s="405">
        <f>VLOOKUP($A132,[1]Sheet1!$2:$65536,MATCH(BO$3,[1]Sheet1!$2:$2,0),FALSE)</f>
        <v>0.6</v>
      </c>
      <c r="BP132" s="405">
        <f>VLOOKUP($A132,[1]Sheet1!$2:$65536,MATCH(BP$3,[1]Sheet1!$2:$2,0),FALSE)</f>
        <v>0.6</v>
      </c>
      <c r="BQ132" s="405">
        <f>VLOOKUP($A132,[1]Sheet1!$2:$65536,MATCH(BQ$3,[1]Sheet1!$2:$2,0),FALSE)</f>
        <v>0.6</v>
      </c>
      <c r="BR132" s="160"/>
      <c r="BS132" s="160"/>
      <c r="BT132" s="387"/>
      <c r="BU132" s="387"/>
      <c r="BV132" s="387"/>
      <c r="BW132" s="387"/>
      <c r="BX132" s="387"/>
      <c r="BY132" s="387"/>
      <c r="BZ132" s="387"/>
      <c r="CA132" s="387"/>
      <c r="CB132" s="387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72"/>
      <c r="CN132" s="172"/>
      <c r="CO132" s="172"/>
      <c r="CP132" s="172"/>
      <c r="CQ132" s="172"/>
      <c r="CR132" s="172"/>
      <c r="CS132" s="172"/>
      <c r="CT132" s="405">
        <f>VLOOKUP($A132,[1]Sheet1!$2:$65536,MATCH(CT$3,[1]Sheet1!$2:$2,0),FALSE)</f>
        <v>0.6</v>
      </c>
      <c r="CU132" s="405">
        <f>VLOOKUP($A132,[1]Sheet1!$2:$65536,MATCH(CU$3,[1]Sheet1!$2:$2,0),FALSE)</f>
        <v>0.6</v>
      </c>
      <c r="CV132" s="388">
        <f>SUMPRODUCT(AP132:AQ132,AP$5:AQ$5)/SUM(AP$5:AQ$5)</f>
        <v>0.6</v>
      </c>
      <c r="CW132" s="388">
        <f>SUMPRODUCT(AR132:AS132,AR$5:AS$5)/SUM(AR$5:AS$5)</f>
        <v>0.6</v>
      </c>
      <c r="CX132" s="388">
        <f>SUMPRODUCT(AT132:AU132,AT$5:AU$5)/SUM(AT$5:AU$5)</f>
        <v>0.6</v>
      </c>
      <c r="CY132" s="388">
        <f>SUMPRODUCT(AV132:AW132,AV$5:AW$5)/SUM(AV$5:AW$5)</f>
        <v>0.6</v>
      </c>
      <c r="CZ132" s="161">
        <f>SUMPRODUCT(AX132:AY132,AX$5:AY$5)/SUM(AX$5:AY$5)</f>
        <v>0.6</v>
      </c>
      <c r="DA132" s="160">
        <f>SUMPRODUCT(AZ132:BA132,AZ$5:BA$5)/SUM(AZ$5:BA$5)</f>
        <v>0.6</v>
      </c>
      <c r="DB132" s="160">
        <f>SUMPRODUCT(BB132:BC132,BA$5:BB$5)/SUM(BA$5:BB$5)</f>
        <v>0.6</v>
      </c>
      <c r="DC132" s="160">
        <f>SUMPRODUCT(BD132:BE132,BD$5:BE$5)/SUM(BD$5:BE$5)</f>
        <v>0.6</v>
      </c>
      <c r="DD132" s="160">
        <f>SUMPRODUCT(BF132:BG132,BF$5:BG$5)/SUM(BF$5:BG$5)</f>
        <v>0.6</v>
      </c>
      <c r="DE132" s="160">
        <f>SUMPRODUCT(BH132:BI132,BH$5:BI$5)/SUM(BH$5:BI$5)</f>
        <v>0.6</v>
      </c>
      <c r="DF132" s="160">
        <f>SUMPRODUCT(BJ132:BK132,BJ$5:BK$5)/SUM(BJ$5:BK$5)</f>
        <v>0.6</v>
      </c>
      <c r="DG132" s="160">
        <f>SUMPRODUCT(BL132:BM132,BL$5:BM$5)/SUM(BL$5:BM$5)</f>
        <v>0.6</v>
      </c>
      <c r="DH132" s="160">
        <f>SUMPRODUCT(BN132:BO132,BN$5:BO$5)/SUM(BN$5:BO$5)</f>
        <v>0.6</v>
      </c>
      <c r="DI132" s="160">
        <f>SUMPRODUCT(BP132:BQ132,BP$5:BQ$5)/SUM(BP$5:BQ$5)</f>
        <v>0.6</v>
      </c>
    </row>
    <row r="133" spans="1:113" ht="12" hidden="1" outlineLevel="1">
      <c r="Y133" s="388"/>
      <c r="AJ133" s="42"/>
      <c r="AQ133" s="42"/>
      <c r="DB133" s="19"/>
      <c r="DC133" s="19"/>
      <c r="DD133" s="19"/>
      <c r="DE133" s="19"/>
      <c r="DF133" s="19"/>
      <c r="DG133" s="19"/>
      <c r="DH133" s="19"/>
      <c r="DI133" s="19"/>
    </row>
    <row r="134" spans="1:113" ht="12" hidden="1" outlineLevel="1">
      <c r="B134" s="24" t="s">
        <v>620</v>
      </c>
      <c r="Z134" s="42"/>
      <c r="AA134" s="47"/>
      <c r="AB134" s="394"/>
      <c r="AC134" s="394"/>
      <c r="AD134" s="394"/>
      <c r="AE134" s="394"/>
      <c r="AF134" s="394"/>
      <c r="AG134" s="394"/>
      <c r="AH134" s="394"/>
      <c r="AI134" s="394"/>
      <c r="AJ134" s="42"/>
      <c r="AK134" s="394"/>
      <c r="AL134" s="394"/>
      <c r="AM134" s="394"/>
      <c r="AN134" s="394"/>
      <c r="AO134" s="394"/>
      <c r="AP134" s="285"/>
      <c r="AQ134" s="285"/>
      <c r="AR134" s="285"/>
      <c r="AS134" s="285"/>
      <c r="AT134" s="285"/>
      <c r="AU134" s="285"/>
      <c r="AV134" s="285"/>
      <c r="AW134" s="285"/>
      <c r="AX134" s="285"/>
      <c r="AY134" s="285"/>
      <c r="AZ134" s="286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CO134" s="285"/>
      <c r="CP134" s="285"/>
      <c r="CQ134" s="285"/>
      <c r="CR134" s="285"/>
      <c r="CS134" s="285"/>
      <c r="CT134" s="285"/>
      <c r="CU134" s="285"/>
      <c r="CV134" s="285"/>
      <c r="CW134" s="285"/>
      <c r="CX134" s="285"/>
      <c r="CY134" s="285"/>
      <c r="DB134" s="19"/>
      <c r="DC134" s="19"/>
      <c r="DD134" s="19"/>
      <c r="DE134" s="19"/>
      <c r="DF134" s="19"/>
      <c r="DG134" s="19"/>
      <c r="DH134" s="19"/>
      <c r="DI134" s="19"/>
    </row>
    <row r="135" spans="1:113" ht="12" hidden="1" outlineLevel="1">
      <c r="A135" s="1" t="s">
        <v>766</v>
      </c>
      <c r="B135" s="19" t="s">
        <v>621</v>
      </c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19">
        <v>0</v>
      </c>
      <c r="AQ135" s="419">
        <v>0</v>
      </c>
      <c r="AR135" s="419">
        <v>0</v>
      </c>
      <c r="AS135" s="419">
        <v>0</v>
      </c>
      <c r="AT135" s="419">
        <v>0</v>
      </c>
      <c r="AU135" s="419">
        <v>0</v>
      </c>
      <c r="AV135" s="419">
        <v>0</v>
      </c>
      <c r="AW135" s="419">
        <v>0</v>
      </c>
      <c r="AX135" s="419">
        <v>0</v>
      </c>
      <c r="AY135" s="419">
        <v>0</v>
      </c>
      <c r="AZ135" s="431">
        <v>0</v>
      </c>
      <c r="BA135" s="432">
        <v>0</v>
      </c>
      <c r="BB135" s="432">
        <v>0</v>
      </c>
      <c r="BC135" s="432">
        <v>0</v>
      </c>
      <c r="BD135" s="432">
        <v>0</v>
      </c>
      <c r="BE135" s="432">
        <v>0</v>
      </c>
      <c r="BF135" s="432">
        <v>0</v>
      </c>
      <c r="BG135" s="432">
        <v>0</v>
      </c>
      <c r="BH135" s="432">
        <v>0.03</v>
      </c>
      <c r="BI135" s="432">
        <v>0.05</v>
      </c>
      <c r="BJ135" s="432">
        <v>0.04</v>
      </c>
      <c r="BK135" s="432">
        <v>0.06</v>
      </c>
      <c r="BL135" s="432">
        <v>0.06</v>
      </c>
      <c r="BM135" s="432">
        <v>0.08</v>
      </c>
      <c r="BN135" s="432">
        <v>0.08</v>
      </c>
      <c r="BO135" s="432">
        <v>0.09</v>
      </c>
      <c r="BP135" s="432">
        <v>0.09</v>
      </c>
      <c r="BQ135" s="432">
        <f t="shared" ref="BQ135" si="713">BP135</f>
        <v>0.09</v>
      </c>
      <c r="BR135" s="47"/>
      <c r="BS135" s="430"/>
      <c r="BT135" s="430"/>
      <c r="BU135" s="430"/>
      <c r="BV135" s="430"/>
      <c r="BW135" s="430"/>
      <c r="BX135" s="430"/>
      <c r="BY135" s="430"/>
      <c r="BZ135" s="430"/>
      <c r="CA135" s="430"/>
      <c r="CB135" s="430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19">
        <v>0</v>
      </c>
      <c r="CU135" s="419">
        <v>0</v>
      </c>
      <c r="CV135" s="47">
        <f>AP135+AQ135</f>
        <v>0</v>
      </c>
      <c r="CW135" s="47">
        <f>SUM(AR135:AS135)</f>
        <v>0</v>
      </c>
      <c r="CX135" s="47">
        <f>SUM(AT135:AU135)</f>
        <v>0</v>
      </c>
      <c r="CY135" s="47">
        <f>SUM(AV135:AW135)</f>
        <v>0</v>
      </c>
      <c r="CZ135" s="48">
        <f>SUM(AX135:AY135)</f>
        <v>0</v>
      </c>
      <c r="DA135" s="47">
        <f>SUM(AZ135:BA135)</f>
        <v>0</v>
      </c>
      <c r="DB135" s="47">
        <f>SUM(BB135:BC135)</f>
        <v>0</v>
      </c>
      <c r="DC135" s="47">
        <f>SUM(BD135:BE135)</f>
        <v>0</v>
      </c>
      <c r="DD135" s="47">
        <f>SUM(BF135:BG135)</f>
        <v>0</v>
      </c>
      <c r="DE135" s="47">
        <f>SUM(BH135:BI135)</f>
        <v>0.08</v>
      </c>
      <c r="DF135" s="47">
        <f>SUM(BJ135:BK135)</f>
        <v>0.1</v>
      </c>
      <c r="DG135" s="47">
        <f>SUM(BL135:BM135)</f>
        <v>0.14000000000000001</v>
      </c>
      <c r="DH135" s="47">
        <f>SUM(BN135:BO135)</f>
        <v>0.16999999999999998</v>
      </c>
      <c r="DI135" s="47">
        <f>SUM(BP135:BQ135)</f>
        <v>0.18</v>
      </c>
    </row>
    <row r="136" spans="1:113" ht="12" hidden="1" outlineLevel="1">
      <c r="A136" s="1" t="s">
        <v>767</v>
      </c>
      <c r="B136" s="19" t="s">
        <v>761</v>
      </c>
      <c r="C136" s="408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  <c r="T136" s="394"/>
      <c r="U136" s="408"/>
      <c r="V136" s="408"/>
      <c r="W136" s="408"/>
      <c r="X136" s="408"/>
      <c r="Y136" s="408"/>
      <c r="Z136" s="394"/>
      <c r="AA136" s="394"/>
      <c r="AB136" s="394"/>
      <c r="AC136" s="394"/>
      <c r="AD136" s="394"/>
      <c r="AE136" s="394"/>
      <c r="AF136" s="394"/>
      <c r="AG136" s="394"/>
      <c r="AH136" s="394"/>
      <c r="AI136" s="394"/>
      <c r="AJ136" s="394"/>
      <c r="AK136" s="394"/>
      <c r="AL136" s="394"/>
      <c r="AM136" s="394"/>
      <c r="AN136" s="394"/>
      <c r="AO136" s="394"/>
      <c r="AP136" s="285">
        <f t="shared" ref="AP136:BI136" si="714">(AP135*AP543)/AP515</f>
        <v>0</v>
      </c>
      <c r="AQ136" s="285">
        <f t="shared" si="714"/>
        <v>0</v>
      </c>
      <c r="AR136" s="285">
        <f t="shared" si="714"/>
        <v>0</v>
      </c>
      <c r="AS136" s="285">
        <f t="shared" ref="AS136:AT136" si="715">(AS135*AS543)/AS515</f>
        <v>0</v>
      </c>
      <c r="AT136" s="285">
        <f t="shared" si="715"/>
        <v>0</v>
      </c>
      <c r="AU136" s="285">
        <f t="shared" ref="AU136:AV136" si="716">(AU135*AU543)/AU515</f>
        <v>0</v>
      </c>
      <c r="AV136" s="285">
        <f t="shared" si="716"/>
        <v>0</v>
      </c>
      <c r="AW136" s="285">
        <f t="shared" ref="AW136:AX136" si="717">(AW135*AW543)/AW515</f>
        <v>0</v>
      </c>
      <c r="AX136" s="285">
        <f t="shared" si="717"/>
        <v>0</v>
      </c>
      <c r="AY136" s="285">
        <f t="shared" si="714"/>
        <v>0</v>
      </c>
      <c r="AZ136" s="286">
        <f t="shared" ref="AZ136" si="718">(AZ135*AZ543)/AZ515</f>
        <v>0</v>
      </c>
      <c r="BA136" s="162">
        <f t="shared" si="714"/>
        <v>0</v>
      </c>
      <c r="BB136" s="162">
        <f t="shared" si="714"/>
        <v>0</v>
      </c>
      <c r="BC136" s="162">
        <f t="shared" si="714"/>
        <v>0</v>
      </c>
      <c r="BD136" s="162">
        <f t="shared" si="714"/>
        <v>0</v>
      </c>
      <c r="BE136" s="162">
        <f t="shared" si="714"/>
        <v>0</v>
      </c>
      <c r="BF136" s="162">
        <f t="shared" si="714"/>
        <v>0</v>
      </c>
      <c r="BG136" s="162">
        <f t="shared" si="714"/>
        <v>0</v>
      </c>
      <c r="BH136" s="162">
        <f t="shared" si="714"/>
        <v>0.24541279877604077</v>
      </c>
      <c r="BI136" s="162">
        <f t="shared" si="714"/>
        <v>0.39300607884190775</v>
      </c>
      <c r="BJ136" s="162">
        <f t="shared" ref="BJ136:BK136" si="719">(BJ135*BJ543)/BJ515</f>
        <v>0.29036313266271013</v>
      </c>
      <c r="BK136" s="162">
        <f t="shared" si="719"/>
        <v>0.4235440485062415</v>
      </c>
      <c r="BL136" s="162">
        <f t="shared" ref="BL136:BM136" si="720">(BL135*BL543)/BL515</f>
        <v>0.39851045638861671</v>
      </c>
      <c r="BM136" s="162">
        <f t="shared" si="720"/>
        <v>0.51997849354593939</v>
      </c>
      <c r="BN136" s="162">
        <f t="shared" ref="BN136:BO136" si="721">(BN135*BN543)/BN515</f>
        <v>0.49370298652879285</v>
      </c>
      <c r="BO136" s="162">
        <f t="shared" si="721"/>
        <v>0.55190077482463684</v>
      </c>
      <c r="BP136" s="162">
        <f t="shared" ref="BP136:BQ136" si="722">(BP135*BP543)/BP515</f>
        <v>0.52506999117327269</v>
      </c>
      <c r="BQ136" s="162">
        <f t="shared" si="722"/>
        <v>0.52261909144473551</v>
      </c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285"/>
      <c r="CD136" s="285"/>
      <c r="CE136" s="285"/>
      <c r="CF136" s="285"/>
      <c r="CG136" s="285"/>
      <c r="CH136" s="285"/>
      <c r="CI136" s="285"/>
      <c r="CJ136" s="285"/>
      <c r="CK136" s="285"/>
      <c r="CL136" s="285"/>
      <c r="CM136" s="285"/>
      <c r="CN136" s="285"/>
      <c r="CO136" s="285"/>
      <c r="CP136" s="285"/>
      <c r="CQ136" s="285"/>
      <c r="CR136" s="285"/>
      <c r="CS136" s="285"/>
      <c r="CT136" s="285">
        <f t="shared" ref="CT136:CV136" si="723">(CT135*CT543)/CT515</f>
        <v>0</v>
      </c>
      <c r="CU136" s="285">
        <f t="shared" si="723"/>
        <v>0</v>
      </c>
      <c r="CV136" s="285">
        <f t="shared" si="723"/>
        <v>0</v>
      </c>
      <c r="CW136" s="285">
        <f>(AR135*AR543+AS135*AS543)/(AR515+AS515)</f>
        <v>0</v>
      </c>
      <c r="CX136" s="285">
        <f>(AT135*AT543+AU135*AU543)/(AT515+AU515)</f>
        <v>0</v>
      </c>
      <c r="CY136" s="285">
        <f>(AV135*AV543+AW135*AW543)/(AV515+AW515)</f>
        <v>0</v>
      </c>
      <c r="CZ136" s="286">
        <f>(AX135*AX543+AY135*AY543)/(AX515+AY515)</f>
        <v>0</v>
      </c>
      <c r="DA136" s="162">
        <f>(AZ135*AZ543+BA135*BA543)/(AZ515+BA515)</f>
        <v>0</v>
      </c>
      <c r="DB136" s="162">
        <f>(BB135*BB543+BC135*BC543)/(BB515+BC515)</f>
        <v>0</v>
      </c>
      <c r="DC136" s="162">
        <f>(BD135*BD543+BE135*BE543)/(BD515+BE515)</f>
        <v>0</v>
      </c>
      <c r="DD136" s="162">
        <f>(BF135*BF543+BG135*BG543)/(BF515+BG515)</f>
        <v>0</v>
      </c>
      <c r="DE136" s="162">
        <f>(BH135*BH543+BI135*BI543)/(BH515+BI515)</f>
        <v>0.32068304408139259</v>
      </c>
      <c r="DF136" s="162">
        <f>(BJ135*BJ543+BK135*BK543)/(BJ515+BK515)</f>
        <v>0.35788379577418233</v>
      </c>
      <c r="DG136" s="162">
        <f>(BL135*BL543+BM135*BM543)/(BL515+BM515)</f>
        <v>0.45990123790014731</v>
      </c>
      <c r="DH136" s="162">
        <f>(BN135*BN543+BO135*BO543)/(BN515+BO515)</f>
        <v>0.52289425270809486</v>
      </c>
      <c r="DI136" s="162">
        <f>(BP135*BP543+BQ135*BQ543)/(BP515+BQ515)</f>
        <v>0.52384167456658071</v>
      </c>
    </row>
    <row r="137" spans="1:113" ht="12" hidden="1" outlineLevel="1">
      <c r="A137" s="1" t="s">
        <v>768</v>
      </c>
      <c r="B137" s="19" t="s">
        <v>769</v>
      </c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113">
        <v>0</v>
      </c>
      <c r="AQ137" s="113">
        <v>0</v>
      </c>
      <c r="AR137" s="113">
        <v>0</v>
      </c>
      <c r="AS137" s="113">
        <v>0</v>
      </c>
      <c r="AT137" s="113">
        <v>0</v>
      </c>
      <c r="AU137" s="113">
        <v>36</v>
      </c>
      <c r="AV137" s="42">
        <f t="shared" ref="AV137:BI137" si="724">AU137-(AV509-AV498-AV499)*AV131-(AV135*AV543)*AV128/(1-AV128)</f>
        <v>57.5</v>
      </c>
      <c r="AW137" s="42">
        <v>75.5</v>
      </c>
      <c r="AX137" s="113">
        <v>0</v>
      </c>
      <c r="AY137" s="113">
        <v>0</v>
      </c>
      <c r="AZ137" s="115">
        <v>0</v>
      </c>
      <c r="BA137" s="42">
        <f t="shared" si="724"/>
        <v>32.469693372047097</v>
      </c>
      <c r="BB137" s="42">
        <f t="shared" si="724"/>
        <v>67.596924020482845</v>
      </c>
      <c r="BC137" s="42">
        <f t="shared" si="724"/>
        <v>103.81262448484628</v>
      </c>
      <c r="BD137" s="42">
        <f t="shared" si="724"/>
        <v>146.08187166973175</v>
      </c>
      <c r="BE137" s="42">
        <f t="shared" si="724"/>
        <v>191.98772946574002</v>
      </c>
      <c r="BF137" s="42">
        <f t="shared" si="724"/>
        <v>244.25592086153307</v>
      </c>
      <c r="BG137" s="42">
        <f t="shared" si="724"/>
        <v>300.96710044034859</v>
      </c>
      <c r="BH137" s="42">
        <f t="shared" si="724"/>
        <v>347.90882884678155</v>
      </c>
      <c r="BI137" s="42">
        <f t="shared" si="724"/>
        <v>387.17840478027819</v>
      </c>
      <c r="BJ137" s="42">
        <f t="shared" ref="BJ137" si="725">BI137-(BJ509-BJ498-BJ499)*BJ131-(BJ135*BJ543)*BJ128/(1-BJ128)</f>
        <v>436.91725972819989</v>
      </c>
      <c r="BK137" s="42">
        <f t="shared" ref="BK137" si="726">BJ137-(BK509-BK498-BK499)*BK131-(BK135*BK543)*BK128/(1-BK128)</f>
        <v>478.43483746165219</v>
      </c>
      <c r="BL137" s="42">
        <f t="shared" ref="BL137" si="727">BK137-(BL509-BL498-BL499)*BL131-(BL135*BL543)*BL128/(1-BL128)</f>
        <v>524.48440519251153</v>
      </c>
      <c r="BM137" s="42">
        <f t="shared" ref="BM137" si="728">BL137-(BM509-BM498-BM499)*BM131-(BM135*BM543)*BM128/(1-BM128)</f>
        <v>562.00133231118855</v>
      </c>
      <c r="BN137" s="42">
        <f t="shared" ref="BN137" si="729">BM137-(BN509-BN498-BN499)*BN131-(BN135*BN543)*BN128/(1-BN128)</f>
        <v>603.68832401574934</v>
      </c>
      <c r="BO137" s="42">
        <f t="shared" ref="BO137" si="730">BN137-(BO509-BO498-BO499)*BO131-(BO135*BO543)*BO128/(1-BO128)</f>
        <v>640.79636179102761</v>
      </c>
      <c r="BP137" s="42">
        <f t="shared" ref="BP137" si="731">BO137-(BP509-BP498-BP499)*BP131-(BP135*BP543)*BP128/(1-BP128)</f>
        <v>682.14815639123947</v>
      </c>
      <c r="BQ137" s="42">
        <f t="shared" ref="BQ137" si="732">BP137-(BQ509-BQ498-BQ499)*BQ131-(BQ135*BQ543)*BQ128/(1-BQ128)</f>
        <v>723.90932325056326</v>
      </c>
      <c r="BR137" s="42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113">
        <v>0</v>
      </c>
      <c r="CU137" s="113">
        <v>0</v>
      </c>
      <c r="CV137" s="42">
        <f>AQ137</f>
        <v>0</v>
      </c>
      <c r="CW137" s="42">
        <f>AS137</f>
        <v>0</v>
      </c>
      <c r="CX137" s="42">
        <f>AU137</f>
        <v>36</v>
      </c>
      <c r="CY137" s="42">
        <f>AW137</f>
        <v>75.5</v>
      </c>
      <c r="CZ137" s="43">
        <f>AY137</f>
        <v>0</v>
      </c>
      <c r="DA137" s="42">
        <f>BA137</f>
        <v>32.469693372047097</v>
      </c>
      <c r="DB137" s="42">
        <f>BC137</f>
        <v>103.81262448484628</v>
      </c>
      <c r="DC137" s="42">
        <f>BE137</f>
        <v>191.98772946574002</v>
      </c>
      <c r="DD137" s="42">
        <f>BG137</f>
        <v>300.96710044034859</v>
      </c>
      <c r="DE137" s="42">
        <f>BI137</f>
        <v>387.17840478027819</v>
      </c>
      <c r="DF137" s="42">
        <f>BK137</f>
        <v>478.43483746165219</v>
      </c>
      <c r="DG137" s="42">
        <f>BM137</f>
        <v>562.00133231118855</v>
      </c>
      <c r="DH137" s="42">
        <f>BO137</f>
        <v>640.79636179102761</v>
      </c>
      <c r="DI137" s="42">
        <f>BQ137</f>
        <v>723.90932325056326</v>
      </c>
    </row>
    <row r="138" spans="1:113" ht="12" hidden="1" outlineLevel="1">
      <c r="A138" s="1" t="s">
        <v>904</v>
      </c>
      <c r="B138" s="19" t="s">
        <v>905</v>
      </c>
      <c r="C138" s="412"/>
      <c r="D138" s="412"/>
      <c r="E138" s="412"/>
      <c r="F138" s="412"/>
      <c r="G138" s="412"/>
      <c r="H138" s="412"/>
      <c r="I138" s="412"/>
      <c r="J138" s="412"/>
      <c r="K138" s="412"/>
      <c r="L138" s="412"/>
      <c r="M138" s="412"/>
      <c r="N138" s="412"/>
      <c r="O138" s="412"/>
      <c r="P138" s="412"/>
      <c r="Q138" s="412"/>
      <c r="R138" s="412"/>
      <c r="S138" s="412"/>
      <c r="T138" s="412"/>
      <c r="U138" s="412"/>
      <c r="V138" s="412"/>
      <c r="W138" s="412"/>
      <c r="X138" s="412"/>
      <c r="Y138" s="388"/>
      <c r="Z138" s="388"/>
      <c r="AA138" s="388"/>
      <c r="AB138" s="388"/>
      <c r="AC138" s="388"/>
      <c r="AD138" s="388"/>
      <c r="AE138" s="388"/>
      <c r="AF138" s="388"/>
      <c r="AG138" s="388"/>
      <c r="AH138" s="388"/>
      <c r="AI138" s="388"/>
      <c r="AJ138" s="388"/>
      <c r="AK138" s="388"/>
      <c r="AL138" s="388"/>
      <c r="AM138" s="388"/>
      <c r="AN138" s="388"/>
      <c r="AO138" s="388"/>
      <c r="AP138" s="507">
        <v>1</v>
      </c>
      <c r="AQ138" s="507">
        <v>1</v>
      </c>
      <c r="AR138" s="507">
        <v>1</v>
      </c>
      <c r="AS138" s="507">
        <v>1</v>
      </c>
      <c r="AT138" s="507">
        <v>1</v>
      </c>
      <c r="AU138" s="507">
        <v>1</v>
      </c>
      <c r="AV138" s="507">
        <v>1</v>
      </c>
      <c r="AW138" s="507">
        <v>1</v>
      </c>
      <c r="AX138" s="507">
        <v>1</v>
      </c>
      <c r="AY138" s="507">
        <v>1</v>
      </c>
      <c r="AZ138" s="561">
        <v>1</v>
      </c>
      <c r="BA138" s="387">
        <v>1</v>
      </c>
      <c r="BB138" s="387">
        <v>1</v>
      </c>
      <c r="BC138" s="387">
        <v>1</v>
      </c>
      <c r="BD138" s="387">
        <v>1</v>
      </c>
      <c r="BE138" s="387">
        <v>1</v>
      </c>
      <c r="BF138" s="387">
        <v>1</v>
      </c>
      <c r="BG138" s="387">
        <v>1</v>
      </c>
      <c r="BH138" s="387">
        <v>1</v>
      </c>
      <c r="BI138" s="387">
        <v>1</v>
      </c>
      <c r="BJ138" s="387">
        <v>1</v>
      </c>
      <c r="BK138" s="387">
        <v>1</v>
      </c>
      <c r="BL138" s="387">
        <v>1</v>
      </c>
      <c r="BM138" s="387">
        <v>1</v>
      </c>
      <c r="BN138" s="387">
        <v>1</v>
      </c>
      <c r="BO138" s="387">
        <v>1</v>
      </c>
      <c r="BP138" s="387">
        <v>1</v>
      </c>
      <c r="BQ138" s="387">
        <v>1</v>
      </c>
      <c r="BR138" s="387"/>
      <c r="BS138" s="423"/>
      <c r="BT138" s="423"/>
      <c r="BU138" s="423"/>
      <c r="BV138" s="423"/>
      <c r="BW138" s="423"/>
      <c r="BX138" s="423"/>
      <c r="BY138" s="423"/>
      <c r="BZ138" s="424"/>
      <c r="CA138" s="411"/>
      <c r="CB138" s="411"/>
      <c r="CC138" s="160"/>
      <c r="CD138" s="160"/>
      <c r="CE138" s="160"/>
      <c r="CF138" s="160"/>
      <c r="CG138" s="160"/>
      <c r="CH138" s="160"/>
      <c r="CI138" s="160"/>
      <c r="CJ138" s="160"/>
      <c r="CK138" s="160"/>
      <c r="CL138" s="160"/>
      <c r="CM138" s="172"/>
      <c r="CN138" s="172"/>
      <c r="CO138" s="172"/>
      <c r="CP138" s="172"/>
      <c r="CQ138" s="172"/>
      <c r="CR138" s="172"/>
      <c r="CS138" s="172"/>
      <c r="CT138" s="507">
        <v>1</v>
      </c>
      <c r="CU138" s="507">
        <v>1</v>
      </c>
      <c r="CV138" s="172">
        <f>IF(ISERROR((AQ138*AQ135+AP138*AP135)/(AQ135+AP135)),0,(AQ138*AQ135+AP138*AP135)/(AQ135+AP135))</f>
        <v>0</v>
      </c>
      <c r="CW138" s="172">
        <f>IF(ISERROR((AS138*AS135+AR138*AR135)/(AS135+AR135)),0,(AS138*AS135+AR138*AR135)/(AS135+AR135))</f>
        <v>0</v>
      </c>
      <c r="CX138" s="172">
        <f>IF(ISERROR((AU138*AU135+AT138*AT135)/(AU135+AT135)),0,(AU138*AU135+AT138*AT135)/(AU135+AT135))</f>
        <v>0</v>
      </c>
      <c r="CY138" s="172">
        <f>IF(ISERROR((AW138*AW135+AV138*AV135)/(AW135+AV135)),0,(AW138*AW135+AV138*AV135)/(AW135+AV135))</f>
        <v>0</v>
      </c>
      <c r="CZ138" s="161">
        <f>IF(ISERROR((AY138*AY135+AX138*AX135)/(AY135+AX135)),0,(AY138*AY135+AX138*AX135)/(AY135+AX135))</f>
        <v>0</v>
      </c>
      <c r="DA138" s="160">
        <f>IF(ISERROR((BA138*BA135+AZ138*AZ135)/(BA135+AZ135)),0,(BA138*BA135+AZ138*AZ135)/(BA135+AZ135))</f>
        <v>0</v>
      </c>
      <c r="DB138" s="160">
        <f>IF(ISERROR((BC138*BC135+BB138*BB135)/(BC135+BB135)),0,(BC138*BC135+BB138*BB135)/(BC135+BB135))</f>
        <v>0</v>
      </c>
      <c r="DC138" s="160">
        <f t="shared" ref="DC138:DD138" si="733">IF(ISERROR((BD138*BD135+BC138*BC135)/(BD135+BC135)),0,(BD138*BD135+BC138*BC135)/(BD135+BC135))</f>
        <v>0</v>
      </c>
      <c r="DD138" s="160">
        <f t="shared" si="733"/>
        <v>0</v>
      </c>
      <c r="DE138" s="160">
        <f>(BI138*BI135+BH138*BH135)/(BI135+BH135)</f>
        <v>1</v>
      </c>
      <c r="DF138" s="160">
        <f>(BK138*BK135+BJ138*BJ135)/(BK135+BJ135)</f>
        <v>1</v>
      </c>
      <c r="DG138" s="160">
        <f>(BM138*BM135+BL138*BL135)/(BM135+BL135)</f>
        <v>1</v>
      </c>
      <c r="DH138" s="160">
        <f>(BO138*BO135+BN138*BN135)/(BO135+BN135)</f>
        <v>1</v>
      </c>
      <c r="DI138" s="160">
        <f>(BQ138*BQ135+BP138*BP135)/(BQ135+BP135)</f>
        <v>1</v>
      </c>
    </row>
    <row r="139" spans="1:113" ht="12" hidden="1" outlineLevel="1">
      <c r="A139" s="1" t="s">
        <v>1047</v>
      </c>
      <c r="B139" s="19" t="s">
        <v>408</v>
      </c>
      <c r="C139" s="412"/>
      <c r="D139" s="412"/>
      <c r="E139" s="412"/>
      <c r="F139" s="412"/>
      <c r="G139" s="412"/>
      <c r="H139" s="412"/>
      <c r="I139" s="412"/>
      <c r="J139" s="412"/>
      <c r="K139" s="412"/>
      <c r="L139" s="412"/>
      <c r="M139" s="412"/>
      <c r="N139" s="412"/>
      <c r="O139" s="412"/>
      <c r="P139" s="412"/>
      <c r="Q139" s="412"/>
      <c r="R139" s="412"/>
      <c r="S139" s="412"/>
      <c r="T139" s="388"/>
      <c r="U139" s="412"/>
      <c r="V139" s="412"/>
      <c r="W139" s="412"/>
      <c r="X139" s="412"/>
      <c r="Y139" s="388"/>
      <c r="Z139" s="388"/>
      <c r="AA139" s="388"/>
      <c r="AB139" s="388"/>
      <c r="AC139" s="388"/>
      <c r="AD139" s="388"/>
      <c r="AE139" s="388"/>
      <c r="AF139" s="388"/>
      <c r="AG139" s="388"/>
      <c r="AH139" s="388"/>
      <c r="AI139" s="388"/>
      <c r="AJ139" s="388"/>
      <c r="AK139" s="388"/>
      <c r="AL139" s="388"/>
      <c r="AM139" s="388"/>
      <c r="AN139" s="388"/>
      <c r="AO139" s="388"/>
      <c r="AP139" s="562">
        <v>0</v>
      </c>
      <c r="AQ139" s="562">
        <v>0</v>
      </c>
      <c r="AR139" s="562">
        <v>0</v>
      </c>
      <c r="AS139" s="562">
        <v>0</v>
      </c>
      <c r="AT139" s="562">
        <v>0</v>
      </c>
      <c r="AU139" s="562">
        <v>0</v>
      </c>
      <c r="AV139" s="562">
        <v>0</v>
      </c>
      <c r="AW139" s="562">
        <v>0</v>
      </c>
      <c r="AX139" s="562">
        <v>0</v>
      </c>
      <c r="AY139" s="562">
        <v>0</v>
      </c>
      <c r="AZ139" s="563">
        <v>0</v>
      </c>
      <c r="BA139" s="387">
        <v>0</v>
      </c>
      <c r="BB139" s="387">
        <v>0</v>
      </c>
      <c r="BC139" s="387">
        <v>0</v>
      </c>
      <c r="BD139" s="387">
        <v>0</v>
      </c>
      <c r="BE139" s="387">
        <v>0</v>
      </c>
      <c r="BF139" s="387">
        <v>0</v>
      </c>
      <c r="BG139" s="387">
        <v>0</v>
      </c>
      <c r="BH139" s="387">
        <v>0</v>
      </c>
      <c r="BI139" s="387">
        <v>0</v>
      </c>
      <c r="BJ139" s="387">
        <v>0</v>
      </c>
      <c r="BK139" s="387">
        <v>0</v>
      </c>
      <c r="BL139" s="387">
        <v>0</v>
      </c>
      <c r="BM139" s="387">
        <v>0</v>
      </c>
      <c r="BN139" s="387">
        <v>0</v>
      </c>
      <c r="BO139" s="387">
        <v>0</v>
      </c>
      <c r="BP139" s="387">
        <v>0</v>
      </c>
      <c r="BQ139" s="387">
        <v>0</v>
      </c>
      <c r="BR139" s="387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412"/>
      <c r="CH139" s="412"/>
      <c r="CI139" s="412"/>
      <c r="CJ139" s="412"/>
      <c r="CK139" s="412"/>
      <c r="CL139" s="412"/>
      <c r="CM139" s="388"/>
      <c r="CN139" s="388"/>
      <c r="CO139" s="388"/>
      <c r="CP139" s="388"/>
      <c r="CQ139" s="388"/>
      <c r="CR139" s="172"/>
      <c r="CS139" s="172"/>
      <c r="CT139" s="562">
        <v>0</v>
      </c>
      <c r="CU139" s="562">
        <v>0</v>
      </c>
      <c r="CV139" s="388">
        <f>IF(ISERROR(((AQ139*AQ535)+(AP139*AP535))/(AP535+AQ535)),0,((AQ139*AQ535)+(AP139*AP535))/(AP535+AQ535))</f>
        <v>0</v>
      </c>
      <c r="CW139" s="388">
        <f>IF(ISERROR(((AS139*AS535)+(AR139*AR535))/(AR535+AS535)),0,((AS139*AS535)+(AR139*AR535))/(AR535+AS535))</f>
        <v>0</v>
      </c>
      <c r="CX139" s="388">
        <f>IF(ISERROR(((AU139*AU535)+(AT139*AT535))/(AT535+AU535)),0,((AU139*AU535)+(AT139*AT535))/(AT535+AU535))</f>
        <v>0</v>
      </c>
      <c r="CY139" s="388">
        <f>IF(ISERROR(((AW139*AW535)+(AV139*AV535))/(AV535+AW535)),0,((AW139*AW535)+(AV139*AV535))/(AV535+AW535))</f>
        <v>0</v>
      </c>
      <c r="CZ139" s="161">
        <f>IF(ISERROR(((AY139*AY535)+(AX139*AX535))/(AX535+AY535)),0,((AY139*AY535)+(AX139*AX535))/(AX535+AY535))</f>
        <v>0</v>
      </c>
      <c r="DA139" s="172">
        <f>IF(ISERROR(((BA139*BA535)+(AZ139*AZ535))/(AZ535+BA535)),0,((BA139*BA535)+(AZ139*AZ535))/(AZ535+BA535))</f>
        <v>0</v>
      </c>
      <c r="DB139" s="172">
        <f>IF(ISERROR(((BC139*BC535)+(BB139*BB535))/(BB535+BC535)),0,((BC139*BC535)+(BB139*BB535))/(BB535+BC535))</f>
        <v>0</v>
      </c>
      <c r="DC139" s="172">
        <f>IF(ISERROR(((BE139*BE535)+(BD139*BD535))/(BD535+BE535)),0,((BE139*BE535)+(BD139*BD535))/(BD535+BE535))</f>
        <v>0</v>
      </c>
      <c r="DD139" s="172">
        <f>IF(ISERROR(((BG139*BG535)+(BF139*BF535))/(BF535+BG535)),0,((BG139*BG535)+(BF139*BF535))/(BF535+BG535))</f>
        <v>0</v>
      </c>
      <c r="DE139" s="172">
        <f>IF(ISERROR(((BI139*BI535)+(BH139*BH535))/(BH535+BI535)),0,((BI139*BI535)+(BH139*BH535))/(BH535+BI535))</f>
        <v>0</v>
      </c>
      <c r="DF139" s="172">
        <f>IF(ISERROR(((BK139*BK535)+(BJ139*BJ535))/(BJ535+BK535)),0,((BK139*BK535)+(BJ139*BJ535))/(BJ535+BK535))</f>
        <v>0</v>
      </c>
      <c r="DG139" s="172">
        <f>IF(ISERROR(((BM139*BM535)+(BL139*BL535))/(BL535+BM535)),0,((BM139*BM535)+(BL139*BL535))/(BL535+BM535))</f>
        <v>0</v>
      </c>
      <c r="DH139" s="172">
        <f>IF(ISERROR(((BO139*BO535)+(BN139*BN535))/(BN535+BO535)),0,((BO139*BO535)+(BN139*BN535))/(BN535+BO535))</f>
        <v>0</v>
      </c>
      <c r="DI139" s="172">
        <f>IF(ISERROR(((BQ139*BQ535)+(BP139*BP535))/(BP535+BQ535)),0,((BQ139*BQ535)+(BP139*BP535))/(BP535+BQ535))</f>
        <v>0</v>
      </c>
    </row>
    <row r="140" spans="1:113" ht="12" hidden="1" outlineLevel="1">
      <c r="AB140" s="157"/>
      <c r="AC140" s="604"/>
      <c r="AD140" s="157"/>
      <c r="AE140" s="47"/>
      <c r="AF140" s="157"/>
      <c r="AG140" s="157"/>
      <c r="AH140" s="616"/>
      <c r="AI140" s="616"/>
      <c r="AJ140" s="616"/>
      <c r="AK140" s="49"/>
      <c r="AL140" s="49"/>
      <c r="AM140" s="47"/>
      <c r="AN140" s="49"/>
      <c r="AO140" s="49"/>
      <c r="AP140" s="51"/>
      <c r="AQ140" s="51"/>
      <c r="AR140" s="51"/>
      <c r="AS140" s="51"/>
      <c r="AT140" s="51"/>
      <c r="AU140" s="51"/>
      <c r="AV140" s="51"/>
      <c r="AW140" s="51"/>
      <c r="AX140" s="51"/>
      <c r="AY140" s="157"/>
      <c r="AZ140" s="657"/>
      <c r="BA140" s="157"/>
      <c r="BB140" s="157"/>
      <c r="BC140" s="157"/>
      <c r="BD140" s="157"/>
      <c r="BE140" s="157"/>
      <c r="BF140" s="157"/>
      <c r="BG140" s="157"/>
      <c r="BH140" s="157"/>
      <c r="BI140" s="157"/>
      <c r="BJ140" s="157"/>
      <c r="BK140" s="157"/>
      <c r="BL140" s="157"/>
      <c r="BM140" s="157"/>
      <c r="BN140" s="157"/>
      <c r="BO140" s="157"/>
      <c r="BP140" s="157"/>
      <c r="BQ140" s="157"/>
      <c r="CT140" s="51"/>
      <c r="CU140" s="51"/>
      <c r="CV140" s="51"/>
      <c r="CW140" s="51"/>
      <c r="CX140" s="51"/>
      <c r="CY140" s="51"/>
      <c r="DD140" s="19"/>
      <c r="DE140" s="19"/>
      <c r="DF140" s="19"/>
      <c r="DG140" s="19"/>
      <c r="DH140" s="19"/>
      <c r="DI140" s="19"/>
    </row>
    <row r="141" spans="1:113" ht="12" hidden="1" outlineLevel="1">
      <c r="A141" s="1" t="s">
        <v>1048</v>
      </c>
      <c r="B141" s="19" t="s">
        <v>409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>
        <f t="shared" ref="AP141" si="734">AP543-AO543</f>
        <v>584.07896800000003</v>
      </c>
      <c r="AQ141" s="49">
        <f t="shared" ref="AQ141" si="735">AQ543-AP543</f>
        <v>217.311689</v>
      </c>
      <c r="AR141" s="49">
        <f t="shared" ref="AR141:AT141" si="736">AR543-AQ543</f>
        <v>304.11571599999991</v>
      </c>
      <c r="AS141" s="49">
        <f>AS543-AR543</f>
        <v>1.3500000000021828E-2</v>
      </c>
      <c r="AT141" s="49">
        <f t="shared" si="736"/>
        <v>0</v>
      </c>
      <c r="AU141" s="49">
        <f t="shared" ref="AU141" si="737">AU543-AT543</f>
        <v>-9.9999988378840499E-7</v>
      </c>
      <c r="AV141" s="49">
        <f t="shared" ref="AV141:AX141" si="738">AV543-AU543</f>
        <v>3.7809609999999338</v>
      </c>
      <c r="AW141" s="49">
        <f t="shared" si="738"/>
        <v>0</v>
      </c>
      <c r="AX141" s="49">
        <f t="shared" si="738"/>
        <v>3.9665330000000267</v>
      </c>
      <c r="AY141" s="51">
        <f t="shared" ref="AY141:BI141" si="739">0+(-AX139*AY535)/AY143</f>
        <v>0</v>
      </c>
      <c r="AZ141" s="495">
        <f t="shared" si="739"/>
        <v>0</v>
      </c>
      <c r="BA141" s="51">
        <f t="shared" si="739"/>
        <v>0</v>
      </c>
      <c r="BB141" s="51">
        <f t="shared" si="739"/>
        <v>0</v>
      </c>
      <c r="BC141" s="51">
        <f t="shared" si="739"/>
        <v>0</v>
      </c>
      <c r="BD141" s="51">
        <f>70+(-BC139*BD535)/BD143</f>
        <v>70</v>
      </c>
      <c r="BE141" s="51">
        <f t="shared" si="739"/>
        <v>0</v>
      </c>
      <c r="BF141" s="51">
        <f t="shared" si="739"/>
        <v>0</v>
      </c>
      <c r="BG141" s="51">
        <f t="shared" si="739"/>
        <v>0</v>
      </c>
      <c r="BH141" s="51">
        <f t="shared" si="739"/>
        <v>0</v>
      </c>
      <c r="BI141" s="51">
        <f t="shared" si="739"/>
        <v>0</v>
      </c>
      <c r="BJ141" s="51">
        <f t="shared" ref="BJ141" si="740">0+(-BI139*BJ535)/BJ143</f>
        <v>0</v>
      </c>
      <c r="BK141" s="51">
        <f t="shared" ref="BK141" si="741">0+(-BJ139*BK535)/BK143</f>
        <v>0</v>
      </c>
      <c r="BL141" s="51">
        <f t="shared" ref="BL141" si="742">0+(-BK139*BL535)/BL143</f>
        <v>0</v>
      </c>
      <c r="BM141" s="51">
        <f t="shared" ref="BM141" si="743">0+(-BL139*BM535)/BM143</f>
        <v>0</v>
      </c>
      <c r="BN141" s="51">
        <f t="shared" ref="BN141" si="744">0+(-BM139*BN535)/BN143</f>
        <v>0</v>
      </c>
      <c r="BO141" s="51">
        <f t="shared" ref="BO141" si="745">0+(-BN139*BO535)/BO143</f>
        <v>0</v>
      </c>
      <c r="BP141" s="51">
        <f t="shared" ref="BP141" si="746">0+(-BO139*BP535)/BP143</f>
        <v>0</v>
      </c>
      <c r="BQ141" s="51">
        <f t="shared" ref="BQ141" si="747">0+(-BP139*BQ535)/BQ143</f>
        <v>0</v>
      </c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>
        <f t="shared" ref="CT141:DI141" si="748">CT543-CS543</f>
        <v>0</v>
      </c>
      <c r="CU141" s="49">
        <f t="shared" si="748"/>
        <v>0</v>
      </c>
      <c r="CV141" s="49">
        <f t="shared" si="748"/>
        <v>1105.5063729999999</v>
      </c>
      <c r="CW141" s="49">
        <f t="shared" si="748"/>
        <v>1.3500000000021828E-2</v>
      </c>
      <c r="CX141" s="49">
        <f t="shared" si="748"/>
        <v>-9.9999988378840499E-7</v>
      </c>
      <c r="CY141" s="49">
        <f t="shared" si="748"/>
        <v>3.7809609999999338</v>
      </c>
      <c r="CZ141" s="50">
        <f t="shared" si="748"/>
        <v>8.3849390000000312</v>
      </c>
      <c r="DA141" s="49">
        <f t="shared" si="748"/>
        <v>3.3758319999999458</v>
      </c>
      <c r="DB141" s="49">
        <f t="shared" si="748"/>
        <v>0</v>
      </c>
      <c r="DC141" s="49">
        <f t="shared" si="748"/>
        <v>70</v>
      </c>
      <c r="DD141" s="49">
        <f t="shared" si="748"/>
        <v>0</v>
      </c>
      <c r="DE141" s="49">
        <f t="shared" si="748"/>
        <v>0</v>
      </c>
      <c r="DF141" s="49">
        <f t="shared" si="748"/>
        <v>0</v>
      </c>
      <c r="DG141" s="49">
        <f t="shared" si="748"/>
        <v>0</v>
      </c>
      <c r="DH141" s="49">
        <f t="shared" si="748"/>
        <v>0</v>
      </c>
      <c r="DI141" s="49">
        <f t="shared" si="748"/>
        <v>0</v>
      </c>
    </row>
    <row r="142" spans="1:113" ht="12" hidden="1" outlineLevel="1">
      <c r="A142" s="1" t="s">
        <v>1049</v>
      </c>
      <c r="B142" s="19" t="s">
        <v>410</v>
      </c>
      <c r="C142" s="566"/>
      <c r="D142" s="566"/>
      <c r="E142" s="566"/>
      <c r="F142" s="566"/>
      <c r="G142" s="566"/>
      <c r="H142" s="566"/>
      <c r="I142" s="566"/>
      <c r="J142" s="566"/>
      <c r="K142" s="566"/>
      <c r="L142" s="566"/>
      <c r="M142" s="566"/>
      <c r="N142" s="566"/>
      <c r="O142" s="566"/>
      <c r="P142" s="566"/>
      <c r="Q142" s="566"/>
      <c r="R142" s="566"/>
      <c r="S142" s="566"/>
      <c r="T142" s="566"/>
      <c r="U142" s="566"/>
      <c r="V142" s="566"/>
      <c r="W142" s="566"/>
      <c r="X142" s="566"/>
      <c r="Y142" s="566"/>
      <c r="Z142" s="566"/>
      <c r="AA142" s="566"/>
      <c r="AB142" s="566"/>
      <c r="AC142" s="566"/>
      <c r="AD142" s="566"/>
      <c r="AE142" s="566"/>
      <c r="AF142" s="566"/>
      <c r="AG142" s="566"/>
      <c r="AH142" s="566"/>
      <c r="AI142" s="566"/>
      <c r="AJ142" s="566"/>
      <c r="AK142" s="566"/>
      <c r="AL142" s="566"/>
      <c r="AM142" s="566"/>
      <c r="AN142" s="566"/>
      <c r="AO142" s="566"/>
      <c r="AP142" s="433" t="s">
        <v>2600</v>
      </c>
      <c r="AQ142" s="433" t="s">
        <v>2600</v>
      </c>
      <c r="AR142" s="433">
        <v>2.13</v>
      </c>
      <c r="AS142" s="433">
        <v>1.2050000000000001</v>
      </c>
      <c r="AT142" s="433">
        <v>1.325</v>
      </c>
      <c r="AU142" s="433">
        <v>1.1850000000000001</v>
      </c>
      <c r="AV142" s="433">
        <v>1</v>
      </c>
      <c r="AW142" s="433">
        <v>1.26</v>
      </c>
      <c r="AX142" s="433">
        <v>1.82</v>
      </c>
      <c r="AY142" s="433">
        <v>1.5649999999999999</v>
      </c>
      <c r="AZ142" s="503">
        <v>1.7250000000000001</v>
      </c>
      <c r="BA142" s="564">
        <f>AZ142*(1+Summary!$G$8)^(1/2)</f>
        <v>1.8149426643836437</v>
      </c>
      <c r="BB142" s="564">
        <f>BA142*(1+Summary!$G$8)^(1/2)</f>
        <v>1.9095749999999998</v>
      </c>
      <c r="BC142" s="564">
        <f>BB142*(1+Summary!$G$8)^(1/2)</f>
        <v>2.0091415294726933</v>
      </c>
      <c r="BD142" s="564">
        <f>BC142*(1+Summary!$G$8)^(1/2)</f>
        <v>2.1138995249999994</v>
      </c>
      <c r="BE142" s="564">
        <f>BD142*(1+Summary!$G$8)^(1/2)</f>
        <v>2.2241196731262711</v>
      </c>
      <c r="BF142" s="564">
        <f>BE142*(1+Summary!$G$8)^(1/2)</f>
        <v>2.3400867741749991</v>
      </c>
      <c r="BG142" s="564">
        <f>BF142*(1+Summary!$G$8)^(1/2)</f>
        <v>2.462100478150782</v>
      </c>
      <c r="BH142" s="564">
        <f>BG142*(1+Summary!$G$8)^(1/2)</f>
        <v>2.5904760590117237</v>
      </c>
      <c r="BI142" s="564">
        <f>BH142*(1+Summary!$G$8)^(1/2)</f>
        <v>2.7255452293129152</v>
      </c>
      <c r="BJ142" s="564">
        <f>BI142*(1+Summary!$G$8)^(1/2)</f>
        <v>2.8676569973259776</v>
      </c>
      <c r="BK142" s="564">
        <f>BJ142*(1+Summary!$G$8)^(1/2)</f>
        <v>3.0171785688493968</v>
      </c>
      <c r="BL142" s="564">
        <f>BK142*(1+Summary!$G$8)^(1/2)</f>
        <v>3.1744962960398571</v>
      </c>
      <c r="BM142" s="564">
        <f>BL142*(1+Summary!$G$8)^(1/2)</f>
        <v>3.3400166757162819</v>
      </c>
      <c r="BN142" s="564">
        <f>BM142*(1+Summary!$G$8)^(1/2)</f>
        <v>3.5141673997161211</v>
      </c>
      <c r="BO142" s="564">
        <f>BN142*(1+Summary!$G$8)^(1/2)</f>
        <v>3.6973984600179235</v>
      </c>
      <c r="BP142" s="564">
        <f>BO142*(1+Summary!$G$8)^(1/2)</f>
        <v>3.8901833114857456</v>
      </c>
      <c r="BQ142" s="564">
        <f>BP142*(1+Summary!$G$8)^(1/2)</f>
        <v>4.093020095239841</v>
      </c>
      <c r="BR142" s="564"/>
      <c r="BS142" s="565"/>
      <c r="BT142" s="565"/>
      <c r="BU142" s="565"/>
      <c r="BV142" s="565"/>
      <c r="BW142" s="565"/>
      <c r="BX142" s="565"/>
      <c r="BY142" s="565"/>
      <c r="BZ142" s="565"/>
      <c r="CA142" s="565"/>
      <c r="CB142" s="565"/>
      <c r="CC142" s="564"/>
      <c r="CD142" s="564"/>
      <c r="CE142" s="564"/>
      <c r="CF142" s="564"/>
      <c r="CG142" s="564"/>
      <c r="CH142" s="564"/>
      <c r="CI142" s="564"/>
      <c r="CJ142" s="564"/>
      <c r="CK142" s="564"/>
      <c r="CL142" s="564"/>
      <c r="CM142" s="566"/>
      <c r="CN142" s="566"/>
      <c r="CO142" s="566"/>
      <c r="CP142" s="566"/>
      <c r="CQ142" s="566"/>
      <c r="CR142" s="566"/>
      <c r="CS142" s="566"/>
      <c r="CT142" s="433"/>
      <c r="CU142" s="433"/>
      <c r="CV142" s="433"/>
      <c r="CW142" s="566">
        <f>AS142</f>
        <v>1.2050000000000001</v>
      </c>
      <c r="CX142" s="566">
        <f>AU142</f>
        <v>1.1850000000000001</v>
      </c>
      <c r="CY142" s="566">
        <f>AW142</f>
        <v>1.26</v>
      </c>
      <c r="CZ142" s="691">
        <f>AY142</f>
        <v>1.5649999999999999</v>
      </c>
      <c r="DA142" s="625">
        <f>BA142</f>
        <v>1.8149426643836437</v>
      </c>
      <c r="DB142" s="625">
        <f>BC142</f>
        <v>2.0091415294726933</v>
      </c>
      <c r="DC142" s="625">
        <f>BE142</f>
        <v>2.2241196731262711</v>
      </c>
      <c r="DD142" s="625">
        <f>BG142</f>
        <v>2.462100478150782</v>
      </c>
      <c r="DE142" s="625">
        <f>BI142</f>
        <v>2.7255452293129152</v>
      </c>
      <c r="DF142" s="625">
        <f>BK142</f>
        <v>3.0171785688493968</v>
      </c>
      <c r="DG142" s="625">
        <f>BM142</f>
        <v>3.3400166757162819</v>
      </c>
      <c r="DH142" s="625">
        <f>BO142</f>
        <v>3.6973984600179235</v>
      </c>
      <c r="DI142" s="625">
        <f>BQ142</f>
        <v>4.093020095239841</v>
      </c>
    </row>
    <row r="143" spans="1:113" ht="12" hidden="1" outlineLevel="1">
      <c r="A143" s="1" t="s">
        <v>632</v>
      </c>
      <c r="B143" s="19" t="s">
        <v>416</v>
      </c>
      <c r="C143" s="564"/>
      <c r="D143" s="564"/>
      <c r="E143" s="564"/>
      <c r="F143" s="564"/>
      <c r="G143" s="564"/>
      <c r="H143" s="564"/>
      <c r="I143" s="564"/>
      <c r="J143" s="564"/>
      <c r="K143" s="564"/>
      <c r="L143" s="564"/>
      <c r="M143" s="564"/>
      <c r="N143" s="564"/>
      <c r="O143" s="564"/>
      <c r="P143" s="564"/>
      <c r="Q143" s="564"/>
      <c r="R143" s="564"/>
      <c r="S143" s="564"/>
      <c r="T143" s="566"/>
      <c r="U143" s="564"/>
      <c r="V143" s="564"/>
      <c r="W143" s="564"/>
      <c r="X143" s="564"/>
      <c r="Y143" s="566"/>
      <c r="Z143" s="566"/>
      <c r="AA143" s="566"/>
      <c r="AB143" s="566"/>
      <c r="AC143" s="566"/>
      <c r="AD143" s="566"/>
      <c r="AE143" s="566"/>
      <c r="AF143" s="566"/>
      <c r="AG143" s="566"/>
      <c r="AH143" s="566"/>
      <c r="AI143" s="566"/>
      <c r="AJ143" s="566"/>
      <c r="AK143" s="566"/>
      <c r="AL143" s="566"/>
      <c r="AM143" s="566"/>
      <c r="AN143" s="566"/>
      <c r="AO143" s="566"/>
      <c r="AP143" s="508">
        <f t="shared" ref="AP143:AR143" si="749">(AP537)/AP141</f>
        <v>0.19466545831864296</v>
      </c>
      <c r="AQ143" s="508">
        <f t="shared" si="749"/>
        <v>1.7840733822652313</v>
      </c>
      <c r="AR143" s="508">
        <f t="shared" si="749"/>
        <v>1.2067774886056863</v>
      </c>
      <c r="AS143" s="508">
        <f>(AS537)/AS141</f>
        <v>362.96296296237608</v>
      </c>
      <c r="AT143" s="433">
        <v>0</v>
      </c>
      <c r="AU143" s="508">
        <f>AVERAGE(AT142:AU142)</f>
        <v>1.2549999999999999</v>
      </c>
      <c r="AV143" s="508">
        <f t="shared" ref="AV143:BI143" si="750">AU143*AVERAGE(AU142:AV142)/AVERAGE(AT142:AU142)</f>
        <v>1.0925</v>
      </c>
      <c r="AW143" s="508">
        <f t="shared" si="750"/>
        <v>1.1299999999999999</v>
      </c>
      <c r="AX143" s="508">
        <f t="shared" si="750"/>
        <v>1.54</v>
      </c>
      <c r="AY143" s="508">
        <f t="shared" si="750"/>
        <v>1.6924999999999997</v>
      </c>
      <c r="AZ143" s="568">
        <f t="shared" si="750"/>
        <v>1.6449999999999998</v>
      </c>
      <c r="BA143" s="567">
        <f t="shared" si="750"/>
        <v>1.7699713321918218</v>
      </c>
      <c r="BB143" s="567">
        <f t="shared" si="750"/>
        <v>1.8622588321918216</v>
      </c>
      <c r="BC143" s="567">
        <f t="shared" si="750"/>
        <v>1.9593582647363463</v>
      </c>
      <c r="BD143" s="567">
        <f t="shared" si="750"/>
        <v>2.0615205272363459</v>
      </c>
      <c r="BE143" s="567">
        <f t="shared" si="750"/>
        <v>2.1690095990631346</v>
      </c>
      <c r="BF143" s="567">
        <f t="shared" si="750"/>
        <v>2.2821032236506347</v>
      </c>
      <c r="BG143" s="567">
        <f t="shared" si="750"/>
        <v>2.4010936261628903</v>
      </c>
      <c r="BH143" s="567">
        <f t="shared" si="750"/>
        <v>2.5262882685812524</v>
      </c>
      <c r="BI143" s="567">
        <f t="shared" si="750"/>
        <v>2.658010644162319</v>
      </c>
      <c r="BJ143" s="567">
        <f t="shared" ref="BJ143" si="751">BI143*AVERAGE(BI142:BJ142)/AVERAGE(BH142:BI142)</f>
        <v>2.7966011133194457</v>
      </c>
      <c r="BK143" s="567">
        <f t="shared" ref="BK143" si="752">BJ143*AVERAGE(BJ142:BK142)/AVERAGE(BI142:BJ142)</f>
        <v>2.9424177830876861</v>
      </c>
      <c r="BL143" s="567">
        <f t="shared" ref="BL143" si="753">BK143*AVERAGE(BK142:BL142)/AVERAGE(BJ142:BK142)</f>
        <v>3.0958374324446258</v>
      </c>
      <c r="BM143" s="567">
        <f t="shared" ref="BM143" si="754">BL143*AVERAGE(BL142:BM142)/AVERAGE(BK142:BL142)</f>
        <v>3.2572564858780679</v>
      </c>
      <c r="BN143" s="567">
        <f t="shared" ref="BN143" si="755">BM143*AVERAGE(BM142:BN142)/AVERAGE(BL142:BM142)</f>
        <v>3.4270920377162004</v>
      </c>
      <c r="BO143" s="567">
        <f t="shared" ref="BO143" si="756">BN143*AVERAGE(BN142:BO142)/AVERAGE(BM142:BN142)</f>
        <v>3.6057829298670208</v>
      </c>
      <c r="BP143" s="567">
        <f t="shared" ref="BP143" si="757">BO143*AVERAGE(BO142:BP142)/AVERAGE(BN142:BO142)</f>
        <v>3.7937908857518332</v>
      </c>
      <c r="BQ143" s="567">
        <f t="shared" ref="BQ143" si="758">BP143*AVERAGE(BP142:BQ142)/AVERAGE(BO142:BP142)</f>
        <v>3.9916017033627917</v>
      </c>
      <c r="BR143" s="567"/>
      <c r="BS143" s="567"/>
      <c r="BT143" s="567"/>
      <c r="BU143" s="567"/>
      <c r="BV143" s="567"/>
      <c r="BW143" s="567"/>
      <c r="BX143" s="567"/>
      <c r="BY143" s="567"/>
      <c r="BZ143" s="567"/>
      <c r="CA143" s="567"/>
      <c r="CB143" s="567"/>
      <c r="CC143" s="567"/>
      <c r="CD143" s="567"/>
      <c r="CE143" s="567"/>
      <c r="CF143" s="567"/>
      <c r="CG143" s="567"/>
      <c r="CH143" s="567"/>
      <c r="CI143" s="567"/>
      <c r="CJ143" s="567"/>
      <c r="CK143" s="567"/>
      <c r="CL143" s="567"/>
      <c r="CM143" s="508"/>
      <c r="CN143" s="508"/>
      <c r="CO143" s="508"/>
      <c r="CP143" s="508"/>
      <c r="CQ143" s="508"/>
      <c r="CR143" s="508"/>
      <c r="CS143" s="508"/>
      <c r="CT143" s="508" t="s">
        <v>213</v>
      </c>
      <c r="CU143" s="508" t="s">
        <v>213</v>
      </c>
      <c r="CV143" s="508" t="s">
        <v>213</v>
      </c>
      <c r="CW143" s="508" t="s">
        <v>213</v>
      </c>
      <c r="CX143" s="508">
        <f>(AT143*(AT$3-AS$3)+AU143*(AU$3-AT$3))/(AU$3-AS$3)</f>
        <v>0.62234246575342456</v>
      </c>
      <c r="CY143" s="508">
        <f>(AV143*(AV$3-AU$3)+AW143*(AW$3-AV$3))/(AW$3-AU$3)</f>
        <v>1.1111475409836065</v>
      </c>
      <c r="CZ143" s="691">
        <f>(AX143*(AX$3-AW$3)+AY143*(AY$3-AX$3))/(AY$3-AW$3)</f>
        <v>1.6156232876712324</v>
      </c>
      <c r="DA143" s="625">
        <f>(AZ143*(AZ$3-AY$3)+BA143*(BA$3-AZ$3))/(BA$3-AY$3)</f>
        <v>1.706972085278684</v>
      </c>
      <c r="DB143" s="625">
        <f>(BB143*(BB$3-BA$3)+BC143*(BC$3-BB$3))/(BC$3-BA$3)</f>
        <v>1.9104095097002023</v>
      </c>
      <c r="DC143" s="625">
        <f>(BD143*(BD$3-BC$3)+BE143*(BE$3-BD$3))/(BE$3-BC$3)</f>
        <v>2.1149713771611425</v>
      </c>
      <c r="DD143" s="625">
        <f>(BF143*(BF$3-BE$3)+BG143*(BG$3-BF$3))/(BG$3-BE$3)</f>
        <v>2.3411094232526022</v>
      </c>
      <c r="DE143" s="625">
        <f>(BH143*(BH$3-BG$3)+BI143*(BI$3-BH$3))/(BI$3-BG$3)</f>
        <v>2.5916081315406307</v>
      </c>
      <c r="DF143" s="625">
        <f>(BJ143*(BJ$3-BI$3)+BK143*(BK$3-BJ$3))/(BK$3-BI$3)</f>
        <v>2.8689102016154768</v>
      </c>
      <c r="DG143" s="625">
        <f>(BL143*(BL$3-BK$3)+BM143*(BM$3-BL$3))/(BM$3-BK$3)</f>
        <v>3.1761059234962281</v>
      </c>
      <c r="DH143" s="625">
        <f>(BN143*(BN$3-BM$3)+BO143*(BO$3-BN$3))/(BO$3-BM$3)</f>
        <v>3.5157031376594841</v>
      </c>
      <c r="DI143" s="625">
        <f>(BP143*(BP$3-BO$3)+BQ143*(BQ$3-BP$3))/(BQ$3-BO$3)</f>
        <v>3.8918833733890481</v>
      </c>
    </row>
    <row r="144" spans="1:113" ht="12" hidden="1" outlineLevel="1">
      <c r="Z144" s="42"/>
      <c r="AA144" s="42"/>
      <c r="AB144" s="42"/>
      <c r="AC144" s="605"/>
      <c r="AD144" s="165"/>
      <c r="AE144" s="394"/>
      <c r="AF144" s="42"/>
      <c r="AG144" s="605"/>
      <c r="AH144" s="416"/>
      <c r="AI144" s="42"/>
      <c r="AJ144" s="42"/>
      <c r="AK144" s="42"/>
      <c r="AL144" s="42"/>
      <c r="AM144" s="42"/>
      <c r="AN144" s="42"/>
      <c r="AO144" s="42"/>
      <c r="AP144" s="42"/>
      <c r="AQ144" s="172"/>
      <c r="AR144" s="172"/>
      <c r="AS144" s="172"/>
      <c r="AT144" s="172"/>
      <c r="AU144" s="172"/>
      <c r="AV144" s="172"/>
      <c r="AW144" s="172"/>
      <c r="AX144" s="172"/>
      <c r="CT144" s="172"/>
      <c r="CU144" s="172"/>
      <c r="CV144" s="172"/>
      <c r="CW144" s="172"/>
      <c r="CX144" s="172"/>
      <c r="CY144" s="172"/>
      <c r="DB144" s="19"/>
      <c r="DC144" s="19"/>
      <c r="DD144" s="19"/>
      <c r="DE144" s="19"/>
      <c r="DF144" s="19"/>
      <c r="DG144" s="19"/>
      <c r="DH144" s="19"/>
      <c r="DI144" s="19"/>
    </row>
    <row r="145" spans="1:113" ht="12" hidden="1" outlineLevel="1">
      <c r="A145" s="1" t="s">
        <v>863</v>
      </c>
      <c r="B145" s="19" t="s">
        <v>417</v>
      </c>
      <c r="C145" s="408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  <c r="T145" s="394"/>
      <c r="U145" s="408"/>
      <c r="V145" s="408"/>
      <c r="W145" s="408"/>
      <c r="X145" s="408"/>
      <c r="Y145" s="394"/>
      <c r="Z145" s="394"/>
      <c r="AA145" s="394"/>
      <c r="AB145" s="394"/>
      <c r="AC145" s="394"/>
      <c r="AD145" s="394"/>
      <c r="AE145" s="394"/>
      <c r="AF145" s="394"/>
      <c r="AG145" s="394"/>
      <c r="AH145" s="394"/>
      <c r="AI145" s="394"/>
      <c r="AJ145" s="394"/>
      <c r="AK145" s="394"/>
      <c r="AL145" s="394"/>
      <c r="AM145" s="394"/>
      <c r="AN145" s="394"/>
      <c r="AO145" s="394"/>
      <c r="AP145" s="285">
        <f t="shared" ref="AP145:AR145" si="759">AP610/AP176</f>
        <v>0</v>
      </c>
      <c r="AQ145" s="285">
        <f t="shared" si="759"/>
        <v>0</v>
      </c>
      <c r="AR145" s="285">
        <f t="shared" si="759"/>
        <v>2.8940936863543789</v>
      </c>
      <c r="AS145" s="285">
        <f t="shared" ref="AS145:AT145" si="760">AS610/AS176</f>
        <v>2.689710610932476</v>
      </c>
      <c r="AT145" s="285">
        <f t="shared" si="760"/>
        <v>2.613267558094249</v>
      </c>
      <c r="AU145" s="285">
        <f t="shared" ref="AU145:AV145" si="761">AU610/AU176</f>
        <v>1.7779650305456078</v>
      </c>
      <c r="AV145" s="285">
        <f t="shared" si="761"/>
        <v>1.6089535106179451</v>
      </c>
      <c r="AW145" s="285">
        <f t="shared" ref="AW145:AY145" si="762">AW610/AW176</f>
        <v>1.5277534582384871</v>
      </c>
      <c r="AX145" s="285">
        <f t="shared" si="762"/>
        <v>1.5268798157824817</v>
      </c>
      <c r="AY145" s="285">
        <f t="shared" si="762"/>
        <v>1.4901892989886765</v>
      </c>
      <c r="AZ145" s="286">
        <f t="shared" ref="AZ145" si="763">AZ610/AZ176</f>
        <v>1.4726232168787905</v>
      </c>
      <c r="BA145" s="386">
        <f t="shared" ref="BA145:BC145" si="764">AZ145*0.9875</f>
        <v>1.4542154266678058</v>
      </c>
      <c r="BB145" s="386">
        <f t="shared" si="764"/>
        <v>1.4360377338344583</v>
      </c>
      <c r="BC145" s="386">
        <f t="shared" si="764"/>
        <v>1.4180872621615277</v>
      </c>
      <c r="BD145" s="386">
        <f t="shared" ref="BA145:BG147" si="765">BC145</f>
        <v>1.4180872621615277</v>
      </c>
      <c r="BE145" s="386">
        <f t="shared" si="765"/>
        <v>1.4180872621615277</v>
      </c>
      <c r="BF145" s="386">
        <f t="shared" si="765"/>
        <v>1.4180872621615277</v>
      </c>
      <c r="BG145" s="386">
        <f t="shared" si="765"/>
        <v>1.4180872621615277</v>
      </c>
      <c r="BH145" s="386">
        <f t="shared" ref="BG145:BI147" si="766">BG145</f>
        <v>1.4180872621615277</v>
      </c>
      <c r="BI145" s="386">
        <f t="shared" si="766"/>
        <v>1.4180872621615277</v>
      </c>
      <c r="BJ145" s="386">
        <f t="shared" ref="BJ145:BJ147" si="767">BI145</f>
        <v>1.4180872621615277</v>
      </c>
      <c r="BK145" s="386">
        <f t="shared" ref="BK145:BK147" si="768">BJ145</f>
        <v>1.4180872621615277</v>
      </c>
      <c r="BL145" s="386">
        <f t="shared" ref="BL145:BL147" si="769">BK145</f>
        <v>1.4180872621615277</v>
      </c>
      <c r="BM145" s="386">
        <f t="shared" ref="BM145:BM147" si="770">BL145</f>
        <v>1.4180872621615277</v>
      </c>
      <c r="BN145" s="386">
        <f t="shared" ref="BN145:BN147" si="771">BM145</f>
        <v>1.4180872621615277</v>
      </c>
      <c r="BO145" s="386">
        <f t="shared" ref="BO145:BO147" si="772">BN145</f>
        <v>1.4180872621615277</v>
      </c>
      <c r="BP145" s="386">
        <f t="shared" ref="BP145:BP147" si="773">BO145</f>
        <v>1.4180872621615277</v>
      </c>
      <c r="BQ145" s="386">
        <f t="shared" ref="BQ145:BQ147" si="774">BP145</f>
        <v>1.4180872621615277</v>
      </c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285"/>
      <c r="CN145" s="285"/>
      <c r="CO145" s="285"/>
      <c r="CP145" s="285"/>
      <c r="CQ145" s="285"/>
      <c r="CR145" s="285"/>
      <c r="CS145" s="285"/>
      <c r="CT145" s="285">
        <f t="shared" ref="CT145:DF145" si="775">CT610/CT176</f>
        <v>0</v>
      </c>
      <c r="CU145" s="285">
        <f t="shared" si="775"/>
        <v>0</v>
      </c>
      <c r="CV145" s="285">
        <f t="shared" si="775"/>
        <v>0</v>
      </c>
      <c r="CW145" s="285">
        <f t="shared" si="775"/>
        <v>2.689710610932476</v>
      </c>
      <c r="CX145" s="285">
        <f t="shared" si="775"/>
        <v>1.7779650305456078</v>
      </c>
      <c r="CY145" s="285">
        <f t="shared" ref="CY145" si="776">CY610/CY176</f>
        <v>1.5277534582384871</v>
      </c>
      <c r="CZ145" s="286">
        <f t="shared" si="775"/>
        <v>1.4901892989886765</v>
      </c>
      <c r="DA145" s="162">
        <f t="shared" si="775"/>
        <v>1.4542154266678058</v>
      </c>
      <c r="DB145" s="162">
        <f t="shared" si="775"/>
        <v>1.4180872621615277</v>
      </c>
      <c r="DC145" s="162">
        <f t="shared" si="775"/>
        <v>1.4180872621615277</v>
      </c>
      <c r="DD145" s="162">
        <f t="shared" si="775"/>
        <v>1.4180872621615277</v>
      </c>
      <c r="DE145" s="162">
        <f t="shared" si="775"/>
        <v>1.4180872621615277</v>
      </c>
      <c r="DF145" s="162">
        <f t="shared" si="775"/>
        <v>1.4180872621615279</v>
      </c>
      <c r="DG145" s="162">
        <f t="shared" ref="DG145:DH145" si="777">DG610/DG176</f>
        <v>1.4180872621615277</v>
      </c>
      <c r="DH145" s="162">
        <f t="shared" si="777"/>
        <v>1.4180872621615277</v>
      </c>
      <c r="DI145" s="162">
        <f t="shared" ref="DI145" si="778">DI610/DI176</f>
        <v>1.4180872621615275</v>
      </c>
    </row>
    <row r="146" spans="1:113" ht="12" hidden="1" outlineLevel="1">
      <c r="A146" s="1" t="s">
        <v>878</v>
      </c>
      <c r="B146" s="19" t="s">
        <v>257</v>
      </c>
      <c r="C146" s="408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  <c r="T146" s="394"/>
      <c r="U146" s="408"/>
      <c r="V146" s="408"/>
      <c r="W146" s="408"/>
      <c r="X146" s="408"/>
      <c r="Y146" s="394"/>
      <c r="Z146" s="394"/>
      <c r="AA146" s="394"/>
      <c r="AB146" s="394"/>
      <c r="AC146" s="394"/>
      <c r="AD146" s="394"/>
      <c r="AE146" s="394"/>
      <c r="AF146" s="394"/>
      <c r="AG146" s="394"/>
      <c r="AH146" s="394"/>
      <c r="AI146" s="394"/>
      <c r="AJ146" s="394"/>
      <c r="AK146" s="394"/>
      <c r="AL146" s="394"/>
      <c r="AM146" s="394"/>
      <c r="AN146" s="394"/>
      <c r="AO146" s="394"/>
      <c r="AP146" s="285">
        <f t="shared" ref="AP146:AR146" si="779">AP611/(AP181)</f>
        <v>0.93</v>
      </c>
      <c r="AQ146" s="285">
        <f t="shared" si="779"/>
        <v>0.92</v>
      </c>
      <c r="AR146" s="285">
        <f t="shared" si="779"/>
        <v>0.72648514851485146</v>
      </c>
      <c r="AS146" s="285">
        <f t="shared" ref="AS146:AT146" si="780">AS611/(AS181)</f>
        <v>0.65479317137229154</v>
      </c>
      <c r="AT146" s="285">
        <f t="shared" si="780"/>
        <v>0.66784230424966262</v>
      </c>
      <c r="AU146" s="285">
        <f t="shared" ref="AU146:AV146" si="781">AU611/(AU181)</f>
        <v>0.64527717281483654</v>
      </c>
      <c r="AV146" s="285">
        <f t="shared" si="781"/>
        <v>0.63176988323078664</v>
      </c>
      <c r="AW146" s="285">
        <f>AW611/(AW181)</f>
        <v>0.65276247736056914</v>
      </c>
      <c r="AX146" s="285">
        <f>AX611/(AX181)</f>
        <v>0.68232748628390394</v>
      </c>
      <c r="AY146" s="285">
        <f>AY611/(AY181)</f>
        <v>0.70387395409657216</v>
      </c>
      <c r="AZ146" s="286">
        <f>AZ611/(AZ181)</f>
        <v>0.734209347469016</v>
      </c>
      <c r="BA146" s="386">
        <f>+AZ146+2%</f>
        <v>0.75420934746901602</v>
      </c>
      <c r="BB146" s="386">
        <f>+BA146+1%</f>
        <v>0.76420934746901603</v>
      </c>
      <c r="BC146" s="386">
        <f>+BB146+0.5%</f>
        <v>0.76920934746901604</v>
      </c>
      <c r="BD146" s="386">
        <f t="shared" ref="BD146:BF146" si="782">+BC146+1%</f>
        <v>0.77920934746901604</v>
      </c>
      <c r="BE146" s="386">
        <f t="shared" si="782"/>
        <v>0.78920934746901605</v>
      </c>
      <c r="BF146" s="386">
        <f t="shared" si="782"/>
        <v>0.79920934746901606</v>
      </c>
      <c r="BG146" s="386">
        <f t="shared" si="766"/>
        <v>0.79920934746901606</v>
      </c>
      <c r="BH146" s="386">
        <f t="shared" si="766"/>
        <v>0.79920934746901606</v>
      </c>
      <c r="BI146" s="386">
        <f t="shared" si="766"/>
        <v>0.79920934746901606</v>
      </c>
      <c r="BJ146" s="386">
        <f t="shared" si="767"/>
        <v>0.79920934746901606</v>
      </c>
      <c r="BK146" s="386">
        <f t="shared" si="768"/>
        <v>0.79920934746901606</v>
      </c>
      <c r="BL146" s="386">
        <f t="shared" si="769"/>
        <v>0.79920934746901606</v>
      </c>
      <c r="BM146" s="386">
        <f t="shared" si="770"/>
        <v>0.79920934746901606</v>
      </c>
      <c r="BN146" s="386">
        <f t="shared" si="771"/>
        <v>0.79920934746901606</v>
      </c>
      <c r="BO146" s="386">
        <f t="shared" si="772"/>
        <v>0.79920934746901606</v>
      </c>
      <c r="BP146" s="386">
        <f t="shared" si="773"/>
        <v>0.79920934746901606</v>
      </c>
      <c r="BQ146" s="386">
        <f t="shared" si="774"/>
        <v>0.79920934746901606</v>
      </c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285"/>
      <c r="CN146" s="285"/>
      <c r="CO146" s="285"/>
      <c r="CP146" s="285"/>
      <c r="CQ146" s="285"/>
      <c r="CR146" s="285"/>
      <c r="CS146" s="285"/>
      <c r="CT146" s="285">
        <f>CT611/(CT181)</f>
        <v>0.92</v>
      </c>
      <c r="CU146" s="285">
        <f t="shared" ref="CU146:CV146" si="783">CU611/(CU181)</f>
        <v>0.94</v>
      </c>
      <c r="CV146" s="285">
        <f t="shared" si="783"/>
        <v>0.92</v>
      </c>
      <c r="CW146" s="285">
        <f t="shared" ref="CW146:DF146" si="784">CW611/(CW177+CW179)</f>
        <v>0.7292504570383912</v>
      </c>
      <c r="CX146" s="285">
        <f t="shared" si="784"/>
        <v>0.72225572979493369</v>
      </c>
      <c r="CY146" s="285">
        <f t="shared" ref="CY146" si="785">CY611/(CY177+CY179)</f>
        <v>0.73067759060318527</v>
      </c>
      <c r="CZ146" s="286">
        <f t="shared" si="784"/>
        <v>0.77588341409925365</v>
      </c>
      <c r="DA146" s="162">
        <f t="shared" si="784"/>
        <v>0.82106874140312036</v>
      </c>
      <c r="DB146" s="162">
        <f t="shared" si="784"/>
        <v>0.83058393590156632</v>
      </c>
      <c r="DC146" s="162">
        <f t="shared" si="784"/>
        <v>0.84744888832010301</v>
      </c>
      <c r="DD146" s="162">
        <f t="shared" si="784"/>
        <v>0.85404519773121934</v>
      </c>
      <c r="DE146" s="162">
        <f t="shared" si="784"/>
        <v>0.85064007286791665</v>
      </c>
      <c r="DF146" s="162">
        <f t="shared" si="784"/>
        <v>0.84807183108423434</v>
      </c>
      <c r="DG146" s="162">
        <f t="shared" ref="DG146:DH146" si="786">DG611/(DG177+DG179)</f>
        <v>0.84647622842873049</v>
      </c>
      <c r="DH146" s="162">
        <f t="shared" si="786"/>
        <v>0.84537679479263284</v>
      </c>
      <c r="DI146" s="162">
        <f t="shared" ref="DI146" si="787">DI611/(DI177+DI179)</f>
        <v>0.84430250028382303</v>
      </c>
    </row>
    <row r="147" spans="1:113" ht="12" hidden="1" outlineLevel="1">
      <c r="A147" s="1" t="s">
        <v>879</v>
      </c>
      <c r="B147" s="19" t="s">
        <v>258</v>
      </c>
      <c r="C147" s="408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  <c r="T147" s="394"/>
      <c r="U147" s="408"/>
      <c r="V147" s="408"/>
      <c r="W147" s="408"/>
      <c r="X147" s="408"/>
      <c r="Y147" s="394"/>
      <c r="Z147" s="394"/>
      <c r="AA147" s="394"/>
      <c r="AB147" s="394"/>
      <c r="AC147" s="394"/>
      <c r="AD147" s="394"/>
      <c r="AE147" s="394"/>
      <c r="AF147" s="394"/>
      <c r="AG147" s="394"/>
      <c r="AH147" s="394"/>
      <c r="AI147" s="394"/>
      <c r="AJ147" s="394"/>
      <c r="AK147" s="394"/>
      <c r="AL147" s="394"/>
      <c r="AM147" s="394"/>
      <c r="AN147" s="394"/>
      <c r="AO147" s="394"/>
      <c r="AP147" s="285">
        <f t="shared" ref="AP147:AR147" si="788">AP612/(AP660-AP181)</f>
        <v>0.70599324397951402</v>
      </c>
      <c r="AQ147" s="285">
        <f t="shared" si="788"/>
        <v>0.23440131219245491</v>
      </c>
      <c r="AR147" s="285">
        <f t="shared" si="788"/>
        <v>0.16188311870493508</v>
      </c>
      <c r="AS147" s="285">
        <f t="shared" ref="AS147:AT147" si="789">AS612/(AS660-AS181)</f>
        <v>0.19532895924878105</v>
      </c>
      <c r="AT147" s="285">
        <f t="shared" si="789"/>
        <v>0.215316712394131</v>
      </c>
      <c r="AU147" s="285">
        <f t="shared" ref="AU147:AV147" si="790">AU612/(AU660-AU181)</f>
        <v>0.2290452849964548</v>
      </c>
      <c r="AV147" s="285">
        <f t="shared" si="790"/>
        <v>0.19798717266205285</v>
      </c>
      <c r="AW147" s="285">
        <f t="shared" ref="AW147:AX147" si="791">AW612/(AW660-AW181)</f>
        <v>0.35168195718654421</v>
      </c>
      <c r="AX147" s="285">
        <f t="shared" si="791"/>
        <v>0.4039771065714165</v>
      </c>
      <c r="AY147" s="285">
        <f t="shared" ref="AY147:AZ147" si="792">AY612/(AY660-AY181)</f>
        <v>0.41784392534521841</v>
      </c>
      <c r="AZ147" s="286">
        <f t="shared" si="792"/>
        <v>0.43417840375586852</v>
      </c>
      <c r="BA147" s="386">
        <f t="shared" si="765"/>
        <v>0.43417840375586852</v>
      </c>
      <c r="BB147" s="386">
        <f t="shared" si="765"/>
        <v>0.43417840375586852</v>
      </c>
      <c r="BC147" s="386">
        <f t="shared" si="765"/>
        <v>0.43417840375586852</v>
      </c>
      <c r="BD147" s="386">
        <f t="shared" si="765"/>
        <v>0.43417840375586852</v>
      </c>
      <c r="BE147" s="386">
        <f t="shared" si="765"/>
        <v>0.43417840375586852</v>
      </c>
      <c r="BF147" s="386">
        <f t="shared" si="765"/>
        <v>0.43417840375586852</v>
      </c>
      <c r="BG147" s="386">
        <f t="shared" si="766"/>
        <v>0.43417840375586852</v>
      </c>
      <c r="BH147" s="386">
        <f t="shared" si="766"/>
        <v>0.43417840375586852</v>
      </c>
      <c r="BI147" s="386">
        <f t="shared" si="766"/>
        <v>0.43417840375586852</v>
      </c>
      <c r="BJ147" s="386">
        <f t="shared" si="767"/>
        <v>0.43417840375586852</v>
      </c>
      <c r="BK147" s="386">
        <f t="shared" si="768"/>
        <v>0.43417840375586852</v>
      </c>
      <c r="BL147" s="386">
        <f t="shared" si="769"/>
        <v>0.43417840375586852</v>
      </c>
      <c r="BM147" s="386">
        <f t="shared" si="770"/>
        <v>0.43417840375586852</v>
      </c>
      <c r="BN147" s="386">
        <f t="shared" si="771"/>
        <v>0.43417840375586852</v>
      </c>
      <c r="BO147" s="386">
        <f t="shared" si="772"/>
        <v>0.43417840375586852</v>
      </c>
      <c r="BP147" s="386">
        <f t="shared" si="773"/>
        <v>0.43417840375586852</v>
      </c>
      <c r="BQ147" s="386">
        <f t="shared" si="774"/>
        <v>0.43417840375586852</v>
      </c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285"/>
      <c r="CN147" s="285"/>
      <c r="CO147" s="285"/>
      <c r="CP147" s="285"/>
      <c r="CQ147" s="285"/>
      <c r="CR147" s="285"/>
      <c r="CS147" s="285"/>
      <c r="CT147" s="285">
        <f t="shared" ref="CT147:DF147" si="793">CT612/(CT660-CT181)</f>
        <v>-0.94257722266988997</v>
      </c>
      <c r="CU147" s="285">
        <f t="shared" si="793"/>
        <v>-0.33843506040781773</v>
      </c>
      <c r="CV147" s="285">
        <f t="shared" si="793"/>
        <v>0.23440131219245491</v>
      </c>
      <c r="CW147" s="285">
        <f t="shared" si="793"/>
        <v>0.19532895924878105</v>
      </c>
      <c r="CX147" s="285">
        <f t="shared" si="793"/>
        <v>0.2290452849964548</v>
      </c>
      <c r="CY147" s="285">
        <f t="shared" ref="CY147" si="794">CY612/(CY660-CY181)</f>
        <v>0.35168195718654421</v>
      </c>
      <c r="CZ147" s="286">
        <f t="shared" si="793"/>
        <v>0.41784392534521841</v>
      </c>
      <c r="DA147" s="162">
        <f t="shared" si="793"/>
        <v>0.44302169671000458</v>
      </c>
      <c r="DB147" s="162">
        <f t="shared" si="793"/>
        <v>0.44792881350133906</v>
      </c>
      <c r="DC147" s="162">
        <f t="shared" si="793"/>
        <v>0.45212912372139263</v>
      </c>
      <c r="DD147" s="162">
        <f t="shared" si="793"/>
        <v>0.44841306752375432</v>
      </c>
      <c r="DE147" s="162">
        <f t="shared" si="793"/>
        <v>0.444755482854155</v>
      </c>
      <c r="DF147" s="162">
        <f t="shared" si="793"/>
        <v>0.44096750209671326</v>
      </c>
      <c r="DG147" s="162">
        <f t="shared" ref="DG147:DH147" si="795">DG612/(DG660-DG181)</f>
        <v>0.4373608739141554</v>
      </c>
      <c r="DH147" s="162">
        <f t="shared" si="795"/>
        <v>0.43139237908244732</v>
      </c>
      <c r="DI147" s="162">
        <f t="shared" ref="DI147" si="796">DI612/(DI660-DI181)</f>
        <v>0.42651523722957857</v>
      </c>
    </row>
    <row r="148" spans="1:113" ht="12" hidden="1" outlineLevel="1">
      <c r="A148" s="1" t="s">
        <v>880</v>
      </c>
      <c r="B148" s="19" t="s">
        <v>259</v>
      </c>
      <c r="C148" s="408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  <c r="T148" s="394"/>
      <c r="U148" s="408"/>
      <c r="V148" s="408"/>
      <c r="W148" s="408"/>
      <c r="X148" s="408"/>
      <c r="Y148" s="394"/>
      <c r="Z148" s="394"/>
      <c r="AA148" s="394"/>
      <c r="AB148" s="394"/>
      <c r="AC148" s="394"/>
      <c r="AD148" s="394"/>
      <c r="AE148" s="394"/>
      <c r="AF148" s="394"/>
      <c r="AG148" s="394"/>
      <c r="AH148" s="394"/>
      <c r="AI148" s="394"/>
      <c r="AJ148" s="394"/>
      <c r="AK148" s="394"/>
      <c r="AL148" s="394"/>
      <c r="AM148" s="394"/>
      <c r="AN148" s="394"/>
      <c r="AO148" s="394"/>
      <c r="AP148" s="285">
        <v>0.04</v>
      </c>
      <c r="AQ148" s="285">
        <v>0.04</v>
      </c>
      <c r="AR148" s="285">
        <v>0.04</v>
      </c>
      <c r="AS148" s="285">
        <v>0.04</v>
      </c>
      <c r="AT148" s="285">
        <v>0.04</v>
      </c>
      <c r="AU148" s="285">
        <v>0.04</v>
      </c>
      <c r="AV148" s="285">
        <v>0.04</v>
      </c>
      <c r="AW148" s="285">
        <v>0.04</v>
      </c>
      <c r="AX148" s="285">
        <v>0.04</v>
      </c>
      <c r="AY148" s="285">
        <v>0.04</v>
      </c>
      <c r="AZ148" s="286">
        <v>0.04</v>
      </c>
      <c r="BA148" s="386">
        <v>0.04</v>
      </c>
      <c r="BB148" s="386">
        <v>0.04</v>
      </c>
      <c r="BC148" s="386">
        <v>0.04</v>
      </c>
      <c r="BD148" s="386">
        <v>0.04</v>
      </c>
      <c r="BE148" s="386">
        <v>0.04</v>
      </c>
      <c r="BF148" s="386">
        <v>0.04</v>
      </c>
      <c r="BG148" s="386">
        <v>0.04</v>
      </c>
      <c r="BH148" s="386">
        <v>0.04</v>
      </c>
      <c r="BI148" s="386">
        <v>0.04</v>
      </c>
      <c r="BJ148" s="386">
        <v>0.04</v>
      </c>
      <c r="BK148" s="386">
        <v>0.04</v>
      </c>
      <c r="BL148" s="386">
        <v>0.04</v>
      </c>
      <c r="BM148" s="386">
        <v>0.04</v>
      </c>
      <c r="BN148" s="386">
        <v>0.04</v>
      </c>
      <c r="BO148" s="386">
        <v>0.04</v>
      </c>
      <c r="BP148" s="386">
        <v>0.04</v>
      </c>
      <c r="BQ148" s="386">
        <v>0.04</v>
      </c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285"/>
      <c r="CN148" s="285"/>
      <c r="CO148" s="285"/>
      <c r="CP148" s="285"/>
      <c r="CQ148" s="285"/>
      <c r="CR148" s="285"/>
      <c r="CS148" s="285"/>
      <c r="CT148" s="285">
        <v>0.04</v>
      </c>
      <c r="CU148" s="285">
        <v>0.04</v>
      </c>
      <c r="CV148" s="285">
        <v>0.04</v>
      </c>
      <c r="CW148" s="285">
        <v>0.04</v>
      </c>
      <c r="CX148" s="285">
        <v>0.04</v>
      </c>
      <c r="CY148" s="285">
        <v>0.04</v>
      </c>
      <c r="CZ148" s="286">
        <v>0.04</v>
      </c>
      <c r="DA148" s="162">
        <v>0.04</v>
      </c>
      <c r="DB148" s="162">
        <v>0.04</v>
      </c>
      <c r="DC148" s="162">
        <v>0.04</v>
      </c>
      <c r="DD148" s="162">
        <v>0.04</v>
      </c>
      <c r="DE148" s="162">
        <v>0.04</v>
      </c>
      <c r="DF148" s="162">
        <v>0.04</v>
      </c>
      <c r="DG148" s="162">
        <v>0.04</v>
      </c>
      <c r="DH148" s="162">
        <v>0.04</v>
      </c>
      <c r="DI148" s="162">
        <v>0.04</v>
      </c>
    </row>
    <row r="149" spans="1:113" ht="12" hidden="1" outlineLevel="1">
      <c r="A149" s="1" t="s">
        <v>881</v>
      </c>
      <c r="B149" s="19" t="s">
        <v>270</v>
      </c>
      <c r="AP149" s="21" t="s">
        <v>176</v>
      </c>
      <c r="AQ149" s="21" t="s">
        <v>176</v>
      </c>
      <c r="AR149" s="21" t="s">
        <v>176</v>
      </c>
      <c r="AS149" s="21" t="s">
        <v>176</v>
      </c>
      <c r="AT149" s="21" t="s">
        <v>176</v>
      </c>
      <c r="AU149" s="21" t="s">
        <v>176</v>
      </c>
      <c r="AV149" s="21" t="s">
        <v>176</v>
      </c>
      <c r="AW149" s="21" t="s">
        <v>176</v>
      </c>
      <c r="AX149" s="21" t="s">
        <v>176</v>
      </c>
      <c r="AY149" s="21" t="s">
        <v>176</v>
      </c>
      <c r="AZ149" s="22" t="s">
        <v>176</v>
      </c>
      <c r="BA149" s="21" t="s">
        <v>176</v>
      </c>
      <c r="BB149" s="21" t="s">
        <v>176</v>
      </c>
      <c r="BC149" s="21" t="s">
        <v>176</v>
      </c>
      <c r="BD149" s="21" t="s">
        <v>176</v>
      </c>
      <c r="BE149" s="21" t="s">
        <v>176</v>
      </c>
      <c r="BF149" s="21" t="s">
        <v>176</v>
      </c>
      <c r="BG149" s="21" t="s">
        <v>176</v>
      </c>
      <c r="BH149" s="21" t="s">
        <v>176</v>
      </c>
      <c r="BI149" s="21" t="s">
        <v>176</v>
      </c>
      <c r="BJ149" s="21" t="s">
        <v>176</v>
      </c>
      <c r="BK149" s="21" t="s">
        <v>176</v>
      </c>
      <c r="BL149" s="21" t="s">
        <v>176</v>
      </c>
      <c r="BM149" s="21" t="s">
        <v>176</v>
      </c>
      <c r="BN149" s="21" t="s">
        <v>176</v>
      </c>
      <c r="BO149" s="21" t="s">
        <v>176</v>
      </c>
      <c r="BP149" s="21" t="s">
        <v>176</v>
      </c>
      <c r="BQ149" s="21" t="s">
        <v>176</v>
      </c>
      <c r="CT149" s="21" t="s">
        <v>176</v>
      </c>
      <c r="CU149" s="21" t="s">
        <v>176</v>
      </c>
      <c r="CV149" s="21" t="s">
        <v>176</v>
      </c>
      <c r="CW149" s="21" t="s">
        <v>176</v>
      </c>
      <c r="CX149" s="21" t="str">
        <f>AU149</f>
        <v>Core Tier 1</v>
      </c>
      <c r="CY149" s="21" t="str">
        <f>AV149</f>
        <v>Core Tier 1</v>
      </c>
      <c r="CZ149" s="22" t="str">
        <f>AY149</f>
        <v>Core Tier 1</v>
      </c>
      <c r="DA149" s="21" t="str">
        <f>BA149</f>
        <v>Core Tier 1</v>
      </c>
      <c r="DB149" s="21" t="str">
        <f>BC149</f>
        <v>Core Tier 1</v>
      </c>
      <c r="DC149" s="21" t="str">
        <f>BE149</f>
        <v>Core Tier 1</v>
      </c>
      <c r="DD149" s="21" t="str">
        <f>BG149</f>
        <v>Core Tier 1</v>
      </c>
      <c r="DE149" s="21" t="str">
        <f>BI149</f>
        <v>Core Tier 1</v>
      </c>
      <c r="DF149" s="21" t="str">
        <f>BK149</f>
        <v>Core Tier 1</v>
      </c>
      <c r="DG149" s="21" t="str">
        <f>BM149</f>
        <v>Core Tier 1</v>
      </c>
      <c r="DH149" s="21" t="str">
        <f>BO149</f>
        <v>Core Tier 1</v>
      </c>
      <c r="DI149" s="21" t="str">
        <f>BQ149</f>
        <v>Core Tier 1</v>
      </c>
    </row>
    <row r="150" spans="1:113" ht="12" hidden="1" outlineLevel="1">
      <c r="A150" s="1" t="s">
        <v>882</v>
      </c>
      <c r="B150" s="19" t="s">
        <v>485</v>
      </c>
      <c r="C150" s="601"/>
      <c r="D150" s="601"/>
      <c r="E150" s="601"/>
      <c r="F150" s="601"/>
      <c r="G150" s="601"/>
      <c r="H150" s="601"/>
      <c r="I150" s="601"/>
      <c r="J150" s="601"/>
      <c r="K150" s="601"/>
      <c r="L150" s="601"/>
      <c r="M150" s="601"/>
      <c r="N150" s="601"/>
      <c r="O150" s="601"/>
      <c r="P150" s="601"/>
      <c r="Q150" s="601"/>
      <c r="R150" s="601"/>
      <c r="S150" s="601"/>
      <c r="T150" s="416"/>
      <c r="U150" s="601"/>
      <c r="V150" s="601"/>
      <c r="W150" s="601"/>
      <c r="X150" s="601"/>
      <c r="Y150" s="416"/>
      <c r="Z150" s="416"/>
      <c r="AA150" s="416"/>
      <c r="AB150" s="416"/>
      <c r="AC150" s="416"/>
      <c r="AD150" s="416"/>
      <c r="AE150" s="416"/>
      <c r="AF150" s="416"/>
      <c r="AG150" s="416"/>
      <c r="AH150" s="416"/>
      <c r="AI150" s="416"/>
      <c r="AJ150" s="416"/>
      <c r="AK150" s="416"/>
      <c r="AL150" s="416"/>
      <c r="AM150" s="416"/>
      <c r="AN150" s="416"/>
      <c r="AO150" s="416"/>
      <c r="AP150" s="167">
        <f t="shared" ref="AP150:AR150" si="797">AP590/AP613</f>
        <v>0.20349401488191524</v>
      </c>
      <c r="AQ150" s="167">
        <f t="shared" si="797"/>
        <v>0.24523693209574987</v>
      </c>
      <c r="AR150" s="167">
        <f t="shared" si="797"/>
        <v>0.23351449275362318</v>
      </c>
      <c r="AS150" s="167">
        <f t="shared" ref="AS150:AT150" si="798">AS590/AS613</f>
        <v>0.20472191411820631</v>
      </c>
      <c r="AT150" s="167">
        <f t="shared" si="798"/>
        <v>0.17274372898888027</v>
      </c>
      <c r="AU150" s="167">
        <f t="shared" ref="AU150:AV150" si="799">AU590/AU613</f>
        <v>0.16701308228389777</v>
      </c>
      <c r="AV150" s="167">
        <f t="shared" si="799"/>
        <v>0.16245781450017457</v>
      </c>
      <c r="AW150" s="167">
        <f t="shared" ref="AW150:AX150" si="800">AW590/AW613</f>
        <v>0.14681094579128082</v>
      </c>
      <c r="AX150" s="167">
        <f t="shared" si="800"/>
        <v>0.13761985335589397</v>
      </c>
      <c r="AY150" s="167">
        <f t="shared" ref="AY150:BI150" si="801">AY590/AY613</f>
        <v>0.13136473848285418</v>
      </c>
      <c r="AZ150" s="174">
        <f t="shared" ref="AZ150" si="802">AZ590/AZ613</f>
        <v>0.12576687116564417</v>
      </c>
      <c r="BA150" s="166">
        <f t="shared" si="801"/>
        <v>0.11998238469217314</v>
      </c>
      <c r="BB150" s="166">
        <f t="shared" si="801"/>
        <v>0.11752944102270202</v>
      </c>
      <c r="BC150" s="166">
        <f t="shared" si="801"/>
        <v>0.11475267122743218</v>
      </c>
      <c r="BD150" s="166">
        <f t="shared" si="801"/>
        <v>0.12135575799623234</v>
      </c>
      <c r="BE150" s="166">
        <f t="shared" si="801"/>
        <v>0.11820594512136259</v>
      </c>
      <c r="BF150" s="166">
        <f t="shared" si="801"/>
        <v>0.11711429003331701</v>
      </c>
      <c r="BG150" s="166">
        <f t="shared" si="801"/>
        <v>0.11647051135410581</v>
      </c>
      <c r="BH150" s="166">
        <f t="shared" si="801"/>
        <v>0.11793406923767526</v>
      </c>
      <c r="BI150" s="166">
        <f t="shared" si="801"/>
        <v>0.11681808762409959</v>
      </c>
      <c r="BJ150" s="166">
        <f t="shared" ref="BJ150:BK150" si="803">BJ590/BJ613</f>
        <v>0.1168992963994292</v>
      </c>
      <c r="BK150" s="166">
        <f t="shared" si="803"/>
        <v>0.11645006318247805</v>
      </c>
      <c r="BL150" s="166">
        <f t="shared" ref="BL150:BM150" si="804">BL590/BL613</f>
        <v>0.11726074296069472</v>
      </c>
      <c r="BM150" s="166">
        <f t="shared" si="804"/>
        <v>0.11694018793330239</v>
      </c>
      <c r="BN150" s="166">
        <f t="shared" ref="BN150:BO150" si="805">BN590/BN613</f>
        <v>0.11758660421713102</v>
      </c>
      <c r="BO150" s="166">
        <f t="shared" si="805"/>
        <v>0.11708027627004816</v>
      </c>
      <c r="BP150" s="166">
        <f t="shared" ref="BP150:BQ150" si="806">BP590/BP613</f>
        <v>0.11746627624117369</v>
      </c>
      <c r="BQ150" s="166">
        <f t="shared" si="806"/>
        <v>0.11672010517048266</v>
      </c>
      <c r="BR150" s="166"/>
      <c r="BS150" s="166"/>
      <c r="BT150" s="166"/>
      <c r="BU150" s="166"/>
      <c r="BV150" s="166"/>
      <c r="BW150" s="166"/>
      <c r="BX150" s="166"/>
      <c r="BY150" s="166"/>
      <c r="BZ150" s="166"/>
      <c r="CA150" s="166"/>
      <c r="CB150" s="166"/>
      <c r="CC150" s="166"/>
      <c r="CD150" s="166"/>
      <c r="CE150" s="166"/>
      <c r="CF150" s="166"/>
      <c r="CG150" s="166"/>
      <c r="CH150" s="166"/>
      <c r="CI150" s="166"/>
      <c r="CJ150" s="166"/>
      <c r="CK150" s="166"/>
      <c r="CL150" s="166"/>
      <c r="CM150" s="167"/>
      <c r="CN150" s="167"/>
      <c r="CO150" s="167"/>
      <c r="CP150" s="167"/>
      <c r="CQ150" s="167"/>
      <c r="CR150" s="167"/>
      <c r="CS150" s="167"/>
      <c r="CT150" s="167">
        <f t="shared" ref="CT150" si="807">CT590/CT613</f>
        <v>0.436</v>
      </c>
      <c r="CU150" s="167">
        <f>CU590/CU613</f>
        <v>0.23100000000000001</v>
      </c>
      <c r="CV150" s="167">
        <f t="shared" ref="CV150:DE150" si="808">CV590/CV613</f>
        <v>0.24523693209574987</v>
      </c>
      <c r="CW150" s="167">
        <f t="shared" si="808"/>
        <v>0.20472191411820628</v>
      </c>
      <c r="CX150" s="167">
        <f t="shared" si="808"/>
        <v>0.16701308228389777</v>
      </c>
      <c r="CY150" s="167">
        <f t="shared" ref="CY150" si="809">CY590/CY613</f>
        <v>0.14681094579128082</v>
      </c>
      <c r="CZ150" s="174">
        <f t="shared" si="808"/>
        <v>0.13136473848285418</v>
      </c>
      <c r="DA150" s="166">
        <f t="shared" si="808"/>
        <v>0.11998238469217315</v>
      </c>
      <c r="DB150" s="166">
        <f t="shared" si="808"/>
        <v>0.11475267122743221</v>
      </c>
      <c r="DC150" s="166">
        <f t="shared" si="808"/>
        <v>0.11820594512136259</v>
      </c>
      <c r="DD150" s="166">
        <f t="shared" si="808"/>
        <v>0.11647051135410581</v>
      </c>
      <c r="DE150" s="166">
        <f t="shared" si="808"/>
        <v>0.11681808762409959</v>
      </c>
      <c r="DF150" s="166">
        <f>DF590/DF613</f>
        <v>0.11645006318247805</v>
      </c>
      <c r="DG150" s="166">
        <f>DG590/DG613</f>
        <v>0.11694018793330239</v>
      </c>
      <c r="DH150" s="166">
        <f>DH590/DH613</f>
        <v>0.11708027627004815</v>
      </c>
      <c r="DI150" s="166">
        <f>DI590/DI613</f>
        <v>0.11672010517048263</v>
      </c>
    </row>
    <row r="151" spans="1:113" ht="12" hidden="1" outlineLevel="1">
      <c r="A151" s="1" t="s">
        <v>883</v>
      </c>
      <c r="B151" s="19" t="s">
        <v>159</v>
      </c>
      <c r="C151" s="601"/>
      <c r="D151" s="601"/>
      <c r="E151" s="601"/>
      <c r="F151" s="601"/>
      <c r="G151" s="601"/>
      <c r="H151" s="601"/>
      <c r="I151" s="601"/>
      <c r="J151" s="601"/>
      <c r="K151" s="601"/>
      <c r="L151" s="601"/>
      <c r="M151" s="601"/>
      <c r="N151" s="601"/>
      <c r="O151" s="601"/>
      <c r="P151" s="601"/>
      <c r="Q151" s="601"/>
      <c r="R151" s="601"/>
      <c r="S151" s="601"/>
      <c r="T151" s="416"/>
      <c r="U151" s="601"/>
      <c r="V151" s="601"/>
      <c r="W151" s="601"/>
      <c r="X151" s="601"/>
      <c r="Y151" s="416"/>
      <c r="Z151" s="416"/>
      <c r="AA151" s="416"/>
      <c r="AB151" s="416"/>
      <c r="AC151" s="416"/>
      <c r="AD151" s="416"/>
      <c r="AE151" s="416"/>
      <c r="AF151" s="416"/>
      <c r="AG151" s="416"/>
      <c r="AH151" s="416"/>
      <c r="AI151" s="416"/>
      <c r="AJ151" s="416"/>
      <c r="AK151" s="416"/>
      <c r="AL151" s="416"/>
      <c r="AM151" s="416"/>
      <c r="AN151" s="416"/>
      <c r="AO151" s="416"/>
      <c r="AP151" s="509">
        <v>0.12</v>
      </c>
      <c r="AQ151" s="509">
        <v>0.12</v>
      </c>
      <c r="AR151" s="509">
        <v>0.12</v>
      </c>
      <c r="AS151" s="509">
        <v>0.12</v>
      </c>
      <c r="AT151" s="509">
        <v>0.12</v>
      </c>
      <c r="AU151" s="509">
        <v>0.115</v>
      </c>
      <c r="AV151" s="509">
        <v>0.115</v>
      </c>
      <c r="AW151" s="509">
        <v>0.115</v>
      </c>
      <c r="AX151" s="509">
        <v>0.115</v>
      </c>
      <c r="AY151" s="509">
        <v>0.115</v>
      </c>
      <c r="AZ151" s="558">
        <v>0.115</v>
      </c>
      <c r="BA151" s="499">
        <v>0.115</v>
      </c>
      <c r="BB151" s="499">
        <v>0.115</v>
      </c>
      <c r="BC151" s="499">
        <v>0.115</v>
      </c>
      <c r="BD151" s="499">
        <v>0.115</v>
      </c>
      <c r="BE151" s="499">
        <v>0.115</v>
      </c>
      <c r="BF151" s="499">
        <v>0.115</v>
      </c>
      <c r="BG151" s="499">
        <v>0.115</v>
      </c>
      <c r="BH151" s="499">
        <v>0.115</v>
      </c>
      <c r="BI151" s="499">
        <v>0.115</v>
      </c>
      <c r="BJ151" s="499">
        <v>0.115</v>
      </c>
      <c r="BK151" s="499">
        <v>0.115</v>
      </c>
      <c r="BL151" s="499">
        <v>0.115</v>
      </c>
      <c r="BM151" s="499">
        <v>0.115</v>
      </c>
      <c r="BN151" s="499">
        <v>0.115</v>
      </c>
      <c r="BO151" s="499">
        <v>0.115</v>
      </c>
      <c r="BP151" s="499">
        <v>0.115</v>
      </c>
      <c r="BQ151" s="499">
        <v>0.115</v>
      </c>
      <c r="BR151" s="166"/>
      <c r="BS151" s="166"/>
      <c r="BT151" s="166"/>
      <c r="BU151" s="166"/>
      <c r="BV151" s="166"/>
      <c r="BW151" s="166"/>
      <c r="BX151" s="166"/>
      <c r="BY151" s="166"/>
      <c r="BZ151" s="166"/>
      <c r="CA151" s="166"/>
      <c r="CB151" s="166"/>
      <c r="CC151" s="166"/>
      <c r="CD151" s="166"/>
      <c r="CE151" s="166"/>
      <c r="CF151" s="166"/>
      <c r="CG151" s="166"/>
      <c r="CH151" s="166"/>
      <c r="CI151" s="166"/>
      <c r="CJ151" s="166"/>
      <c r="CK151" s="166"/>
      <c r="CL151" s="166"/>
      <c r="CM151" s="167"/>
      <c r="CN151" s="167"/>
      <c r="CO151" s="167"/>
      <c r="CP151" s="167"/>
      <c r="CQ151" s="167"/>
      <c r="CR151" s="167"/>
      <c r="CS151" s="167"/>
      <c r="CT151" s="509">
        <v>0.13</v>
      </c>
      <c r="CU151" s="509">
        <v>0.13</v>
      </c>
      <c r="CV151" s="167">
        <f>AQ151</f>
        <v>0.12</v>
      </c>
      <c r="CW151" s="167">
        <f>AS151</f>
        <v>0.12</v>
      </c>
      <c r="CX151" s="167">
        <f>AU151</f>
        <v>0.115</v>
      </c>
      <c r="CY151" s="167">
        <f>AV151</f>
        <v>0.115</v>
      </c>
      <c r="CZ151" s="174">
        <f>AY151</f>
        <v>0.115</v>
      </c>
      <c r="DA151" s="166">
        <f>BA151</f>
        <v>0.115</v>
      </c>
      <c r="DB151" s="166">
        <f>BC151</f>
        <v>0.115</v>
      </c>
      <c r="DC151" s="166">
        <f>BE151</f>
        <v>0.115</v>
      </c>
      <c r="DD151" s="166">
        <f>BG151</f>
        <v>0.115</v>
      </c>
      <c r="DE151" s="166">
        <f>BI151</f>
        <v>0.115</v>
      </c>
      <c r="DF151" s="166">
        <f>BK151</f>
        <v>0.115</v>
      </c>
      <c r="DG151" s="166">
        <f>BM151</f>
        <v>0.115</v>
      </c>
      <c r="DH151" s="166">
        <f>BO151</f>
        <v>0.115</v>
      </c>
      <c r="DI151" s="166">
        <f>BQ151</f>
        <v>0.115</v>
      </c>
    </row>
    <row r="152" spans="1:113" ht="12" hidden="1" outlineLevel="1">
      <c r="A152" s="1" t="s">
        <v>884</v>
      </c>
      <c r="B152" s="19" t="s">
        <v>160</v>
      </c>
      <c r="C152" s="408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  <c r="T152" s="394"/>
      <c r="U152" s="408"/>
      <c r="V152" s="408"/>
      <c r="W152" s="408"/>
      <c r="X152" s="408"/>
      <c r="Y152" s="394"/>
      <c r="Z152" s="394"/>
      <c r="AA152" s="394"/>
      <c r="AB152" s="394"/>
      <c r="AC152" s="394"/>
      <c r="AD152" s="394"/>
      <c r="AE152" s="394"/>
      <c r="AF152" s="394"/>
      <c r="AG152" s="394"/>
      <c r="AH152" s="394"/>
      <c r="AI152" s="394"/>
      <c r="AJ152" s="394"/>
      <c r="AK152" s="394"/>
      <c r="AL152" s="394"/>
      <c r="AM152" s="394"/>
      <c r="AN152" s="394"/>
      <c r="AO152" s="394"/>
      <c r="AP152" s="285" t="s">
        <v>213</v>
      </c>
      <c r="AQ152" s="285" t="s">
        <v>213</v>
      </c>
      <c r="AR152" s="285" t="s">
        <v>213</v>
      </c>
      <c r="AS152" s="285" t="s">
        <v>213</v>
      </c>
      <c r="AT152" s="285" t="s">
        <v>213</v>
      </c>
      <c r="AU152" s="285" t="s">
        <v>213</v>
      </c>
      <c r="AV152" s="285" t="s">
        <v>213</v>
      </c>
      <c r="AW152" s="285" t="s">
        <v>213</v>
      </c>
      <c r="AX152" s="285" t="s">
        <v>213</v>
      </c>
      <c r="AY152" s="285" t="s">
        <v>213</v>
      </c>
      <c r="AZ152" s="286" t="s">
        <v>213</v>
      </c>
      <c r="BA152" s="386" t="s">
        <v>213</v>
      </c>
      <c r="BB152" s="386" t="s">
        <v>213</v>
      </c>
      <c r="BC152" s="386" t="s">
        <v>213</v>
      </c>
      <c r="BD152" s="386" t="s">
        <v>213</v>
      </c>
      <c r="BE152" s="386" t="s">
        <v>213</v>
      </c>
      <c r="BF152" s="386" t="s">
        <v>213</v>
      </c>
      <c r="BG152" s="386" t="s">
        <v>213</v>
      </c>
      <c r="BH152" s="386" t="s">
        <v>213</v>
      </c>
      <c r="BI152" s="386" t="s">
        <v>213</v>
      </c>
      <c r="BJ152" s="386" t="s">
        <v>213</v>
      </c>
      <c r="BK152" s="386" t="s">
        <v>213</v>
      </c>
      <c r="BL152" s="386" t="s">
        <v>213</v>
      </c>
      <c r="BM152" s="386" t="s">
        <v>213</v>
      </c>
      <c r="BN152" s="386" t="s">
        <v>213</v>
      </c>
      <c r="BO152" s="386" t="s">
        <v>213</v>
      </c>
      <c r="BP152" s="386" t="s">
        <v>213</v>
      </c>
      <c r="BQ152" s="386" t="s">
        <v>213</v>
      </c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285"/>
      <c r="CN152" s="285"/>
      <c r="CO152" s="285"/>
      <c r="CP152" s="285"/>
      <c r="CQ152" s="285"/>
      <c r="CR152" s="285"/>
      <c r="CS152" s="285"/>
      <c r="CT152" s="285" t="s">
        <v>213</v>
      </c>
      <c r="CU152" s="285" t="s">
        <v>213</v>
      </c>
      <c r="CV152" s="285" t="s">
        <v>213</v>
      </c>
      <c r="CW152" s="285" t="s">
        <v>213</v>
      </c>
      <c r="CX152" s="285" t="s">
        <v>213</v>
      </c>
      <c r="CY152" s="285" t="s">
        <v>213</v>
      </c>
      <c r="CZ152" s="286" t="s">
        <v>213</v>
      </c>
      <c r="DA152" s="285" t="s">
        <v>213</v>
      </c>
      <c r="DB152" s="285" t="s">
        <v>213</v>
      </c>
      <c r="DC152" s="285" t="s">
        <v>213</v>
      </c>
      <c r="DD152" s="285" t="s">
        <v>213</v>
      </c>
      <c r="DE152" s="285" t="s">
        <v>213</v>
      </c>
      <c r="DF152" s="285" t="s">
        <v>213</v>
      </c>
      <c r="DG152" s="285" t="s">
        <v>213</v>
      </c>
      <c r="DH152" s="285" t="s">
        <v>213</v>
      </c>
      <c r="DI152" s="285" t="s">
        <v>213</v>
      </c>
    </row>
    <row r="153" spans="1:113" ht="12" collapsed="1">
      <c r="AC153" s="165"/>
      <c r="AD153" s="165"/>
      <c r="AE153" s="165"/>
      <c r="AF153" s="165"/>
      <c r="AG153" s="394"/>
      <c r="AH153" s="394"/>
      <c r="AI153" s="394"/>
      <c r="AJ153" s="165"/>
      <c r="AK153" s="394"/>
      <c r="AL153" s="555"/>
      <c r="AM153" s="606"/>
      <c r="AN153" s="606"/>
      <c r="AO153" s="606"/>
      <c r="AP153" s="570"/>
      <c r="AQ153" s="570"/>
      <c r="AR153" s="570"/>
      <c r="AS153" s="570"/>
      <c r="AT153" s="570"/>
      <c r="AU153" s="570"/>
      <c r="AV153" s="285"/>
      <c r="AW153" s="285"/>
      <c r="AX153" s="285"/>
      <c r="AY153" s="654"/>
      <c r="AZ153" s="642"/>
      <c r="BA153" s="636"/>
      <c r="BB153" s="636"/>
      <c r="BC153" s="636"/>
      <c r="BD153" s="636"/>
      <c r="BE153" s="636"/>
      <c r="BF153" s="636"/>
      <c r="BG153" s="636"/>
      <c r="BH153" s="636"/>
      <c r="BI153" s="636"/>
      <c r="BJ153" s="636"/>
      <c r="BK153" s="636"/>
      <c r="BL153" s="636"/>
      <c r="BM153" s="636"/>
      <c r="BN153" s="636"/>
      <c r="BO153" s="636"/>
      <c r="BP153" s="636"/>
      <c r="BQ153" s="636"/>
      <c r="CR153" s="165"/>
      <c r="CT153" s="510"/>
      <c r="CU153" s="570"/>
      <c r="CV153" s="570"/>
      <c r="CW153" s="570"/>
      <c r="CX153" s="570"/>
      <c r="CY153" s="570"/>
      <c r="DC153" s="19"/>
      <c r="DD153" s="19"/>
      <c r="DE153" s="19"/>
      <c r="DF153" s="19"/>
      <c r="DG153" s="19"/>
      <c r="DH153" s="19"/>
      <c r="DI153" s="19"/>
    </row>
    <row r="154" spans="1:113" s="36" customFormat="1" ht="12" collapsed="1">
      <c r="A154" s="1" t="s">
        <v>885</v>
      </c>
      <c r="B154" s="2" t="s">
        <v>161</v>
      </c>
      <c r="C154" s="13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27">
        <f t="shared" ref="AP154:BI154" si="810">AP181</f>
        <v>2627</v>
      </c>
      <c r="AQ154" s="527">
        <f t="shared" si="810"/>
        <v>3518</v>
      </c>
      <c r="AR154" s="527">
        <f t="shared" si="810"/>
        <v>4848</v>
      </c>
      <c r="AS154" s="527">
        <f t="shared" ref="AS154:AT154" si="811">AS181</f>
        <v>6092</v>
      </c>
      <c r="AT154" s="527">
        <f t="shared" si="811"/>
        <v>7485.3</v>
      </c>
      <c r="AU154" s="527">
        <f t="shared" ref="AU154:AV154" si="812">AU181</f>
        <v>8907.7999999999993</v>
      </c>
      <c r="AV154" s="527">
        <f t="shared" si="812"/>
        <v>9702.9</v>
      </c>
      <c r="AW154" s="527">
        <f t="shared" ref="AW154:AX154" si="813">AW181</f>
        <v>10711.4</v>
      </c>
      <c r="AX154" s="527">
        <f t="shared" si="813"/>
        <v>11646.9</v>
      </c>
      <c r="AY154" s="527">
        <f t="shared" si="810"/>
        <v>12465.3</v>
      </c>
      <c r="AZ154" s="528">
        <f t="shared" si="810"/>
        <v>13394</v>
      </c>
      <c r="BA154" s="527">
        <f t="shared" si="810"/>
        <v>14531.107552400001</v>
      </c>
      <c r="BB154" s="527">
        <f t="shared" si="810"/>
        <v>15462.159239376</v>
      </c>
      <c r="BC154" s="527">
        <f t="shared" si="810"/>
        <v>16660.073462857752</v>
      </c>
      <c r="BD154" s="527">
        <f t="shared" si="810"/>
        <v>17668.523487448907</v>
      </c>
      <c r="BE154" s="527">
        <f t="shared" si="810"/>
        <v>18975.173476338208</v>
      </c>
      <c r="BF154" s="527">
        <f t="shared" si="810"/>
        <v>20039.781017689198</v>
      </c>
      <c r="BG154" s="527">
        <f t="shared" si="810"/>
        <v>21428.93674139107</v>
      </c>
      <c r="BH154" s="527">
        <f t="shared" si="810"/>
        <v>22441.335485795862</v>
      </c>
      <c r="BI154" s="527">
        <f t="shared" si="810"/>
        <v>23797.993920066794</v>
      </c>
      <c r="BJ154" s="527">
        <f t="shared" ref="BJ154:BK154" si="814">BJ181</f>
        <v>24707.641379276243</v>
      </c>
      <c r="BK154" s="527">
        <f t="shared" si="814"/>
        <v>25987.216021236076</v>
      </c>
      <c r="BL154" s="527">
        <f t="shared" ref="BL154:BM154" si="815">BL181</f>
        <v>26752.009442412913</v>
      </c>
      <c r="BM154" s="527">
        <f t="shared" si="815"/>
        <v>27902.6834725837</v>
      </c>
      <c r="BN154" s="527">
        <f t="shared" ref="BN154:BO154" si="816">BN181</f>
        <v>28592.615995553591</v>
      </c>
      <c r="BO154" s="527">
        <f t="shared" si="816"/>
        <v>29688.489808930444</v>
      </c>
      <c r="BP154" s="527">
        <f t="shared" ref="BP154:BQ154" si="817">BP181</f>
        <v>30422.757496402304</v>
      </c>
      <c r="BQ154" s="527">
        <f t="shared" si="817"/>
        <v>31589.781034779586</v>
      </c>
      <c r="BR154" s="527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52"/>
      <c r="CE154" s="52"/>
      <c r="CF154" s="52"/>
      <c r="CG154" s="52"/>
      <c r="CH154" s="52"/>
      <c r="CI154" s="52"/>
      <c r="CJ154" s="52"/>
      <c r="CK154" s="52"/>
      <c r="CL154" s="52"/>
      <c r="CM154" s="52"/>
      <c r="CN154" s="52"/>
      <c r="CO154" s="52"/>
      <c r="CP154" s="52"/>
      <c r="CQ154" s="52"/>
      <c r="CR154" s="52"/>
      <c r="CS154" s="52"/>
      <c r="CT154" s="527">
        <f t="shared" ref="CT154:DF154" si="818">CT181</f>
        <v>238.27199999999999</v>
      </c>
      <c r="CU154" s="527">
        <f t="shared" si="818"/>
        <v>1788.5930000000001</v>
      </c>
      <c r="CV154" s="527">
        <f t="shared" si="818"/>
        <v>3518</v>
      </c>
      <c r="CW154" s="527">
        <f t="shared" si="818"/>
        <v>6092</v>
      </c>
      <c r="CX154" s="527">
        <f t="shared" si="818"/>
        <v>8907.7999999999993</v>
      </c>
      <c r="CY154" s="527">
        <f t="shared" ref="CY154" si="819">CY181</f>
        <v>10711.4</v>
      </c>
      <c r="CZ154" s="528">
        <f t="shared" si="818"/>
        <v>12465.3</v>
      </c>
      <c r="DA154" s="527">
        <f t="shared" si="818"/>
        <v>14531.107552400001</v>
      </c>
      <c r="DB154" s="527">
        <f t="shared" si="818"/>
        <v>16660.073462857752</v>
      </c>
      <c r="DC154" s="527">
        <f t="shared" si="818"/>
        <v>18975.173476338208</v>
      </c>
      <c r="DD154" s="527">
        <f t="shared" si="818"/>
        <v>21428.93674139107</v>
      </c>
      <c r="DE154" s="527">
        <f t="shared" si="818"/>
        <v>23797.993920066794</v>
      </c>
      <c r="DF154" s="527">
        <f t="shared" si="818"/>
        <v>25987.216021236076</v>
      </c>
      <c r="DG154" s="527">
        <f t="shared" ref="DG154:DH154" si="820">DG181</f>
        <v>27902.6834725837</v>
      </c>
      <c r="DH154" s="527">
        <f t="shared" si="820"/>
        <v>29688.489808930444</v>
      </c>
      <c r="DI154" s="527">
        <f t="shared" ref="DI154" si="821">DI181</f>
        <v>31589.781034779586</v>
      </c>
    </row>
    <row r="155" spans="1:113" ht="12" hidden="1" outlineLevel="1"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5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CS155" s="285"/>
      <c r="CT155" s="44"/>
      <c r="CU155" s="44"/>
      <c r="CV155" s="44"/>
      <c r="CW155" s="44"/>
      <c r="CX155" s="44"/>
      <c r="CY155" s="44"/>
      <c r="CZ155" s="45"/>
      <c r="DA155" s="44"/>
      <c r="DB155" s="44"/>
      <c r="DC155" s="44"/>
      <c r="DD155" s="529"/>
      <c r="DE155" s="529"/>
      <c r="DF155" s="529"/>
      <c r="DG155" s="529"/>
      <c r="DH155" s="529"/>
      <c r="DI155" s="529"/>
    </row>
    <row r="156" spans="1:113" ht="12" hidden="1" outlineLevel="1">
      <c r="B156" s="24" t="s">
        <v>439</v>
      </c>
      <c r="AM156" s="416"/>
      <c r="AN156" s="416"/>
      <c r="AO156" s="416"/>
      <c r="AP156" s="572"/>
      <c r="AQ156" s="44"/>
      <c r="AR156" s="44"/>
      <c r="AS156" s="44"/>
      <c r="AT156" s="44"/>
      <c r="AU156" s="44"/>
      <c r="AV156" s="44"/>
      <c r="AW156" s="44"/>
      <c r="AX156" s="44"/>
      <c r="AY156" s="44"/>
      <c r="AZ156" s="45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CS156" s="95"/>
      <c r="CT156" s="572"/>
      <c r="CU156" s="572"/>
      <c r="CV156" s="572"/>
      <c r="CW156" s="572"/>
      <c r="CX156" s="572"/>
      <c r="CY156" s="572"/>
      <c r="CZ156" s="45"/>
      <c r="DC156" s="529"/>
      <c r="DD156" s="529"/>
      <c r="DE156" s="529"/>
      <c r="DF156" s="529"/>
      <c r="DG156" s="529"/>
      <c r="DH156" s="529"/>
      <c r="DI156" s="529"/>
    </row>
    <row r="157" spans="1:113" ht="12" hidden="1" outlineLevel="1">
      <c r="A157" s="1" t="s">
        <v>886</v>
      </c>
      <c r="B157" s="19" t="s">
        <v>162</v>
      </c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525">
        <v>243</v>
      </c>
      <c r="AQ157" s="525">
        <v>361</v>
      </c>
      <c r="AR157" s="525">
        <v>491</v>
      </c>
      <c r="AS157" s="525">
        <v>622</v>
      </c>
      <c r="AT157" s="525">
        <v>770.3</v>
      </c>
      <c r="AU157" s="525">
        <v>949.4</v>
      </c>
      <c r="AV157" s="525">
        <v>1045.4000000000001</v>
      </c>
      <c r="AW157" s="525">
        <v>1142.2</v>
      </c>
      <c r="AX157" s="525">
        <v>1129.0999999999999</v>
      </c>
      <c r="AY157" s="525">
        <v>1156.9000000000001</v>
      </c>
      <c r="AZ157" s="523">
        <v>1170.7</v>
      </c>
      <c r="BA157" s="44">
        <f t="shared" ref="BA157:BI158" si="822">AZ157*(1+BA52)</f>
        <v>1183.2639524000001</v>
      </c>
      <c r="BB157" s="44">
        <f t="shared" si="822"/>
        <v>1206.9292314480001</v>
      </c>
      <c r="BC157" s="44">
        <f t="shared" si="822"/>
        <v>1231.0678160769601</v>
      </c>
      <c r="BD157" s="44">
        <f t="shared" si="822"/>
        <v>1267.0276147515222</v>
      </c>
      <c r="BE157" s="44">
        <f t="shared" si="822"/>
        <v>1304.0378081353178</v>
      </c>
      <c r="BF157" s="44">
        <f t="shared" si="822"/>
        <v>1342.1290785204026</v>
      </c>
      <c r="BG157" s="44">
        <f t="shared" si="822"/>
        <v>1375.8920131519315</v>
      </c>
      <c r="BH157" s="44">
        <f t="shared" si="822"/>
        <v>1410.5042966077847</v>
      </c>
      <c r="BI157" s="44">
        <f t="shared" si="822"/>
        <v>1438.8554329696012</v>
      </c>
      <c r="BJ157" s="44">
        <f t="shared" ref="BJ157:BJ158" si="823">BI157*(1+BJ52)</f>
        <v>1467.7764271722901</v>
      </c>
      <c r="BK157" s="44">
        <f t="shared" ref="BK157:BK158" si="824">BJ157*(1+BK52)</f>
        <v>1497.2787333584531</v>
      </c>
      <c r="BL157" s="44">
        <f t="shared" ref="BL157:BL158" si="825">BK157*(1+BL52)</f>
        <v>1527.374035898958</v>
      </c>
      <c r="BM157" s="44">
        <f t="shared" ref="BM157:BM158" si="826">BL157*(1+BM52)</f>
        <v>1558.0742540205272</v>
      </c>
      <c r="BN157" s="44">
        <f t="shared" ref="BN157:BN158" si="827">BM157*(1+BN52)</f>
        <v>1589.3915465263399</v>
      </c>
      <c r="BO157" s="44">
        <f t="shared" ref="BO157:BO158" si="828">BN157*(1+BO52)</f>
        <v>1621.3383166115193</v>
      </c>
      <c r="BP157" s="44">
        <f t="shared" ref="BP157:BP158" si="829">BO157*(1+BP52)</f>
        <v>1653.9272167754109</v>
      </c>
      <c r="BQ157" s="44">
        <f t="shared" ref="BQ157:BQ158" si="830">BP157*(1+BQ52)</f>
        <v>1687.1711538325967</v>
      </c>
      <c r="BR157" s="44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380"/>
      <c r="CQ157" s="42"/>
      <c r="CR157" s="42"/>
      <c r="CS157" s="42"/>
      <c r="CT157" s="525">
        <f>2%*CT161</f>
        <v>4.7654399999999999</v>
      </c>
      <c r="CU157" s="525">
        <f>CU161*(87-83)/(150-83)</f>
        <v>106.78167164179105</v>
      </c>
      <c r="CV157" s="44">
        <f>AQ157</f>
        <v>361</v>
      </c>
      <c r="CW157" s="44">
        <f>AS157</f>
        <v>622</v>
      </c>
      <c r="CX157" s="44">
        <f>AU157</f>
        <v>949.4</v>
      </c>
      <c r="CY157" s="44">
        <f>AW157</f>
        <v>1142.2</v>
      </c>
      <c r="CZ157" s="45">
        <f>AY157</f>
        <v>1156.9000000000001</v>
      </c>
      <c r="DA157" s="44">
        <f>BA157</f>
        <v>1183.2639524000001</v>
      </c>
      <c r="DB157" s="44">
        <f>BC157</f>
        <v>1231.0678160769601</v>
      </c>
      <c r="DC157" s="44">
        <f>BE157</f>
        <v>1304.0378081353178</v>
      </c>
      <c r="DD157" s="44">
        <f>BG157</f>
        <v>1375.8920131519315</v>
      </c>
      <c r="DE157" s="44">
        <f>BI157</f>
        <v>1438.8554329696012</v>
      </c>
      <c r="DF157" s="44">
        <f>BK157</f>
        <v>1497.2787333584531</v>
      </c>
      <c r="DG157" s="44">
        <f>BM157</f>
        <v>1558.0742540205272</v>
      </c>
      <c r="DH157" s="44">
        <f>BO157</f>
        <v>1621.3383166115193</v>
      </c>
      <c r="DI157" s="44">
        <f>BQ157</f>
        <v>1687.1711538325967</v>
      </c>
    </row>
    <row r="158" spans="1:113" ht="12" hidden="1" outlineLevel="1">
      <c r="A158" s="1" t="s">
        <v>733</v>
      </c>
      <c r="B158" s="19" t="s">
        <v>163</v>
      </c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4">
        <f t="shared" ref="AP158:AR158" si="831">AP161-AP157-AP159-AP160</f>
        <v>2384</v>
      </c>
      <c r="AQ158" s="44">
        <f t="shared" si="831"/>
        <v>3157</v>
      </c>
      <c r="AR158" s="44">
        <f t="shared" si="831"/>
        <v>4357</v>
      </c>
      <c r="AS158" s="44">
        <f t="shared" ref="AS158:AT158" si="832">AS161-AS157-AS159-AS160</f>
        <v>5470</v>
      </c>
      <c r="AT158" s="44">
        <f t="shared" si="832"/>
        <v>6715</v>
      </c>
      <c r="AU158" s="44">
        <f t="shared" ref="AU158:AV158" si="833">AU161-AU157-AU159-AU160</f>
        <v>7958.4</v>
      </c>
      <c r="AV158" s="44">
        <f t="shared" si="833"/>
        <v>8657.5</v>
      </c>
      <c r="AW158" s="44">
        <f t="shared" ref="AW158:AX158" si="834">AW161-AW157-AW159-AW160</f>
        <v>9569.1999999999989</v>
      </c>
      <c r="AX158" s="44">
        <f t="shared" si="834"/>
        <v>10517.8</v>
      </c>
      <c r="AY158" s="44">
        <f t="shared" ref="AY158:AZ158" si="835">AY161-AY157-AY159-AY160</f>
        <v>11308.4</v>
      </c>
      <c r="AZ158" s="45">
        <f t="shared" si="835"/>
        <v>12223.3</v>
      </c>
      <c r="BA158" s="44">
        <f t="shared" si="822"/>
        <v>13347.8436</v>
      </c>
      <c r="BB158" s="44">
        <f t="shared" si="822"/>
        <v>14255.230007927999</v>
      </c>
      <c r="BC158" s="44">
        <f t="shared" si="822"/>
        <v>15429.005646780792</v>
      </c>
      <c r="BD158" s="44">
        <f t="shared" si="822"/>
        <v>16401.495872697385</v>
      </c>
      <c r="BE158" s="44">
        <f t="shared" si="822"/>
        <v>17671.135668202889</v>
      </c>
      <c r="BF158" s="44">
        <f t="shared" si="822"/>
        <v>18697.651939168794</v>
      </c>
      <c r="BG158" s="44">
        <f t="shared" si="822"/>
        <v>20053.04472823914</v>
      </c>
      <c r="BH158" s="44">
        <f t="shared" si="822"/>
        <v>21030.831189188077</v>
      </c>
      <c r="BI158" s="44">
        <f t="shared" si="822"/>
        <v>22359.138487097192</v>
      </c>
      <c r="BJ158" s="44">
        <f t="shared" si="823"/>
        <v>23239.864952103952</v>
      </c>
      <c r="BK158" s="44">
        <f t="shared" si="824"/>
        <v>24489.937287877623</v>
      </c>
      <c r="BL158" s="44">
        <f t="shared" si="825"/>
        <v>25224.635406513953</v>
      </c>
      <c r="BM158" s="44">
        <f t="shared" si="826"/>
        <v>26344.609218563171</v>
      </c>
      <c r="BN158" s="44">
        <f t="shared" si="827"/>
        <v>27003.22444902725</v>
      </c>
      <c r="BO158" s="44">
        <f t="shared" si="828"/>
        <v>28067.151492318924</v>
      </c>
      <c r="BP158" s="44">
        <f t="shared" si="829"/>
        <v>28768.830279626894</v>
      </c>
      <c r="BQ158" s="44">
        <f t="shared" si="830"/>
        <v>29902.609880946988</v>
      </c>
      <c r="BR158" s="44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380"/>
      <c r="CQ158" s="42"/>
      <c r="CR158" s="42"/>
      <c r="CS158" s="42"/>
      <c r="CT158" s="44">
        <f t="shared" ref="CT158:CU158" si="836">CT161-CT157-CT159-CT160</f>
        <v>233.50655999999998</v>
      </c>
      <c r="CU158" s="44">
        <f t="shared" si="836"/>
        <v>1681.811328358209</v>
      </c>
      <c r="CV158" s="44">
        <f t="shared" ref="CV158:CV161" si="837">AQ158</f>
        <v>3157</v>
      </c>
      <c r="CW158" s="44">
        <f>AS158</f>
        <v>5470</v>
      </c>
      <c r="CX158" s="44">
        <f>AU158</f>
        <v>7958.4</v>
      </c>
      <c r="CY158" s="44">
        <f>AW158</f>
        <v>9569.1999999999989</v>
      </c>
      <c r="CZ158" s="45">
        <f>AY158</f>
        <v>11308.4</v>
      </c>
      <c r="DA158" s="44">
        <f t="shared" ref="DA158:DA161" si="838">BA158</f>
        <v>13347.8436</v>
      </c>
      <c r="DB158" s="44">
        <f>BC158</f>
        <v>15429.005646780792</v>
      </c>
      <c r="DC158" s="44">
        <f>BE158</f>
        <v>17671.135668202889</v>
      </c>
      <c r="DD158" s="44">
        <f>BG158</f>
        <v>20053.04472823914</v>
      </c>
      <c r="DE158" s="44">
        <f>BI158</f>
        <v>22359.138487097192</v>
      </c>
      <c r="DF158" s="44">
        <f>BK158</f>
        <v>24489.937287877623</v>
      </c>
      <c r="DG158" s="44">
        <f>BM158</f>
        <v>26344.609218563171</v>
      </c>
      <c r="DH158" s="44">
        <f>BO158</f>
        <v>28067.151492318924</v>
      </c>
      <c r="DI158" s="44">
        <f>BQ158</f>
        <v>29902.609880946988</v>
      </c>
    </row>
    <row r="159" spans="1:113" ht="12" hidden="1" outlineLevel="1">
      <c r="A159" s="1" t="s">
        <v>734</v>
      </c>
      <c r="B159" s="19" t="s">
        <v>164</v>
      </c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525">
        <v>0</v>
      </c>
      <c r="AQ159" s="525">
        <v>0</v>
      </c>
      <c r="AR159" s="525">
        <v>0</v>
      </c>
      <c r="AS159" s="525">
        <v>0</v>
      </c>
      <c r="AT159" s="525">
        <v>0</v>
      </c>
      <c r="AU159" s="525">
        <v>0</v>
      </c>
      <c r="AV159" s="525">
        <v>0</v>
      </c>
      <c r="AW159" s="525">
        <v>0</v>
      </c>
      <c r="AX159" s="525">
        <v>0</v>
      </c>
      <c r="AY159" s="525">
        <v>0</v>
      </c>
      <c r="AZ159" s="523">
        <v>0</v>
      </c>
      <c r="BA159" s="44">
        <f t="shared" ref="BA159:BI160" si="839">AZ159*(1+BA53)</f>
        <v>0</v>
      </c>
      <c r="BB159" s="44">
        <f t="shared" si="839"/>
        <v>0</v>
      </c>
      <c r="BC159" s="44">
        <f t="shared" si="839"/>
        <v>0</v>
      </c>
      <c r="BD159" s="44">
        <f t="shared" si="839"/>
        <v>0</v>
      </c>
      <c r="BE159" s="44">
        <f t="shared" si="839"/>
        <v>0</v>
      </c>
      <c r="BF159" s="44">
        <f t="shared" si="839"/>
        <v>0</v>
      </c>
      <c r="BG159" s="44">
        <f t="shared" si="839"/>
        <v>0</v>
      </c>
      <c r="BH159" s="44">
        <f t="shared" si="839"/>
        <v>0</v>
      </c>
      <c r="BI159" s="44">
        <f t="shared" si="839"/>
        <v>0</v>
      </c>
      <c r="BJ159" s="44">
        <f t="shared" ref="BJ159:BJ160" si="840">BI159*(1+BJ53)</f>
        <v>0</v>
      </c>
      <c r="BK159" s="44">
        <f t="shared" ref="BK159:BK160" si="841">BJ159*(1+BK53)</f>
        <v>0</v>
      </c>
      <c r="BL159" s="44">
        <f t="shared" ref="BL159:BL160" si="842">BK159*(1+BL53)</f>
        <v>0</v>
      </c>
      <c r="BM159" s="44">
        <f t="shared" ref="BM159:BM160" si="843">BL159*(1+BM53)</f>
        <v>0</v>
      </c>
      <c r="BN159" s="44">
        <f t="shared" ref="BN159:BN160" si="844">BM159*(1+BN53)</f>
        <v>0</v>
      </c>
      <c r="BO159" s="44">
        <f t="shared" ref="BO159:BO160" si="845">BN159*(1+BO53)</f>
        <v>0</v>
      </c>
      <c r="BP159" s="44">
        <f t="shared" ref="BP159:BP160" si="846">BO159*(1+BP53)</f>
        <v>0</v>
      </c>
      <c r="BQ159" s="44">
        <f t="shared" ref="BQ159:BQ160" si="847">BP159*(1+BQ53)</f>
        <v>0</v>
      </c>
      <c r="BR159" s="44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380"/>
      <c r="CQ159" s="42"/>
      <c r="CR159" s="42"/>
      <c r="CS159" s="42"/>
      <c r="CT159" s="525">
        <v>0</v>
      </c>
      <c r="CU159" s="525">
        <v>0</v>
      </c>
      <c r="CV159" s="44">
        <f t="shared" si="837"/>
        <v>0</v>
      </c>
      <c r="CW159" s="44">
        <f>AS159</f>
        <v>0</v>
      </c>
      <c r="CX159" s="44">
        <f>AU159</f>
        <v>0</v>
      </c>
      <c r="CY159" s="44">
        <f>AW159</f>
        <v>0</v>
      </c>
      <c r="CZ159" s="45">
        <f>AY159</f>
        <v>0</v>
      </c>
      <c r="DA159" s="44">
        <f t="shared" si="838"/>
        <v>0</v>
      </c>
      <c r="DB159" s="44">
        <f>BC159</f>
        <v>0</v>
      </c>
      <c r="DC159" s="44">
        <f>BE159</f>
        <v>0</v>
      </c>
      <c r="DD159" s="44">
        <f>BG159</f>
        <v>0</v>
      </c>
      <c r="DE159" s="44">
        <f>BI159</f>
        <v>0</v>
      </c>
      <c r="DF159" s="44">
        <f>BK159</f>
        <v>0</v>
      </c>
      <c r="DG159" s="44">
        <f>BM159</f>
        <v>0</v>
      </c>
      <c r="DH159" s="44">
        <f>BO159</f>
        <v>0</v>
      </c>
      <c r="DI159" s="44">
        <f>BQ159</f>
        <v>0</v>
      </c>
    </row>
    <row r="160" spans="1:113" ht="12" hidden="1" outlineLevel="1">
      <c r="A160" s="1" t="s">
        <v>735</v>
      </c>
      <c r="B160" s="19" t="s">
        <v>165</v>
      </c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525">
        <v>0</v>
      </c>
      <c r="AQ160" s="525">
        <v>0</v>
      </c>
      <c r="AR160" s="525">
        <v>0</v>
      </c>
      <c r="AS160" s="525">
        <v>0</v>
      </c>
      <c r="AT160" s="525">
        <v>0</v>
      </c>
      <c r="AU160" s="525">
        <v>0</v>
      </c>
      <c r="AV160" s="525">
        <v>0</v>
      </c>
      <c r="AW160" s="525">
        <v>0</v>
      </c>
      <c r="AX160" s="525">
        <v>0</v>
      </c>
      <c r="AY160" s="525">
        <v>0</v>
      </c>
      <c r="AZ160" s="523">
        <v>0</v>
      </c>
      <c r="BA160" s="44">
        <f t="shared" si="839"/>
        <v>0</v>
      </c>
      <c r="BB160" s="44">
        <f t="shared" si="839"/>
        <v>0</v>
      </c>
      <c r="BC160" s="44">
        <f t="shared" si="839"/>
        <v>0</v>
      </c>
      <c r="BD160" s="44">
        <f t="shared" si="839"/>
        <v>0</v>
      </c>
      <c r="BE160" s="44">
        <f t="shared" si="839"/>
        <v>0</v>
      </c>
      <c r="BF160" s="44">
        <f t="shared" si="839"/>
        <v>0</v>
      </c>
      <c r="BG160" s="44">
        <f t="shared" si="839"/>
        <v>0</v>
      </c>
      <c r="BH160" s="44">
        <f t="shared" si="839"/>
        <v>0</v>
      </c>
      <c r="BI160" s="44">
        <f t="shared" si="839"/>
        <v>0</v>
      </c>
      <c r="BJ160" s="44">
        <f t="shared" si="840"/>
        <v>0</v>
      </c>
      <c r="BK160" s="44">
        <f t="shared" si="841"/>
        <v>0</v>
      </c>
      <c r="BL160" s="44">
        <f t="shared" si="842"/>
        <v>0</v>
      </c>
      <c r="BM160" s="44">
        <f t="shared" si="843"/>
        <v>0</v>
      </c>
      <c r="BN160" s="44">
        <f t="shared" si="844"/>
        <v>0</v>
      </c>
      <c r="BO160" s="44">
        <f t="shared" si="845"/>
        <v>0</v>
      </c>
      <c r="BP160" s="44">
        <f t="shared" si="846"/>
        <v>0</v>
      </c>
      <c r="BQ160" s="44">
        <f t="shared" si="847"/>
        <v>0</v>
      </c>
      <c r="BR160" s="44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380"/>
      <c r="CQ160" s="42"/>
      <c r="CR160" s="42"/>
      <c r="CS160" s="42"/>
      <c r="CT160" s="525">
        <v>0</v>
      </c>
      <c r="CU160" s="525">
        <v>0</v>
      </c>
      <c r="CV160" s="44">
        <f t="shared" si="837"/>
        <v>0</v>
      </c>
      <c r="CW160" s="44">
        <f>AS160</f>
        <v>0</v>
      </c>
      <c r="CX160" s="44">
        <f>AU160</f>
        <v>0</v>
      </c>
      <c r="CY160" s="44">
        <f>AW160</f>
        <v>0</v>
      </c>
      <c r="CZ160" s="45">
        <f>AY160</f>
        <v>0</v>
      </c>
      <c r="DA160" s="44">
        <f t="shared" si="838"/>
        <v>0</v>
      </c>
      <c r="DB160" s="44">
        <f>BC160</f>
        <v>0</v>
      </c>
      <c r="DC160" s="44">
        <f>BE160</f>
        <v>0</v>
      </c>
      <c r="DD160" s="44">
        <f>BG160</f>
        <v>0</v>
      </c>
      <c r="DE160" s="44">
        <f>BI160</f>
        <v>0</v>
      </c>
      <c r="DF160" s="44">
        <f>BK160</f>
        <v>0</v>
      </c>
      <c r="DG160" s="44">
        <f>BM160</f>
        <v>0</v>
      </c>
      <c r="DH160" s="44">
        <f>BO160</f>
        <v>0</v>
      </c>
      <c r="DI160" s="44">
        <f>BQ160</f>
        <v>0</v>
      </c>
    </row>
    <row r="161" spans="1:113" s="24" customFormat="1" ht="12" hidden="1" outlineLevel="1">
      <c r="A161" s="1" t="s">
        <v>736</v>
      </c>
      <c r="B161" s="24" t="s">
        <v>166</v>
      </c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21">
        <v>2627</v>
      </c>
      <c r="AQ161" s="521">
        <v>3518</v>
      </c>
      <c r="AR161" s="521">
        <v>4848</v>
      </c>
      <c r="AS161" s="521">
        <v>6092</v>
      </c>
      <c r="AT161" s="521">
        <v>7485.3</v>
      </c>
      <c r="AU161" s="521">
        <v>8907.7999999999993</v>
      </c>
      <c r="AV161" s="521">
        <v>9702.9</v>
      </c>
      <c r="AW161" s="521">
        <v>10711.4</v>
      </c>
      <c r="AX161" s="521">
        <v>11646.9</v>
      </c>
      <c r="AY161" s="521">
        <v>12465.3</v>
      </c>
      <c r="AZ161" s="522">
        <v>13394</v>
      </c>
      <c r="BA161" s="526">
        <f t="shared" ref="BA161:BI161" si="848">SUM(BA157:BA160)</f>
        <v>14531.107552400001</v>
      </c>
      <c r="BB161" s="526">
        <f t="shared" si="848"/>
        <v>15462.159239376</v>
      </c>
      <c r="BC161" s="526">
        <f t="shared" si="848"/>
        <v>16660.073462857752</v>
      </c>
      <c r="BD161" s="526">
        <f t="shared" si="848"/>
        <v>17668.523487448907</v>
      </c>
      <c r="BE161" s="526">
        <f t="shared" si="848"/>
        <v>18975.173476338208</v>
      </c>
      <c r="BF161" s="526">
        <f t="shared" si="848"/>
        <v>20039.781017689198</v>
      </c>
      <c r="BG161" s="526">
        <f t="shared" si="848"/>
        <v>21428.93674139107</v>
      </c>
      <c r="BH161" s="526">
        <f t="shared" si="848"/>
        <v>22441.335485795862</v>
      </c>
      <c r="BI161" s="526">
        <f t="shared" si="848"/>
        <v>23797.993920066794</v>
      </c>
      <c r="BJ161" s="526">
        <f t="shared" ref="BJ161:BK161" si="849">SUM(BJ157:BJ160)</f>
        <v>24707.641379276243</v>
      </c>
      <c r="BK161" s="526">
        <f t="shared" si="849"/>
        <v>25987.216021236076</v>
      </c>
      <c r="BL161" s="526">
        <f t="shared" ref="BL161:BM161" si="850">SUM(BL157:BL160)</f>
        <v>26752.009442412913</v>
      </c>
      <c r="BM161" s="526">
        <f t="shared" si="850"/>
        <v>27902.6834725837</v>
      </c>
      <c r="BN161" s="526">
        <f t="shared" ref="BN161:BO161" si="851">SUM(BN157:BN160)</f>
        <v>28592.615995553591</v>
      </c>
      <c r="BO161" s="526">
        <f t="shared" si="851"/>
        <v>29688.489808930444</v>
      </c>
      <c r="BP161" s="526">
        <f t="shared" ref="BP161:BQ161" si="852">SUM(BP157:BP160)</f>
        <v>30422.757496402304</v>
      </c>
      <c r="BQ161" s="526">
        <f t="shared" si="852"/>
        <v>31589.781034779586</v>
      </c>
      <c r="BR161" s="526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442"/>
      <c r="CQ161" s="55"/>
      <c r="CR161" s="55"/>
      <c r="CS161" s="55"/>
      <c r="CT161" s="521">
        <v>238.27199999999999</v>
      </c>
      <c r="CU161" s="521">
        <v>1788.5930000000001</v>
      </c>
      <c r="CV161" s="526">
        <f t="shared" si="837"/>
        <v>3518</v>
      </c>
      <c r="CW161" s="526">
        <f>AS161</f>
        <v>6092</v>
      </c>
      <c r="CX161" s="526">
        <f>AU161</f>
        <v>8907.7999999999993</v>
      </c>
      <c r="CY161" s="526">
        <f>AW161</f>
        <v>10711.4</v>
      </c>
      <c r="CZ161" s="524">
        <f>AY161</f>
        <v>12465.3</v>
      </c>
      <c r="DA161" s="526">
        <f t="shared" si="838"/>
        <v>14531.107552400001</v>
      </c>
      <c r="DB161" s="526">
        <f>BC161</f>
        <v>16660.073462857752</v>
      </c>
      <c r="DC161" s="526">
        <f>BE161</f>
        <v>18975.173476338208</v>
      </c>
      <c r="DD161" s="526">
        <f>BG161</f>
        <v>21428.93674139107</v>
      </c>
      <c r="DE161" s="526">
        <f>BI161</f>
        <v>23797.993920066794</v>
      </c>
      <c r="DF161" s="526">
        <f>BK161</f>
        <v>25987.216021236076</v>
      </c>
      <c r="DG161" s="526">
        <f>BM161</f>
        <v>27902.6834725837</v>
      </c>
      <c r="DH161" s="526">
        <f>BO161</f>
        <v>29688.489808930444</v>
      </c>
      <c r="DI161" s="526">
        <f>BQ161</f>
        <v>31589.781034779586</v>
      </c>
    </row>
    <row r="162" spans="1:113" ht="12" hidden="1" outlineLevel="1"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388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4"/>
      <c r="AQ162" s="572"/>
      <c r="AR162" s="44"/>
      <c r="AS162" s="44"/>
      <c r="AT162" s="44"/>
      <c r="AU162" s="44"/>
      <c r="AV162" s="44"/>
      <c r="AW162" s="44"/>
      <c r="AX162" s="44"/>
      <c r="AY162" s="44"/>
      <c r="AZ162" s="45"/>
      <c r="BA162" s="44">
        <f>+BA161-AZ161</f>
        <v>1137.1075524000007</v>
      </c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4"/>
      <c r="CU162" s="44"/>
      <c r="CV162" s="44"/>
      <c r="CW162" s="44"/>
      <c r="CX162" s="44"/>
      <c r="CY162" s="44"/>
      <c r="DA162" s="632"/>
      <c r="DB162" s="44"/>
      <c r="DC162" s="529"/>
      <c r="DD162" s="529"/>
      <c r="DE162" s="529"/>
      <c r="DF162" s="529"/>
      <c r="DG162" s="529"/>
      <c r="DH162" s="529"/>
      <c r="DI162" s="529"/>
    </row>
    <row r="163" spans="1:113" ht="12" hidden="1" outlineLevel="2">
      <c r="B163" s="24" t="s">
        <v>405</v>
      </c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5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4"/>
      <c r="CU163" s="44"/>
      <c r="CV163" s="44"/>
      <c r="CW163" s="44"/>
      <c r="CX163" s="44"/>
      <c r="CY163" s="44"/>
      <c r="DA163" s="44"/>
      <c r="DB163" s="44"/>
      <c r="DC163" s="529"/>
      <c r="DD163" s="529"/>
      <c r="DE163" s="529"/>
      <c r="DF163" s="529"/>
      <c r="DG163" s="529"/>
      <c r="DH163" s="529"/>
      <c r="DI163" s="529"/>
    </row>
    <row r="164" spans="1:113" ht="12" hidden="1" outlineLevel="2">
      <c r="A164" s="1" t="s">
        <v>599</v>
      </c>
      <c r="B164" s="19" t="s">
        <v>162</v>
      </c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525">
        <v>0</v>
      </c>
      <c r="AQ164" s="525">
        <v>0</v>
      </c>
      <c r="AR164" s="525">
        <v>0</v>
      </c>
      <c r="AS164" s="525">
        <v>0</v>
      </c>
      <c r="AT164" s="525">
        <v>0</v>
      </c>
      <c r="AU164" s="525">
        <v>0</v>
      </c>
      <c r="AV164" s="525">
        <v>0</v>
      </c>
      <c r="AW164" s="525">
        <v>0</v>
      </c>
      <c r="AX164" s="525">
        <v>0</v>
      </c>
      <c r="AY164" s="525">
        <v>0</v>
      </c>
      <c r="AZ164" s="523">
        <v>0</v>
      </c>
      <c r="BA164" s="44">
        <f t="shared" ref="BA164:BI165" si="853">AZ164*AZ$19/BA$19*(1+BA56)</f>
        <v>0</v>
      </c>
      <c r="BB164" s="44">
        <f t="shared" si="853"/>
        <v>0</v>
      </c>
      <c r="BC164" s="44">
        <f t="shared" si="853"/>
        <v>0</v>
      </c>
      <c r="BD164" s="44">
        <f t="shared" si="853"/>
        <v>0</v>
      </c>
      <c r="BE164" s="44">
        <f t="shared" si="853"/>
        <v>0</v>
      </c>
      <c r="BF164" s="44">
        <f t="shared" si="853"/>
        <v>0</v>
      </c>
      <c r="BG164" s="44">
        <f t="shared" si="853"/>
        <v>0</v>
      </c>
      <c r="BH164" s="44">
        <f t="shared" si="853"/>
        <v>0</v>
      </c>
      <c r="BI164" s="44">
        <f t="shared" si="853"/>
        <v>0</v>
      </c>
      <c r="BJ164" s="44">
        <f t="shared" ref="BJ164:BJ165" si="854">BI164*BI$19/BJ$19*(1+BJ56)</f>
        <v>0</v>
      </c>
      <c r="BK164" s="44">
        <f t="shared" ref="BK164:BK165" si="855">BJ164*BJ$19/BK$19*(1+BK56)</f>
        <v>0</v>
      </c>
      <c r="BL164" s="44">
        <f t="shared" ref="BL164:BL165" si="856">BK164*BK$19/BL$19*(1+BL56)</f>
        <v>0</v>
      </c>
      <c r="BM164" s="44">
        <f t="shared" ref="BM164:BM165" si="857">BL164*BL$19/BM$19*(1+BM56)</f>
        <v>0</v>
      </c>
      <c r="BN164" s="44">
        <f t="shared" ref="BN164:BN165" si="858">BM164*BM$19/BN$19*(1+BN56)</f>
        <v>0</v>
      </c>
      <c r="BO164" s="44">
        <f t="shared" ref="BO164:BO165" si="859">BN164*BN$19/BO$19*(1+BO56)</f>
        <v>0</v>
      </c>
      <c r="BP164" s="44">
        <f t="shared" ref="BP164:BP165" si="860">BO164*BO$19/BP$19*(1+BP56)</f>
        <v>0</v>
      </c>
      <c r="BQ164" s="44">
        <f t="shared" ref="BQ164:BQ165" si="861">BP164*BP$19/BQ$19*(1+BQ56)</f>
        <v>0</v>
      </c>
      <c r="BR164" s="44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380"/>
      <c r="CQ164" s="42"/>
      <c r="CR164" s="42"/>
      <c r="CS164" s="42"/>
      <c r="CT164" s="525">
        <v>0</v>
      </c>
      <c r="CU164" s="525">
        <v>0</v>
      </c>
      <c r="CV164" s="44">
        <f t="shared" ref="CV164:CV167" si="862">AQ164</f>
        <v>0</v>
      </c>
      <c r="CW164" s="44">
        <f>AS164</f>
        <v>0</v>
      </c>
      <c r="CX164" s="44">
        <f>AU164</f>
        <v>0</v>
      </c>
      <c r="CY164" s="44">
        <f>AW164</f>
        <v>0</v>
      </c>
      <c r="CZ164" s="45">
        <f>AY164</f>
        <v>0</v>
      </c>
      <c r="DA164" s="44">
        <f t="shared" ref="DA164:DA167" si="863">BA164</f>
        <v>0</v>
      </c>
      <c r="DB164" s="44">
        <f>BC164</f>
        <v>0</v>
      </c>
      <c r="DC164" s="44">
        <f>BE164</f>
        <v>0</v>
      </c>
      <c r="DD164" s="44">
        <f>BG164</f>
        <v>0</v>
      </c>
      <c r="DE164" s="44">
        <f>BI164</f>
        <v>0</v>
      </c>
      <c r="DF164" s="44">
        <f>BK164</f>
        <v>0</v>
      </c>
      <c r="DG164" s="44">
        <f>BM164</f>
        <v>0</v>
      </c>
      <c r="DH164" s="44">
        <f>BO164</f>
        <v>0</v>
      </c>
      <c r="DI164" s="44">
        <f>BQ164</f>
        <v>0</v>
      </c>
    </row>
    <row r="165" spans="1:113" ht="12" hidden="1" outlineLevel="2">
      <c r="A165" s="1" t="s">
        <v>600</v>
      </c>
      <c r="B165" s="19" t="s">
        <v>406</v>
      </c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4">
        <f t="shared" ref="AP165:AR165" si="864">AP167-AP164-AP166</f>
        <v>0</v>
      </c>
      <c r="AQ165" s="44">
        <f t="shared" si="864"/>
        <v>0</v>
      </c>
      <c r="AR165" s="44">
        <f t="shared" si="864"/>
        <v>0</v>
      </c>
      <c r="AS165" s="44">
        <f t="shared" ref="AS165:AT165" si="865">AS167-AS164-AS166</f>
        <v>0</v>
      </c>
      <c r="AT165" s="44">
        <f t="shared" si="865"/>
        <v>0</v>
      </c>
      <c r="AU165" s="44">
        <f t="shared" ref="AU165:AV165" si="866">AU167-AU164-AU166</f>
        <v>0</v>
      </c>
      <c r="AV165" s="44">
        <f t="shared" si="866"/>
        <v>0</v>
      </c>
      <c r="AW165" s="44">
        <f t="shared" ref="AW165:AX165" si="867">AW167-AW164-AW166</f>
        <v>0</v>
      </c>
      <c r="AX165" s="44">
        <f t="shared" si="867"/>
        <v>0</v>
      </c>
      <c r="AY165" s="44">
        <f t="shared" ref="AY165:AZ165" si="868">AY167-AY164-AY166</f>
        <v>0</v>
      </c>
      <c r="AZ165" s="45">
        <f t="shared" si="868"/>
        <v>0</v>
      </c>
      <c r="BA165" s="44">
        <f t="shared" si="853"/>
        <v>0</v>
      </c>
      <c r="BB165" s="44">
        <f t="shared" si="853"/>
        <v>0</v>
      </c>
      <c r="BC165" s="44">
        <f t="shared" si="853"/>
        <v>0</v>
      </c>
      <c r="BD165" s="44">
        <f t="shared" si="853"/>
        <v>0</v>
      </c>
      <c r="BE165" s="44">
        <f t="shared" si="853"/>
        <v>0</v>
      </c>
      <c r="BF165" s="44">
        <f t="shared" si="853"/>
        <v>0</v>
      </c>
      <c r="BG165" s="44">
        <f t="shared" si="853"/>
        <v>0</v>
      </c>
      <c r="BH165" s="44">
        <f t="shared" si="853"/>
        <v>0</v>
      </c>
      <c r="BI165" s="44">
        <f t="shared" si="853"/>
        <v>0</v>
      </c>
      <c r="BJ165" s="44">
        <f t="shared" si="854"/>
        <v>0</v>
      </c>
      <c r="BK165" s="44">
        <f t="shared" si="855"/>
        <v>0</v>
      </c>
      <c r="BL165" s="44">
        <f t="shared" si="856"/>
        <v>0</v>
      </c>
      <c r="BM165" s="44">
        <f t="shared" si="857"/>
        <v>0</v>
      </c>
      <c r="BN165" s="44">
        <f t="shared" si="858"/>
        <v>0</v>
      </c>
      <c r="BO165" s="44">
        <f t="shared" si="859"/>
        <v>0</v>
      </c>
      <c r="BP165" s="44">
        <f t="shared" si="860"/>
        <v>0</v>
      </c>
      <c r="BQ165" s="44">
        <f t="shared" si="861"/>
        <v>0</v>
      </c>
      <c r="BR165" s="44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380"/>
      <c r="CQ165" s="42"/>
      <c r="CR165" s="42"/>
      <c r="CS165" s="42"/>
      <c r="CT165" s="44">
        <f t="shared" ref="CT165:CU165" si="869">CT167-CT164-CT166</f>
        <v>0</v>
      </c>
      <c r="CU165" s="44">
        <f t="shared" si="869"/>
        <v>0</v>
      </c>
      <c r="CV165" s="44">
        <f t="shared" si="862"/>
        <v>0</v>
      </c>
      <c r="CW165" s="44">
        <f>AS165</f>
        <v>0</v>
      </c>
      <c r="CX165" s="44">
        <f>AU165</f>
        <v>0</v>
      </c>
      <c r="CY165" s="44">
        <f>AW165</f>
        <v>0</v>
      </c>
      <c r="CZ165" s="45">
        <f>AY165</f>
        <v>0</v>
      </c>
      <c r="DA165" s="44">
        <f t="shared" si="863"/>
        <v>0</v>
      </c>
      <c r="DB165" s="44">
        <f>BC165</f>
        <v>0</v>
      </c>
      <c r="DC165" s="44">
        <f>BE165</f>
        <v>0</v>
      </c>
      <c r="DD165" s="44">
        <f>BG165</f>
        <v>0</v>
      </c>
      <c r="DE165" s="44">
        <f>BI165</f>
        <v>0</v>
      </c>
      <c r="DF165" s="44">
        <f>BK165</f>
        <v>0</v>
      </c>
      <c r="DG165" s="44">
        <f>BM165</f>
        <v>0</v>
      </c>
      <c r="DH165" s="44">
        <f>BO165</f>
        <v>0</v>
      </c>
      <c r="DI165" s="44">
        <f>BQ165</f>
        <v>0</v>
      </c>
    </row>
    <row r="166" spans="1:113" ht="12" hidden="1" outlineLevel="2">
      <c r="A166" s="1" t="s">
        <v>601</v>
      </c>
      <c r="B166" s="19" t="s">
        <v>165</v>
      </c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525">
        <v>0</v>
      </c>
      <c r="AQ166" s="525">
        <v>0</v>
      </c>
      <c r="AR166" s="525">
        <v>0</v>
      </c>
      <c r="AS166" s="525">
        <v>0</v>
      </c>
      <c r="AT166" s="525">
        <v>0</v>
      </c>
      <c r="AU166" s="525">
        <v>0</v>
      </c>
      <c r="AV166" s="525">
        <v>0</v>
      </c>
      <c r="AW166" s="525">
        <v>0</v>
      </c>
      <c r="AX166" s="525">
        <v>0</v>
      </c>
      <c r="AY166" s="525">
        <v>0</v>
      </c>
      <c r="AZ166" s="523">
        <v>0</v>
      </c>
      <c r="BA166" s="44">
        <f t="shared" ref="BA166:BI166" si="870">AZ166*AZ$19/BA$19*(1+BA57)</f>
        <v>0</v>
      </c>
      <c r="BB166" s="44">
        <f t="shared" si="870"/>
        <v>0</v>
      </c>
      <c r="BC166" s="44">
        <f t="shared" si="870"/>
        <v>0</v>
      </c>
      <c r="BD166" s="44">
        <f t="shared" si="870"/>
        <v>0</v>
      </c>
      <c r="BE166" s="44">
        <f t="shared" si="870"/>
        <v>0</v>
      </c>
      <c r="BF166" s="44">
        <f t="shared" si="870"/>
        <v>0</v>
      </c>
      <c r="BG166" s="44">
        <f t="shared" si="870"/>
        <v>0</v>
      </c>
      <c r="BH166" s="44">
        <f t="shared" si="870"/>
        <v>0</v>
      </c>
      <c r="BI166" s="44">
        <f t="shared" si="870"/>
        <v>0</v>
      </c>
      <c r="BJ166" s="44">
        <f t="shared" ref="BJ166" si="871">BI166*BI$19/BJ$19*(1+BJ57)</f>
        <v>0</v>
      </c>
      <c r="BK166" s="44">
        <f t="shared" ref="BK166" si="872">BJ166*BJ$19/BK$19*(1+BK57)</f>
        <v>0</v>
      </c>
      <c r="BL166" s="44">
        <f t="shared" ref="BL166" si="873">BK166*BK$19/BL$19*(1+BL57)</f>
        <v>0</v>
      </c>
      <c r="BM166" s="44">
        <f t="shared" ref="BM166" si="874">BL166*BL$19/BM$19*(1+BM57)</f>
        <v>0</v>
      </c>
      <c r="BN166" s="44">
        <f t="shared" ref="BN166" si="875">BM166*BM$19/BN$19*(1+BN57)</f>
        <v>0</v>
      </c>
      <c r="BO166" s="44">
        <f t="shared" ref="BO166" si="876">BN166*BN$19/BO$19*(1+BO57)</f>
        <v>0</v>
      </c>
      <c r="BP166" s="44">
        <f t="shared" ref="BP166" si="877">BO166*BO$19/BP$19*(1+BP57)</f>
        <v>0</v>
      </c>
      <c r="BQ166" s="44">
        <f t="shared" ref="BQ166" si="878">BP166*BP$19/BQ$19*(1+BQ57)</f>
        <v>0</v>
      </c>
      <c r="BR166" s="44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380"/>
      <c r="CQ166" s="42"/>
      <c r="CR166" s="42"/>
      <c r="CS166" s="42"/>
      <c r="CT166" s="525">
        <v>0</v>
      </c>
      <c r="CU166" s="525">
        <v>0</v>
      </c>
      <c r="CV166" s="44">
        <f t="shared" si="862"/>
        <v>0</v>
      </c>
      <c r="CW166" s="44">
        <f>AS166</f>
        <v>0</v>
      </c>
      <c r="CX166" s="44">
        <f>AU166</f>
        <v>0</v>
      </c>
      <c r="CY166" s="44">
        <f>AW166</f>
        <v>0</v>
      </c>
      <c r="CZ166" s="45">
        <f>AY166</f>
        <v>0</v>
      </c>
      <c r="DA166" s="44">
        <f t="shared" si="863"/>
        <v>0</v>
      </c>
      <c r="DB166" s="44">
        <f>BC166</f>
        <v>0</v>
      </c>
      <c r="DC166" s="44">
        <f>BE166</f>
        <v>0</v>
      </c>
      <c r="DD166" s="44">
        <f>BG166</f>
        <v>0</v>
      </c>
      <c r="DE166" s="44">
        <f>BI166</f>
        <v>0</v>
      </c>
      <c r="DF166" s="44">
        <f>BK166</f>
        <v>0</v>
      </c>
      <c r="DG166" s="44">
        <f>BM166</f>
        <v>0</v>
      </c>
      <c r="DH166" s="44">
        <f>BO166</f>
        <v>0</v>
      </c>
      <c r="DI166" s="44">
        <f>BQ166</f>
        <v>0</v>
      </c>
    </row>
    <row r="167" spans="1:113" s="24" customFormat="1" ht="12" hidden="1" outlineLevel="2">
      <c r="A167" s="1" t="s">
        <v>602</v>
      </c>
      <c r="B167" s="24" t="s">
        <v>166</v>
      </c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21">
        <v>0</v>
      </c>
      <c r="AQ167" s="521">
        <v>0</v>
      </c>
      <c r="AR167" s="521">
        <v>0</v>
      </c>
      <c r="AS167" s="521">
        <v>0</v>
      </c>
      <c r="AT167" s="521">
        <v>0</v>
      </c>
      <c r="AU167" s="521">
        <v>0</v>
      </c>
      <c r="AV167" s="521">
        <v>0</v>
      </c>
      <c r="AW167" s="521">
        <v>0</v>
      </c>
      <c r="AX167" s="521">
        <v>0</v>
      </c>
      <c r="AY167" s="521">
        <v>0</v>
      </c>
      <c r="AZ167" s="522">
        <v>0</v>
      </c>
      <c r="BA167" s="526">
        <f t="shared" ref="BA167:BI167" si="879">SUM(BA164:BA166)</f>
        <v>0</v>
      </c>
      <c r="BB167" s="526">
        <f t="shared" si="879"/>
        <v>0</v>
      </c>
      <c r="BC167" s="526">
        <f t="shared" si="879"/>
        <v>0</v>
      </c>
      <c r="BD167" s="526">
        <f t="shared" si="879"/>
        <v>0</v>
      </c>
      <c r="BE167" s="526">
        <f t="shared" si="879"/>
        <v>0</v>
      </c>
      <c r="BF167" s="526">
        <f t="shared" si="879"/>
        <v>0</v>
      </c>
      <c r="BG167" s="526">
        <f t="shared" si="879"/>
        <v>0</v>
      </c>
      <c r="BH167" s="526">
        <f t="shared" si="879"/>
        <v>0</v>
      </c>
      <c r="BI167" s="526">
        <f t="shared" si="879"/>
        <v>0</v>
      </c>
      <c r="BJ167" s="526">
        <f t="shared" ref="BJ167:BK167" si="880">SUM(BJ164:BJ166)</f>
        <v>0</v>
      </c>
      <c r="BK167" s="526">
        <f t="shared" si="880"/>
        <v>0</v>
      </c>
      <c r="BL167" s="526">
        <f t="shared" ref="BL167:BM167" si="881">SUM(BL164:BL166)</f>
        <v>0</v>
      </c>
      <c r="BM167" s="526">
        <f t="shared" si="881"/>
        <v>0</v>
      </c>
      <c r="BN167" s="526">
        <f t="shared" ref="BN167:BO167" si="882">SUM(BN164:BN166)</f>
        <v>0</v>
      </c>
      <c r="BO167" s="526">
        <f t="shared" si="882"/>
        <v>0</v>
      </c>
      <c r="BP167" s="526">
        <f t="shared" ref="BP167:BQ167" si="883">SUM(BP164:BP166)</f>
        <v>0</v>
      </c>
      <c r="BQ167" s="526">
        <f t="shared" si="883"/>
        <v>0</v>
      </c>
      <c r="BR167" s="526"/>
      <c r="BS167" s="54"/>
      <c r="BT167" s="54"/>
      <c r="BU167" s="54"/>
      <c r="BV167" s="54"/>
      <c r="BW167" s="54"/>
      <c r="BX167" s="54"/>
      <c r="BY167" s="54"/>
      <c r="BZ167" s="54"/>
      <c r="CA167" s="54"/>
      <c r="CB167" s="54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55"/>
      <c r="CO167" s="55"/>
      <c r="CP167" s="442"/>
      <c r="CQ167" s="55"/>
      <c r="CR167" s="55"/>
      <c r="CS167" s="55"/>
      <c r="CT167" s="521">
        <v>0</v>
      </c>
      <c r="CU167" s="521">
        <v>0</v>
      </c>
      <c r="CV167" s="526">
        <f t="shared" si="862"/>
        <v>0</v>
      </c>
      <c r="CW167" s="526">
        <f>AS167</f>
        <v>0</v>
      </c>
      <c r="CX167" s="526">
        <f>AU167</f>
        <v>0</v>
      </c>
      <c r="CY167" s="526">
        <f>AW167</f>
        <v>0</v>
      </c>
      <c r="CZ167" s="524">
        <f>AY167</f>
        <v>0</v>
      </c>
      <c r="DA167" s="526">
        <f t="shared" si="863"/>
        <v>0</v>
      </c>
      <c r="DB167" s="526">
        <f>BC167</f>
        <v>0</v>
      </c>
      <c r="DC167" s="526">
        <f>BE167</f>
        <v>0</v>
      </c>
      <c r="DD167" s="526">
        <f>BG167</f>
        <v>0</v>
      </c>
      <c r="DE167" s="526">
        <f>BI167</f>
        <v>0</v>
      </c>
      <c r="DF167" s="526">
        <f>BK167</f>
        <v>0</v>
      </c>
      <c r="DG167" s="526">
        <f>BM167</f>
        <v>0</v>
      </c>
      <c r="DH167" s="526">
        <f>BO167</f>
        <v>0</v>
      </c>
      <c r="DI167" s="526">
        <f>BQ167</f>
        <v>0</v>
      </c>
    </row>
    <row r="168" spans="1:113" ht="12" hidden="1" outlineLevel="2"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4"/>
      <c r="AQ168" s="572"/>
      <c r="AR168" s="44"/>
      <c r="AS168" s="44"/>
      <c r="AT168" s="44"/>
      <c r="AU168" s="44"/>
      <c r="AV168" s="44"/>
      <c r="AW168" s="44"/>
      <c r="AX168" s="44"/>
      <c r="AY168" s="44"/>
      <c r="AZ168" s="45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4"/>
      <c r="CU168" s="44"/>
      <c r="CV168" s="44"/>
      <c r="CW168" s="44"/>
      <c r="CX168" s="44"/>
      <c r="CY168" s="44"/>
      <c r="CZ168" s="45"/>
      <c r="DA168" s="44"/>
      <c r="DB168" s="44"/>
      <c r="DC168" s="529"/>
      <c r="DD168" s="529"/>
      <c r="DE168" s="529"/>
      <c r="DF168" s="529"/>
      <c r="DG168" s="529"/>
      <c r="DH168" s="529"/>
      <c r="DI168" s="529"/>
    </row>
    <row r="169" spans="1:113" ht="12" hidden="1" outlineLevel="2">
      <c r="B169" s="24" t="s">
        <v>339</v>
      </c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95"/>
      <c r="AB169" s="42"/>
      <c r="AC169" s="44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5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4"/>
      <c r="CU169" s="44"/>
      <c r="CV169" s="44"/>
      <c r="CW169" s="44"/>
      <c r="CX169" s="44"/>
      <c r="CY169" s="44"/>
      <c r="CZ169" s="45"/>
      <c r="DA169" s="44"/>
      <c r="DB169" s="44"/>
      <c r="DC169" s="529"/>
      <c r="DD169" s="529"/>
      <c r="DE169" s="529"/>
      <c r="DF169" s="529"/>
      <c r="DG169" s="529"/>
      <c r="DH169" s="529"/>
      <c r="DI169" s="529"/>
    </row>
    <row r="170" spans="1:113" ht="12" hidden="1" outlineLevel="2">
      <c r="A170" s="1" t="s">
        <v>603</v>
      </c>
      <c r="B170" s="19" t="s">
        <v>162</v>
      </c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525">
        <v>0</v>
      </c>
      <c r="AQ170" s="525">
        <v>0</v>
      </c>
      <c r="AR170" s="525">
        <v>0</v>
      </c>
      <c r="AS170" s="525">
        <v>0</v>
      </c>
      <c r="AT170" s="525">
        <v>0</v>
      </c>
      <c r="AU170" s="525">
        <v>0</v>
      </c>
      <c r="AV170" s="525">
        <v>0</v>
      </c>
      <c r="AW170" s="525">
        <v>0</v>
      </c>
      <c r="AX170" s="525">
        <v>0</v>
      </c>
      <c r="AY170" s="525">
        <v>0</v>
      </c>
      <c r="AZ170" s="523">
        <v>0</v>
      </c>
      <c r="BA170" s="44">
        <f t="shared" ref="BA170:BI171" si="884">AZ170*AZ$17/BA$17*(1+BA59)</f>
        <v>0</v>
      </c>
      <c r="BB170" s="44">
        <f t="shared" si="884"/>
        <v>0</v>
      </c>
      <c r="BC170" s="44">
        <f t="shared" si="884"/>
        <v>0</v>
      </c>
      <c r="BD170" s="44">
        <f t="shared" si="884"/>
        <v>0</v>
      </c>
      <c r="BE170" s="44">
        <f t="shared" si="884"/>
        <v>0</v>
      </c>
      <c r="BF170" s="44">
        <f t="shared" si="884"/>
        <v>0</v>
      </c>
      <c r="BG170" s="44">
        <f t="shared" si="884"/>
        <v>0</v>
      </c>
      <c r="BH170" s="44">
        <f t="shared" si="884"/>
        <v>0</v>
      </c>
      <c r="BI170" s="44">
        <f t="shared" si="884"/>
        <v>0</v>
      </c>
      <c r="BJ170" s="44">
        <f t="shared" ref="BJ170:BJ171" si="885">BI170*BI$17/BJ$17*(1+BJ59)</f>
        <v>0</v>
      </c>
      <c r="BK170" s="44">
        <f t="shared" ref="BK170:BK171" si="886">BJ170*BJ$17/BK$17*(1+BK59)</f>
        <v>0</v>
      </c>
      <c r="BL170" s="44">
        <f t="shared" ref="BL170:BL171" si="887">BK170*BK$17/BL$17*(1+BL59)</f>
        <v>0</v>
      </c>
      <c r="BM170" s="44">
        <f t="shared" ref="BM170:BM171" si="888">BL170*BL$17/BM$17*(1+BM59)</f>
        <v>0</v>
      </c>
      <c r="BN170" s="44">
        <f t="shared" ref="BN170:BN171" si="889">BM170*BM$17/BN$17*(1+BN59)</f>
        <v>0</v>
      </c>
      <c r="BO170" s="44">
        <f t="shared" ref="BO170:BO171" si="890">BN170*BN$17/BO$17*(1+BO59)</f>
        <v>0</v>
      </c>
      <c r="BP170" s="44">
        <f t="shared" ref="BP170:BP171" si="891">BO170*BO$17/BP$17*(1+BP59)</f>
        <v>0</v>
      </c>
      <c r="BQ170" s="44">
        <f t="shared" ref="BQ170:BQ171" si="892">BP170*BP$17/BQ$17*(1+BQ59)</f>
        <v>0</v>
      </c>
      <c r="BR170" s="44"/>
      <c r="BS170" s="114"/>
      <c r="BT170" s="114"/>
      <c r="BU170" s="114"/>
      <c r="BV170" s="40"/>
      <c r="BW170" s="40"/>
      <c r="BX170" s="40"/>
      <c r="BY170" s="40"/>
      <c r="BZ170" s="40"/>
      <c r="CA170" s="40"/>
      <c r="CB170" s="40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380"/>
      <c r="CQ170" s="42"/>
      <c r="CR170" s="42"/>
      <c r="CS170" s="42"/>
      <c r="CT170" s="525">
        <v>0</v>
      </c>
      <c r="CU170" s="525">
        <v>0</v>
      </c>
      <c r="CV170" s="44">
        <f t="shared" ref="CV170:CV173" si="893">AQ170</f>
        <v>0</v>
      </c>
      <c r="CW170" s="44">
        <f>AS170</f>
        <v>0</v>
      </c>
      <c r="CX170" s="44">
        <f>AU170</f>
        <v>0</v>
      </c>
      <c r="CY170" s="44">
        <f>AW170</f>
        <v>0</v>
      </c>
      <c r="CZ170" s="45">
        <f>AY170</f>
        <v>0</v>
      </c>
      <c r="DA170" s="44">
        <f t="shared" ref="DA170:DA173" si="894">BA170</f>
        <v>0</v>
      </c>
      <c r="DB170" s="44">
        <f>BC170</f>
        <v>0</v>
      </c>
      <c r="DC170" s="44">
        <f>BE170</f>
        <v>0</v>
      </c>
      <c r="DD170" s="44">
        <f>BG170</f>
        <v>0</v>
      </c>
      <c r="DE170" s="44">
        <f>BI170</f>
        <v>0</v>
      </c>
      <c r="DF170" s="44">
        <f>BK170</f>
        <v>0</v>
      </c>
      <c r="DG170" s="44">
        <f>BM170</f>
        <v>0</v>
      </c>
      <c r="DH170" s="44">
        <f>BO170</f>
        <v>0</v>
      </c>
      <c r="DI170" s="44">
        <f>BQ170</f>
        <v>0</v>
      </c>
    </row>
    <row r="171" spans="1:113" ht="12" hidden="1" outlineLevel="2">
      <c r="A171" s="1" t="s">
        <v>732</v>
      </c>
      <c r="B171" s="19" t="s">
        <v>406</v>
      </c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4">
        <f t="shared" ref="AP171" si="895">AP173-AP170-AP172</f>
        <v>0</v>
      </c>
      <c r="AQ171" s="44">
        <f t="shared" ref="AQ171:AR171" si="896">AQ173-AQ170-AQ172</f>
        <v>0</v>
      </c>
      <c r="AR171" s="44">
        <f t="shared" si="896"/>
        <v>0</v>
      </c>
      <c r="AS171" s="44">
        <f t="shared" ref="AS171:AT171" si="897">AS173-AS170-AS172</f>
        <v>0</v>
      </c>
      <c r="AT171" s="44">
        <f t="shared" si="897"/>
        <v>0</v>
      </c>
      <c r="AU171" s="44">
        <f t="shared" ref="AU171:AV171" si="898">AU173-AU170-AU172</f>
        <v>0</v>
      </c>
      <c r="AV171" s="44">
        <f t="shared" si="898"/>
        <v>0</v>
      </c>
      <c r="AW171" s="44">
        <f t="shared" ref="AW171:AX171" si="899">AW173-AW170-AW172</f>
        <v>0</v>
      </c>
      <c r="AX171" s="44">
        <f t="shared" si="899"/>
        <v>0</v>
      </c>
      <c r="AY171" s="44">
        <f t="shared" ref="AY171:AZ171" si="900">AY173-AY170-AY172</f>
        <v>0</v>
      </c>
      <c r="AZ171" s="45">
        <f t="shared" si="900"/>
        <v>0</v>
      </c>
      <c r="BA171" s="44">
        <f t="shared" si="884"/>
        <v>0</v>
      </c>
      <c r="BB171" s="44">
        <f t="shared" si="884"/>
        <v>0</v>
      </c>
      <c r="BC171" s="44">
        <f t="shared" si="884"/>
        <v>0</v>
      </c>
      <c r="BD171" s="44">
        <f t="shared" si="884"/>
        <v>0</v>
      </c>
      <c r="BE171" s="44">
        <f t="shared" si="884"/>
        <v>0</v>
      </c>
      <c r="BF171" s="44">
        <f t="shared" si="884"/>
        <v>0</v>
      </c>
      <c r="BG171" s="44">
        <f t="shared" si="884"/>
        <v>0</v>
      </c>
      <c r="BH171" s="44">
        <f t="shared" si="884"/>
        <v>0</v>
      </c>
      <c r="BI171" s="44">
        <f t="shared" si="884"/>
        <v>0</v>
      </c>
      <c r="BJ171" s="44">
        <f t="shared" si="885"/>
        <v>0</v>
      </c>
      <c r="BK171" s="44">
        <f t="shared" si="886"/>
        <v>0</v>
      </c>
      <c r="BL171" s="44">
        <f t="shared" si="887"/>
        <v>0</v>
      </c>
      <c r="BM171" s="44">
        <f t="shared" si="888"/>
        <v>0</v>
      </c>
      <c r="BN171" s="44">
        <f t="shared" si="889"/>
        <v>0</v>
      </c>
      <c r="BO171" s="44">
        <f t="shared" si="890"/>
        <v>0</v>
      </c>
      <c r="BP171" s="44">
        <f t="shared" si="891"/>
        <v>0</v>
      </c>
      <c r="BQ171" s="44">
        <f t="shared" si="892"/>
        <v>0</v>
      </c>
      <c r="BR171" s="44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380"/>
      <c r="CQ171" s="42"/>
      <c r="CR171" s="42"/>
      <c r="CS171" s="42"/>
      <c r="CT171" s="44">
        <f t="shared" ref="CT171:CU171" si="901">CT173-CT170-CT172</f>
        <v>0</v>
      </c>
      <c r="CU171" s="44">
        <f t="shared" si="901"/>
        <v>0</v>
      </c>
      <c r="CV171" s="44">
        <f t="shared" si="893"/>
        <v>0</v>
      </c>
      <c r="CW171" s="44">
        <f>AS171</f>
        <v>0</v>
      </c>
      <c r="CX171" s="44">
        <f>AU171</f>
        <v>0</v>
      </c>
      <c r="CY171" s="44">
        <f>AW171</f>
        <v>0</v>
      </c>
      <c r="CZ171" s="45">
        <f>AY171</f>
        <v>0</v>
      </c>
      <c r="DA171" s="44">
        <f t="shared" si="894"/>
        <v>0</v>
      </c>
      <c r="DB171" s="44">
        <f>BC171</f>
        <v>0</v>
      </c>
      <c r="DC171" s="44">
        <f>BE171</f>
        <v>0</v>
      </c>
      <c r="DD171" s="44">
        <f>BG171</f>
        <v>0</v>
      </c>
      <c r="DE171" s="44">
        <f>BI171</f>
        <v>0</v>
      </c>
      <c r="DF171" s="44">
        <f>BK171</f>
        <v>0</v>
      </c>
      <c r="DG171" s="44">
        <f>BM171</f>
        <v>0</v>
      </c>
      <c r="DH171" s="44">
        <f>BO171</f>
        <v>0</v>
      </c>
      <c r="DI171" s="44">
        <f>BQ171</f>
        <v>0</v>
      </c>
    </row>
    <row r="172" spans="1:113" ht="12" hidden="1" outlineLevel="2">
      <c r="A172" s="1" t="s">
        <v>596</v>
      </c>
      <c r="B172" s="19" t="s">
        <v>165</v>
      </c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525">
        <v>0</v>
      </c>
      <c r="AQ172" s="525">
        <v>0</v>
      </c>
      <c r="AR172" s="525">
        <v>0</v>
      </c>
      <c r="AS172" s="525">
        <v>0</v>
      </c>
      <c r="AT172" s="525">
        <v>0</v>
      </c>
      <c r="AU172" s="525">
        <v>0</v>
      </c>
      <c r="AV172" s="525">
        <v>0</v>
      </c>
      <c r="AW172" s="525">
        <v>0</v>
      </c>
      <c r="AX172" s="525">
        <v>0</v>
      </c>
      <c r="AY172" s="525">
        <v>0</v>
      </c>
      <c r="AZ172" s="523">
        <v>0</v>
      </c>
      <c r="BA172" s="44">
        <f t="shared" ref="BA172:BI172" si="902">AZ172*AZ$17/BA$17*(1+BA60)</f>
        <v>0</v>
      </c>
      <c r="BB172" s="44">
        <f t="shared" si="902"/>
        <v>0</v>
      </c>
      <c r="BC172" s="44">
        <f t="shared" si="902"/>
        <v>0</v>
      </c>
      <c r="BD172" s="44">
        <f t="shared" si="902"/>
        <v>0</v>
      </c>
      <c r="BE172" s="44">
        <f t="shared" si="902"/>
        <v>0</v>
      </c>
      <c r="BF172" s="44">
        <f t="shared" si="902"/>
        <v>0</v>
      </c>
      <c r="BG172" s="44">
        <f t="shared" si="902"/>
        <v>0</v>
      </c>
      <c r="BH172" s="44">
        <f t="shared" si="902"/>
        <v>0</v>
      </c>
      <c r="BI172" s="44">
        <f t="shared" si="902"/>
        <v>0</v>
      </c>
      <c r="BJ172" s="44">
        <f t="shared" ref="BJ172" si="903">BI172*BI$17/BJ$17*(1+BJ60)</f>
        <v>0</v>
      </c>
      <c r="BK172" s="44">
        <f t="shared" ref="BK172" si="904">BJ172*BJ$17/BK$17*(1+BK60)</f>
        <v>0</v>
      </c>
      <c r="BL172" s="44">
        <f t="shared" ref="BL172" si="905">BK172*BK$17/BL$17*(1+BL60)</f>
        <v>0</v>
      </c>
      <c r="BM172" s="44">
        <f t="shared" ref="BM172" si="906">BL172*BL$17/BM$17*(1+BM60)</f>
        <v>0</v>
      </c>
      <c r="BN172" s="44">
        <f t="shared" ref="BN172" si="907">BM172*BM$17/BN$17*(1+BN60)</f>
        <v>0</v>
      </c>
      <c r="BO172" s="44">
        <f t="shared" ref="BO172" si="908">BN172*BN$17/BO$17*(1+BO60)</f>
        <v>0</v>
      </c>
      <c r="BP172" s="44">
        <f t="shared" ref="BP172" si="909">BO172*BO$17/BP$17*(1+BP60)</f>
        <v>0</v>
      </c>
      <c r="BQ172" s="44">
        <f t="shared" ref="BQ172" si="910">BP172*BP$17/BQ$17*(1+BQ60)</f>
        <v>0</v>
      </c>
      <c r="BR172" s="44"/>
      <c r="BS172" s="114"/>
      <c r="BT172" s="114"/>
      <c r="BU172" s="114"/>
      <c r="BV172" s="40"/>
      <c r="BW172" s="40"/>
      <c r="BX172" s="40"/>
      <c r="BY172" s="40"/>
      <c r="BZ172" s="40"/>
      <c r="CA172" s="40"/>
      <c r="CB172" s="40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380"/>
      <c r="CQ172" s="42"/>
      <c r="CR172" s="42"/>
      <c r="CS172" s="42"/>
      <c r="CT172" s="525">
        <v>0</v>
      </c>
      <c r="CU172" s="525">
        <v>0</v>
      </c>
      <c r="CV172" s="44">
        <f t="shared" si="893"/>
        <v>0</v>
      </c>
      <c r="CW172" s="44">
        <f>AS172</f>
        <v>0</v>
      </c>
      <c r="CX172" s="44">
        <f>AU172</f>
        <v>0</v>
      </c>
      <c r="CY172" s="44">
        <f>AW172</f>
        <v>0</v>
      </c>
      <c r="CZ172" s="45">
        <f>AY172</f>
        <v>0</v>
      </c>
      <c r="DA172" s="44">
        <f t="shared" si="894"/>
        <v>0</v>
      </c>
      <c r="DB172" s="44">
        <f>BC172</f>
        <v>0</v>
      </c>
      <c r="DC172" s="44">
        <f>BE172</f>
        <v>0</v>
      </c>
      <c r="DD172" s="44">
        <f>BG172</f>
        <v>0</v>
      </c>
      <c r="DE172" s="44">
        <f>BI172</f>
        <v>0</v>
      </c>
      <c r="DF172" s="44">
        <f>BK172</f>
        <v>0</v>
      </c>
      <c r="DG172" s="44">
        <f>BM172</f>
        <v>0</v>
      </c>
      <c r="DH172" s="44">
        <f>BO172</f>
        <v>0</v>
      </c>
      <c r="DI172" s="44">
        <f>BQ172</f>
        <v>0</v>
      </c>
    </row>
    <row r="173" spans="1:113" s="24" customFormat="1" ht="12" hidden="1" outlineLevel="2">
      <c r="A173" s="1" t="s">
        <v>597</v>
      </c>
      <c r="B173" s="24" t="s">
        <v>166</v>
      </c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21">
        <v>0</v>
      </c>
      <c r="AQ173" s="521">
        <v>0</v>
      </c>
      <c r="AR173" s="521">
        <v>0</v>
      </c>
      <c r="AS173" s="521">
        <v>0</v>
      </c>
      <c r="AT173" s="521">
        <v>0</v>
      </c>
      <c r="AU173" s="521">
        <v>0</v>
      </c>
      <c r="AV173" s="521">
        <v>0</v>
      </c>
      <c r="AW173" s="521">
        <v>0</v>
      </c>
      <c r="AX173" s="521">
        <v>0</v>
      </c>
      <c r="AY173" s="521">
        <v>0</v>
      </c>
      <c r="AZ173" s="522">
        <v>0</v>
      </c>
      <c r="BA173" s="526">
        <f t="shared" ref="BA173:BI173" si="911">SUM(BA170:BA172)</f>
        <v>0</v>
      </c>
      <c r="BB173" s="526">
        <f t="shared" si="911"/>
        <v>0</v>
      </c>
      <c r="BC173" s="526">
        <f t="shared" si="911"/>
        <v>0</v>
      </c>
      <c r="BD173" s="526">
        <f t="shared" si="911"/>
        <v>0</v>
      </c>
      <c r="BE173" s="526">
        <f t="shared" si="911"/>
        <v>0</v>
      </c>
      <c r="BF173" s="526">
        <f t="shared" si="911"/>
        <v>0</v>
      </c>
      <c r="BG173" s="526">
        <f t="shared" si="911"/>
        <v>0</v>
      </c>
      <c r="BH173" s="526">
        <f t="shared" si="911"/>
        <v>0</v>
      </c>
      <c r="BI173" s="526">
        <f t="shared" si="911"/>
        <v>0</v>
      </c>
      <c r="BJ173" s="526">
        <f t="shared" ref="BJ173:BK173" si="912">SUM(BJ170:BJ172)</f>
        <v>0</v>
      </c>
      <c r="BK173" s="526">
        <f t="shared" si="912"/>
        <v>0</v>
      </c>
      <c r="BL173" s="526">
        <f t="shared" ref="BL173:BM173" si="913">SUM(BL170:BL172)</f>
        <v>0</v>
      </c>
      <c r="BM173" s="526">
        <f t="shared" si="913"/>
        <v>0</v>
      </c>
      <c r="BN173" s="526">
        <f t="shared" ref="BN173:BO173" si="914">SUM(BN170:BN172)</f>
        <v>0</v>
      </c>
      <c r="BO173" s="526">
        <f t="shared" si="914"/>
        <v>0</v>
      </c>
      <c r="BP173" s="526">
        <f t="shared" ref="BP173:BQ173" si="915">SUM(BP170:BP172)</f>
        <v>0</v>
      </c>
      <c r="BQ173" s="526">
        <f t="shared" si="915"/>
        <v>0</v>
      </c>
      <c r="BR173" s="526"/>
      <c r="BS173" s="413"/>
      <c r="BT173" s="413"/>
      <c r="BU173" s="413"/>
      <c r="BV173" s="54"/>
      <c r="BW173" s="54"/>
      <c r="BX173" s="54"/>
      <c r="BY173" s="54"/>
      <c r="BZ173" s="54"/>
      <c r="CA173" s="54"/>
      <c r="CB173" s="54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55"/>
      <c r="CO173" s="55"/>
      <c r="CP173" s="442"/>
      <c r="CQ173" s="55"/>
      <c r="CR173" s="55"/>
      <c r="CS173" s="55"/>
      <c r="CT173" s="521">
        <v>0</v>
      </c>
      <c r="CU173" s="521">
        <v>0</v>
      </c>
      <c r="CV173" s="526">
        <f t="shared" si="893"/>
        <v>0</v>
      </c>
      <c r="CW173" s="526">
        <f>AS173</f>
        <v>0</v>
      </c>
      <c r="CX173" s="526">
        <f>AU173</f>
        <v>0</v>
      </c>
      <c r="CY173" s="526">
        <f>AW173</f>
        <v>0</v>
      </c>
      <c r="CZ173" s="524">
        <f>AY173</f>
        <v>0</v>
      </c>
      <c r="DA173" s="526">
        <f t="shared" si="894"/>
        <v>0</v>
      </c>
      <c r="DB173" s="526">
        <f>BC173</f>
        <v>0</v>
      </c>
      <c r="DC173" s="526">
        <f>BE173</f>
        <v>0</v>
      </c>
      <c r="DD173" s="526">
        <f>BG173</f>
        <v>0</v>
      </c>
      <c r="DE173" s="526">
        <f>BI173</f>
        <v>0</v>
      </c>
      <c r="DF173" s="526">
        <f>BK173</f>
        <v>0</v>
      </c>
      <c r="DG173" s="526">
        <f>BM173</f>
        <v>0</v>
      </c>
      <c r="DH173" s="526">
        <f>BO173</f>
        <v>0</v>
      </c>
      <c r="DI173" s="526">
        <f>BQ173</f>
        <v>0</v>
      </c>
    </row>
    <row r="174" spans="1:113" ht="12" hidden="1" outlineLevel="2"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394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4"/>
      <c r="AQ174" s="572"/>
      <c r="AR174" s="44"/>
      <c r="AS174" s="44"/>
      <c r="AT174" s="44"/>
      <c r="AU174" s="44"/>
      <c r="AV174" s="44"/>
      <c r="AW174" s="44"/>
      <c r="AX174" s="44"/>
      <c r="AY174" s="44"/>
      <c r="AZ174" s="45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95"/>
      <c r="BT174" s="95"/>
      <c r="BU174" s="95"/>
      <c r="BV174" s="95"/>
      <c r="BW174" s="95"/>
      <c r="BX174" s="95"/>
      <c r="BY174" s="95"/>
      <c r="BZ174" s="95"/>
      <c r="CA174" s="95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4"/>
      <c r="CU174" s="44"/>
      <c r="CV174" s="44"/>
      <c r="CW174" s="44"/>
      <c r="CX174" s="44"/>
      <c r="CY174" s="44"/>
      <c r="CZ174" s="45"/>
      <c r="DA174" s="44"/>
      <c r="DB174" s="44"/>
      <c r="DC174" s="529"/>
      <c r="DD174" s="529"/>
      <c r="DE174" s="529"/>
      <c r="DF174" s="529"/>
      <c r="DG174" s="529"/>
      <c r="DH174" s="529"/>
      <c r="DI174" s="529"/>
    </row>
    <row r="175" spans="1:113" ht="12" hidden="1" outlineLevel="1" collapsed="1">
      <c r="B175" s="24" t="s">
        <v>340</v>
      </c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394"/>
      <c r="AB175" s="42"/>
      <c r="AC175" s="42"/>
      <c r="AD175" s="42"/>
      <c r="AE175" s="42"/>
      <c r="AF175" s="42"/>
      <c r="AG175" s="394"/>
      <c r="AH175" s="394"/>
      <c r="AI175" s="394"/>
      <c r="AJ175" s="394"/>
      <c r="AK175" s="42"/>
      <c r="AL175" s="42"/>
      <c r="AM175" s="42"/>
      <c r="AN175" s="42"/>
      <c r="AO175" s="42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5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4"/>
      <c r="CU175" s="44"/>
      <c r="CV175" s="572"/>
      <c r="CW175" s="572"/>
      <c r="CX175" s="572"/>
      <c r="CY175" s="572"/>
      <c r="CZ175" s="45"/>
      <c r="DA175" s="44"/>
      <c r="DB175" s="44"/>
      <c r="DC175" s="529"/>
      <c r="DD175" s="529"/>
      <c r="DE175" s="529"/>
      <c r="DF175" s="529"/>
      <c r="DG175" s="529"/>
      <c r="DH175" s="529"/>
      <c r="DI175" s="529"/>
    </row>
    <row r="176" spans="1:113" ht="12" hidden="1" outlineLevel="1">
      <c r="A176" s="1" t="s">
        <v>598</v>
      </c>
      <c r="B176" s="19" t="s">
        <v>162</v>
      </c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4">
        <f t="shared" ref="AP176:BI176" si="916">AP157+AP164+AP170</f>
        <v>243</v>
      </c>
      <c r="AQ176" s="44">
        <f t="shared" ref="AQ176:AR176" si="917">AQ157+AQ164+AQ170</f>
        <v>361</v>
      </c>
      <c r="AR176" s="44">
        <f t="shared" si="917"/>
        <v>491</v>
      </c>
      <c r="AS176" s="44">
        <f t="shared" ref="AS176:AT176" si="918">AS157+AS164+AS170</f>
        <v>622</v>
      </c>
      <c r="AT176" s="44">
        <f t="shared" si="918"/>
        <v>770.3</v>
      </c>
      <c r="AU176" s="44">
        <f t="shared" ref="AU176:AV176" si="919">AU157+AU164+AU170</f>
        <v>949.4</v>
      </c>
      <c r="AV176" s="44">
        <f t="shared" si="919"/>
        <v>1045.4000000000001</v>
      </c>
      <c r="AW176" s="44">
        <f t="shared" ref="AW176:AX176" si="920">AW157+AW164+AW170</f>
        <v>1142.2</v>
      </c>
      <c r="AX176" s="44">
        <f t="shared" si="920"/>
        <v>1129.0999999999999</v>
      </c>
      <c r="AY176" s="44">
        <f t="shared" ref="AY176:AZ176" si="921">AY157+AY164+AY170</f>
        <v>1156.9000000000001</v>
      </c>
      <c r="AZ176" s="45">
        <f t="shared" si="921"/>
        <v>1170.7</v>
      </c>
      <c r="BA176" s="44">
        <f t="shared" si="916"/>
        <v>1183.2639524000001</v>
      </c>
      <c r="BB176" s="44">
        <f t="shared" si="916"/>
        <v>1206.9292314480001</v>
      </c>
      <c r="BC176" s="44">
        <f t="shared" si="916"/>
        <v>1231.0678160769601</v>
      </c>
      <c r="BD176" s="44">
        <f t="shared" si="916"/>
        <v>1267.0276147515222</v>
      </c>
      <c r="BE176" s="44">
        <f t="shared" si="916"/>
        <v>1304.0378081353178</v>
      </c>
      <c r="BF176" s="44">
        <f t="shared" si="916"/>
        <v>1342.1290785204026</v>
      </c>
      <c r="BG176" s="44">
        <f t="shared" si="916"/>
        <v>1375.8920131519315</v>
      </c>
      <c r="BH176" s="44">
        <f t="shared" si="916"/>
        <v>1410.5042966077847</v>
      </c>
      <c r="BI176" s="44">
        <f t="shared" si="916"/>
        <v>1438.8554329696012</v>
      </c>
      <c r="BJ176" s="44">
        <f t="shared" ref="BJ176:BK176" si="922">BJ157+BJ164+BJ170</f>
        <v>1467.7764271722901</v>
      </c>
      <c r="BK176" s="44">
        <f t="shared" si="922"/>
        <v>1497.2787333584531</v>
      </c>
      <c r="BL176" s="44">
        <f t="shared" ref="BL176:BM176" si="923">BL157+BL164+BL170</f>
        <v>1527.374035898958</v>
      </c>
      <c r="BM176" s="44">
        <f t="shared" si="923"/>
        <v>1558.0742540205272</v>
      </c>
      <c r="BN176" s="44">
        <f t="shared" ref="BN176:BO176" si="924">BN157+BN164+BN170</f>
        <v>1589.3915465263399</v>
      </c>
      <c r="BO176" s="44">
        <f t="shared" si="924"/>
        <v>1621.3383166115193</v>
      </c>
      <c r="BP176" s="44">
        <f t="shared" ref="BP176:BQ176" si="925">BP157+BP164+BP170</f>
        <v>1653.9272167754109</v>
      </c>
      <c r="BQ176" s="44">
        <f t="shared" si="925"/>
        <v>1687.1711538325967</v>
      </c>
      <c r="BR176" s="44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380"/>
      <c r="CQ176" s="42"/>
      <c r="CR176" s="42"/>
      <c r="CS176" s="42"/>
      <c r="CT176" s="44">
        <f t="shared" ref="CT176:CV176" si="926">CT157+CT164+CT170</f>
        <v>4.7654399999999999</v>
      </c>
      <c r="CU176" s="44">
        <f t="shared" si="926"/>
        <v>106.78167164179105</v>
      </c>
      <c r="CV176" s="44">
        <f t="shared" si="926"/>
        <v>361</v>
      </c>
      <c r="CW176" s="44">
        <f t="shared" ref="CW176:CW181" si="927">AS176</f>
        <v>622</v>
      </c>
      <c r="CX176" s="44">
        <f t="shared" ref="CX176:CX181" si="928">AU176</f>
        <v>949.4</v>
      </c>
      <c r="CY176" s="44">
        <f t="shared" ref="CY176:CY181" si="929">AW176</f>
        <v>1142.2</v>
      </c>
      <c r="CZ176" s="45">
        <f t="shared" ref="CZ176:CZ181" si="930">AY176</f>
        <v>1156.9000000000001</v>
      </c>
      <c r="DA176" s="44">
        <f t="shared" ref="DA176:DA181" si="931">BA176</f>
        <v>1183.2639524000001</v>
      </c>
      <c r="DB176" s="44">
        <f t="shared" ref="DB176:DB181" si="932">BC176</f>
        <v>1231.0678160769601</v>
      </c>
      <c r="DC176" s="44">
        <f t="shared" ref="DC176:DC181" si="933">BE176</f>
        <v>1304.0378081353178</v>
      </c>
      <c r="DD176" s="44">
        <f t="shared" ref="DD176:DD181" si="934">BG176</f>
        <v>1375.8920131519315</v>
      </c>
      <c r="DE176" s="44">
        <f t="shared" ref="DE176:DE181" si="935">BI176</f>
        <v>1438.8554329696012</v>
      </c>
      <c r="DF176" s="44">
        <f t="shared" ref="DF176:DF181" si="936">BK176</f>
        <v>1497.2787333584531</v>
      </c>
      <c r="DG176" s="44">
        <f t="shared" ref="DG176:DG181" si="937">BM176</f>
        <v>1558.0742540205272</v>
      </c>
      <c r="DH176" s="44">
        <f t="shared" ref="DH176:DH181" si="938">BO176</f>
        <v>1621.3383166115193</v>
      </c>
      <c r="DI176" s="44">
        <f t="shared" ref="DI176:DI181" si="939">BQ176</f>
        <v>1687.1711538325967</v>
      </c>
    </row>
    <row r="177" spans="1:113" ht="12" hidden="1" outlineLevel="1">
      <c r="A177" s="1" t="s">
        <v>605</v>
      </c>
      <c r="B177" s="19" t="s">
        <v>341</v>
      </c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4">
        <f t="shared" ref="AP177:BI177" si="940">AP178-AP176</f>
        <v>2384</v>
      </c>
      <c r="AQ177" s="44">
        <f t="shared" ref="AQ177:AR177" si="941">AQ178-AQ176</f>
        <v>3157</v>
      </c>
      <c r="AR177" s="44">
        <f t="shared" si="941"/>
        <v>4357</v>
      </c>
      <c r="AS177" s="44">
        <f t="shared" ref="AS177:AT177" si="942">AS178-AS176</f>
        <v>5470</v>
      </c>
      <c r="AT177" s="44">
        <f t="shared" si="942"/>
        <v>6715</v>
      </c>
      <c r="AU177" s="44">
        <f t="shared" ref="AU177:AV177" si="943">AU178-AU176</f>
        <v>7958.4</v>
      </c>
      <c r="AV177" s="44">
        <f t="shared" si="943"/>
        <v>8657.5</v>
      </c>
      <c r="AW177" s="44">
        <f t="shared" ref="AW177:AX177" si="944">AW178-AW176</f>
        <v>9569.1999999999989</v>
      </c>
      <c r="AX177" s="44">
        <f t="shared" si="944"/>
        <v>10517.8</v>
      </c>
      <c r="AY177" s="44">
        <f t="shared" ref="AY177:AZ177" si="945">AY178-AY176</f>
        <v>11308.4</v>
      </c>
      <c r="AZ177" s="45">
        <f t="shared" si="945"/>
        <v>12223.3</v>
      </c>
      <c r="BA177" s="44">
        <f t="shared" si="940"/>
        <v>13347.8436</v>
      </c>
      <c r="BB177" s="44">
        <f t="shared" si="940"/>
        <v>14255.230007927999</v>
      </c>
      <c r="BC177" s="44">
        <f t="shared" si="940"/>
        <v>15429.005646780792</v>
      </c>
      <c r="BD177" s="44">
        <f t="shared" si="940"/>
        <v>16401.495872697385</v>
      </c>
      <c r="BE177" s="44">
        <f t="shared" si="940"/>
        <v>17671.135668202889</v>
      </c>
      <c r="BF177" s="44">
        <f t="shared" si="940"/>
        <v>18697.651939168794</v>
      </c>
      <c r="BG177" s="44">
        <f t="shared" si="940"/>
        <v>20053.04472823914</v>
      </c>
      <c r="BH177" s="44">
        <f t="shared" si="940"/>
        <v>21030.831189188077</v>
      </c>
      <c r="BI177" s="44">
        <f t="shared" si="940"/>
        <v>22359.138487097192</v>
      </c>
      <c r="BJ177" s="44">
        <f t="shared" ref="BJ177:BK177" si="946">BJ178-BJ176</f>
        <v>23239.864952103952</v>
      </c>
      <c r="BK177" s="44">
        <f t="shared" si="946"/>
        <v>24489.937287877623</v>
      </c>
      <c r="BL177" s="44">
        <f t="shared" ref="BL177:BM177" si="947">BL178-BL176</f>
        <v>25224.635406513953</v>
      </c>
      <c r="BM177" s="44">
        <f t="shared" si="947"/>
        <v>26344.609218563171</v>
      </c>
      <c r="BN177" s="44">
        <f t="shared" ref="BN177:BO177" si="948">BN178-BN176</f>
        <v>27003.22444902725</v>
      </c>
      <c r="BO177" s="44">
        <f t="shared" si="948"/>
        <v>28067.151492318924</v>
      </c>
      <c r="BP177" s="44">
        <f t="shared" ref="BP177:BQ177" si="949">BP178-BP176</f>
        <v>28768.830279626894</v>
      </c>
      <c r="BQ177" s="44">
        <f t="shared" si="949"/>
        <v>29902.609880946988</v>
      </c>
      <c r="BR177" s="44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380"/>
      <c r="CQ177" s="42"/>
      <c r="CR177" s="42"/>
      <c r="CS177" s="42"/>
      <c r="CT177" s="44">
        <f t="shared" ref="CT177:CV177" si="950">CT178-CT176</f>
        <v>233.50655999999998</v>
      </c>
      <c r="CU177" s="44">
        <f t="shared" si="950"/>
        <v>1681.811328358209</v>
      </c>
      <c r="CV177" s="44">
        <f t="shared" si="950"/>
        <v>3157</v>
      </c>
      <c r="CW177" s="44">
        <f t="shared" si="927"/>
        <v>5470</v>
      </c>
      <c r="CX177" s="44">
        <f t="shared" si="928"/>
        <v>7958.4</v>
      </c>
      <c r="CY177" s="44">
        <f t="shared" si="929"/>
        <v>9569.1999999999989</v>
      </c>
      <c r="CZ177" s="45">
        <f t="shared" si="930"/>
        <v>11308.4</v>
      </c>
      <c r="DA177" s="44">
        <f t="shared" si="931"/>
        <v>13347.8436</v>
      </c>
      <c r="DB177" s="44">
        <f t="shared" si="932"/>
        <v>15429.005646780792</v>
      </c>
      <c r="DC177" s="44">
        <f t="shared" si="933"/>
        <v>17671.135668202889</v>
      </c>
      <c r="DD177" s="44">
        <f t="shared" si="934"/>
        <v>20053.04472823914</v>
      </c>
      <c r="DE177" s="44">
        <f t="shared" si="935"/>
        <v>22359.138487097192</v>
      </c>
      <c r="DF177" s="44">
        <f t="shared" si="936"/>
        <v>24489.937287877623</v>
      </c>
      <c r="DG177" s="44">
        <f t="shared" si="937"/>
        <v>26344.609218563171</v>
      </c>
      <c r="DH177" s="44">
        <f t="shared" si="938"/>
        <v>28067.151492318924</v>
      </c>
      <c r="DI177" s="44">
        <f t="shared" si="939"/>
        <v>29902.609880946988</v>
      </c>
    </row>
    <row r="178" spans="1:113" s="24" customFormat="1" ht="12" hidden="1" outlineLevel="1">
      <c r="A178" s="121" t="s">
        <v>606</v>
      </c>
      <c r="B178" s="24" t="s">
        <v>166</v>
      </c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26">
        <f t="shared" ref="AP178:BI178" si="951">AP161+AP167+AP173</f>
        <v>2627</v>
      </c>
      <c r="AQ178" s="526">
        <f t="shared" ref="AQ178:AR178" si="952">AQ161+AQ167+AQ173</f>
        <v>3518</v>
      </c>
      <c r="AR178" s="526">
        <f t="shared" si="952"/>
        <v>4848</v>
      </c>
      <c r="AS178" s="526">
        <f t="shared" ref="AS178:AT178" si="953">AS161+AS167+AS173</f>
        <v>6092</v>
      </c>
      <c r="AT178" s="526">
        <f t="shared" si="953"/>
        <v>7485.3</v>
      </c>
      <c r="AU178" s="526">
        <f t="shared" ref="AU178:AV178" si="954">AU161+AU167+AU173</f>
        <v>8907.7999999999993</v>
      </c>
      <c r="AV178" s="526">
        <f t="shared" si="954"/>
        <v>9702.9</v>
      </c>
      <c r="AW178" s="526">
        <f t="shared" ref="AW178:AX178" si="955">AW161+AW167+AW173</f>
        <v>10711.4</v>
      </c>
      <c r="AX178" s="526">
        <f t="shared" si="955"/>
        <v>11646.9</v>
      </c>
      <c r="AY178" s="526">
        <f t="shared" ref="AY178:AZ178" si="956">AY161+AY167+AY173</f>
        <v>12465.3</v>
      </c>
      <c r="AZ178" s="524">
        <f t="shared" si="956"/>
        <v>13394</v>
      </c>
      <c r="BA178" s="526">
        <f t="shared" si="951"/>
        <v>14531.107552400001</v>
      </c>
      <c r="BB178" s="526">
        <f t="shared" si="951"/>
        <v>15462.159239376</v>
      </c>
      <c r="BC178" s="526">
        <f t="shared" si="951"/>
        <v>16660.073462857752</v>
      </c>
      <c r="BD178" s="526">
        <f t="shared" si="951"/>
        <v>17668.523487448907</v>
      </c>
      <c r="BE178" s="526">
        <f t="shared" si="951"/>
        <v>18975.173476338208</v>
      </c>
      <c r="BF178" s="526">
        <f t="shared" si="951"/>
        <v>20039.781017689198</v>
      </c>
      <c r="BG178" s="526">
        <f t="shared" si="951"/>
        <v>21428.93674139107</v>
      </c>
      <c r="BH178" s="526">
        <f t="shared" si="951"/>
        <v>22441.335485795862</v>
      </c>
      <c r="BI178" s="526">
        <f t="shared" si="951"/>
        <v>23797.993920066794</v>
      </c>
      <c r="BJ178" s="526">
        <f t="shared" ref="BJ178:BK178" si="957">BJ161+BJ167+BJ173</f>
        <v>24707.641379276243</v>
      </c>
      <c r="BK178" s="526">
        <f t="shared" si="957"/>
        <v>25987.216021236076</v>
      </c>
      <c r="BL178" s="526">
        <f t="shared" ref="BL178:BM178" si="958">BL161+BL167+BL173</f>
        <v>26752.009442412913</v>
      </c>
      <c r="BM178" s="526">
        <f t="shared" si="958"/>
        <v>27902.6834725837</v>
      </c>
      <c r="BN178" s="526">
        <f t="shared" ref="BN178:BO178" si="959">BN161+BN167+BN173</f>
        <v>28592.615995553591</v>
      </c>
      <c r="BO178" s="526">
        <f t="shared" si="959"/>
        <v>29688.489808930444</v>
      </c>
      <c r="BP178" s="526">
        <f t="shared" ref="BP178:BQ178" si="960">BP161+BP167+BP173</f>
        <v>30422.757496402304</v>
      </c>
      <c r="BQ178" s="526">
        <f t="shared" si="960"/>
        <v>31589.781034779586</v>
      </c>
      <c r="BR178" s="526"/>
      <c r="BS178" s="55"/>
      <c r="BT178" s="55"/>
      <c r="BU178" s="55"/>
      <c r="BV178" s="55"/>
      <c r="BW178" s="55"/>
      <c r="BX178" s="5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55"/>
      <c r="CO178" s="55"/>
      <c r="CP178" s="442"/>
      <c r="CQ178" s="55"/>
      <c r="CR178" s="55"/>
      <c r="CS178" s="55"/>
      <c r="CT178" s="526">
        <f t="shared" ref="CT178:CV178" si="961">CT161+CT167+CT173</f>
        <v>238.27199999999999</v>
      </c>
      <c r="CU178" s="526">
        <f t="shared" si="961"/>
        <v>1788.5930000000001</v>
      </c>
      <c r="CV178" s="526">
        <f t="shared" si="961"/>
        <v>3518</v>
      </c>
      <c r="CW178" s="526">
        <f t="shared" si="927"/>
        <v>6092</v>
      </c>
      <c r="CX178" s="526">
        <f t="shared" si="928"/>
        <v>8907.7999999999993</v>
      </c>
      <c r="CY178" s="526">
        <f t="shared" si="929"/>
        <v>10711.4</v>
      </c>
      <c r="CZ178" s="524">
        <f t="shared" si="930"/>
        <v>12465.3</v>
      </c>
      <c r="DA178" s="526">
        <f t="shared" si="931"/>
        <v>14531.107552400001</v>
      </c>
      <c r="DB178" s="526">
        <f t="shared" si="932"/>
        <v>16660.073462857752</v>
      </c>
      <c r="DC178" s="526">
        <f t="shared" si="933"/>
        <v>18975.173476338208</v>
      </c>
      <c r="DD178" s="526">
        <f t="shared" si="934"/>
        <v>21428.93674139107</v>
      </c>
      <c r="DE178" s="526">
        <f t="shared" si="935"/>
        <v>23797.993920066794</v>
      </c>
      <c r="DF178" s="526">
        <f t="shared" si="936"/>
        <v>25987.216021236076</v>
      </c>
      <c r="DG178" s="526">
        <f t="shared" si="937"/>
        <v>27902.6834725837</v>
      </c>
      <c r="DH178" s="526">
        <f t="shared" si="938"/>
        <v>29688.489808930444</v>
      </c>
      <c r="DI178" s="526">
        <f t="shared" si="939"/>
        <v>31589.781034779586</v>
      </c>
    </row>
    <row r="179" spans="1:113" ht="12" hidden="1" outlineLevel="1">
      <c r="A179" s="1" t="s">
        <v>607</v>
      </c>
      <c r="B179" s="19" t="s">
        <v>342</v>
      </c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525">
        <v>0</v>
      </c>
      <c r="AQ179" s="525">
        <v>0</v>
      </c>
      <c r="AR179" s="525">
        <v>0</v>
      </c>
      <c r="AS179" s="525">
        <v>0</v>
      </c>
      <c r="AT179" s="525">
        <v>0</v>
      </c>
      <c r="AU179" s="525">
        <v>0</v>
      </c>
      <c r="AV179" s="525">
        <v>0</v>
      </c>
      <c r="AW179" s="525">
        <v>0</v>
      </c>
      <c r="AX179" s="525">
        <v>0</v>
      </c>
      <c r="AY179" s="525">
        <v>0</v>
      </c>
      <c r="AZ179" s="523">
        <v>0</v>
      </c>
      <c r="BA179" s="44">
        <f t="shared" ref="BA179:BI179" si="962">AZ179*(1+BA53)</f>
        <v>0</v>
      </c>
      <c r="BB179" s="44">
        <f t="shared" si="962"/>
        <v>0</v>
      </c>
      <c r="BC179" s="44">
        <f t="shared" si="962"/>
        <v>0</v>
      </c>
      <c r="BD179" s="44">
        <f t="shared" si="962"/>
        <v>0</v>
      </c>
      <c r="BE179" s="44">
        <f t="shared" si="962"/>
        <v>0</v>
      </c>
      <c r="BF179" s="44">
        <f t="shared" si="962"/>
        <v>0</v>
      </c>
      <c r="BG179" s="44">
        <f t="shared" si="962"/>
        <v>0</v>
      </c>
      <c r="BH179" s="44">
        <f t="shared" si="962"/>
        <v>0</v>
      </c>
      <c r="BI179" s="44">
        <f t="shared" si="962"/>
        <v>0</v>
      </c>
      <c r="BJ179" s="44">
        <f t="shared" ref="BJ179" si="963">BI179*(1+BJ53)</f>
        <v>0</v>
      </c>
      <c r="BK179" s="44">
        <f t="shared" ref="BK179" si="964">BJ179*(1+BK53)</f>
        <v>0</v>
      </c>
      <c r="BL179" s="44">
        <f t="shared" ref="BL179" si="965">BK179*(1+BL53)</f>
        <v>0</v>
      </c>
      <c r="BM179" s="44">
        <f t="shared" ref="BM179" si="966">BL179*(1+BM53)</f>
        <v>0</v>
      </c>
      <c r="BN179" s="44">
        <f t="shared" ref="BN179" si="967">BM179*(1+BN53)</f>
        <v>0</v>
      </c>
      <c r="BO179" s="44">
        <f t="shared" ref="BO179" si="968">BN179*(1+BO53)</f>
        <v>0</v>
      </c>
      <c r="BP179" s="44">
        <f t="shared" ref="BP179" si="969">BO179*(1+BP53)</f>
        <v>0</v>
      </c>
      <c r="BQ179" s="44">
        <f t="shared" ref="BQ179" si="970">BP179*(1+BQ53)</f>
        <v>0</v>
      </c>
      <c r="BR179" s="44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380"/>
      <c r="CQ179" s="42"/>
      <c r="CR179" s="42"/>
      <c r="CS179" s="42"/>
      <c r="CT179" s="525">
        <v>0</v>
      </c>
      <c r="CU179" s="525">
        <v>0</v>
      </c>
      <c r="CV179" s="44">
        <f t="shared" ref="CV179:CV180" si="971">AQ179</f>
        <v>0</v>
      </c>
      <c r="CW179" s="44">
        <f t="shared" si="927"/>
        <v>0</v>
      </c>
      <c r="CX179" s="44">
        <f t="shared" si="928"/>
        <v>0</v>
      </c>
      <c r="CY179" s="44">
        <f t="shared" si="929"/>
        <v>0</v>
      </c>
      <c r="CZ179" s="45">
        <f t="shared" si="930"/>
        <v>0</v>
      </c>
      <c r="DA179" s="44">
        <f t="shared" si="931"/>
        <v>0</v>
      </c>
      <c r="DB179" s="44">
        <f t="shared" si="932"/>
        <v>0</v>
      </c>
      <c r="DC179" s="44">
        <f t="shared" si="933"/>
        <v>0</v>
      </c>
      <c r="DD179" s="44">
        <f t="shared" si="934"/>
        <v>0</v>
      </c>
      <c r="DE179" s="44">
        <f t="shared" si="935"/>
        <v>0</v>
      </c>
      <c r="DF179" s="44">
        <f t="shared" si="936"/>
        <v>0</v>
      </c>
      <c r="DG179" s="44">
        <f t="shared" si="937"/>
        <v>0</v>
      </c>
      <c r="DH179" s="44">
        <f t="shared" si="938"/>
        <v>0</v>
      </c>
      <c r="DI179" s="44">
        <f t="shared" si="939"/>
        <v>0</v>
      </c>
    </row>
    <row r="180" spans="1:113" ht="12" hidden="1" outlineLevel="1">
      <c r="A180" s="1" t="s">
        <v>608</v>
      </c>
      <c r="B180" s="19" t="s">
        <v>586</v>
      </c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525">
        <v>0</v>
      </c>
      <c r="AQ180" s="525">
        <v>0</v>
      </c>
      <c r="AR180" s="525">
        <v>0</v>
      </c>
      <c r="AS180" s="525">
        <v>0</v>
      </c>
      <c r="AT180" s="525">
        <v>0</v>
      </c>
      <c r="AU180" s="525">
        <v>0</v>
      </c>
      <c r="AV180" s="525">
        <v>0</v>
      </c>
      <c r="AW180" s="525">
        <v>0</v>
      </c>
      <c r="AX180" s="525">
        <v>0</v>
      </c>
      <c r="AY180" s="525">
        <v>0</v>
      </c>
      <c r="AZ180" s="523">
        <v>0</v>
      </c>
      <c r="BA180" s="44">
        <f t="shared" ref="BA180:BI180" si="972">AZ180*(1+BA52)</f>
        <v>0</v>
      </c>
      <c r="BB180" s="44">
        <f t="shared" si="972"/>
        <v>0</v>
      </c>
      <c r="BC180" s="44">
        <f t="shared" si="972"/>
        <v>0</v>
      </c>
      <c r="BD180" s="44">
        <f t="shared" si="972"/>
        <v>0</v>
      </c>
      <c r="BE180" s="44">
        <f t="shared" si="972"/>
        <v>0</v>
      </c>
      <c r="BF180" s="44">
        <f t="shared" si="972"/>
        <v>0</v>
      </c>
      <c r="BG180" s="44">
        <f t="shared" si="972"/>
        <v>0</v>
      </c>
      <c r="BH180" s="44">
        <f t="shared" si="972"/>
        <v>0</v>
      </c>
      <c r="BI180" s="44">
        <f t="shared" si="972"/>
        <v>0</v>
      </c>
      <c r="BJ180" s="44">
        <f t="shared" ref="BJ180" si="973">BI180*(1+BJ52)</f>
        <v>0</v>
      </c>
      <c r="BK180" s="44">
        <f t="shared" ref="BK180" si="974">BJ180*(1+BK52)</f>
        <v>0</v>
      </c>
      <c r="BL180" s="44">
        <f t="shared" ref="BL180" si="975">BK180*(1+BL52)</f>
        <v>0</v>
      </c>
      <c r="BM180" s="44">
        <f t="shared" ref="BM180" si="976">BL180*(1+BM52)</f>
        <v>0</v>
      </c>
      <c r="BN180" s="44">
        <f t="shared" ref="BN180" si="977">BM180*(1+BN52)</f>
        <v>0</v>
      </c>
      <c r="BO180" s="44">
        <f t="shared" ref="BO180" si="978">BN180*(1+BO52)</f>
        <v>0</v>
      </c>
      <c r="BP180" s="44">
        <f t="shared" ref="BP180" si="979">BO180*(1+BP52)</f>
        <v>0</v>
      </c>
      <c r="BQ180" s="44">
        <f t="shared" ref="BQ180" si="980">BP180*(1+BQ52)</f>
        <v>0</v>
      </c>
      <c r="BR180" s="44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380"/>
      <c r="CQ180" s="42"/>
      <c r="CR180" s="42"/>
      <c r="CS180" s="42"/>
      <c r="CT180" s="525">
        <v>0</v>
      </c>
      <c r="CU180" s="525">
        <v>0</v>
      </c>
      <c r="CV180" s="44">
        <f t="shared" si="971"/>
        <v>0</v>
      </c>
      <c r="CW180" s="44">
        <f t="shared" si="927"/>
        <v>0</v>
      </c>
      <c r="CX180" s="44">
        <f t="shared" si="928"/>
        <v>0</v>
      </c>
      <c r="CY180" s="44">
        <f t="shared" si="929"/>
        <v>0</v>
      </c>
      <c r="CZ180" s="45">
        <f t="shared" si="930"/>
        <v>0</v>
      </c>
      <c r="DA180" s="44">
        <f t="shared" si="931"/>
        <v>0</v>
      </c>
      <c r="DB180" s="44">
        <f t="shared" si="932"/>
        <v>0</v>
      </c>
      <c r="DC180" s="44">
        <f t="shared" si="933"/>
        <v>0</v>
      </c>
      <c r="DD180" s="44">
        <f t="shared" si="934"/>
        <v>0</v>
      </c>
      <c r="DE180" s="44">
        <f t="shared" si="935"/>
        <v>0</v>
      </c>
      <c r="DF180" s="44">
        <f t="shared" si="936"/>
        <v>0</v>
      </c>
      <c r="DG180" s="44">
        <f t="shared" si="937"/>
        <v>0</v>
      </c>
      <c r="DH180" s="44">
        <f t="shared" si="938"/>
        <v>0</v>
      </c>
      <c r="DI180" s="44">
        <f t="shared" si="939"/>
        <v>0</v>
      </c>
    </row>
    <row r="181" spans="1:113" s="24" customFormat="1" ht="12" hidden="1" outlineLevel="1">
      <c r="A181" s="1" t="s">
        <v>609</v>
      </c>
      <c r="B181" s="24" t="s">
        <v>587</v>
      </c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26">
        <f t="shared" ref="AP181:BI181" si="981">AP178+AP179+AP180</f>
        <v>2627</v>
      </c>
      <c r="AQ181" s="526">
        <f t="shared" ref="AQ181:AR181" si="982">AQ178+AQ179+AQ180</f>
        <v>3518</v>
      </c>
      <c r="AR181" s="526">
        <f t="shared" si="982"/>
        <v>4848</v>
      </c>
      <c r="AS181" s="526">
        <f t="shared" ref="AS181:AT181" si="983">AS178+AS179+AS180</f>
        <v>6092</v>
      </c>
      <c r="AT181" s="526">
        <f t="shared" si="983"/>
        <v>7485.3</v>
      </c>
      <c r="AU181" s="526">
        <f t="shared" ref="AU181:AV181" si="984">AU178+AU179+AU180</f>
        <v>8907.7999999999993</v>
      </c>
      <c r="AV181" s="526">
        <f t="shared" si="984"/>
        <v>9702.9</v>
      </c>
      <c r="AW181" s="526">
        <f t="shared" ref="AW181:AX181" si="985">AW178+AW179+AW180</f>
        <v>10711.4</v>
      </c>
      <c r="AX181" s="526">
        <f t="shared" si="985"/>
        <v>11646.9</v>
      </c>
      <c r="AY181" s="526">
        <f t="shared" ref="AY181:AZ181" si="986">AY178+AY179+AY180</f>
        <v>12465.3</v>
      </c>
      <c r="AZ181" s="524">
        <f t="shared" si="986"/>
        <v>13394</v>
      </c>
      <c r="BA181" s="526">
        <f t="shared" si="981"/>
        <v>14531.107552400001</v>
      </c>
      <c r="BB181" s="526">
        <f t="shared" si="981"/>
        <v>15462.159239376</v>
      </c>
      <c r="BC181" s="526">
        <f t="shared" si="981"/>
        <v>16660.073462857752</v>
      </c>
      <c r="BD181" s="526">
        <f t="shared" si="981"/>
        <v>17668.523487448907</v>
      </c>
      <c r="BE181" s="526">
        <f t="shared" si="981"/>
        <v>18975.173476338208</v>
      </c>
      <c r="BF181" s="526">
        <f t="shared" si="981"/>
        <v>20039.781017689198</v>
      </c>
      <c r="BG181" s="526">
        <f t="shared" si="981"/>
        <v>21428.93674139107</v>
      </c>
      <c r="BH181" s="526">
        <f t="shared" si="981"/>
        <v>22441.335485795862</v>
      </c>
      <c r="BI181" s="526">
        <f t="shared" si="981"/>
        <v>23797.993920066794</v>
      </c>
      <c r="BJ181" s="526">
        <f t="shared" ref="BJ181:BK181" si="987">BJ178+BJ179+BJ180</f>
        <v>24707.641379276243</v>
      </c>
      <c r="BK181" s="526">
        <f t="shared" si="987"/>
        <v>25987.216021236076</v>
      </c>
      <c r="BL181" s="526">
        <f t="shared" ref="BL181:BM181" si="988">BL178+BL179+BL180</f>
        <v>26752.009442412913</v>
      </c>
      <c r="BM181" s="526">
        <f t="shared" si="988"/>
        <v>27902.6834725837</v>
      </c>
      <c r="BN181" s="526">
        <f t="shared" ref="BN181:BO181" si="989">BN178+BN179+BN180</f>
        <v>28592.615995553591</v>
      </c>
      <c r="BO181" s="526">
        <f t="shared" si="989"/>
        <v>29688.489808930444</v>
      </c>
      <c r="BP181" s="526">
        <f t="shared" ref="BP181:BQ181" si="990">BP178+BP179+BP180</f>
        <v>30422.757496402304</v>
      </c>
      <c r="BQ181" s="526">
        <f t="shared" si="990"/>
        <v>31589.781034779586</v>
      </c>
      <c r="BR181" s="526"/>
      <c r="BS181" s="55"/>
      <c r="BT181" s="55"/>
      <c r="BU181" s="55"/>
      <c r="BV181" s="55"/>
      <c r="BW181" s="55"/>
      <c r="BX181" s="5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55"/>
      <c r="CO181" s="55"/>
      <c r="CP181" s="442"/>
      <c r="CQ181" s="55"/>
      <c r="CR181" s="55"/>
      <c r="CS181" s="55"/>
      <c r="CT181" s="526">
        <f t="shared" ref="CT181:CV181" si="991">CT178+CT179+CT180</f>
        <v>238.27199999999999</v>
      </c>
      <c r="CU181" s="526">
        <f t="shared" si="991"/>
        <v>1788.5930000000001</v>
      </c>
      <c r="CV181" s="526">
        <f t="shared" si="991"/>
        <v>3518</v>
      </c>
      <c r="CW181" s="526">
        <f t="shared" si="927"/>
        <v>6092</v>
      </c>
      <c r="CX181" s="526">
        <f t="shared" si="928"/>
        <v>8907.7999999999993</v>
      </c>
      <c r="CY181" s="526">
        <f t="shared" si="929"/>
        <v>10711.4</v>
      </c>
      <c r="CZ181" s="524">
        <f t="shared" si="930"/>
        <v>12465.3</v>
      </c>
      <c r="DA181" s="526">
        <f t="shared" si="931"/>
        <v>14531.107552400001</v>
      </c>
      <c r="DB181" s="526">
        <f t="shared" si="932"/>
        <v>16660.073462857752</v>
      </c>
      <c r="DC181" s="526">
        <f t="shared" si="933"/>
        <v>18975.173476338208</v>
      </c>
      <c r="DD181" s="526">
        <f t="shared" si="934"/>
        <v>21428.93674139107</v>
      </c>
      <c r="DE181" s="526">
        <f t="shared" si="935"/>
        <v>23797.993920066794</v>
      </c>
      <c r="DF181" s="526">
        <f t="shared" si="936"/>
        <v>25987.216021236076</v>
      </c>
      <c r="DG181" s="526">
        <f t="shared" si="937"/>
        <v>27902.6834725837</v>
      </c>
      <c r="DH181" s="526">
        <f t="shared" si="938"/>
        <v>29688.489808930444</v>
      </c>
      <c r="DI181" s="526">
        <f t="shared" si="939"/>
        <v>31589.781034779586</v>
      </c>
    </row>
    <row r="182" spans="1:113" ht="12" hidden="1" outlineLevel="1"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394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5"/>
      <c r="BA182" s="639"/>
      <c r="BB182" s="639"/>
      <c r="BC182" s="639"/>
      <c r="BD182" s="639"/>
      <c r="BE182" s="639"/>
      <c r="BF182" s="639"/>
      <c r="BG182" s="639"/>
      <c r="BH182" s="639"/>
      <c r="BI182" s="639"/>
      <c r="BJ182" s="639"/>
      <c r="BK182" s="639"/>
      <c r="BL182" s="639"/>
      <c r="BM182" s="639"/>
      <c r="BN182" s="639"/>
      <c r="BO182" s="639"/>
      <c r="BP182" s="639"/>
      <c r="BQ182" s="639"/>
      <c r="BR182" s="44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4"/>
      <c r="CU182" s="44"/>
      <c r="CV182" s="572"/>
      <c r="CW182" s="572"/>
      <c r="CX182" s="572"/>
      <c r="CY182" s="572"/>
      <c r="CZ182" s="45"/>
      <c r="DA182" s="44"/>
      <c r="DB182" s="44"/>
      <c r="DC182" s="529"/>
      <c r="DD182" s="529"/>
      <c r="DE182" s="529"/>
      <c r="DF182" s="529"/>
      <c r="DG182" s="529"/>
      <c r="DH182" s="529"/>
      <c r="DI182" s="529"/>
    </row>
    <row r="183" spans="1:113" s="24" customFormat="1" ht="12" hidden="1" outlineLevel="1">
      <c r="A183" s="1"/>
      <c r="B183" s="24" t="s">
        <v>588</v>
      </c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5"/>
      <c r="AB183" s="55"/>
      <c r="AC183" s="55"/>
      <c r="AD183" s="55"/>
      <c r="AE183" s="55"/>
      <c r="AF183" s="55"/>
      <c r="AG183" s="555"/>
      <c r="AH183" s="555"/>
      <c r="AI183" s="555"/>
      <c r="AJ183" s="55"/>
      <c r="AK183" s="55"/>
      <c r="AL183" s="55"/>
      <c r="AM183" s="55"/>
      <c r="AN183" s="55"/>
      <c r="AO183" s="55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4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5"/>
      <c r="BT183" s="55"/>
      <c r="BU183" s="55"/>
      <c r="BV183" s="55"/>
      <c r="BW183" s="55"/>
      <c r="BX183" s="55"/>
      <c r="BY183" s="55"/>
      <c r="BZ183" s="55"/>
      <c r="CA183" s="55"/>
      <c r="CB183" s="55"/>
      <c r="CC183" s="55"/>
      <c r="CD183" s="55"/>
      <c r="CE183" s="55"/>
      <c r="CF183" s="55"/>
      <c r="CG183" s="55"/>
      <c r="CH183" s="55"/>
      <c r="CI183" s="55"/>
      <c r="CJ183" s="55"/>
      <c r="CK183" s="55"/>
      <c r="CL183" s="55"/>
      <c r="CM183" s="55"/>
      <c r="CN183" s="55"/>
      <c r="CO183" s="55"/>
      <c r="CP183" s="55"/>
      <c r="CQ183" s="55"/>
      <c r="CR183" s="55"/>
      <c r="CS183" s="55"/>
      <c r="CT183" s="526"/>
      <c r="CU183" s="526"/>
      <c r="CV183" s="526"/>
      <c r="CW183" s="526"/>
      <c r="CX183" s="526"/>
      <c r="CY183" s="526"/>
      <c r="CZ183" s="524"/>
      <c r="DA183" s="526"/>
      <c r="DB183" s="526"/>
      <c r="DC183" s="541"/>
      <c r="DD183" s="541"/>
      <c r="DE183" s="541"/>
      <c r="DF183" s="541"/>
      <c r="DG183" s="541"/>
      <c r="DH183" s="541"/>
      <c r="DI183" s="541"/>
    </row>
    <row r="184" spans="1:113" ht="12" hidden="1" outlineLevel="1">
      <c r="A184" s="1" t="s">
        <v>610</v>
      </c>
      <c r="B184" s="19" t="s">
        <v>589</v>
      </c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525">
        <v>0</v>
      </c>
      <c r="AQ184" s="525">
        <v>0</v>
      </c>
      <c r="AR184" s="525">
        <v>0</v>
      </c>
      <c r="AS184" s="525">
        <v>0</v>
      </c>
      <c r="AT184" s="525">
        <v>0</v>
      </c>
      <c r="AU184" s="525">
        <v>0</v>
      </c>
      <c r="AV184" s="525">
        <v>0</v>
      </c>
      <c r="AW184" s="525">
        <v>0</v>
      </c>
      <c r="AX184" s="525">
        <v>0</v>
      </c>
      <c r="AY184" s="525">
        <v>0</v>
      </c>
      <c r="AZ184" s="523">
        <v>0</v>
      </c>
      <c r="BA184" s="44">
        <f t="shared" ref="BA184:BA185" si="992">AZ184*BA$204/AZ$204</f>
        <v>0</v>
      </c>
      <c r="BB184" s="44">
        <f t="shared" ref="BB184:BB185" si="993">BA184*BB$204/BA$204</f>
        <v>0</v>
      </c>
      <c r="BC184" s="44">
        <f t="shared" ref="BC184:BC185" si="994">BB184*BC$204/BB$204</f>
        <v>0</v>
      </c>
      <c r="BD184" s="44">
        <f t="shared" ref="BD184:BD185" si="995">BC184*BD$204/BC$204</f>
        <v>0</v>
      </c>
      <c r="BE184" s="44">
        <f t="shared" ref="BE184:BE185" si="996">BD184*BE$204/BD$204</f>
        <v>0</v>
      </c>
      <c r="BF184" s="44">
        <f t="shared" ref="BF184:BF185" si="997">BE184*BF$204/BE$204</f>
        <v>0</v>
      </c>
      <c r="BG184" s="44">
        <f t="shared" ref="BG184:BG185" si="998">BF184*BG$204/BF$204</f>
        <v>0</v>
      </c>
      <c r="BH184" s="44">
        <f t="shared" ref="BH184:BH185" si="999">BG184*BH$204/BG$204</f>
        <v>0</v>
      </c>
      <c r="BI184" s="44">
        <f t="shared" ref="BI184:BI185" si="1000">BH184*BI$204/BH$204</f>
        <v>0</v>
      </c>
      <c r="BJ184" s="44">
        <f t="shared" ref="BJ184:BJ185" si="1001">BI184*BJ$204/BI$204</f>
        <v>0</v>
      </c>
      <c r="BK184" s="44">
        <f t="shared" ref="BK184:BK185" si="1002">BJ184*BK$204/BJ$204</f>
        <v>0</v>
      </c>
      <c r="BL184" s="44">
        <f t="shared" ref="BL184:BL185" si="1003">BK184*BL$204/BK$204</f>
        <v>0</v>
      </c>
      <c r="BM184" s="44">
        <f t="shared" ref="BM184:BM185" si="1004">BL184*BM$204/BL$204</f>
        <v>0</v>
      </c>
      <c r="BN184" s="44">
        <f t="shared" ref="BN184:BN185" si="1005">BM184*BN$204/BM$204</f>
        <v>0</v>
      </c>
      <c r="BO184" s="44">
        <f t="shared" ref="BO184:BO185" si="1006">BN184*BO$204/BN$204</f>
        <v>0</v>
      </c>
      <c r="BP184" s="44">
        <f t="shared" ref="BP184:BP185" si="1007">BO184*BP$204/BO$204</f>
        <v>0</v>
      </c>
      <c r="BQ184" s="44">
        <f t="shared" ref="BQ184:BQ185" si="1008">BP184*BQ$204/BP$204</f>
        <v>0</v>
      </c>
      <c r="BR184" s="44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380"/>
      <c r="CQ184" s="42"/>
      <c r="CR184" s="42"/>
      <c r="CS184" s="42"/>
      <c r="CT184" s="525">
        <v>0</v>
      </c>
      <c r="CU184" s="525">
        <v>0</v>
      </c>
      <c r="CV184" s="44">
        <f t="shared" ref="CV184:CV185" si="1009">AQ184</f>
        <v>0</v>
      </c>
      <c r="CW184" s="44">
        <f t="shared" ref="CW184" si="1010">AS184</f>
        <v>0</v>
      </c>
      <c r="CX184" s="44"/>
      <c r="CY184" s="44"/>
      <c r="CZ184" s="45"/>
      <c r="DA184" s="44"/>
      <c r="DB184" s="44"/>
      <c r="DC184" s="529"/>
      <c r="DD184" s="529"/>
      <c r="DE184" s="529"/>
      <c r="DF184" s="529"/>
      <c r="DG184" s="529"/>
      <c r="DH184" s="529"/>
      <c r="DI184" s="529"/>
    </row>
    <row r="185" spans="1:113" ht="12" hidden="1" outlineLevel="1">
      <c r="A185" s="1" t="s">
        <v>611</v>
      </c>
      <c r="B185" s="19" t="s">
        <v>590</v>
      </c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525">
        <v>1986.7</v>
      </c>
      <c r="AQ185" s="525">
        <v>2547.6999999999998</v>
      </c>
      <c r="AR185" s="525">
        <v>3238.8</v>
      </c>
      <c r="AS185" s="525">
        <v>4090.5</v>
      </c>
      <c r="AT185" s="525">
        <v>5259.1</v>
      </c>
      <c r="AU185" s="525">
        <v>5955</v>
      </c>
      <c r="AV185" s="525">
        <v>6921</v>
      </c>
      <c r="AW185" s="525">
        <v>8228</v>
      </c>
      <c r="AX185" s="525">
        <v>8990</v>
      </c>
      <c r="AY185" s="525">
        <v>9879.2000000000007</v>
      </c>
      <c r="AZ185" s="523">
        <v>10858</v>
      </c>
      <c r="BA185" s="44">
        <f t="shared" si="992"/>
        <v>11998.09</v>
      </c>
      <c r="BB185" s="44">
        <f t="shared" si="993"/>
        <v>12957.9372</v>
      </c>
      <c r="BC185" s="44">
        <f t="shared" si="994"/>
        <v>14188.941234000002</v>
      </c>
      <c r="BD185" s="44">
        <f t="shared" si="995"/>
        <v>15202.457306344622</v>
      </c>
      <c r="BE185" s="44">
        <f t="shared" si="996"/>
        <v>16498.466791710503</v>
      </c>
      <c r="BF185" s="44">
        <f t="shared" si="997"/>
        <v>17662.928577869432</v>
      </c>
      <c r="BG185" s="44">
        <f t="shared" si="998"/>
        <v>19086.913879817268</v>
      </c>
      <c r="BH185" s="44">
        <f t="shared" si="999"/>
        <v>19988.664996995423</v>
      </c>
      <c r="BI185" s="44">
        <f t="shared" si="1000"/>
        <v>21197.050789149107</v>
      </c>
      <c r="BJ185" s="44">
        <f t="shared" si="1001"/>
        <v>22007.280569770421</v>
      </c>
      <c r="BK185" s="44">
        <f t="shared" si="1002"/>
        <v>23147.007252835887</v>
      </c>
      <c r="BL185" s="44">
        <f t="shared" si="1003"/>
        <v>23828.214460735155</v>
      </c>
      <c r="BM185" s="44">
        <f t="shared" si="1004"/>
        <v>24853.128406894219</v>
      </c>
      <c r="BN185" s="44">
        <f t="shared" si="1005"/>
        <v>25467.656454073309</v>
      </c>
      <c r="BO185" s="44">
        <f t="shared" si="1006"/>
        <v>26443.75943815973</v>
      </c>
      <c r="BP185" s="44">
        <f t="shared" si="1007"/>
        <v>27097.777147234279</v>
      </c>
      <c r="BQ185" s="44">
        <f t="shared" si="1008"/>
        <v>28137.253722369325</v>
      </c>
      <c r="BR185" s="44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380"/>
      <c r="CQ185" s="42"/>
      <c r="CR185" s="42"/>
      <c r="CS185" s="42"/>
      <c r="CT185" s="525">
        <v>104.4</v>
      </c>
      <c r="CU185" s="525">
        <f>1386.3-CU184</f>
        <v>1386.3</v>
      </c>
      <c r="CV185" s="44">
        <f t="shared" si="1009"/>
        <v>2547.6999999999998</v>
      </c>
      <c r="CW185" s="44">
        <f>AS185</f>
        <v>4090.5</v>
      </c>
      <c r="CX185" s="44"/>
      <c r="CY185" s="44"/>
      <c r="CZ185" s="45"/>
      <c r="DA185" s="44"/>
      <c r="DB185" s="44"/>
      <c r="DC185" s="529"/>
      <c r="DD185" s="529"/>
      <c r="DE185" s="529"/>
      <c r="DF185" s="529"/>
      <c r="DG185" s="529"/>
      <c r="DH185" s="529"/>
      <c r="DI185" s="529"/>
    </row>
    <row r="186" spans="1:113" s="24" customFormat="1" ht="12" hidden="1" outlineLevel="1">
      <c r="A186" s="1" t="s">
        <v>612</v>
      </c>
      <c r="B186" s="24" t="s">
        <v>166</v>
      </c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26">
        <f t="shared" ref="AP186" si="1011">AP184+AP185</f>
        <v>1986.7</v>
      </c>
      <c r="AQ186" s="526">
        <f t="shared" ref="AQ186:AR186" si="1012">AQ184+AQ185</f>
        <v>2547.6999999999998</v>
      </c>
      <c r="AR186" s="526">
        <f t="shared" si="1012"/>
        <v>3238.8</v>
      </c>
      <c r="AS186" s="526">
        <f t="shared" ref="AS186:AT186" si="1013">AS184+AS185</f>
        <v>4090.5</v>
      </c>
      <c r="AT186" s="526">
        <f t="shared" si="1013"/>
        <v>5259.1</v>
      </c>
      <c r="AU186" s="526">
        <f t="shared" ref="AU186:AV186" si="1014">AU184+AU185</f>
        <v>5955</v>
      </c>
      <c r="AV186" s="526">
        <f t="shared" si="1014"/>
        <v>6921</v>
      </c>
      <c r="AW186" s="526">
        <f t="shared" ref="AW186:AX186" si="1015">AW184+AW185</f>
        <v>8228</v>
      </c>
      <c r="AX186" s="526">
        <f t="shared" si="1015"/>
        <v>8990</v>
      </c>
      <c r="AY186" s="526">
        <f t="shared" ref="AY186:AZ186" si="1016">AY184+AY185</f>
        <v>9879.2000000000007</v>
      </c>
      <c r="AZ186" s="524">
        <f t="shared" si="1016"/>
        <v>10858</v>
      </c>
      <c r="BA186" s="526">
        <f t="shared" ref="BA186:BI186" si="1017">BA161/BA55</f>
        <v>11998.09</v>
      </c>
      <c r="BB186" s="526">
        <f t="shared" si="1017"/>
        <v>12957.9372</v>
      </c>
      <c r="BC186" s="526">
        <f t="shared" si="1017"/>
        <v>14188.941234000002</v>
      </c>
      <c r="BD186" s="526">
        <f t="shared" si="1017"/>
        <v>15202.457306344621</v>
      </c>
      <c r="BE186" s="526">
        <f t="shared" si="1017"/>
        <v>16498.4667917105</v>
      </c>
      <c r="BF186" s="526">
        <f t="shared" si="1017"/>
        <v>17662.928577869428</v>
      </c>
      <c r="BG186" s="526">
        <f t="shared" si="1017"/>
        <v>19086.913879817261</v>
      </c>
      <c r="BH186" s="526">
        <f t="shared" si="1017"/>
        <v>19988.664996995416</v>
      </c>
      <c r="BI186" s="526">
        <f t="shared" si="1017"/>
        <v>21197.0507891491</v>
      </c>
      <c r="BJ186" s="526">
        <f t="shared" ref="BJ186" si="1018">BJ161/BJ55</f>
        <v>22007.280569770413</v>
      </c>
      <c r="BK186" s="526">
        <f>BK161/BK55</f>
        <v>23147.00725283588</v>
      </c>
      <c r="BL186" s="526">
        <f t="shared" ref="BL186:BM186" si="1019">BL161/BL55</f>
        <v>23828.214460735151</v>
      </c>
      <c r="BM186" s="526">
        <f t="shared" si="1019"/>
        <v>24853.128406894215</v>
      </c>
      <c r="BN186" s="526">
        <f t="shared" ref="BN186:BP186" si="1020">BN161/BN55</f>
        <v>25467.656454073305</v>
      </c>
      <c r="BO186" s="526">
        <f>BO161/BO55</f>
        <v>26443.759438159726</v>
      </c>
      <c r="BP186" s="526">
        <f t="shared" si="1020"/>
        <v>27097.777147234272</v>
      </c>
      <c r="BQ186" s="526">
        <f>BQ161/BQ55</f>
        <v>28137.253722369322</v>
      </c>
      <c r="BR186" s="526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5"/>
      <c r="CD186" s="55"/>
      <c r="CE186" s="55"/>
      <c r="CF186" s="55"/>
      <c r="CG186" s="55"/>
      <c r="CH186" s="55"/>
      <c r="CI186" s="55"/>
      <c r="CJ186" s="55"/>
      <c r="CK186" s="55"/>
      <c r="CL186" s="55"/>
      <c r="CM186" s="55"/>
      <c r="CN186" s="55"/>
      <c r="CO186" s="55"/>
      <c r="CP186" s="442"/>
      <c r="CQ186" s="55"/>
      <c r="CR186" s="55"/>
      <c r="CS186" s="55"/>
      <c r="CT186" s="526">
        <f t="shared" ref="CT186:CW186" si="1021">CT184+CT185</f>
        <v>104.4</v>
      </c>
      <c r="CU186" s="526">
        <f t="shared" si="1021"/>
        <v>1386.3</v>
      </c>
      <c r="CV186" s="526">
        <f t="shared" si="1021"/>
        <v>2547.6999999999998</v>
      </c>
      <c r="CW186" s="526">
        <f t="shared" si="1021"/>
        <v>4090.5</v>
      </c>
      <c r="CX186" s="526">
        <f>AU186</f>
        <v>5955</v>
      </c>
      <c r="CY186" s="526">
        <f>AW186</f>
        <v>8228</v>
      </c>
      <c r="CZ186" s="524">
        <f>AY186</f>
        <v>9879.2000000000007</v>
      </c>
      <c r="DA186" s="526">
        <f>BA186</f>
        <v>11998.09</v>
      </c>
      <c r="DB186" s="526">
        <f>BC186</f>
        <v>14188.941234000002</v>
      </c>
      <c r="DC186" s="526">
        <f>BE186</f>
        <v>16498.4667917105</v>
      </c>
      <c r="DD186" s="526">
        <f>BG186</f>
        <v>19086.913879817261</v>
      </c>
      <c r="DE186" s="526">
        <f>BI186</f>
        <v>21197.0507891491</v>
      </c>
      <c r="DF186" s="526">
        <f>BK186</f>
        <v>23147.00725283588</v>
      </c>
      <c r="DG186" s="526">
        <f>BM186</f>
        <v>24853.128406894215</v>
      </c>
      <c r="DH186" s="526">
        <f>BO186</f>
        <v>26443.759438159726</v>
      </c>
      <c r="DI186" s="526">
        <f>BQ186</f>
        <v>28137.253722369322</v>
      </c>
    </row>
    <row r="187" spans="1:113" s="57" customFormat="1" ht="12" hidden="1" outlineLevel="1">
      <c r="A187" s="1" t="s">
        <v>613</v>
      </c>
      <c r="B187" s="57" t="s">
        <v>614</v>
      </c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32">
        <v>0</v>
      </c>
      <c r="AQ187" s="532">
        <v>0</v>
      </c>
      <c r="AR187" s="532">
        <v>0</v>
      </c>
      <c r="AS187" s="532">
        <v>0</v>
      </c>
      <c r="AT187" s="532">
        <v>0</v>
      </c>
      <c r="AU187" s="532">
        <v>0</v>
      </c>
      <c r="AV187" s="532">
        <v>0</v>
      </c>
      <c r="AW187" s="532">
        <v>0</v>
      </c>
      <c r="AX187" s="532">
        <v>0</v>
      </c>
      <c r="AY187" s="532">
        <v>0</v>
      </c>
      <c r="AZ187" s="533">
        <v>0</v>
      </c>
      <c r="BA187" s="90">
        <f t="shared" ref="BA187:BI187" si="1022">AZ187*BA186/AZ186</f>
        <v>0</v>
      </c>
      <c r="BB187" s="90">
        <f t="shared" si="1022"/>
        <v>0</v>
      </c>
      <c r="BC187" s="90">
        <f t="shared" si="1022"/>
        <v>0</v>
      </c>
      <c r="BD187" s="90">
        <f t="shared" si="1022"/>
        <v>0</v>
      </c>
      <c r="BE187" s="90">
        <f t="shared" si="1022"/>
        <v>0</v>
      </c>
      <c r="BF187" s="90">
        <f t="shared" si="1022"/>
        <v>0</v>
      </c>
      <c r="BG187" s="90">
        <f t="shared" si="1022"/>
        <v>0</v>
      </c>
      <c r="BH187" s="90">
        <f t="shared" si="1022"/>
        <v>0</v>
      </c>
      <c r="BI187" s="90">
        <f t="shared" si="1022"/>
        <v>0</v>
      </c>
      <c r="BJ187" s="90">
        <f t="shared" ref="BJ187" si="1023">BI187*BJ186/BI186</f>
        <v>0</v>
      </c>
      <c r="BK187" s="90">
        <f t="shared" ref="BK187" si="1024">BJ187*BK186/BJ186</f>
        <v>0</v>
      </c>
      <c r="BL187" s="90">
        <f t="shared" ref="BL187" si="1025">BK187*BL186/BK186</f>
        <v>0</v>
      </c>
      <c r="BM187" s="90">
        <f t="shared" ref="BM187" si="1026">BL187*BM186/BL186</f>
        <v>0</v>
      </c>
      <c r="BN187" s="90">
        <f t="shared" ref="BN187" si="1027">BM187*BN186/BM186</f>
        <v>0</v>
      </c>
      <c r="BO187" s="90">
        <f t="shared" ref="BO187" si="1028">BN187*BO186/BN186</f>
        <v>0</v>
      </c>
      <c r="BP187" s="90">
        <f t="shared" ref="BP187" si="1029">BO187*BP186/BO186</f>
        <v>0</v>
      </c>
      <c r="BQ187" s="90">
        <f t="shared" ref="BQ187" si="1030">BP187*BQ186/BP186</f>
        <v>0</v>
      </c>
      <c r="BR187" s="9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58"/>
      <c r="CD187" s="58"/>
      <c r="CE187" s="58"/>
      <c r="CF187" s="58"/>
      <c r="CG187" s="58"/>
      <c r="CH187" s="58"/>
      <c r="CI187" s="58"/>
      <c r="CJ187" s="58"/>
      <c r="CK187" s="58"/>
      <c r="CL187" s="58"/>
      <c r="CM187" s="58"/>
      <c r="CN187" s="58"/>
      <c r="CO187" s="58"/>
      <c r="CP187" s="443"/>
      <c r="CQ187" s="58"/>
      <c r="CR187" s="58"/>
      <c r="CS187" s="58"/>
      <c r="CT187" s="532">
        <v>0</v>
      </c>
      <c r="CU187" s="532">
        <v>0</v>
      </c>
      <c r="CV187" s="90">
        <f t="shared" ref="CV187" si="1031">AQ187</f>
        <v>0</v>
      </c>
      <c r="CW187" s="90">
        <f>AS187</f>
        <v>0</v>
      </c>
      <c r="CX187" s="90">
        <f>AU187</f>
        <v>0</v>
      </c>
      <c r="CY187" s="90">
        <f>AW187</f>
        <v>0</v>
      </c>
      <c r="CZ187" s="540">
        <f>AY187</f>
        <v>0</v>
      </c>
      <c r="DA187" s="90">
        <f t="shared" ref="DA187" si="1032">BA187</f>
        <v>0</v>
      </c>
      <c r="DB187" s="90">
        <f>BC187</f>
        <v>0</v>
      </c>
      <c r="DC187" s="90">
        <f>BE187</f>
        <v>0</v>
      </c>
      <c r="DD187" s="90">
        <f>BG187</f>
        <v>0</v>
      </c>
      <c r="DE187" s="90">
        <f>BI187</f>
        <v>0</v>
      </c>
      <c r="DF187" s="90">
        <f>BK187</f>
        <v>0</v>
      </c>
      <c r="DG187" s="90">
        <f>BM187</f>
        <v>0</v>
      </c>
      <c r="DH187" s="90">
        <f>BO187</f>
        <v>0</v>
      </c>
      <c r="DI187" s="90">
        <f>BQ187</f>
        <v>0</v>
      </c>
    </row>
    <row r="188" spans="1:113" ht="12" hidden="1" outlineLevel="1"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5"/>
      <c r="BA188" s="44">
        <f>+BA186-AZ186</f>
        <v>1140.0900000000001</v>
      </c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4"/>
      <c r="CU188" s="44"/>
      <c r="CV188" s="44"/>
      <c r="CW188" s="44"/>
      <c r="CX188" s="44"/>
      <c r="CY188" s="44"/>
      <c r="CZ188" s="45"/>
      <c r="DA188" s="44"/>
      <c r="DB188" s="44"/>
      <c r="DC188" s="529"/>
      <c r="DD188" s="529"/>
      <c r="DE188" s="529"/>
      <c r="DF188" s="529"/>
      <c r="DG188" s="529"/>
      <c r="DH188" s="529"/>
      <c r="DI188" s="529"/>
    </row>
    <row r="189" spans="1:113" s="24" customFormat="1" ht="12" hidden="1" outlineLevel="2">
      <c r="A189" s="1"/>
      <c r="B189" s="24" t="s">
        <v>591</v>
      </c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4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5"/>
      <c r="BT189" s="55"/>
      <c r="BU189" s="55"/>
      <c r="BV189" s="55"/>
      <c r="BW189" s="55"/>
      <c r="BX189" s="55"/>
      <c r="BY189" s="55"/>
      <c r="BZ189" s="55"/>
      <c r="CA189" s="55"/>
      <c r="CB189" s="55"/>
      <c r="CC189" s="55"/>
      <c r="CD189" s="55"/>
      <c r="CE189" s="55"/>
      <c r="CF189" s="55"/>
      <c r="CG189" s="55"/>
      <c r="CH189" s="55"/>
      <c r="CI189" s="55"/>
      <c r="CJ189" s="55"/>
      <c r="CK189" s="55"/>
      <c r="CL189" s="55"/>
      <c r="CM189" s="55"/>
      <c r="CN189" s="55"/>
      <c r="CO189" s="55"/>
      <c r="CP189" s="55"/>
      <c r="CQ189" s="55"/>
      <c r="CR189" s="55"/>
      <c r="CS189" s="55"/>
      <c r="CT189" s="526"/>
      <c r="CU189" s="526"/>
      <c r="CV189" s="526"/>
      <c r="CW189" s="526"/>
      <c r="CX189" s="526"/>
      <c r="CY189" s="526"/>
      <c r="CZ189" s="524"/>
      <c r="DA189" s="526"/>
      <c r="DB189" s="526"/>
      <c r="DC189" s="541"/>
      <c r="DD189" s="541"/>
      <c r="DE189" s="541"/>
      <c r="DF189" s="541"/>
      <c r="DG189" s="541"/>
      <c r="DH189" s="541"/>
      <c r="DI189" s="541"/>
    </row>
    <row r="190" spans="1:113" ht="12" hidden="1" outlineLevel="2">
      <c r="A190" s="1" t="s">
        <v>249</v>
      </c>
      <c r="B190" s="19" t="str">
        <f>B$184</f>
        <v>Core deposits</v>
      </c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4">
        <f t="shared" ref="AP190:AP191" si="1033">AP202-AP184-AP196</f>
        <v>0</v>
      </c>
      <c r="AQ190" s="44">
        <f t="shared" ref="AQ190:AR190" si="1034">AQ202-AQ184-AQ196</f>
        <v>0</v>
      </c>
      <c r="AR190" s="44">
        <f t="shared" si="1034"/>
        <v>0</v>
      </c>
      <c r="AS190" s="44">
        <f t="shared" ref="AS190:AT190" si="1035">AS202-AS184-AS196</f>
        <v>0</v>
      </c>
      <c r="AT190" s="44">
        <f t="shared" si="1035"/>
        <v>0</v>
      </c>
      <c r="AU190" s="44">
        <f t="shared" ref="AU190:AV190" si="1036">AU202-AU184-AU196</f>
        <v>0</v>
      </c>
      <c r="AV190" s="44">
        <f t="shared" si="1036"/>
        <v>0</v>
      </c>
      <c r="AW190" s="44">
        <f t="shared" ref="AW190:AX190" si="1037">AW202-AW184-AW196</f>
        <v>0</v>
      </c>
      <c r="AX190" s="44">
        <f t="shared" si="1037"/>
        <v>0</v>
      </c>
      <c r="AY190" s="44">
        <f t="shared" ref="AY190:AZ190" si="1038">AY202-AY184-AY196</f>
        <v>0</v>
      </c>
      <c r="AZ190" s="45">
        <f t="shared" si="1038"/>
        <v>0</v>
      </c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380"/>
      <c r="CQ190" s="42"/>
      <c r="CR190" s="42"/>
      <c r="CS190" s="42"/>
      <c r="CT190" s="525">
        <v>0</v>
      </c>
      <c r="CU190" s="525">
        <v>0</v>
      </c>
      <c r="CV190" s="44">
        <f t="shared" ref="CV190:CV191" si="1039">AQ190</f>
        <v>0</v>
      </c>
      <c r="CW190" s="44">
        <f t="shared" ref="CW190:CW191" si="1040">AS190</f>
        <v>0</v>
      </c>
      <c r="CX190" s="44"/>
      <c r="CY190" s="44"/>
      <c r="CZ190" s="45"/>
      <c r="DA190" s="44"/>
      <c r="DB190" s="44"/>
      <c r="DC190" s="529"/>
      <c r="DD190" s="529"/>
      <c r="DE190" s="529"/>
      <c r="DF190" s="529"/>
      <c r="DG190" s="529"/>
      <c r="DH190" s="529"/>
      <c r="DI190" s="529"/>
    </row>
    <row r="191" spans="1:113" ht="12" hidden="1" outlineLevel="2">
      <c r="A191" s="1" t="s">
        <v>247</v>
      </c>
      <c r="B191" s="19" t="str">
        <f>B$185</f>
        <v>Time deposits (includes CDs)</v>
      </c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4">
        <f t="shared" si="1033"/>
        <v>0</v>
      </c>
      <c r="AQ191" s="44">
        <f t="shared" ref="AQ191:AR191" si="1041">AQ203-AQ185-AQ197</f>
        <v>0</v>
      </c>
      <c r="AR191" s="44">
        <f t="shared" si="1041"/>
        <v>0</v>
      </c>
      <c r="AS191" s="44">
        <f t="shared" ref="AS191:AT191" si="1042">AS203-AS185-AS197</f>
        <v>0</v>
      </c>
      <c r="AT191" s="44">
        <f t="shared" si="1042"/>
        <v>0</v>
      </c>
      <c r="AU191" s="44">
        <f t="shared" ref="AU191:AV191" si="1043">AU203-AU185-AU197</f>
        <v>0</v>
      </c>
      <c r="AV191" s="44">
        <f t="shared" si="1043"/>
        <v>0</v>
      </c>
      <c r="AW191" s="44">
        <f t="shared" ref="AW191:AX191" si="1044">AW203-AW185-AW197</f>
        <v>0</v>
      </c>
      <c r="AX191" s="44">
        <f t="shared" si="1044"/>
        <v>0</v>
      </c>
      <c r="AY191" s="44">
        <f t="shared" ref="AY191:AZ191" si="1045">AY203-AY185-AY197</f>
        <v>0</v>
      </c>
      <c r="AZ191" s="45">
        <f t="shared" si="1045"/>
        <v>0</v>
      </c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380"/>
      <c r="CQ191" s="42"/>
      <c r="CR191" s="42"/>
      <c r="CS191" s="42"/>
      <c r="CT191" s="525">
        <v>0</v>
      </c>
      <c r="CU191" s="525">
        <v>0</v>
      </c>
      <c r="CV191" s="44">
        <f t="shared" si="1039"/>
        <v>0</v>
      </c>
      <c r="CW191" s="44">
        <f t="shared" si="1040"/>
        <v>0</v>
      </c>
      <c r="CX191" s="44"/>
      <c r="CY191" s="44"/>
      <c r="CZ191" s="45"/>
      <c r="DA191" s="44"/>
      <c r="DB191" s="44"/>
      <c r="DC191" s="529"/>
      <c r="DD191" s="529"/>
      <c r="DE191" s="529"/>
      <c r="DF191" s="529"/>
      <c r="DG191" s="529"/>
      <c r="DH191" s="529"/>
      <c r="DI191" s="529"/>
    </row>
    <row r="192" spans="1:113" s="24" customFormat="1" ht="12" hidden="1" outlineLevel="2">
      <c r="A192" s="1" t="s">
        <v>248</v>
      </c>
      <c r="B192" s="24" t="s">
        <v>166</v>
      </c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26">
        <f t="shared" ref="AP192" si="1046">AP190+AP191</f>
        <v>0</v>
      </c>
      <c r="AQ192" s="526">
        <f t="shared" ref="AQ192:AR192" si="1047">AQ190+AQ191</f>
        <v>0</v>
      </c>
      <c r="AR192" s="526">
        <f t="shared" si="1047"/>
        <v>0</v>
      </c>
      <c r="AS192" s="526">
        <f t="shared" ref="AS192:AT192" si="1048">AS190+AS191</f>
        <v>0</v>
      </c>
      <c r="AT192" s="526">
        <f t="shared" si="1048"/>
        <v>0</v>
      </c>
      <c r="AU192" s="526">
        <f t="shared" ref="AU192:AV192" si="1049">AU190+AU191</f>
        <v>0</v>
      </c>
      <c r="AV192" s="526">
        <f t="shared" si="1049"/>
        <v>0</v>
      </c>
      <c r="AW192" s="526">
        <f t="shared" ref="AW192:AX192" si="1050">AW190+AW191</f>
        <v>0</v>
      </c>
      <c r="AX192" s="526">
        <f t="shared" si="1050"/>
        <v>0</v>
      </c>
      <c r="AY192" s="526">
        <f t="shared" ref="AY192:AZ192" si="1051">AY190+AY191</f>
        <v>0</v>
      </c>
      <c r="AZ192" s="524">
        <f t="shared" si="1051"/>
        <v>0</v>
      </c>
      <c r="BA192" s="526">
        <v>0</v>
      </c>
      <c r="BB192" s="526">
        <v>0</v>
      </c>
      <c r="BC192" s="526">
        <v>0</v>
      </c>
      <c r="BD192" s="526">
        <v>0</v>
      </c>
      <c r="BE192" s="526">
        <v>0</v>
      </c>
      <c r="BF192" s="526">
        <v>0</v>
      </c>
      <c r="BG192" s="526">
        <v>0</v>
      </c>
      <c r="BH192" s="526">
        <v>0</v>
      </c>
      <c r="BI192" s="526">
        <v>0</v>
      </c>
      <c r="BJ192" s="526">
        <v>0</v>
      </c>
      <c r="BK192" s="526">
        <v>0</v>
      </c>
      <c r="BL192" s="526">
        <v>0</v>
      </c>
      <c r="BM192" s="526">
        <v>0</v>
      </c>
      <c r="BN192" s="526">
        <v>0</v>
      </c>
      <c r="BO192" s="526">
        <v>0</v>
      </c>
      <c r="BP192" s="526">
        <v>0</v>
      </c>
      <c r="BQ192" s="526">
        <v>0</v>
      </c>
      <c r="BR192" s="526"/>
      <c r="BS192" s="55"/>
      <c r="BT192" s="55"/>
      <c r="BU192" s="55"/>
      <c r="BV192" s="55"/>
      <c r="BW192" s="55"/>
      <c r="BX192" s="55"/>
      <c r="BY192" s="55"/>
      <c r="BZ192" s="55"/>
      <c r="CA192" s="55"/>
      <c r="CB192" s="54"/>
      <c r="CC192" s="55"/>
      <c r="CD192" s="55"/>
      <c r="CE192" s="55"/>
      <c r="CF192" s="55"/>
      <c r="CG192" s="55"/>
      <c r="CH192" s="55"/>
      <c r="CI192" s="55"/>
      <c r="CJ192" s="55"/>
      <c r="CK192" s="55"/>
      <c r="CL192" s="55"/>
      <c r="CM192" s="55"/>
      <c r="CN192" s="55"/>
      <c r="CO192" s="55"/>
      <c r="CP192" s="442"/>
      <c r="CQ192" s="55"/>
      <c r="CR192" s="55"/>
      <c r="CS192" s="55"/>
      <c r="CT192" s="526">
        <f t="shared" ref="CT192:CV192" si="1052">CT190+CT191</f>
        <v>0</v>
      </c>
      <c r="CU192" s="526">
        <f t="shared" si="1052"/>
        <v>0</v>
      </c>
      <c r="CV192" s="526">
        <f t="shared" si="1052"/>
        <v>0</v>
      </c>
      <c r="CW192" s="526">
        <f>AS192</f>
        <v>0</v>
      </c>
      <c r="CX192" s="526">
        <f>AU192</f>
        <v>0</v>
      </c>
      <c r="CY192" s="526">
        <f>AW192</f>
        <v>0</v>
      </c>
      <c r="CZ192" s="524">
        <f>AY192</f>
        <v>0</v>
      </c>
      <c r="DA192" s="526">
        <f t="shared" ref="DA192:DA193" si="1053">BA192</f>
        <v>0</v>
      </c>
      <c r="DB192" s="526">
        <f>BC192</f>
        <v>0</v>
      </c>
      <c r="DC192" s="526">
        <f>BE192</f>
        <v>0</v>
      </c>
      <c r="DD192" s="526">
        <f>BG192</f>
        <v>0</v>
      </c>
      <c r="DE192" s="526">
        <f>BI192</f>
        <v>0</v>
      </c>
      <c r="DF192" s="526">
        <f>BK192</f>
        <v>0</v>
      </c>
      <c r="DG192" s="526">
        <f>BM192</f>
        <v>0</v>
      </c>
      <c r="DH192" s="526">
        <f>BO192</f>
        <v>0</v>
      </c>
      <c r="DI192" s="526">
        <f>BQ192</f>
        <v>0</v>
      </c>
    </row>
    <row r="193" spans="1:113" s="57" customFormat="1" ht="12" hidden="1" outlineLevel="2">
      <c r="A193" s="1" t="s">
        <v>615</v>
      </c>
      <c r="B193" s="57" t="s">
        <v>614</v>
      </c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90">
        <f t="shared" ref="AP193" si="1054">AP205-AP187-AP199</f>
        <v>0</v>
      </c>
      <c r="AQ193" s="90">
        <f t="shared" ref="AQ193:AR193" si="1055">AQ205-AQ187-AQ199</f>
        <v>0</v>
      </c>
      <c r="AR193" s="90">
        <f t="shared" si="1055"/>
        <v>0</v>
      </c>
      <c r="AS193" s="90">
        <f t="shared" ref="AS193:AT193" si="1056">AS205-AS187-AS199</f>
        <v>0</v>
      </c>
      <c r="AT193" s="90">
        <f t="shared" si="1056"/>
        <v>0</v>
      </c>
      <c r="AU193" s="90">
        <f t="shared" ref="AU193:AV193" si="1057">AU205-AU187-AU199</f>
        <v>0</v>
      </c>
      <c r="AV193" s="90">
        <f t="shared" si="1057"/>
        <v>0</v>
      </c>
      <c r="AW193" s="90">
        <f t="shared" ref="AW193:AX193" si="1058">AW205-AW187-AW199</f>
        <v>0</v>
      </c>
      <c r="AX193" s="90">
        <f t="shared" si="1058"/>
        <v>0</v>
      </c>
      <c r="AY193" s="90">
        <f t="shared" ref="AY193:AZ193" si="1059">AY205-AY187-AY199</f>
        <v>0</v>
      </c>
      <c r="AZ193" s="540">
        <f t="shared" si="1059"/>
        <v>0</v>
      </c>
      <c r="BA193" s="90">
        <v>0</v>
      </c>
      <c r="BB193" s="90">
        <v>0</v>
      </c>
      <c r="BC193" s="90">
        <v>0</v>
      </c>
      <c r="BD193" s="90">
        <v>0</v>
      </c>
      <c r="BE193" s="90">
        <v>0</v>
      </c>
      <c r="BF193" s="90">
        <v>0</v>
      </c>
      <c r="BG193" s="90">
        <v>0</v>
      </c>
      <c r="BH193" s="90">
        <v>0</v>
      </c>
      <c r="BI193" s="90">
        <v>0</v>
      </c>
      <c r="BJ193" s="90">
        <v>0</v>
      </c>
      <c r="BK193" s="90">
        <v>0</v>
      </c>
      <c r="BL193" s="90">
        <v>0</v>
      </c>
      <c r="BM193" s="90">
        <v>0</v>
      </c>
      <c r="BN193" s="90">
        <v>0</v>
      </c>
      <c r="BO193" s="90">
        <v>0</v>
      </c>
      <c r="BP193" s="90">
        <v>0</v>
      </c>
      <c r="BQ193" s="90">
        <v>0</v>
      </c>
      <c r="BR193" s="90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58"/>
      <c r="CD193" s="58"/>
      <c r="CE193" s="58"/>
      <c r="CF193" s="58"/>
      <c r="CG193" s="58"/>
      <c r="CH193" s="58"/>
      <c r="CI193" s="58"/>
      <c r="CJ193" s="58"/>
      <c r="CK193" s="58"/>
      <c r="CL193" s="58"/>
      <c r="CM193" s="58"/>
      <c r="CN193" s="58"/>
      <c r="CO193" s="58"/>
      <c r="CP193" s="58"/>
      <c r="CQ193" s="58"/>
      <c r="CR193" s="58"/>
      <c r="CS193" s="58"/>
      <c r="CT193" s="532">
        <v>0</v>
      </c>
      <c r="CU193" s="532">
        <v>0</v>
      </c>
      <c r="CV193" s="90">
        <f t="shared" ref="CV193" si="1060">AQ193</f>
        <v>0</v>
      </c>
      <c r="CW193" s="90">
        <f>AS193</f>
        <v>0</v>
      </c>
      <c r="CX193" s="90">
        <f>AU193</f>
        <v>0</v>
      </c>
      <c r="CY193" s="90">
        <f>AW193</f>
        <v>0</v>
      </c>
      <c r="CZ193" s="540">
        <f>AY193</f>
        <v>0</v>
      </c>
      <c r="DA193" s="90">
        <f t="shared" si="1053"/>
        <v>0</v>
      </c>
      <c r="DB193" s="90">
        <f>BC193</f>
        <v>0</v>
      </c>
      <c r="DC193" s="90">
        <f>BE193</f>
        <v>0</v>
      </c>
      <c r="DD193" s="90">
        <f>BG193</f>
        <v>0</v>
      </c>
      <c r="DE193" s="90">
        <f>BI193</f>
        <v>0</v>
      </c>
      <c r="DF193" s="90">
        <f>BK193</f>
        <v>0</v>
      </c>
      <c r="DG193" s="90">
        <f>BM193</f>
        <v>0</v>
      </c>
      <c r="DH193" s="90">
        <f>BO193</f>
        <v>0</v>
      </c>
      <c r="DI193" s="90">
        <f>BQ193</f>
        <v>0</v>
      </c>
    </row>
    <row r="194" spans="1:113" ht="12" hidden="1" outlineLevel="2"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5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4"/>
      <c r="CU194" s="44"/>
      <c r="CV194" s="44"/>
      <c r="CW194" s="44"/>
      <c r="CX194" s="44"/>
      <c r="CY194" s="44"/>
      <c r="CZ194" s="45"/>
      <c r="DA194" s="44"/>
      <c r="DB194" s="44"/>
      <c r="DC194" s="44"/>
      <c r="DD194" s="44"/>
      <c r="DE194" s="44"/>
      <c r="DF194" s="44"/>
      <c r="DG194" s="44"/>
      <c r="DH194" s="44"/>
      <c r="DI194" s="44"/>
    </row>
    <row r="195" spans="1:113" s="24" customFormat="1" ht="12" hidden="1" outlineLevel="2">
      <c r="A195" s="1"/>
      <c r="B195" s="24" t="s">
        <v>491</v>
      </c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607"/>
      <c r="AE195" s="55"/>
      <c r="AF195" s="55"/>
      <c r="AG195" s="55"/>
      <c r="AH195" s="55"/>
      <c r="AI195" s="55"/>
      <c r="AJ195" s="55"/>
      <c r="AK195" s="55"/>
      <c r="AL195" s="55"/>
      <c r="AM195" s="55"/>
      <c r="AN195" s="55"/>
      <c r="AO195" s="55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4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5"/>
      <c r="BT195" s="55"/>
      <c r="BU195" s="55"/>
      <c r="BV195" s="55"/>
      <c r="BW195" s="55"/>
      <c r="BX195" s="55"/>
      <c r="BY195" s="55"/>
      <c r="BZ195" s="55"/>
      <c r="CA195" s="55"/>
      <c r="CB195" s="55"/>
      <c r="CC195" s="55"/>
      <c r="CD195" s="55"/>
      <c r="CE195" s="55"/>
      <c r="CF195" s="55"/>
      <c r="CG195" s="55"/>
      <c r="CH195" s="55"/>
      <c r="CI195" s="55"/>
      <c r="CJ195" s="55"/>
      <c r="CK195" s="55"/>
      <c r="CL195" s="55"/>
      <c r="CM195" s="55"/>
      <c r="CN195" s="55"/>
      <c r="CO195" s="55"/>
      <c r="CP195" s="55"/>
      <c r="CQ195" s="55"/>
      <c r="CR195" s="55"/>
      <c r="CS195" s="55"/>
      <c r="CT195" s="526"/>
      <c r="CU195" s="526"/>
      <c r="CV195" s="526"/>
      <c r="CW195" s="526"/>
      <c r="CX195" s="526"/>
      <c r="CY195" s="526"/>
      <c r="CZ195" s="524"/>
      <c r="DA195" s="526"/>
      <c r="DB195" s="526"/>
      <c r="DC195" s="526"/>
      <c r="DD195" s="526"/>
      <c r="DE195" s="526"/>
      <c r="DF195" s="526"/>
      <c r="DG195" s="526"/>
      <c r="DH195" s="526"/>
      <c r="DI195" s="526"/>
    </row>
    <row r="196" spans="1:113" ht="12" hidden="1" outlineLevel="2">
      <c r="A196" s="1" t="s">
        <v>246</v>
      </c>
      <c r="B196" s="19" t="str">
        <f>B$184</f>
        <v>Core deposits</v>
      </c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525">
        <v>0</v>
      </c>
      <c r="AQ196" s="525">
        <v>0</v>
      </c>
      <c r="AR196" s="525">
        <v>0</v>
      </c>
      <c r="AS196" s="525">
        <v>0</v>
      </c>
      <c r="AT196" s="525">
        <v>0</v>
      </c>
      <c r="AU196" s="525">
        <v>0</v>
      </c>
      <c r="AV196" s="525">
        <v>0</v>
      </c>
      <c r="AW196" s="525">
        <v>0</v>
      </c>
      <c r="AX196" s="525">
        <v>0</v>
      </c>
      <c r="AY196" s="525">
        <v>0</v>
      </c>
      <c r="AZ196" s="523">
        <v>0</v>
      </c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380"/>
      <c r="CQ196" s="42"/>
      <c r="CR196" s="42"/>
      <c r="CS196" s="42"/>
      <c r="CT196" s="525">
        <v>0</v>
      </c>
      <c r="CU196" s="525">
        <v>0</v>
      </c>
      <c r="CV196" s="44">
        <f t="shared" ref="CV196:CV197" si="1061">AQ196</f>
        <v>0</v>
      </c>
      <c r="CW196" s="44">
        <f t="shared" ref="CW196:CW197" si="1062">AS196</f>
        <v>0</v>
      </c>
      <c r="CX196" s="44"/>
      <c r="CY196" s="44"/>
      <c r="CZ196" s="45"/>
      <c r="DA196" s="44"/>
      <c r="DB196" s="44"/>
      <c r="DC196" s="44"/>
      <c r="DD196" s="44"/>
      <c r="DE196" s="44"/>
      <c r="DF196" s="44"/>
      <c r="DG196" s="44"/>
      <c r="DH196" s="44"/>
      <c r="DI196" s="44"/>
    </row>
    <row r="197" spans="1:113" ht="12" hidden="1" outlineLevel="2">
      <c r="A197" s="1" t="s">
        <v>244</v>
      </c>
      <c r="B197" s="19" t="str">
        <f>B$185</f>
        <v>Time deposits (includes CDs)</v>
      </c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525">
        <v>0</v>
      </c>
      <c r="AQ197" s="525">
        <v>0</v>
      </c>
      <c r="AR197" s="525">
        <v>0</v>
      </c>
      <c r="AS197" s="525">
        <v>0</v>
      </c>
      <c r="AT197" s="525">
        <v>0</v>
      </c>
      <c r="AU197" s="525">
        <v>0</v>
      </c>
      <c r="AV197" s="525">
        <v>0</v>
      </c>
      <c r="AW197" s="525">
        <v>0</v>
      </c>
      <c r="AX197" s="525">
        <v>0</v>
      </c>
      <c r="AY197" s="525">
        <v>0</v>
      </c>
      <c r="AZ197" s="523">
        <v>0</v>
      </c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380"/>
      <c r="CQ197" s="42"/>
      <c r="CR197" s="42"/>
      <c r="CS197" s="42"/>
      <c r="CT197" s="525">
        <v>0</v>
      </c>
      <c r="CU197" s="525">
        <v>0</v>
      </c>
      <c r="CV197" s="44">
        <f t="shared" si="1061"/>
        <v>0</v>
      </c>
      <c r="CW197" s="44">
        <f t="shared" si="1062"/>
        <v>0</v>
      </c>
      <c r="CX197" s="44"/>
      <c r="CY197" s="44"/>
      <c r="CZ197" s="45"/>
      <c r="DA197" s="44"/>
      <c r="DB197" s="44"/>
      <c r="DC197" s="44"/>
      <c r="DD197" s="44"/>
      <c r="DE197" s="44"/>
      <c r="DF197" s="44"/>
      <c r="DG197" s="44"/>
      <c r="DH197" s="44"/>
      <c r="DI197" s="44"/>
    </row>
    <row r="198" spans="1:113" s="24" customFormat="1" ht="12" hidden="1" outlineLevel="2">
      <c r="A198" s="1" t="s">
        <v>245</v>
      </c>
      <c r="B198" s="24" t="s">
        <v>166</v>
      </c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26">
        <f t="shared" ref="AP198" si="1063">AP196+AP197</f>
        <v>0</v>
      </c>
      <c r="AQ198" s="526">
        <f t="shared" ref="AQ198:AR198" si="1064">AQ196+AQ197</f>
        <v>0</v>
      </c>
      <c r="AR198" s="526">
        <f t="shared" si="1064"/>
        <v>0</v>
      </c>
      <c r="AS198" s="526">
        <f t="shared" ref="AS198:AT198" si="1065">AS196+AS197</f>
        <v>0</v>
      </c>
      <c r="AT198" s="526">
        <f t="shared" si="1065"/>
        <v>0</v>
      </c>
      <c r="AU198" s="526">
        <f t="shared" ref="AU198:AV198" si="1066">AU196+AU197</f>
        <v>0</v>
      </c>
      <c r="AV198" s="526">
        <f t="shared" si="1066"/>
        <v>0</v>
      </c>
      <c r="AW198" s="526">
        <f t="shared" ref="AW198:AX198" si="1067">AW196+AW197</f>
        <v>0</v>
      </c>
      <c r="AX198" s="526">
        <f t="shared" si="1067"/>
        <v>0</v>
      </c>
      <c r="AY198" s="526">
        <f t="shared" ref="AY198:AZ198" si="1068">AY196+AY197</f>
        <v>0</v>
      </c>
      <c r="AZ198" s="524">
        <f t="shared" si="1068"/>
        <v>0</v>
      </c>
      <c r="BA198" s="526">
        <v>0</v>
      </c>
      <c r="BB198" s="526">
        <v>0</v>
      </c>
      <c r="BC198" s="526">
        <v>0</v>
      </c>
      <c r="BD198" s="526">
        <v>0</v>
      </c>
      <c r="BE198" s="526">
        <v>0</v>
      </c>
      <c r="BF198" s="526">
        <v>0</v>
      </c>
      <c r="BG198" s="526">
        <v>0</v>
      </c>
      <c r="BH198" s="526">
        <v>0</v>
      </c>
      <c r="BI198" s="526">
        <v>0</v>
      </c>
      <c r="BJ198" s="526">
        <v>0</v>
      </c>
      <c r="BK198" s="526">
        <v>0</v>
      </c>
      <c r="BL198" s="526">
        <v>0</v>
      </c>
      <c r="BM198" s="526">
        <v>0</v>
      </c>
      <c r="BN198" s="526">
        <v>0</v>
      </c>
      <c r="BO198" s="526">
        <v>0</v>
      </c>
      <c r="BP198" s="526">
        <v>0</v>
      </c>
      <c r="BQ198" s="526">
        <v>0</v>
      </c>
      <c r="BR198" s="526"/>
      <c r="BS198" s="117"/>
      <c r="BT198" s="117"/>
      <c r="BU198" s="117"/>
      <c r="BV198" s="117"/>
      <c r="BW198" s="117"/>
      <c r="BX198" s="117"/>
      <c r="BY198" s="117"/>
      <c r="BZ198" s="117"/>
      <c r="CA198" s="117"/>
      <c r="CB198" s="55"/>
      <c r="CC198" s="55"/>
      <c r="CD198" s="55"/>
      <c r="CE198" s="55"/>
      <c r="CF198" s="55"/>
      <c r="CG198" s="55"/>
      <c r="CH198" s="55"/>
      <c r="CI198" s="55"/>
      <c r="CJ198" s="55"/>
      <c r="CK198" s="55"/>
      <c r="CL198" s="55"/>
      <c r="CM198" s="55"/>
      <c r="CN198" s="55"/>
      <c r="CO198" s="55"/>
      <c r="CP198" s="442"/>
      <c r="CQ198" s="55"/>
      <c r="CR198" s="55"/>
      <c r="CS198" s="55"/>
      <c r="CT198" s="526">
        <f t="shared" ref="CT198:CV198" si="1069">CT196+CT197</f>
        <v>0</v>
      </c>
      <c r="CU198" s="526">
        <f t="shared" si="1069"/>
        <v>0</v>
      </c>
      <c r="CV198" s="526">
        <f t="shared" si="1069"/>
        <v>0</v>
      </c>
      <c r="CW198" s="526">
        <f>AS198</f>
        <v>0</v>
      </c>
      <c r="CX198" s="526">
        <f>AU198</f>
        <v>0</v>
      </c>
      <c r="CY198" s="526">
        <f>AW198</f>
        <v>0</v>
      </c>
      <c r="CZ198" s="524">
        <f>AY198</f>
        <v>0</v>
      </c>
      <c r="DA198" s="526">
        <f t="shared" ref="DA198:DA199" si="1070">BA198</f>
        <v>0</v>
      </c>
      <c r="DB198" s="526">
        <f>BC198</f>
        <v>0</v>
      </c>
      <c r="DC198" s="526">
        <f>BE198</f>
        <v>0</v>
      </c>
      <c r="DD198" s="526">
        <f>BG198</f>
        <v>0</v>
      </c>
      <c r="DE198" s="526">
        <f>BI198</f>
        <v>0</v>
      </c>
      <c r="DF198" s="526">
        <f>BK198</f>
        <v>0</v>
      </c>
      <c r="DG198" s="526">
        <f>BM198</f>
        <v>0</v>
      </c>
      <c r="DH198" s="526">
        <f>BO198</f>
        <v>0</v>
      </c>
      <c r="DI198" s="526">
        <f>BQ198</f>
        <v>0</v>
      </c>
    </row>
    <row r="199" spans="1:113" s="57" customFormat="1" ht="12" hidden="1" outlineLevel="2">
      <c r="A199" s="1" t="s">
        <v>616</v>
      </c>
      <c r="B199" s="57" t="s">
        <v>614</v>
      </c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32">
        <v>0</v>
      </c>
      <c r="AQ199" s="532">
        <v>0</v>
      </c>
      <c r="AR199" s="532">
        <v>0</v>
      </c>
      <c r="AS199" s="532">
        <v>0</v>
      </c>
      <c r="AT199" s="532">
        <v>0</v>
      </c>
      <c r="AU199" s="532">
        <v>0</v>
      </c>
      <c r="AV199" s="532">
        <v>0</v>
      </c>
      <c r="AW199" s="532">
        <v>0</v>
      </c>
      <c r="AX199" s="532">
        <v>0</v>
      </c>
      <c r="AY199" s="532">
        <v>0</v>
      </c>
      <c r="AZ199" s="533">
        <v>0</v>
      </c>
      <c r="BA199" s="90">
        <v>0</v>
      </c>
      <c r="BB199" s="90">
        <v>0</v>
      </c>
      <c r="BC199" s="90">
        <v>0</v>
      </c>
      <c r="BD199" s="90">
        <v>0</v>
      </c>
      <c r="BE199" s="90">
        <v>0</v>
      </c>
      <c r="BF199" s="90">
        <v>0</v>
      </c>
      <c r="BG199" s="90">
        <v>0</v>
      </c>
      <c r="BH199" s="90">
        <v>0</v>
      </c>
      <c r="BI199" s="90">
        <v>0</v>
      </c>
      <c r="BJ199" s="90">
        <v>0</v>
      </c>
      <c r="BK199" s="90">
        <v>0</v>
      </c>
      <c r="BL199" s="90">
        <v>0</v>
      </c>
      <c r="BM199" s="90">
        <v>0</v>
      </c>
      <c r="BN199" s="90">
        <v>0</v>
      </c>
      <c r="BO199" s="90">
        <v>0</v>
      </c>
      <c r="BP199" s="90">
        <v>0</v>
      </c>
      <c r="BQ199" s="90">
        <v>0</v>
      </c>
      <c r="BR199" s="90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58"/>
      <c r="CD199" s="58"/>
      <c r="CE199" s="58"/>
      <c r="CF199" s="58"/>
      <c r="CG199" s="58"/>
      <c r="CH199" s="58"/>
      <c r="CI199" s="58"/>
      <c r="CJ199" s="58"/>
      <c r="CK199" s="58"/>
      <c r="CL199" s="58"/>
      <c r="CM199" s="58"/>
      <c r="CN199" s="58"/>
      <c r="CO199" s="58"/>
      <c r="CP199" s="443"/>
      <c r="CQ199" s="58"/>
      <c r="CR199" s="58"/>
      <c r="CS199" s="58"/>
      <c r="CT199" s="532">
        <v>0</v>
      </c>
      <c r="CU199" s="532">
        <v>0</v>
      </c>
      <c r="CV199" s="90">
        <f t="shared" ref="CV199" si="1071">AQ199</f>
        <v>0</v>
      </c>
      <c r="CW199" s="90">
        <f>AS199</f>
        <v>0</v>
      </c>
      <c r="CX199" s="90">
        <f>AU199</f>
        <v>0</v>
      </c>
      <c r="CY199" s="90">
        <f>AW199</f>
        <v>0</v>
      </c>
      <c r="CZ199" s="540">
        <f>AY199</f>
        <v>0</v>
      </c>
      <c r="DA199" s="90">
        <f t="shared" si="1070"/>
        <v>0</v>
      </c>
      <c r="DB199" s="90">
        <f>BC199</f>
        <v>0</v>
      </c>
      <c r="DC199" s="90">
        <f>BE199</f>
        <v>0</v>
      </c>
      <c r="DD199" s="90">
        <f>BG199</f>
        <v>0</v>
      </c>
      <c r="DE199" s="90">
        <f>BI199</f>
        <v>0</v>
      </c>
      <c r="DF199" s="90">
        <f>BK199</f>
        <v>0</v>
      </c>
      <c r="DG199" s="90">
        <f>BM199</f>
        <v>0</v>
      </c>
      <c r="DH199" s="90">
        <f>BO199</f>
        <v>0</v>
      </c>
      <c r="DI199" s="90">
        <f>BQ199</f>
        <v>0</v>
      </c>
    </row>
    <row r="200" spans="1:113" ht="12" hidden="1" outlineLevel="2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5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4"/>
      <c r="CU200" s="44"/>
      <c r="CV200" s="44"/>
      <c r="CW200" s="44"/>
      <c r="CX200" s="44"/>
      <c r="CY200" s="44"/>
      <c r="CZ200" s="45"/>
      <c r="DA200" s="44"/>
      <c r="DB200" s="44"/>
      <c r="DC200" s="44"/>
      <c r="DD200" s="44"/>
      <c r="DE200" s="44"/>
      <c r="DF200" s="44"/>
      <c r="DG200" s="44"/>
      <c r="DH200" s="44"/>
      <c r="DI200" s="44"/>
    </row>
    <row r="201" spans="1:113" s="24" customFormat="1" ht="12" hidden="1" outlineLevel="1" collapsed="1">
      <c r="A201" s="1"/>
      <c r="B201" s="24" t="s">
        <v>496</v>
      </c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  <c r="AK201" s="55"/>
      <c r="AL201" s="55"/>
      <c r="AM201" s="55"/>
      <c r="AN201" s="55"/>
      <c r="AO201" s="55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4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5"/>
      <c r="BT201" s="55"/>
      <c r="BU201" s="55"/>
      <c r="BV201" s="55"/>
      <c r="BW201" s="55"/>
      <c r="BX201" s="55"/>
      <c r="BY201" s="55"/>
      <c r="BZ201" s="55"/>
      <c r="CA201" s="55"/>
      <c r="CB201" s="55"/>
      <c r="CC201" s="55"/>
      <c r="CD201" s="55"/>
      <c r="CE201" s="55"/>
      <c r="CF201" s="55"/>
      <c r="CG201" s="55"/>
      <c r="CH201" s="55"/>
      <c r="CI201" s="55"/>
      <c r="CJ201" s="55"/>
      <c r="CK201" s="55"/>
      <c r="CL201" s="55"/>
      <c r="CM201" s="55"/>
      <c r="CN201" s="55"/>
      <c r="CO201" s="55"/>
      <c r="CP201" s="55"/>
      <c r="CQ201" s="55"/>
      <c r="CR201" s="55"/>
      <c r="CS201" s="55"/>
      <c r="CT201" s="526"/>
      <c r="CU201" s="526"/>
      <c r="CV201" s="526"/>
      <c r="CW201" s="526"/>
      <c r="CX201" s="526"/>
      <c r="CY201" s="526"/>
      <c r="CZ201" s="524"/>
      <c r="DA201" s="526"/>
      <c r="DB201" s="526"/>
      <c r="DC201" s="526"/>
      <c r="DD201" s="526"/>
      <c r="DE201" s="526"/>
      <c r="DF201" s="526"/>
      <c r="DG201" s="526"/>
      <c r="DH201" s="526"/>
      <c r="DI201" s="526"/>
    </row>
    <row r="202" spans="1:113" ht="12" hidden="1" outlineLevel="1">
      <c r="A202" s="1" t="s">
        <v>617</v>
      </c>
      <c r="B202" s="19" t="str">
        <f>B$184</f>
        <v>Core deposits</v>
      </c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525">
        <v>0</v>
      </c>
      <c r="AQ202" s="525">
        <v>0</v>
      </c>
      <c r="AR202" s="525">
        <v>0</v>
      </c>
      <c r="AS202" s="525">
        <v>0</v>
      </c>
      <c r="AT202" s="525">
        <v>0</v>
      </c>
      <c r="AU202" s="525">
        <v>0</v>
      </c>
      <c r="AV202" s="525">
        <v>0</v>
      </c>
      <c r="AW202" s="525">
        <v>0</v>
      </c>
      <c r="AX202" s="525">
        <v>0</v>
      </c>
      <c r="AY202" s="525">
        <v>0</v>
      </c>
      <c r="AZ202" s="523">
        <v>0</v>
      </c>
      <c r="BA202" s="44">
        <f t="shared" ref="BA202:BI203" si="1072">AZ202*BA$204/AZ$204</f>
        <v>0</v>
      </c>
      <c r="BB202" s="44">
        <f t="shared" si="1072"/>
        <v>0</v>
      </c>
      <c r="BC202" s="44">
        <f t="shared" si="1072"/>
        <v>0</v>
      </c>
      <c r="BD202" s="44">
        <f t="shared" si="1072"/>
        <v>0</v>
      </c>
      <c r="BE202" s="44">
        <f t="shared" si="1072"/>
        <v>0</v>
      </c>
      <c r="BF202" s="44">
        <f t="shared" si="1072"/>
        <v>0</v>
      </c>
      <c r="BG202" s="44">
        <f t="shared" si="1072"/>
        <v>0</v>
      </c>
      <c r="BH202" s="44">
        <f t="shared" si="1072"/>
        <v>0</v>
      </c>
      <c r="BI202" s="44">
        <f t="shared" si="1072"/>
        <v>0</v>
      </c>
      <c r="BJ202" s="44">
        <f t="shared" ref="BJ202:BJ203" si="1073">BI202*BJ$204/BI$204</f>
        <v>0</v>
      </c>
      <c r="BK202" s="44">
        <f t="shared" ref="BK202:BK203" si="1074">BJ202*BK$204/BJ$204</f>
        <v>0</v>
      </c>
      <c r="BL202" s="44">
        <f t="shared" ref="BL202:BL203" si="1075">BK202*BL$204/BK$204</f>
        <v>0</v>
      </c>
      <c r="BM202" s="44">
        <f t="shared" ref="BM202:BM203" si="1076">BL202*BM$204/BL$204</f>
        <v>0</v>
      </c>
      <c r="BN202" s="44">
        <f t="shared" ref="BN202:BN203" si="1077">BM202*BN$204/BM$204</f>
        <v>0</v>
      </c>
      <c r="BO202" s="44">
        <f t="shared" ref="BO202:BO203" si="1078">BN202*BO$204/BN$204</f>
        <v>0</v>
      </c>
      <c r="BP202" s="44">
        <f t="shared" ref="BP202:BP203" si="1079">BO202*BP$204/BO$204</f>
        <v>0</v>
      </c>
      <c r="BQ202" s="44">
        <f t="shared" ref="BQ202:BQ203" si="1080">BP202*BQ$204/BP$204</f>
        <v>0</v>
      </c>
      <c r="BR202" s="44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380"/>
      <c r="CQ202" s="42"/>
      <c r="CR202" s="42"/>
      <c r="CS202" s="42"/>
      <c r="CT202" s="525">
        <f t="shared" ref="CT202:CT203" si="1081">CT184+CT190+CT196</f>
        <v>0</v>
      </c>
      <c r="CU202" s="525">
        <f>CU184+CU190+CU196</f>
        <v>0</v>
      </c>
      <c r="CV202" s="44">
        <f t="shared" ref="CV202:CV203" si="1082">AQ202</f>
        <v>0</v>
      </c>
      <c r="CW202" s="44">
        <f>AS202</f>
        <v>0</v>
      </c>
      <c r="CX202" s="44">
        <f>AU202</f>
        <v>0</v>
      </c>
      <c r="CY202" s="44">
        <f>AW202</f>
        <v>0</v>
      </c>
      <c r="CZ202" s="45">
        <f>AY202</f>
        <v>0</v>
      </c>
      <c r="DA202" s="44">
        <f t="shared" ref="DA202:DA205" si="1083">BA202</f>
        <v>0</v>
      </c>
      <c r="DB202" s="44">
        <f>BC202</f>
        <v>0</v>
      </c>
      <c r="DC202" s="44">
        <f>BE202</f>
        <v>0</v>
      </c>
      <c r="DD202" s="44">
        <f>BG202</f>
        <v>0</v>
      </c>
      <c r="DE202" s="44">
        <f>BI202</f>
        <v>0</v>
      </c>
      <c r="DF202" s="44">
        <f>BK202</f>
        <v>0</v>
      </c>
      <c r="DG202" s="44">
        <f>BM202</f>
        <v>0</v>
      </c>
      <c r="DH202" s="44">
        <f>BO202</f>
        <v>0</v>
      </c>
      <c r="DI202" s="44">
        <f>BQ202</f>
        <v>0</v>
      </c>
    </row>
    <row r="203" spans="1:113" ht="12" hidden="1" outlineLevel="1">
      <c r="A203" s="1" t="s">
        <v>618</v>
      </c>
      <c r="B203" s="19" t="str">
        <f>B$185</f>
        <v>Time deposits (includes CDs)</v>
      </c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525">
        <v>1986.7</v>
      </c>
      <c r="AQ203" s="525">
        <v>2547.6999999999998</v>
      </c>
      <c r="AR203" s="525">
        <v>3238.8</v>
      </c>
      <c r="AS203" s="525">
        <v>4090.5</v>
      </c>
      <c r="AT203" s="525">
        <v>5259.1</v>
      </c>
      <c r="AU203" s="525">
        <v>5955</v>
      </c>
      <c r="AV203" s="525">
        <v>6921</v>
      </c>
      <c r="AW203" s="525">
        <v>8228</v>
      </c>
      <c r="AX203" s="525">
        <v>8990</v>
      </c>
      <c r="AY203" s="525">
        <v>9879.2000000000007</v>
      </c>
      <c r="AZ203" s="523">
        <v>10858</v>
      </c>
      <c r="BA203" s="44">
        <f t="shared" si="1072"/>
        <v>11998.09</v>
      </c>
      <c r="BB203" s="44">
        <f t="shared" si="1072"/>
        <v>12957.9372</v>
      </c>
      <c r="BC203" s="44">
        <f t="shared" si="1072"/>
        <v>14188.941234000002</v>
      </c>
      <c r="BD203" s="44">
        <f t="shared" si="1072"/>
        <v>15202.457306344622</v>
      </c>
      <c r="BE203" s="44">
        <f t="shared" si="1072"/>
        <v>16498.466791710503</v>
      </c>
      <c r="BF203" s="44">
        <f t="shared" si="1072"/>
        <v>17662.928577869432</v>
      </c>
      <c r="BG203" s="44">
        <f t="shared" si="1072"/>
        <v>19086.913879817268</v>
      </c>
      <c r="BH203" s="44">
        <f t="shared" si="1072"/>
        <v>19988.664996995423</v>
      </c>
      <c r="BI203" s="44">
        <f t="shared" si="1072"/>
        <v>21197.050789149107</v>
      </c>
      <c r="BJ203" s="44">
        <f t="shared" si="1073"/>
        <v>22007.280569770421</v>
      </c>
      <c r="BK203" s="44">
        <f t="shared" si="1074"/>
        <v>23147.007252835887</v>
      </c>
      <c r="BL203" s="44">
        <f t="shared" si="1075"/>
        <v>23828.214460735155</v>
      </c>
      <c r="BM203" s="44">
        <f t="shared" si="1076"/>
        <v>24853.128406894219</v>
      </c>
      <c r="BN203" s="44">
        <f t="shared" si="1077"/>
        <v>25467.656454073309</v>
      </c>
      <c r="BO203" s="44">
        <f t="shared" si="1078"/>
        <v>26443.75943815973</v>
      </c>
      <c r="BP203" s="44">
        <f t="shared" si="1079"/>
        <v>27097.777147234279</v>
      </c>
      <c r="BQ203" s="44">
        <f t="shared" si="1080"/>
        <v>28137.253722369325</v>
      </c>
      <c r="BR203" s="44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380"/>
      <c r="CQ203" s="42"/>
      <c r="CR203" s="42"/>
      <c r="CS203" s="42"/>
      <c r="CT203" s="525">
        <f t="shared" si="1081"/>
        <v>104.4</v>
      </c>
      <c r="CU203" s="525">
        <f>CU185+CU191+CU197</f>
        <v>1386.3</v>
      </c>
      <c r="CV203" s="44">
        <f t="shared" si="1082"/>
        <v>2547.6999999999998</v>
      </c>
      <c r="CW203" s="44">
        <f>AS203</f>
        <v>4090.5</v>
      </c>
      <c r="CX203" s="44">
        <f>AU203</f>
        <v>5955</v>
      </c>
      <c r="CY203" s="44">
        <f>AW203</f>
        <v>8228</v>
      </c>
      <c r="CZ203" s="45">
        <f>AY203</f>
        <v>9879.2000000000007</v>
      </c>
      <c r="DA203" s="44">
        <f t="shared" si="1083"/>
        <v>11998.09</v>
      </c>
      <c r="DB203" s="44">
        <f>BC203</f>
        <v>14188.941234000002</v>
      </c>
      <c r="DC203" s="44">
        <f>BE203</f>
        <v>16498.466791710503</v>
      </c>
      <c r="DD203" s="44">
        <f>BG203</f>
        <v>19086.913879817268</v>
      </c>
      <c r="DE203" s="44">
        <f>BI203</f>
        <v>21197.050789149107</v>
      </c>
      <c r="DF203" s="44">
        <f>BK203</f>
        <v>23147.007252835887</v>
      </c>
      <c r="DG203" s="44">
        <f>BM203</f>
        <v>24853.128406894219</v>
      </c>
      <c r="DH203" s="44">
        <f>BO203</f>
        <v>26443.75943815973</v>
      </c>
      <c r="DI203" s="44">
        <f>BQ203</f>
        <v>28137.253722369325</v>
      </c>
    </row>
    <row r="204" spans="1:113" s="24" customFormat="1" ht="12" hidden="1" outlineLevel="1">
      <c r="A204" s="1" t="s">
        <v>1053</v>
      </c>
      <c r="B204" s="24" t="s">
        <v>496</v>
      </c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  <c r="AJ204" s="55"/>
      <c r="AK204" s="55"/>
      <c r="AL204" s="55"/>
      <c r="AM204" s="55"/>
      <c r="AN204" s="55"/>
      <c r="AO204" s="55"/>
      <c r="AP204" s="526">
        <f t="shared" ref="AP204:AR204" si="1084">AP202+AP203</f>
        <v>1986.7</v>
      </c>
      <c r="AQ204" s="526">
        <f t="shared" si="1084"/>
        <v>2547.6999999999998</v>
      </c>
      <c r="AR204" s="526">
        <f t="shared" si="1084"/>
        <v>3238.8</v>
      </c>
      <c r="AS204" s="526">
        <f t="shared" ref="AS204:AT204" si="1085">AS202+AS203</f>
        <v>4090.5</v>
      </c>
      <c r="AT204" s="526">
        <f t="shared" si="1085"/>
        <v>5259.1</v>
      </c>
      <c r="AU204" s="526">
        <f t="shared" ref="AU204:AV204" si="1086">AU202+AU203</f>
        <v>5955</v>
      </c>
      <c r="AV204" s="526">
        <f t="shared" si="1086"/>
        <v>6921</v>
      </c>
      <c r="AW204" s="526">
        <f t="shared" ref="AW204:AX204" si="1087">AW202+AW203</f>
        <v>8228</v>
      </c>
      <c r="AX204" s="526">
        <f t="shared" si="1087"/>
        <v>8990</v>
      </c>
      <c r="AY204" s="526">
        <f t="shared" ref="AY204:AZ204" si="1088">AY202+AY203</f>
        <v>9879.2000000000007</v>
      </c>
      <c r="AZ204" s="524">
        <f t="shared" si="1088"/>
        <v>10858</v>
      </c>
      <c r="BA204" s="526">
        <f t="shared" ref="BA204:BI205" si="1089">BA186+BA192+BA198</f>
        <v>11998.09</v>
      </c>
      <c r="BB204" s="526">
        <f t="shared" si="1089"/>
        <v>12957.9372</v>
      </c>
      <c r="BC204" s="526">
        <f t="shared" si="1089"/>
        <v>14188.941234000002</v>
      </c>
      <c r="BD204" s="526">
        <f t="shared" si="1089"/>
        <v>15202.457306344621</v>
      </c>
      <c r="BE204" s="526">
        <f t="shared" si="1089"/>
        <v>16498.4667917105</v>
      </c>
      <c r="BF204" s="526">
        <f t="shared" si="1089"/>
        <v>17662.928577869428</v>
      </c>
      <c r="BG204" s="526">
        <f t="shared" si="1089"/>
        <v>19086.913879817261</v>
      </c>
      <c r="BH204" s="526">
        <f t="shared" si="1089"/>
        <v>19988.664996995416</v>
      </c>
      <c r="BI204" s="526">
        <f t="shared" si="1089"/>
        <v>21197.0507891491</v>
      </c>
      <c r="BJ204" s="526">
        <f t="shared" ref="BJ204:BK204" si="1090">BJ186+BJ192+BJ198</f>
        <v>22007.280569770413</v>
      </c>
      <c r="BK204" s="526">
        <f t="shared" si="1090"/>
        <v>23147.00725283588</v>
      </c>
      <c r="BL204" s="526">
        <f t="shared" ref="BL204:BM204" si="1091">BL186+BL192+BL198</f>
        <v>23828.214460735151</v>
      </c>
      <c r="BM204" s="526">
        <f t="shared" si="1091"/>
        <v>24853.128406894215</v>
      </c>
      <c r="BN204" s="526">
        <f t="shared" ref="BN204:BO204" si="1092">BN186+BN192+BN198</f>
        <v>25467.656454073305</v>
      </c>
      <c r="BO204" s="526">
        <f t="shared" si="1092"/>
        <v>26443.759438159726</v>
      </c>
      <c r="BP204" s="526">
        <f t="shared" ref="BP204:BQ204" si="1093">BP186+BP192+BP198</f>
        <v>27097.777147234272</v>
      </c>
      <c r="BQ204" s="526">
        <f t="shared" si="1093"/>
        <v>28137.253722369322</v>
      </c>
      <c r="BR204" s="526"/>
      <c r="BS204" s="54"/>
      <c r="BT204" s="54"/>
      <c r="BU204" s="54"/>
      <c r="BV204" s="54"/>
      <c r="BW204" s="54"/>
      <c r="BX204" s="54"/>
      <c r="BY204" s="54"/>
      <c r="BZ204" s="54"/>
      <c r="CA204" s="54"/>
      <c r="CB204" s="54"/>
      <c r="CC204" s="55"/>
      <c r="CD204" s="55"/>
      <c r="CE204" s="55"/>
      <c r="CF204" s="55"/>
      <c r="CG204" s="55"/>
      <c r="CH204" s="55"/>
      <c r="CI204" s="55"/>
      <c r="CJ204" s="55"/>
      <c r="CK204" s="55"/>
      <c r="CL204" s="55"/>
      <c r="CM204" s="55"/>
      <c r="CN204" s="55"/>
      <c r="CO204" s="55"/>
      <c r="CP204" s="442"/>
      <c r="CQ204" s="55"/>
      <c r="CR204" s="55"/>
      <c r="CS204" s="55"/>
      <c r="CT204" s="526">
        <f t="shared" ref="CT204:CV204" si="1094">CT202+CT203</f>
        <v>104.4</v>
      </c>
      <c r="CU204" s="526">
        <f t="shared" si="1094"/>
        <v>1386.3</v>
      </c>
      <c r="CV204" s="526">
        <f t="shared" si="1094"/>
        <v>2547.6999999999998</v>
      </c>
      <c r="CW204" s="526">
        <f>AS204</f>
        <v>4090.5</v>
      </c>
      <c r="CX204" s="526">
        <f>AU204</f>
        <v>5955</v>
      </c>
      <c r="CY204" s="526">
        <f>AW204</f>
        <v>8228</v>
      </c>
      <c r="CZ204" s="524">
        <f>AY204</f>
        <v>9879.2000000000007</v>
      </c>
      <c r="DA204" s="526">
        <f t="shared" si="1083"/>
        <v>11998.09</v>
      </c>
      <c r="DB204" s="526">
        <f>BC204</f>
        <v>14188.941234000002</v>
      </c>
      <c r="DC204" s="526">
        <f>BE204</f>
        <v>16498.4667917105</v>
      </c>
      <c r="DD204" s="526">
        <f>BG204</f>
        <v>19086.913879817261</v>
      </c>
      <c r="DE204" s="526">
        <f>BI204</f>
        <v>21197.0507891491</v>
      </c>
      <c r="DF204" s="526">
        <f>BK204</f>
        <v>23147.00725283588</v>
      </c>
      <c r="DG204" s="526">
        <f>BM204</f>
        <v>24853.128406894215</v>
      </c>
      <c r="DH204" s="526">
        <f>BO204</f>
        <v>26443.759438159726</v>
      </c>
      <c r="DI204" s="526">
        <f>BQ204</f>
        <v>28137.253722369322</v>
      </c>
    </row>
    <row r="205" spans="1:113" s="57" customFormat="1" ht="12" hidden="1" outlineLevel="1">
      <c r="A205" s="1" t="s">
        <v>1054</v>
      </c>
      <c r="B205" s="57" t="s">
        <v>614</v>
      </c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32">
        <v>0</v>
      </c>
      <c r="AQ205" s="532">
        <v>0</v>
      </c>
      <c r="AR205" s="532">
        <v>0</v>
      </c>
      <c r="AS205" s="532">
        <v>0</v>
      </c>
      <c r="AT205" s="532">
        <v>0</v>
      </c>
      <c r="AU205" s="532">
        <v>0</v>
      </c>
      <c r="AV205" s="532">
        <v>0</v>
      </c>
      <c r="AW205" s="532">
        <v>0</v>
      </c>
      <c r="AX205" s="532">
        <v>0</v>
      </c>
      <c r="AY205" s="532">
        <v>0</v>
      </c>
      <c r="AZ205" s="533">
        <v>0</v>
      </c>
      <c r="BA205" s="90">
        <f t="shared" si="1089"/>
        <v>0</v>
      </c>
      <c r="BB205" s="90">
        <f t="shared" si="1089"/>
        <v>0</v>
      </c>
      <c r="BC205" s="90">
        <f t="shared" si="1089"/>
        <v>0</v>
      </c>
      <c r="BD205" s="90">
        <f t="shared" si="1089"/>
        <v>0</v>
      </c>
      <c r="BE205" s="90">
        <f t="shared" si="1089"/>
        <v>0</v>
      </c>
      <c r="BF205" s="90">
        <f t="shared" si="1089"/>
        <v>0</v>
      </c>
      <c r="BG205" s="90">
        <f t="shared" si="1089"/>
        <v>0</v>
      </c>
      <c r="BH205" s="90">
        <f t="shared" si="1089"/>
        <v>0</v>
      </c>
      <c r="BI205" s="90">
        <f t="shared" si="1089"/>
        <v>0</v>
      </c>
      <c r="BJ205" s="90">
        <f t="shared" ref="BJ205:BK205" si="1095">BJ187+BJ193+BJ199</f>
        <v>0</v>
      </c>
      <c r="BK205" s="90">
        <f t="shared" si="1095"/>
        <v>0</v>
      </c>
      <c r="BL205" s="90">
        <f t="shared" ref="BL205:BM205" si="1096">BL187+BL193+BL199</f>
        <v>0</v>
      </c>
      <c r="BM205" s="90">
        <f t="shared" si="1096"/>
        <v>0</v>
      </c>
      <c r="BN205" s="90">
        <f t="shared" ref="BN205:BO205" si="1097">BN187+BN193+BN199</f>
        <v>0</v>
      </c>
      <c r="BO205" s="90">
        <f t="shared" si="1097"/>
        <v>0</v>
      </c>
      <c r="BP205" s="90">
        <f t="shared" ref="BP205:BQ205" si="1098">BP187+BP193+BP199</f>
        <v>0</v>
      </c>
      <c r="BQ205" s="90">
        <f t="shared" si="1098"/>
        <v>0</v>
      </c>
      <c r="BR205" s="9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58"/>
      <c r="CD205" s="58"/>
      <c r="CE205" s="58"/>
      <c r="CF205" s="58"/>
      <c r="CG205" s="58"/>
      <c r="CH205" s="58"/>
      <c r="CI205" s="58"/>
      <c r="CJ205" s="58"/>
      <c r="CK205" s="58"/>
      <c r="CL205" s="58"/>
      <c r="CM205" s="58"/>
      <c r="CN205" s="58"/>
      <c r="CO205" s="58"/>
      <c r="CP205" s="443"/>
      <c r="CQ205" s="58"/>
      <c r="CR205" s="58"/>
      <c r="CS205" s="58"/>
      <c r="CT205" s="532">
        <f t="shared" ref="CT205" si="1099">CT187+CT193+CT199</f>
        <v>0</v>
      </c>
      <c r="CU205" s="532">
        <f>CU187+CU193+CU199</f>
        <v>0</v>
      </c>
      <c r="CV205" s="90">
        <f t="shared" ref="CV205" si="1100">AQ205</f>
        <v>0</v>
      </c>
      <c r="CW205" s="90">
        <f>AS205</f>
        <v>0</v>
      </c>
      <c r="CX205" s="90">
        <f>AU205</f>
        <v>0</v>
      </c>
      <c r="CY205" s="90">
        <f>AW205</f>
        <v>0</v>
      </c>
      <c r="CZ205" s="540">
        <f>AY205</f>
        <v>0</v>
      </c>
      <c r="DA205" s="90">
        <f t="shared" si="1083"/>
        <v>0</v>
      </c>
      <c r="DB205" s="90">
        <f>BC205</f>
        <v>0</v>
      </c>
      <c r="DC205" s="90">
        <f>BE205</f>
        <v>0</v>
      </c>
      <c r="DD205" s="90">
        <f>BG205</f>
        <v>0</v>
      </c>
      <c r="DE205" s="90">
        <f>BI205</f>
        <v>0</v>
      </c>
      <c r="DF205" s="90">
        <f>BK205</f>
        <v>0</v>
      </c>
      <c r="DG205" s="90">
        <f>BM205</f>
        <v>0</v>
      </c>
      <c r="DH205" s="90">
        <f>BO205</f>
        <v>0</v>
      </c>
      <c r="DI205" s="90">
        <f>BQ205</f>
        <v>0</v>
      </c>
    </row>
    <row r="206" spans="1:113" ht="12" hidden="1" outlineLevel="1"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394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4"/>
      <c r="AQ206" s="44"/>
      <c r="AR206" s="44"/>
      <c r="AS206" s="44"/>
      <c r="AT206" s="44"/>
      <c r="AU206" s="44"/>
      <c r="AV206" s="44"/>
      <c r="AW206" s="44"/>
      <c r="AX206" s="44"/>
      <c r="AY206" s="44"/>
      <c r="AZ206" s="45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  <c r="BL206" s="44"/>
      <c r="BM206" s="44"/>
      <c r="BN206" s="44"/>
      <c r="BO206" s="44"/>
      <c r="BP206" s="44"/>
      <c r="BQ206" s="44"/>
      <c r="BR206" s="44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4"/>
      <c r="CU206" s="44"/>
      <c r="CV206" s="44"/>
      <c r="CW206" s="44"/>
      <c r="CX206" s="44"/>
      <c r="CY206" s="44"/>
      <c r="CZ206" s="45"/>
      <c r="DA206" s="44"/>
      <c r="DB206" s="44"/>
      <c r="DC206" s="44"/>
      <c r="DD206" s="44"/>
      <c r="DE206" s="44"/>
      <c r="DF206" s="44"/>
      <c r="DG206" s="44"/>
      <c r="DH206" s="44"/>
      <c r="DI206" s="44"/>
    </row>
    <row r="207" spans="1:113" s="24" customFormat="1" ht="12" hidden="1" outlineLevel="2">
      <c r="A207" s="1"/>
      <c r="B207" s="24" t="s">
        <v>497</v>
      </c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11"/>
      <c r="AB207" s="55"/>
      <c r="AC207" s="55"/>
      <c r="AD207" s="55"/>
      <c r="AE207" s="55"/>
      <c r="AF207" s="55"/>
      <c r="AG207" s="55"/>
      <c r="AH207" s="55"/>
      <c r="AI207" s="55"/>
      <c r="AJ207" s="55"/>
      <c r="AK207" s="55"/>
      <c r="AL207" s="55"/>
      <c r="AM207" s="55"/>
      <c r="AN207" s="55"/>
      <c r="AO207" s="55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4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5"/>
      <c r="BT207" s="55"/>
      <c r="BU207" s="55"/>
      <c r="BV207" s="55"/>
      <c r="BW207" s="55"/>
      <c r="BX207" s="55"/>
      <c r="BY207" s="55"/>
      <c r="BZ207" s="55"/>
      <c r="CA207" s="55"/>
      <c r="CB207" s="55"/>
      <c r="CC207" s="55"/>
      <c r="CD207" s="55"/>
      <c r="CE207" s="55"/>
      <c r="CF207" s="55"/>
      <c r="CG207" s="55"/>
      <c r="CH207" s="55"/>
      <c r="CI207" s="55"/>
      <c r="CJ207" s="55"/>
      <c r="CK207" s="55"/>
      <c r="CL207" s="55"/>
      <c r="CM207" s="55"/>
      <c r="CN207" s="55"/>
      <c r="CO207" s="55"/>
      <c r="CP207" s="55"/>
      <c r="CQ207" s="55"/>
      <c r="CR207" s="55"/>
      <c r="CS207" s="55"/>
      <c r="CT207" s="526"/>
      <c r="CU207" s="526"/>
      <c r="CV207" s="526"/>
      <c r="CW207" s="526"/>
      <c r="CX207" s="526"/>
      <c r="CY207" s="526"/>
      <c r="CZ207" s="524"/>
      <c r="DA207" s="526"/>
      <c r="DB207" s="526"/>
      <c r="DC207" s="526"/>
      <c r="DD207" s="526"/>
      <c r="DE207" s="526"/>
      <c r="DF207" s="526"/>
      <c r="DG207" s="526"/>
      <c r="DH207" s="526"/>
      <c r="DI207" s="526"/>
    </row>
    <row r="208" spans="1:113" ht="12" hidden="1" outlineLevel="2">
      <c r="A208" s="1" t="s">
        <v>1055</v>
      </c>
      <c r="B208" s="19" t="s">
        <v>432</v>
      </c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511"/>
      <c r="AB208" s="511"/>
      <c r="AC208" s="511"/>
      <c r="AD208" s="511"/>
      <c r="AE208" s="511"/>
      <c r="AF208" s="511"/>
      <c r="AG208" s="511"/>
      <c r="AH208" s="511"/>
      <c r="AI208" s="511"/>
      <c r="AJ208" s="511"/>
      <c r="AK208" s="511"/>
      <c r="AL208" s="511"/>
      <c r="AM208" s="511"/>
      <c r="AN208" s="511"/>
      <c r="AO208" s="511"/>
      <c r="AP208" s="534">
        <f t="shared" ref="AP208" si="1101">AP210-AP209</f>
        <v>0</v>
      </c>
      <c r="AQ208" s="534">
        <f t="shared" ref="AQ208:AR208" si="1102">AQ210-AQ209</f>
        <v>0</v>
      </c>
      <c r="AR208" s="534">
        <f t="shared" si="1102"/>
        <v>0</v>
      </c>
      <c r="AS208" s="534">
        <f t="shared" ref="AS208:AT208" si="1103">AS210-AS209</f>
        <v>0</v>
      </c>
      <c r="AT208" s="534">
        <f t="shared" si="1103"/>
        <v>0</v>
      </c>
      <c r="AU208" s="534">
        <f t="shared" ref="AU208:AV208" si="1104">AU210-AU209</f>
        <v>0</v>
      </c>
      <c r="AV208" s="534">
        <f t="shared" si="1104"/>
        <v>0</v>
      </c>
      <c r="AW208" s="534">
        <f t="shared" ref="AW208:AX208" si="1105">AW210-AW209</f>
        <v>0</v>
      </c>
      <c r="AX208" s="534">
        <f t="shared" si="1105"/>
        <v>0</v>
      </c>
      <c r="AY208" s="44">
        <f t="shared" ref="AY208:BI209" si="1106">AX208*(1+AY63)</f>
        <v>0</v>
      </c>
      <c r="AZ208" s="45">
        <f t="shared" si="1106"/>
        <v>0</v>
      </c>
      <c r="BA208" s="44">
        <f t="shared" si="1106"/>
        <v>0</v>
      </c>
      <c r="BB208" s="44">
        <f t="shared" si="1106"/>
        <v>0</v>
      </c>
      <c r="BC208" s="44">
        <f t="shared" si="1106"/>
        <v>0</v>
      </c>
      <c r="BD208" s="44">
        <f t="shared" si="1106"/>
        <v>0</v>
      </c>
      <c r="BE208" s="44">
        <f t="shared" si="1106"/>
        <v>0</v>
      </c>
      <c r="BF208" s="44">
        <f t="shared" si="1106"/>
        <v>0</v>
      </c>
      <c r="BG208" s="44">
        <f t="shared" si="1106"/>
        <v>0</v>
      </c>
      <c r="BH208" s="44">
        <f t="shared" si="1106"/>
        <v>0</v>
      </c>
      <c r="BI208" s="44">
        <f t="shared" si="1106"/>
        <v>0</v>
      </c>
      <c r="BJ208" s="44">
        <f t="shared" ref="BJ208:BJ209" si="1107">BI208*(1+BJ63)</f>
        <v>0</v>
      </c>
      <c r="BK208" s="44">
        <f t="shared" ref="BK208:BK209" si="1108">BJ208*(1+BK63)</f>
        <v>0</v>
      </c>
      <c r="BL208" s="44">
        <f t="shared" ref="BL208:BL209" si="1109">BK208*(1+BL63)</f>
        <v>0</v>
      </c>
      <c r="BM208" s="44">
        <f t="shared" ref="BM208:BM209" si="1110">BL208*(1+BM63)</f>
        <v>0</v>
      </c>
      <c r="BN208" s="44">
        <f t="shared" ref="BN208:BN209" si="1111">BM208*(1+BN63)</f>
        <v>0</v>
      </c>
      <c r="BO208" s="44">
        <f t="shared" ref="BO208:BO209" si="1112">BN208*(1+BO63)</f>
        <v>0</v>
      </c>
      <c r="BP208" s="44">
        <f t="shared" ref="BP208:BP209" si="1113">BO208*(1+BP63)</f>
        <v>0</v>
      </c>
      <c r="BQ208" s="44">
        <f t="shared" ref="BQ208:BQ209" si="1114">BP208*(1+BQ63)</f>
        <v>0</v>
      </c>
      <c r="BR208" s="44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534">
        <f t="shared" ref="CT208:CU208" si="1115">CT210-CT209</f>
        <v>0</v>
      </c>
      <c r="CU208" s="534">
        <f t="shared" si="1115"/>
        <v>0</v>
      </c>
      <c r="CV208" s="44">
        <f t="shared" ref="CV208:CV210" si="1116">AQ208</f>
        <v>0</v>
      </c>
      <c r="CW208" s="44">
        <f>AS208</f>
        <v>0</v>
      </c>
      <c r="CX208" s="44">
        <f>AU208</f>
        <v>0</v>
      </c>
      <c r="CY208" s="44">
        <f>AW208</f>
        <v>0</v>
      </c>
      <c r="CZ208" s="45">
        <f>AY208</f>
        <v>0</v>
      </c>
      <c r="DA208" s="44">
        <f t="shared" ref="DA208:DA210" si="1117">BA208</f>
        <v>0</v>
      </c>
      <c r="DB208" s="44">
        <f>BC208</f>
        <v>0</v>
      </c>
      <c r="DC208" s="44">
        <f>BE208</f>
        <v>0</v>
      </c>
      <c r="DD208" s="44">
        <f>BG208</f>
        <v>0</v>
      </c>
      <c r="DE208" s="44">
        <f>BI208</f>
        <v>0</v>
      </c>
      <c r="DF208" s="44">
        <f>BK208</f>
        <v>0</v>
      </c>
      <c r="DG208" s="44">
        <f>BM208</f>
        <v>0</v>
      </c>
      <c r="DH208" s="44">
        <f>BO208</f>
        <v>0</v>
      </c>
      <c r="DI208" s="44">
        <f>BQ208</f>
        <v>0</v>
      </c>
    </row>
    <row r="209" spans="1:113" ht="12" hidden="1" outlineLevel="2">
      <c r="A209" s="1" t="s">
        <v>1056</v>
      </c>
      <c r="B209" s="19" t="s">
        <v>433</v>
      </c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525">
        <f t="shared" ref="AP209:AX209" si="1118">AP210-0</f>
        <v>0</v>
      </c>
      <c r="AQ209" s="525">
        <f t="shared" si="1118"/>
        <v>0</v>
      </c>
      <c r="AR209" s="525">
        <f t="shared" si="1118"/>
        <v>0</v>
      </c>
      <c r="AS209" s="525">
        <f t="shared" si="1118"/>
        <v>0</v>
      </c>
      <c r="AT209" s="525">
        <f t="shared" si="1118"/>
        <v>0</v>
      </c>
      <c r="AU209" s="525">
        <f t="shared" si="1118"/>
        <v>0</v>
      </c>
      <c r="AV209" s="525">
        <f t="shared" si="1118"/>
        <v>0</v>
      </c>
      <c r="AW209" s="525">
        <f t="shared" si="1118"/>
        <v>0</v>
      </c>
      <c r="AX209" s="525">
        <f t="shared" si="1118"/>
        <v>0</v>
      </c>
      <c r="AY209" s="44">
        <f t="shared" si="1106"/>
        <v>0</v>
      </c>
      <c r="AZ209" s="45">
        <f t="shared" si="1106"/>
        <v>0</v>
      </c>
      <c r="BA209" s="44">
        <f t="shared" si="1106"/>
        <v>0</v>
      </c>
      <c r="BB209" s="44">
        <f t="shared" si="1106"/>
        <v>0</v>
      </c>
      <c r="BC209" s="44">
        <f t="shared" si="1106"/>
        <v>0</v>
      </c>
      <c r="BD209" s="44">
        <f t="shared" si="1106"/>
        <v>0</v>
      </c>
      <c r="BE209" s="44">
        <f t="shared" si="1106"/>
        <v>0</v>
      </c>
      <c r="BF209" s="44">
        <f t="shared" si="1106"/>
        <v>0</v>
      </c>
      <c r="BG209" s="44">
        <f t="shared" si="1106"/>
        <v>0</v>
      </c>
      <c r="BH209" s="44">
        <f t="shared" si="1106"/>
        <v>0</v>
      </c>
      <c r="BI209" s="44">
        <f t="shared" si="1106"/>
        <v>0</v>
      </c>
      <c r="BJ209" s="44">
        <f t="shared" si="1107"/>
        <v>0</v>
      </c>
      <c r="BK209" s="44">
        <f t="shared" si="1108"/>
        <v>0</v>
      </c>
      <c r="BL209" s="44">
        <f t="shared" si="1109"/>
        <v>0</v>
      </c>
      <c r="BM209" s="44">
        <f t="shared" si="1110"/>
        <v>0</v>
      </c>
      <c r="BN209" s="44">
        <f t="shared" si="1111"/>
        <v>0</v>
      </c>
      <c r="BO209" s="44">
        <f t="shared" si="1112"/>
        <v>0</v>
      </c>
      <c r="BP209" s="44">
        <f t="shared" si="1113"/>
        <v>0</v>
      </c>
      <c r="BQ209" s="44">
        <f t="shared" si="1114"/>
        <v>0</v>
      </c>
      <c r="BR209" s="44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525">
        <v>0</v>
      </c>
      <c r="CU209" s="525">
        <v>0</v>
      </c>
      <c r="CV209" s="44">
        <f t="shared" si="1116"/>
        <v>0</v>
      </c>
      <c r="CW209" s="44">
        <f>AS209</f>
        <v>0</v>
      </c>
      <c r="CX209" s="44">
        <f>AU209</f>
        <v>0</v>
      </c>
      <c r="CY209" s="44">
        <f>AW209</f>
        <v>0</v>
      </c>
      <c r="CZ209" s="45">
        <f>AY209</f>
        <v>0</v>
      </c>
      <c r="DA209" s="44">
        <f t="shared" si="1117"/>
        <v>0</v>
      </c>
      <c r="DB209" s="44">
        <f>BC209</f>
        <v>0</v>
      </c>
      <c r="DC209" s="44">
        <f>BE209</f>
        <v>0</v>
      </c>
      <c r="DD209" s="44">
        <f>BG209</f>
        <v>0</v>
      </c>
      <c r="DE209" s="44">
        <f>BI209</f>
        <v>0</v>
      </c>
      <c r="DF209" s="44">
        <f>BK209</f>
        <v>0</v>
      </c>
      <c r="DG209" s="44">
        <f>BM209</f>
        <v>0</v>
      </c>
      <c r="DH209" s="44">
        <f>BO209</f>
        <v>0</v>
      </c>
      <c r="DI209" s="44">
        <f>BQ209</f>
        <v>0</v>
      </c>
    </row>
    <row r="210" spans="1:113" s="24" customFormat="1" ht="12" hidden="1" outlineLevel="2">
      <c r="A210" s="1" t="s">
        <v>1057</v>
      </c>
      <c r="B210" s="24" t="s">
        <v>384</v>
      </c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617"/>
      <c r="AB210" s="617"/>
      <c r="AC210" s="617"/>
      <c r="AD210" s="617"/>
      <c r="AE210" s="617"/>
      <c r="AF210" s="617"/>
      <c r="AG210" s="617"/>
      <c r="AH210" s="617"/>
      <c r="AI210" s="617"/>
      <c r="AJ210" s="617"/>
      <c r="AK210" s="617"/>
      <c r="AL210" s="617"/>
      <c r="AM210" s="617"/>
      <c r="AN210" s="617"/>
      <c r="AO210" s="617"/>
      <c r="AP210" s="536">
        <f>AO210/(120472+169293)*(120472+169293)</f>
        <v>0</v>
      </c>
      <c r="AQ210" s="536">
        <f t="shared" ref="AQ210:AX210" si="1119">AP210/(120472+169293)*(120472+169293)</f>
        <v>0</v>
      </c>
      <c r="AR210" s="536">
        <f t="shared" si="1119"/>
        <v>0</v>
      </c>
      <c r="AS210" s="536">
        <f t="shared" si="1119"/>
        <v>0</v>
      </c>
      <c r="AT210" s="536">
        <f t="shared" si="1119"/>
        <v>0</v>
      </c>
      <c r="AU210" s="536">
        <f t="shared" si="1119"/>
        <v>0</v>
      </c>
      <c r="AV210" s="536">
        <f t="shared" si="1119"/>
        <v>0</v>
      </c>
      <c r="AW210" s="536">
        <f t="shared" si="1119"/>
        <v>0</v>
      </c>
      <c r="AX210" s="536">
        <f t="shared" si="1119"/>
        <v>0</v>
      </c>
      <c r="AY210" s="526">
        <f t="shared" ref="AY210:BA210" si="1120">SUM(AY208:AY209)</f>
        <v>0</v>
      </c>
      <c r="AZ210" s="524">
        <f t="shared" si="1120"/>
        <v>0</v>
      </c>
      <c r="BA210" s="526">
        <f t="shared" si="1120"/>
        <v>0</v>
      </c>
      <c r="BB210" s="526">
        <f t="shared" ref="BB210:BI210" si="1121">SUM(BB208:BB209)</f>
        <v>0</v>
      </c>
      <c r="BC210" s="526">
        <f t="shared" si="1121"/>
        <v>0</v>
      </c>
      <c r="BD210" s="526">
        <f t="shared" si="1121"/>
        <v>0</v>
      </c>
      <c r="BE210" s="526">
        <f t="shared" si="1121"/>
        <v>0</v>
      </c>
      <c r="BF210" s="526">
        <f t="shared" si="1121"/>
        <v>0</v>
      </c>
      <c r="BG210" s="526">
        <f t="shared" si="1121"/>
        <v>0</v>
      </c>
      <c r="BH210" s="526">
        <f t="shared" si="1121"/>
        <v>0</v>
      </c>
      <c r="BI210" s="526">
        <f t="shared" si="1121"/>
        <v>0</v>
      </c>
      <c r="BJ210" s="526">
        <f t="shared" ref="BJ210:BK210" si="1122">SUM(BJ208:BJ209)</f>
        <v>0</v>
      </c>
      <c r="BK210" s="526">
        <f t="shared" si="1122"/>
        <v>0</v>
      </c>
      <c r="BL210" s="526">
        <f t="shared" ref="BL210:BM210" si="1123">SUM(BL208:BL209)</f>
        <v>0</v>
      </c>
      <c r="BM210" s="526">
        <f t="shared" si="1123"/>
        <v>0</v>
      </c>
      <c r="BN210" s="526">
        <f t="shared" ref="BN210:BO210" si="1124">SUM(BN208:BN209)</f>
        <v>0</v>
      </c>
      <c r="BO210" s="526">
        <f t="shared" si="1124"/>
        <v>0</v>
      </c>
      <c r="BP210" s="526">
        <f t="shared" ref="BP210:BQ210" si="1125">SUM(BP208:BP209)</f>
        <v>0</v>
      </c>
      <c r="BQ210" s="526">
        <f t="shared" si="1125"/>
        <v>0</v>
      </c>
      <c r="BR210" s="526"/>
      <c r="BS210" s="54"/>
      <c r="BT210" s="54"/>
      <c r="BU210" s="54"/>
      <c r="BV210" s="54"/>
      <c r="BW210" s="54"/>
      <c r="BX210" s="54"/>
      <c r="BY210" s="54"/>
      <c r="BZ210" s="413"/>
      <c r="CA210" s="413"/>
      <c r="CB210" s="54"/>
      <c r="CC210" s="55"/>
      <c r="CD210" s="55"/>
      <c r="CE210" s="55"/>
      <c r="CF210" s="55"/>
      <c r="CG210" s="55"/>
      <c r="CH210" s="55"/>
      <c r="CI210" s="55"/>
      <c r="CJ210" s="55"/>
      <c r="CK210" s="55"/>
      <c r="CL210" s="55"/>
      <c r="CM210" s="55"/>
      <c r="CN210" s="55"/>
      <c r="CO210" s="55"/>
      <c r="CP210" s="55"/>
      <c r="CQ210" s="55"/>
      <c r="CR210" s="55"/>
      <c r="CS210" s="55"/>
      <c r="CT210" s="536">
        <v>0</v>
      </c>
      <c r="CU210" s="536">
        <v>0</v>
      </c>
      <c r="CV210" s="526">
        <f t="shared" si="1116"/>
        <v>0</v>
      </c>
      <c r="CW210" s="526">
        <f>AS210</f>
        <v>0</v>
      </c>
      <c r="CX210" s="526">
        <f>AU210</f>
        <v>0</v>
      </c>
      <c r="CY210" s="526">
        <f>AW210</f>
        <v>0</v>
      </c>
      <c r="CZ210" s="524">
        <f>AY210</f>
        <v>0</v>
      </c>
      <c r="DA210" s="526">
        <f t="shared" si="1117"/>
        <v>0</v>
      </c>
      <c r="DB210" s="526">
        <f>BC210</f>
        <v>0</v>
      </c>
      <c r="DC210" s="526">
        <f>BE210</f>
        <v>0</v>
      </c>
      <c r="DD210" s="526">
        <f>BG210</f>
        <v>0</v>
      </c>
      <c r="DE210" s="526">
        <f>BI210</f>
        <v>0</v>
      </c>
      <c r="DF210" s="526">
        <f>BK210</f>
        <v>0</v>
      </c>
      <c r="DG210" s="526">
        <f>BM210</f>
        <v>0</v>
      </c>
      <c r="DH210" s="526">
        <f>BO210</f>
        <v>0</v>
      </c>
      <c r="DI210" s="526">
        <f>BQ210</f>
        <v>0</v>
      </c>
    </row>
    <row r="211" spans="1:113" ht="12" hidden="1" outlineLevel="1" collapsed="1"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394"/>
      <c r="AH211" s="394"/>
      <c r="AI211" s="394"/>
      <c r="AJ211" s="394"/>
      <c r="AK211" s="42"/>
      <c r="AL211" s="42"/>
      <c r="AM211" s="42"/>
      <c r="AN211" s="42"/>
      <c r="AO211" s="42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5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2"/>
      <c r="BT211" s="42"/>
      <c r="BU211" s="42"/>
      <c r="BV211" s="42"/>
      <c r="BW211" s="42"/>
      <c r="BX211" s="42"/>
      <c r="BY211" s="42"/>
      <c r="BZ211" s="42"/>
      <c r="CA211" s="42"/>
      <c r="CB211" s="160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4"/>
      <c r="CU211" s="44"/>
      <c r="CV211" s="44"/>
      <c r="CW211" s="44"/>
      <c r="CX211" s="44"/>
      <c r="CY211" s="44"/>
      <c r="CZ211" s="45"/>
      <c r="DA211" s="44"/>
      <c r="DB211" s="44"/>
      <c r="DC211" s="529"/>
      <c r="DD211" s="529"/>
      <c r="DE211" s="529"/>
      <c r="DF211" s="529"/>
      <c r="DG211" s="529"/>
      <c r="DH211" s="529"/>
      <c r="DI211" s="529"/>
    </row>
    <row r="212" spans="1:113" s="36" customFormat="1" ht="12" collapsed="1">
      <c r="A212" s="1" t="s">
        <v>1058</v>
      </c>
      <c r="B212" s="2" t="s">
        <v>385</v>
      </c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  <c r="AK212" s="55"/>
      <c r="AL212" s="55"/>
      <c r="AM212" s="55"/>
      <c r="AN212" s="55"/>
      <c r="AO212" s="55"/>
      <c r="AP212" s="527">
        <f t="shared" ref="AP212:BI212" si="1126">AP239</f>
        <v>3045</v>
      </c>
      <c r="AQ212" s="527">
        <f t="shared" si="1126"/>
        <v>4949</v>
      </c>
      <c r="AR212" s="527">
        <f t="shared" si="1126"/>
        <v>7689</v>
      </c>
      <c r="AS212" s="527">
        <f t="shared" ref="AS212:AT212" si="1127">AS239</f>
        <v>8690</v>
      </c>
      <c r="AT212" s="527">
        <f t="shared" si="1127"/>
        <v>10003</v>
      </c>
      <c r="AU212" s="527">
        <f t="shared" ref="AU212:AV212" si="1128">AU239</f>
        <v>11133</v>
      </c>
      <c r="AV212" s="527">
        <f t="shared" si="1128"/>
        <v>12860</v>
      </c>
      <c r="AW212" s="527">
        <f t="shared" ref="AW212:AX212" si="1129">AW239</f>
        <v>13459</v>
      </c>
      <c r="AX212" s="527">
        <f t="shared" si="1129"/>
        <v>13636</v>
      </c>
      <c r="AY212" s="527">
        <f t="shared" si="1126"/>
        <v>14205</v>
      </c>
      <c r="AZ212" s="528">
        <f t="shared" si="1126"/>
        <v>15419</v>
      </c>
      <c r="BA212" s="527">
        <f t="shared" si="1126"/>
        <v>16719.904589230937</v>
      </c>
      <c r="BB212" s="527">
        <f t="shared" si="1126"/>
        <v>17817.450963744683</v>
      </c>
      <c r="BC212" s="527">
        <f t="shared" si="1126"/>
        <v>19176.188634142291</v>
      </c>
      <c r="BD212" s="527">
        <f t="shared" si="1126"/>
        <v>20354.899101248338</v>
      </c>
      <c r="BE212" s="527">
        <f t="shared" si="1126"/>
        <v>21822.389594773107</v>
      </c>
      <c r="BF212" s="527">
        <f t="shared" si="1126"/>
        <v>23068.443099638302</v>
      </c>
      <c r="BG212" s="527">
        <f t="shared" si="1126"/>
        <v>24634.038251574348</v>
      </c>
      <c r="BH212" s="527">
        <f t="shared" si="1126"/>
        <v>25811.678778088648</v>
      </c>
      <c r="BI212" s="527">
        <f t="shared" si="1126"/>
        <v>27298.070479946011</v>
      </c>
      <c r="BJ212" s="527">
        <f t="shared" ref="BJ212:BK212" si="1130">BJ239</f>
        <v>28345.918077298324</v>
      </c>
      <c r="BK212" s="527">
        <f t="shared" si="1130"/>
        <v>29740.977275251742</v>
      </c>
      <c r="BL212" s="527">
        <f t="shared" ref="BL212:BM212" si="1131">BL239</f>
        <v>30629.889357501452</v>
      </c>
      <c r="BM212" s="527">
        <f t="shared" si="1131"/>
        <v>31877.933684952244</v>
      </c>
      <c r="BN212" s="527">
        <f t="shared" ref="BN212:BO212" si="1132">BN239</f>
        <v>32677.499359798996</v>
      </c>
      <c r="BO212" s="527">
        <f t="shared" si="1132"/>
        <v>33861.38946661941</v>
      </c>
      <c r="BP212" s="527">
        <f t="shared" ref="BP212:BQ212" si="1133">BP239</f>
        <v>34700.960547124021</v>
      </c>
      <c r="BQ212" s="527">
        <f t="shared" si="1133"/>
        <v>35959.956828962218</v>
      </c>
      <c r="BR212" s="527"/>
      <c r="BS212" s="52"/>
      <c r="BT212" s="52"/>
      <c r="BU212" s="52"/>
      <c r="BV212" s="52"/>
      <c r="BW212" s="52"/>
      <c r="BX212" s="52"/>
      <c r="BY212" s="52"/>
      <c r="BZ212" s="52"/>
      <c r="CA212" s="52"/>
      <c r="CB212" s="52"/>
      <c r="CC212" s="52"/>
      <c r="CD212" s="52"/>
      <c r="CE212" s="52"/>
      <c r="CF212" s="52"/>
      <c r="CG212" s="52"/>
      <c r="CH212" s="52"/>
      <c r="CI212" s="52"/>
      <c r="CJ212" s="52"/>
      <c r="CK212" s="52"/>
      <c r="CL212" s="52"/>
      <c r="CM212" s="52"/>
      <c r="CN212" s="52"/>
      <c r="CO212" s="52"/>
      <c r="CP212" s="52"/>
      <c r="CQ212" s="52"/>
      <c r="CR212" s="52"/>
      <c r="CS212" s="52"/>
      <c r="CT212" s="527">
        <f t="shared" ref="CT212:DF212" si="1134">CT239</f>
        <v>161.88679245283018</v>
      </c>
      <c r="CU212" s="527">
        <f t="shared" si="1134"/>
        <v>1392</v>
      </c>
      <c r="CV212" s="527">
        <f t="shared" si="1134"/>
        <v>4034</v>
      </c>
      <c r="CW212" s="527">
        <f t="shared" si="1134"/>
        <v>8179</v>
      </c>
      <c r="CX212" s="527">
        <f t="shared" si="1134"/>
        <v>10555</v>
      </c>
      <c r="CY212" s="527">
        <f t="shared" si="1134"/>
        <v>13130</v>
      </c>
      <c r="CZ212" s="528">
        <f t="shared" si="1134"/>
        <v>13918.161643835616</v>
      </c>
      <c r="DA212" s="527">
        <f t="shared" si="1134"/>
        <v>16064.106111372053</v>
      </c>
      <c r="DB212" s="527">
        <f t="shared" si="1134"/>
        <v>18491.235945503497</v>
      </c>
      <c r="DC212" s="527">
        <f t="shared" si="1134"/>
        <v>21084.634811143165</v>
      </c>
      <c r="DD212" s="527">
        <f t="shared" si="1134"/>
        <v>23844.806722927133</v>
      </c>
      <c r="DE212" s="527">
        <f t="shared" si="1134"/>
        <v>26548.7661699686</v>
      </c>
      <c r="DF212" s="527">
        <f t="shared" si="1134"/>
        <v>29037.714556283441</v>
      </c>
      <c r="DG212" s="527">
        <f t="shared" ref="DG212:DH212" si="1135">DG239</f>
        <v>31250.501564048023</v>
      </c>
      <c r="DH212" s="527">
        <f t="shared" si="1135"/>
        <v>33264.579111400351</v>
      </c>
      <c r="DI212" s="527">
        <f t="shared" ref="DI212" si="1136">DI239</f>
        <v>35325.284730720501</v>
      </c>
    </row>
    <row r="213" spans="1:113" ht="12" hidden="1" outlineLevel="1"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388"/>
      <c r="AE213" s="388"/>
      <c r="AF213" s="388"/>
      <c r="AG213" s="388"/>
      <c r="AH213" s="388"/>
      <c r="AI213" s="388"/>
      <c r="AJ213" s="388"/>
      <c r="AK213" s="42"/>
      <c r="AL213" s="42"/>
      <c r="AM213" s="42"/>
      <c r="AN213" s="42"/>
      <c r="AO213" s="42"/>
      <c r="AP213" s="44"/>
      <c r="AQ213" s="572"/>
      <c r="AR213" s="572"/>
      <c r="AS213" s="572"/>
      <c r="AT213" s="653"/>
      <c r="AU213" s="653"/>
      <c r="AV213" s="653"/>
      <c r="AW213" s="653"/>
      <c r="AX213" s="653"/>
      <c r="AY213" s="639"/>
      <c r="AZ213" s="689"/>
      <c r="BA213" s="639"/>
      <c r="BB213" s="639"/>
      <c r="BC213" s="639"/>
      <c r="BD213" s="44"/>
      <c r="BE213" s="44"/>
      <c r="BF213" s="44"/>
      <c r="BG213" s="44"/>
      <c r="BH213" s="44"/>
      <c r="BI213" s="44"/>
      <c r="BJ213" s="44"/>
      <c r="BK213" s="44"/>
      <c r="BL213" s="44"/>
      <c r="BM213" s="44"/>
      <c r="BN213" s="44"/>
      <c r="BO213" s="44"/>
      <c r="BP213" s="44"/>
      <c r="BQ213" s="44"/>
      <c r="BR213" s="44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285"/>
      <c r="CR213" s="42"/>
      <c r="CS213" s="42"/>
      <c r="CT213" s="44"/>
      <c r="CU213" s="44"/>
      <c r="CV213" s="572"/>
      <c r="CW213" s="572"/>
      <c r="CX213" s="572"/>
      <c r="CY213" s="572"/>
      <c r="CZ213" s="45"/>
      <c r="DA213" s="632"/>
      <c r="DB213" s="44"/>
      <c r="DC213" s="529"/>
      <c r="DD213" s="529"/>
      <c r="DE213" s="529"/>
      <c r="DF213" s="529"/>
      <c r="DG213" s="529"/>
      <c r="DH213" s="529"/>
      <c r="DI213" s="529"/>
    </row>
    <row r="214" spans="1:113" s="24" customFormat="1" ht="12" hidden="1" outlineLevel="1">
      <c r="A214" s="1"/>
      <c r="B214" s="24" t="s">
        <v>439</v>
      </c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4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5"/>
      <c r="BT214" s="55"/>
      <c r="BU214" s="55"/>
      <c r="BV214" s="55"/>
      <c r="BW214" s="55"/>
      <c r="BX214" s="55"/>
      <c r="BY214" s="55"/>
      <c r="BZ214" s="55"/>
      <c r="CA214" s="55"/>
      <c r="CB214" s="55"/>
      <c r="CC214" s="55"/>
      <c r="CD214" s="55"/>
      <c r="CE214" s="55"/>
      <c r="CF214" s="55"/>
      <c r="CG214" s="55"/>
      <c r="CH214" s="55"/>
      <c r="CI214" s="55"/>
      <c r="CJ214" s="55"/>
      <c r="CK214" s="55"/>
      <c r="CL214" s="55"/>
      <c r="CM214" s="55"/>
      <c r="CN214" s="55"/>
      <c r="CO214" s="55"/>
      <c r="CP214" s="55"/>
      <c r="CQ214" s="55"/>
      <c r="CR214" s="42"/>
      <c r="CS214" s="42"/>
      <c r="CT214" s="44"/>
      <c r="CU214" s="526"/>
      <c r="CV214" s="44"/>
      <c r="CW214" s="44"/>
      <c r="CX214" s="44"/>
      <c r="CY214" s="44"/>
      <c r="CZ214" s="45"/>
      <c r="DA214" s="44"/>
      <c r="DB214" s="526"/>
      <c r="DC214" s="541"/>
      <c r="DD214" s="541"/>
      <c r="DE214" s="541"/>
      <c r="DF214" s="541"/>
      <c r="DG214" s="541"/>
      <c r="DH214" s="541"/>
      <c r="DI214" s="541"/>
    </row>
    <row r="215" spans="1:113" ht="12" hidden="1" outlineLevel="1">
      <c r="A215" s="1" t="s">
        <v>189</v>
      </c>
      <c r="B215" s="19" t="s">
        <v>162</v>
      </c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4">
        <f t="shared" ref="AP215" si="1137">(AP$219)*AVERAGE(SUM(AO157),SUM(AP157))/AVERAGE(SUM(AO$161,AO$179),SUM(AP$161,AP$179))</f>
        <v>203.50209364293872</v>
      </c>
      <c r="AQ215" s="44">
        <f t="shared" ref="AQ215" si="1138">(AQ$219)*AVERAGE(SUM(AP157),SUM(AQ157))/AVERAGE(SUM(AP$161,AP$179),SUM(AQ$161,AQ$179))</f>
        <v>290.84393816110656</v>
      </c>
      <c r="AR215" s="44">
        <f t="shared" ref="AR215:AZ215" si="1139">(AR$219)*AVERAGE(SUM(AQ157),SUM(AR157))/AVERAGE(SUM(AQ$161,AQ$179),SUM(AR$161,AR$179))</f>
        <v>424.57422902223283</v>
      </c>
      <c r="AS215" s="44">
        <f t="shared" si="1139"/>
        <v>548.05585009140771</v>
      </c>
      <c r="AT215" s="44">
        <f t="shared" si="1139"/>
        <v>695.36552186369897</v>
      </c>
      <c r="AU215" s="44">
        <f t="shared" si="1139"/>
        <v>844.47633455539221</v>
      </c>
      <c r="AV215" s="44">
        <f t="shared" si="1139"/>
        <v>1002.1858393289883</v>
      </c>
      <c r="AW215" s="44">
        <f t="shared" si="1139"/>
        <v>1074.3879339482621</v>
      </c>
      <c r="AX215" s="44">
        <f t="shared" si="1139"/>
        <v>1140.2061516304909</v>
      </c>
      <c r="AY215" s="44">
        <f t="shared" si="1139"/>
        <v>1118.3407569612066</v>
      </c>
      <c r="AZ215" s="45">
        <f t="shared" si="1139"/>
        <v>1156.180639073757</v>
      </c>
      <c r="BA215" s="44">
        <f t="shared" ref="BA215:BB215" si="1140">AZ215*(1+((BA157/AZ157)-1))</f>
        <v>1168.5887696922964</v>
      </c>
      <c r="BB215" s="44">
        <f t="shared" si="1140"/>
        <v>1191.9605450861422</v>
      </c>
      <c r="BC215" s="44">
        <f t="shared" ref="BC215:BQ215" si="1141">BB215*(1+((BC157/BB157)-1))</f>
        <v>1215.7997559878652</v>
      </c>
      <c r="BD215" s="44">
        <f t="shared" si="1141"/>
        <v>1251.3135708102097</v>
      </c>
      <c r="BE215" s="44">
        <f t="shared" si="1141"/>
        <v>1287.8647530419687</v>
      </c>
      <c r="BF215" s="44">
        <f t="shared" si="1141"/>
        <v>1325.4836044445128</v>
      </c>
      <c r="BG215" s="44">
        <f t="shared" si="1141"/>
        <v>1358.82780136882</v>
      </c>
      <c r="BH215" s="44">
        <f t="shared" si="1141"/>
        <v>1393.0108132470043</v>
      </c>
      <c r="BI215" s="44">
        <f t="shared" si="1141"/>
        <v>1421.0103305932691</v>
      </c>
      <c r="BJ215" s="44">
        <f t="shared" si="1141"/>
        <v>1449.5726382381938</v>
      </c>
      <c r="BK215" s="44">
        <f t="shared" si="1141"/>
        <v>1478.7090482667816</v>
      </c>
      <c r="BL215" s="44">
        <f t="shared" si="1141"/>
        <v>1508.431100136944</v>
      </c>
      <c r="BM215" s="44">
        <f t="shared" si="1141"/>
        <v>1538.7505652496966</v>
      </c>
      <c r="BN215" s="44">
        <f t="shared" si="1141"/>
        <v>1569.6794516112154</v>
      </c>
      <c r="BO215" s="44">
        <f t="shared" si="1141"/>
        <v>1601.2300085886009</v>
      </c>
      <c r="BP215" s="44">
        <f t="shared" si="1141"/>
        <v>1633.4147317612317</v>
      </c>
      <c r="BQ215" s="44">
        <f t="shared" si="1141"/>
        <v>1666.2463678696324</v>
      </c>
      <c r="BR215" s="44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113"/>
      <c r="CI215" s="113"/>
      <c r="CJ215" s="294"/>
      <c r="CK215" s="294"/>
      <c r="CL215" s="113"/>
      <c r="CM215" s="113"/>
      <c r="CN215" s="113"/>
      <c r="CO215" s="113"/>
      <c r="CP215" s="113"/>
      <c r="CQ215" s="113"/>
      <c r="CR215" s="113"/>
      <c r="CS215" s="113"/>
      <c r="CT215" s="44">
        <f t="shared" ref="CT215" si="1142">(CT$219)*AVERAGE(SUM(CS157),SUM(CT157))/AVERAGE(SUM(CS$161,CS$179),SUM(CT$161,CT$179))</f>
        <v>1.7791200000000003</v>
      </c>
      <c r="CU215" s="44">
        <f>(CU$219)*AVERAGE(SUM(CT157),SUM(CU157))/AVERAGE(SUM(CT$161,CT$179),SUM(CU$161,CU$179))</f>
        <v>53.389442103465797</v>
      </c>
      <c r="CV215" s="44">
        <f t="shared" ref="CV215:CY215" si="1143">(CV$219)*AVERAGE(SUM(CU157),SUM(CV157))/AVERAGE(SUM(CU$161,CU$179),SUM(CV$161,CV$179))</f>
        <v>227.11523864993501</v>
      </c>
      <c r="CW215" s="44">
        <f t="shared" si="1143"/>
        <v>488.22674297606659</v>
      </c>
      <c r="CX215" s="44">
        <f t="shared" si="1143"/>
        <v>776.28195042600566</v>
      </c>
      <c r="CY215" s="44">
        <f t="shared" si="1143"/>
        <v>1032.7296321970316</v>
      </c>
      <c r="CZ215" s="45">
        <f>(AX215*(AX$3-AW$3)+AY215*(AY$3-AX$3))/(AY$3-AW$3)</f>
        <v>1129.363312082161</v>
      </c>
      <c r="DA215" s="44">
        <f>(AZ215*(AZ$3-AY$3)+BA215*(BA$3-AZ$3))/(BA$3-AY$3)</f>
        <v>1162.3337120654164</v>
      </c>
      <c r="DB215" s="44">
        <f>(BB215*(BB$3-BA$3)+BC215*(BC$3-BB$3))/(BC$3-BA$3)</f>
        <v>1203.7821811771337</v>
      </c>
      <c r="DC215" s="44">
        <f>(BD215*(BD$3-BC$3)+BE215*(BE$3-BD$3))/(BE$3-BC$3)</f>
        <v>1269.4892953079695</v>
      </c>
      <c r="DD215" s="44">
        <f>(BF215*(BF$3-BE$3)+BG215*(BG$3-BF$3))/(BG$3-BE$3)</f>
        <v>1342.0186719604021</v>
      </c>
      <c r="DE215" s="44">
        <f>(BH215*(BH$3-BG$3)+BI215*(BI$3-BH$3))/(BI$3-BG$3)</f>
        <v>1406.8955054104945</v>
      </c>
      <c r="DF215" s="44">
        <f>(BJ215*(BJ$3-BI$3)+BK215*(BK$3-BJ$3))/(BK$3-BI$3)</f>
        <v>1464.0211045811375</v>
      </c>
      <c r="DG215" s="44">
        <f>(BL215*(BL$3-BK$3)+BM215*(BM$3-BL$3))/(BM$3-BK$3)</f>
        <v>1523.5079926247063</v>
      </c>
      <c r="DH215" s="44">
        <f>(BN215*(BN$3-BM$3)+BO215*(BO$3-BN$3))/(BO$3-BM$3)</f>
        <v>1585.3250702767136</v>
      </c>
      <c r="DI215" s="44">
        <f>(BP215*(BP$3-BO$3)+BQ215*(BQ$3-BP$3))/(BQ$3-BO$3)</f>
        <v>1649.6956252834798</v>
      </c>
    </row>
    <row r="216" spans="1:113" ht="12" hidden="1" outlineLevel="1">
      <c r="A216" s="1" t="s">
        <v>392</v>
      </c>
      <c r="B216" s="19" t="s">
        <v>163</v>
      </c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4">
        <f t="shared" ref="AP216" si="1144">(AP$219)*AVERAGE(SUM(AO158,AO179),SUM(AP158,AP179))/AVERAGE(SUM(AO$161,AO$179),SUM(AP$161,AP$179))</f>
        <v>1996.4979063570613</v>
      </c>
      <c r="AQ216" s="44">
        <f t="shared" ref="AQ216" si="1145">(AQ$219)*AVERAGE(SUM(AP158,AP179),SUM(AQ158,AQ179))/AVERAGE(SUM(AP$161,AP$179),SUM(AQ$161,AQ$179))</f>
        <v>2668.1560618388935</v>
      </c>
      <c r="AR216" s="44">
        <f t="shared" ref="AR216:AZ216" si="1146">(AR$219)*AVERAGE(SUM(AQ158,AQ179),SUM(AR158,AR179))/AVERAGE(SUM(AQ$161,AQ$179),SUM(AR$161,AR$179))</f>
        <v>3744.4257709777671</v>
      </c>
      <c r="AS216" s="44">
        <f t="shared" si="1146"/>
        <v>4838.9441499085924</v>
      </c>
      <c r="AT216" s="44">
        <f t="shared" si="1146"/>
        <v>6085.6344781363014</v>
      </c>
      <c r="AU216" s="44">
        <f t="shared" si="1146"/>
        <v>7205.523665444608</v>
      </c>
      <c r="AV216" s="44">
        <f t="shared" si="1146"/>
        <v>8347.8141606710124</v>
      </c>
      <c r="AW216" s="44">
        <f t="shared" si="1146"/>
        <v>8951.6120660517372</v>
      </c>
      <c r="AX216" s="44">
        <f t="shared" si="1146"/>
        <v>10083.793848369509</v>
      </c>
      <c r="AY216" s="44">
        <f t="shared" si="1146"/>
        <v>10677.659243038794</v>
      </c>
      <c r="AZ216" s="45">
        <f t="shared" si="1146"/>
        <v>11688.819360926242</v>
      </c>
      <c r="BA216" s="44">
        <f t="shared" ref="BA216" si="1147">AZ216*(1+((BA158/AZ158)-1))</f>
        <v>12764.190742131457</v>
      </c>
      <c r="BB216" s="44">
        <f t="shared" ref="BB216" si="1148">BA216*(1+((BB158/BA158)-1))</f>
        <v>13631.900428781553</v>
      </c>
      <c r="BC216" s="44">
        <f t="shared" ref="BC216:BQ216" si="1149">BB216*(1+((BC158/BB158)-1))</f>
        <v>14754.351110087428</v>
      </c>
      <c r="BD216" s="44">
        <f t="shared" si="1149"/>
        <v>15684.317860556237</v>
      </c>
      <c r="BE216" s="44">
        <f t="shared" si="1149"/>
        <v>16898.440906141896</v>
      </c>
      <c r="BF216" s="44">
        <f t="shared" si="1149"/>
        <v>17880.071338379679</v>
      </c>
      <c r="BG216" s="44">
        <f t="shared" si="1149"/>
        <v>19176.197709698819</v>
      </c>
      <c r="BH216" s="44">
        <f t="shared" si="1149"/>
        <v>20111.229110023731</v>
      </c>
      <c r="BI216" s="44">
        <f t="shared" si="1149"/>
        <v>21381.454340612829</v>
      </c>
      <c r="BJ216" s="44">
        <f t="shared" si="1149"/>
        <v>22223.669827089569</v>
      </c>
      <c r="BK216" s="44">
        <f t="shared" si="1149"/>
        <v>23419.081027088716</v>
      </c>
      <c r="BL216" s="44">
        <f t="shared" si="1149"/>
        <v>24121.653457901379</v>
      </c>
      <c r="BM216" s="44">
        <f t="shared" si="1149"/>
        <v>25192.654871432202</v>
      </c>
      <c r="BN216" s="44">
        <f t="shared" si="1149"/>
        <v>25822.471243218006</v>
      </c>
      <c r="BO216" s="44">
        <f t="shared" si="1149"/>
        <v>26839.876610200798</v>
      </c>
      <c r="BP216" s="44">
        <f t="shared" si="1149"/>
        <v>27510.873525455816</v>
      </c>
      <c r="BQ216" s="44">
        <f t="shared" si="1149"/>
        <v>28595.077051094027</v>
      </c>
      <c r="BR216" s="44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4">
        <f t="shared" ref="CT216" si="1150">(CT$219)*AVERAGE(SUM(CS158,CS179),SUM(CT158,CT179))/AVERAGE(SUM(CS$161,CS$179),SUM(CT$161,CT$179))</f>
        <v>87.176879999999997</v>
      </c>
      <c r="CU216" s="44">
        <f>(CU$219)*AVERAGE(SUM(CT158,CT179),SUM(CU158,CU179))/AVERAGE(SUM(CT$161,CT$179),SUM(CU$161,CU$179))</f>
        <v>916.72255789653423</v>
      </c>
      <c r="CV216" s="44">
        <f t="shared" ref="CV216:CY216" si="1151">(CV$219)*AVERAGE(SUM(CU158,CU179),SUM(CV158,CV179))/AVERAGE(SUM(CU$161,CU$179),SUM(CV$161,CV$179))</f>
        <v>2349.3177613500648</v>
      </c>
      <c r="CW216" s="44">
        <f t="shared" si="1151"/>
        <v>4284.7732570239332</v>
      </c>
      <c r="CX216" s="44">
        <f t="shared" si="1151"/>
        <v>6633.7180495739949</v>
      </c>
      <c r="CY216" s="44">
        <f t="shared" si="1151"/>
        <v>8654.2703678029684</v>
      </c>
      <c r="CZ216" s="45">
        <f t="shared" ref="CZ216:CZ218" si="1152">(AX216*(AX$3-AW$3)+AY216*(AY$3-AX$3))/(AY$3-AW$3)</f>
        <v>10378.286002986331</v>
      </c>
      <c r="DA216" s="44">
        <f t="shared" ref="DA216:DA219" si="1153">(AZ216*(AZ$3-AY$3)+BA216*(BA$3-AZ$3))/(BA$3-AY$3)</f>
        <v>12222.08571708554</v>
      </c>
      <c r="DB216" s="44">
        <f t="shared" ref="DB216:DB219" si="1154">(BB216*(BB$3-BA$3)+BC216*(BC$3-BB$3))/(BC$3-BA$3)</f>
        <v>14188.512958415424</v>
      </c>
      <c r="DC216" s="44">
        <f t="shared" ref="DC216:DC219" si="1155">(BD216*(BD$3-BC$3)+BE216*(BE$3-BD$3))/(BE$3-BC$3)</f>
        <v>16288.062107268232</v>
      </c>
      <c r="DD216" s="44">
        <f t="shared" ref="DD216:DD219" si="1156">(BF216*(BF$3-BE$3)+BG216*(BG$3-BF$3))/(BG$3-BE$3)</f>
        <v>18522.807977307803</v>
      </c>
      <c r="DE216" s="44">
        <f>(BH216*(BH$3-BG$3)+BI216*(BI$3-BH$3))/(BI$3-BG$3)</f>
        <v>20741.121621630929</v>
      </c>
      <c r="DF216" s="44">
        <f>(BJ216*(BJ$3-BI$3)+BK216*(BK$3-BJ$3))/(BK$3-BI$3)</f>
        <v>22816.462778322024</v>
      </c>
      <c r="DG216" s="44">
        <f>(BL216*(BL$3-BK$3)+BM216*(BM$3-BL$3))/(BM$3-BK$3)</f>
        <v>24654.227931296489</v>
      </c>
      <c r="DH216" s="44">
        <f>(BN216*(BN$3-BM$3)+BO216*(BO$3-BN$3))/(BO$3-BM$3)</f>
        <v>26326.992808762898</v>
      </c>
      <c r="DI216" s="44">
        <f>(BP216*(BP$3-BO$3)+BQ216*(BQ$3-BP$3))/(BQ$3-BO$3)</f>
        <v>28048.519657347642</v>
      </c>
    </row>
    <row r="217" spans="1:113" ht="12" hidden="1" outlineLevel="1">
      <c r="A217" s="1" t="s">
        <v>393</v>
      </c>
      <c r="B217" s="19" t="s">
        <v>164</v>
      </c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4">
        <f t="shared" ref="AP217:AP218" si="1157">(AP$219-AP$215)*AVERAGE(AO159:AP159)/AVERAGE(SUM(AO$161,AO$179,-AO$157),SUM(AP$161,AP$179,-AP$157))</f>
        <v>0</v>
      </c>
      <c r="AQ217" s="44">
        <f t="shared" ref="AQ217:AQ218" si="1158">(AQ$219-AQ$215)*AVERAGE(AP159:AQ159)/AVERAGE(SUM(AP$161,AP$179,-AP$157),SUM(AQ$161,AQ$179,-AQ$157))</f>
        <v>0</v>
      </c>
      <c r="AR217" s="44">
        <f t="shared" ref="AR217:AZ218" si="1159">(AR$219-AR$215)*AVERAGE(AQ159:AR159)/AVERAGE(SUM(AQ$161,AQ$179,-AQ$157),SUM(AR$161,AR$179,-AR$157))</f>
        <v>0</v>
      </c>
      <c r="AS217" s="44">
        <f t="shared" si="1159"/>
        <v>0</v>
      </c>
      <c r="AT217" s="44">
        <f t="shared" si="1159"/>
        <v>0</v>
      </c>
      <c r="AU217" s="44">
        <f t="shared" si="1159"/>
        <v>0</v>
      </c>
      <c r="AV217" s="44">
        <f t="shared" si="1159"/>
        <v>0</v>
      </c>
      <c r="AW217" s="44">
        <f t="shared" si="1159"/>
        <v>0</v>
      </c>
      <c r="AX217" s="44">
        <f t="shared" si="1159"/>
        <v>0</v>
      </c>
      <c r="AY217" s="44">
        <f t="shared" si="1159"/>
        <v>0</v>
      </c>
      <c r="AZ217" s="45">
        <f t="shared" si="1159"/>
        <v>0</v>
      </c>
      <c r="BA217" s="44">
        <v>0</v>
      </c>
      <c r="BB217" s="44">
        <v>0</v>
      </c>
      <c r="BC217" s="44">
        <v>0</v>
      </c>
      <c r="BD217" s="44">
        <v>0</v>
      </c>
      <c r="BE217" s="44">
        <v>0</v>
      </c>
      <c r="BF217" s="44">
        <v>0</v>
      </c>
      <c r="BG217" s="44">
        <v>0</v>
      </c>
      <c r="BH217" s="44">
        <v>0</v>
      </c>
      <c r="BI217" s="44">
        <v>0</v>
      </c>
      <c r="BJ217" s="44">
        <v>0</v>
      </c>
      <c r="BK217" s="44">
        <v>0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4">
        <f t="shared" ref="CT217:CY218" si="1160">(CT$219-CT$215)*AVERAGE(CS159:CT159)/AVERAGE(SUM(CS$161,CS$179,-CS$157),SUM(CT$161,CT$179,-CT$157))</f>
        <v>0</v>
      </c>
      <c r="CU217" s="44">
        <f t="shared" si="1160"/>
        <v>0</v>
      </c>
      <c r="CV217" s="44">
        <f t="shared" si="1160"/>
        <v>0</v>
      </c>
      <c r="CW217" s="44">
        <f t="shared" si="1160"/>
        <v>0</v>
      </c>
      <c r="CX217" s="44">
        <f t="shared" si="1160"/>
        <v>0</v>
      </c>
      <c r="CY217" s="44">
        <f t="shared" si="1160"/>
        <v>0</v>
      </c>
      <c r="CZ217" s="45">
        <f t="shared" si="1152"/>
        <v>0</v>
      </c>
      <c r="DA217" s="44">
        <f t="shared" si="1153"/>
        <v>0</v>
      </c>
      <c r="DB217" s="44">
        <f t="shared" si="1154"/>
        <v>0</v>
      </c>
      <c r="DC217" s="44">
        <f t="shared" si="1155"/>
        <v>0</v>
      </c>
      <c r="DD217" s="44">
        <f t="shared" si="1156"/>
        <v>0</v>
      </c>
      <c r="DE217" s="44">
        <f>(BH217*(BH$3-BG$3)+BI217*(BI$3-BH$3))/(BI$3-BG$3)</f>
        <v>0</v>
      </c>
      <c r="DF217" s="44">
        <f>(BJ217*(BJ$3-BI$3)+BK217*(BK$3-BJ$3))/(BK$3-BI$3)</f>
        <v>0</v>
      </c>
      <c r="DG217" s="44">
        <f>(BL217*(BL$3-BK$3)+BM217*(BM$3-BL$3))/(BM$3-BK$3)</f>
        <v>0</v>
      </c>
      <c r="DH217" s="44">
        <f>(BN217*(BN$3-BM$3)+BO217*(BO$3-BN$3))/(BO$3-BM$3)</f>
        <v>0</v>
      </c>
      <c r="DI217" s="44">
        <f>(BP217*(BP$3-BO$3)+BQ217*(BQ$3-BP$3))/(BQ$3-BO$3)</f>
        <v>0</v>
      </c>
    </row>
    <row r="218" spans="1:113" ht="12" hidden="1" outlineLevel="1">
      <c r="A218" s="1" t="s">
        <v>394</v>
      </c>
      <c r="B218" s="19" t="s">
        <v>165</v>
      </c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4">
        <f t="shared" si="1157"/>
        <v>0</v>
      </c>
      <c r="AQ218" s="44">
        <f t="shared" si="1158"/>
        <v>0</v>
      </c>
      <c r="AR218" s="44">
        <f t="shared" si="1159"/>
        <v>0</v>
      </c>
      <c r="AS218" s="44">
        <f t="shared" si="1159"/>
        <v>0</v>
      </c>
      <c r="AT218" s="44">
        <f t="shared" si="1159"/>
        <v>0</v>
      </c>
      <c r="AU218" s="44">
        <f t="shared" si="1159"/>
        <v>0</v>
      </c>
      <c r="AV218" s="44">
        <f t="shared" si="1159"/>
        <v>0</v>
      </c>
      <c r="AW218" s="44">
        <f t="shared" si="1159"/>
        <v>0</v>
      </c>
      <c r="AX218" s="44">
        <f t="shared" si="1159"/>
        <v>0</v>
      </c>
      <c r="AY218" s="44">
        <f t="shared" si="1159"/>
        <v>0</v>
      </c>
      <c r="AZ218" s="45">
        <f t="shared" si="1159"/>
        <v>0</v>
      </c>
      <c r="BA218" s="44">
        <v>0</v>
      </c>
      <c r="BB218" s="44">
        <v>0</v>
      </c>
      <c r="BC218" s="44">
        <v>0</v>
      </c>
      <c r="BD218" s="44">
        <v>0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0</v>
      </c>
      <c r="BK218" s="44">
        <v>0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4">
        <f t="shared" si="1160"/>
        <v>0</v>
      </c>
      <c r="CU218" s="44">
        <f t="shared" si="1160"/>
        <v>0</v>
      </c>
      <c r="CV218" s="44">
        <f t="shared" si="1160"/>
        <v>0</v>
      </c>
      <c r="CW218" s="44">
        <f t="shared" si="1160"/>
        <v>0</v>
      </c>
      <c r="CX218" s="44">
        <f t="shared" si="1160"/>
        <v>0</v>
      </c>
      <c r="CY218" s="44">
        <f t="shared" si="1160"/>
        <v>0</v>
      </c>
      <c r="CZ218" s="45">
        <f t="shared" si="1152"/>
        <v>0</v>
      </c>
      <c r="DA218" s="44">
        <f t="shared" si="1153"/>
        <v>0</v>
      </c>
      <c r="DB218" s="44">
        <f t="shared" si="1154"/>
        <v>0</v>
      </c>
      <c r="DC218" s="44">
        <f t="shared" si="1155"/>
        <v>0</v>
      </c>
      <c r="DD218" s="44">
        <f t="shared" si="1156"/>
        <v>0</v>
      </c>
      <c r="DE218" s="44">
        <f>(BH218*(BH$3-BG$3)+BI218*(BI$3-BH$3))/(BI$3-BG$3)</f>
        <v>0</v>
      </c>
      <c r="DF218" s="44">
        <f>(BJ218*(BJ$3-BI$3)+BK218*(BK$3-BJ$3))/(BK$3-BI$3)</f>
        <v>0</v>
      </c>
      <c r="DG218" s="44">
        <f>(BL218*(BL$3-BK$3)+BM218*(BM$3-BL$3))/(BM$3-BK$3)</f>
        <v>0</v>
      </c>
      <c r="DH218" s="44">
        <f>(BN218*(BN$3-BM$3)+BO218*(BO$3-BN$3))/(BO$3-BM$3)</f>
        <v>0</v>
      </c>
      <c r="DI218" s="44">
        <f>(BP218*(BP$3-BO$3)+BQ218*(BQ$3-BP$3))/(BQ$3-BO$3)</f>
        <v>0</v>
      </c>
    </row>
    <row r="219" spans="1:113" s="24" customFormat="1" ht="12" hidden="1" outlineLevel="1">
      <c r="A219" s="1" t="s">
        <v>479</v>
      </c>
      <c r="B219" s="24" t="s">
        <v>166</v>
      </c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  <c r="AJ219" s="55"/>
      <c r="AK219" s="55"/>
      <c r="AL219" s="55"/>
      <c r="AM219" s="55"/>
      <c r="AN219" s="55"/>
      <c r="AO219" s="55"/>
      <c r="AP219" s="521">
        <v>2200</v>
      </c>
      <c r="AQ219" s="521">
        <v>2959</v>
      </c>
      <c r="AR219" s="521">
        <v>4169</v>
      </c>
      <c r="AS219" s="521">
        <v>5387</v>
      </c>
      <c r="AT219" s="521">
        <v>6781</v>
      </c>
      <c r="AU219" s="521">
        <v>8050</v>
      </c>
      <c r="AV219" s="521">
        <v>9350</v>
      </c>
      <c r="AW219" s="521">
        <v>10026</v>
      </c>
      <c r="AX219" s="521">
        <v>11224</v>
      </c>
      <c r="AY219" s="521">
        <v>11796</v>
      </c>
      <c r="AZ219" s="522">
        <v>12845</v>
      </c>
      <c r="BA219" s="526">
        <f t="shared" ref="BA219" si="1161">AZ219*(1+((BA161/AZ161)-1))</f>
        <v>13935.499216856653</v>
      </c>
      <c r="BB219" s="526">
        <f t="shared" ref="BB219" si="1162">BA219*(1+((BB161/BA161)-1))</f>
        <v>14828.388489606146</v>
      </c>
      <c r="BC219" s="526">
        <f t="shared" ref="BC219:BQ219" si="1163">BB219*(1+((BC161/BB161)-1))</f>
        <v>15977.20200316618</v>
      </c>
      <c r="BD219" s="526">
        <f t="shared" si="1163"/>
        <v>16944.317171590352</v>
      </c>
      <c r="BE219" s="526">
        <f t="shared" si="1163"/>
        <v>18197.409534385861</v>
      </c>
      <c r="BF219" s="526">
        <f t="shared" si="1163"/>
        <v>19218.380407064185</v>
      </c>
      <c r="BG219" s="526">
        <f t="shared" si="1163"/>
        <v>20550.596718169945</v>
      </c>
      <c r="BH219" s="526">
        <f t="shared" si="1163"/>
        <v>21521.498754296539</v>
      </c>
      <c r="BI219" s="526">
        <f t="shared" si="1163"/>
        <v>22822.549791194411</v>
      </c>
      <c r="BJ219" s="526">
        <f t="shared" si="1163"/>
        <v>23694.912163416702</v>
      </c>
      <c r="BK219" s="526">
        <f t="shared" si="1163"/>
        <v>24922.038957203029</v>
      </c>
      <c r="BL219" s="526">
        <f t="shared" si="1163"/>
        <v>25655.484641465871</v>
      </c>
      <c r="BM219" s="526">
        <f t="shared" si="1163"/>
        <v>26758.994266487804</v>
      </c>
      <c r="BN219" s="526">
        <f t="shared" si="1163"/>
        <v>27420.647488643117</v>
      </c>
      <c r="BO219" s="526">
        <f t="shared" si="1163"/>
        <v>28471.603075684005</v>
      </c>
      <c r="BP219" s="526">
        <f t="shared" si="1163"/>
        <v>29175.774230348485</v>
      </c>
      <c r="BQ219" s="526">
        <f t="shared" si="1163"/>
        <v>30294.963221721951</v>
      </c>
      <c r="BR219" s="526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5"/>
      <c r="CD219" s="55"/>
      <c r="CE219" s="55"/>
      <c r="CF219" s="55"/>
      <c r="CG219" s="55"/>
      <c r="CH219" s="117"/>
      <c r="CI219" s="117"/>
      <c r="CJ219" s="295"/>
      <c r="CK219" s="295"/>
      <c r="CL219" s="117"/>
      <c r="CM219" s="117"/>
      <c r="CN219" s="117"/>
      <c r="CO219" s="117"/>
      <c r="CP219" s="117"/>
      <c r="CQ219" s="117"/>
      <c r="CR219" s="117"/>
      <c r="CS219" s="117"/>
      <c r="CT219" s="521">
        <v>88.956000000000003</v>
      </c>
      <c r="CU219" s="521">
        <v>970.11199999999997</v>
      </c>
      <c r="CV219" s="521">
        <v>2576.433</v>
      </c>
      <c r="CW219" s="521">
        <v>4773</v>
      </c>
      <c r="CX219" s="521">
        <v>7410</v>
      </c>
      <c r="CY219" s="521">
        <v>9687</v>
      </c>
      <c r="CZ219" s="524">
        <f>(AX219*(AX$3-AW$3)+AY219*(AY$3-AX$3))/(AY$3-AW$3)</f>
        <v>11507.649315068493</v>
      </c>
      <c r="DA219" s="526">
        <f t="shared" si="1153"/>
        <v>13385.768104797407</v>
      </c>
      <c r="DB219" s="526">
        <f t="shared" si="1154"/>
        <v>15398.074094960573</v>
      </c>
      <c r="DC219" s="526">
        <f t="shared" si="1155"/>
        <v>17567.439603362982</v>
      </c>
      <c r="DD219" s="526">
        <f t="shared" si="1156"/>
        <v>19879.013701064578</v>
      </c>
      <c r="DE219" s="526">
        <f>(BH219*(BH$3-BG$3)+BI219*(BI$3-BH$3))/(BI$3-BG$3)</f>
        <v>22166.677487662331</v>
      </c>
      <c r="DF219" s="526">
        <f>(BJ219*(BJ$3-BI$3)+BK219*(BK$3-BJ$3))/(BK$3-BI$3)</f>
        <v>24303.43257348609</v>
      </c>
      <c r="DG219" s="526">
        <f>(BL219*(BL$3-BK$3)+BM219*(BM$3-BL$3))/(BM$3-BK$3)</f>
        <v>26204.224400356554</v>
      </c>
      <c r="DH219" s="526">
        <f>(BN219*(BN$3-BM$3)+BO219*(BO$3-BN$3))/(BO$3-BM$3)</f>
        <v>27941.806286600378</v>
      </c>
      <c r="DI219" s="526">
        <f>(BP219*(BP$3-BO$3)+BQ219*(BQ$3-BP$3))/(BQ$3-BO$3)</f>
        <v>29730.769319221356</v>
      </c>
    </row>
    <row r="220" spans="1:113" ht="12" hidden="1" outlineLevel="1"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4"/>
      <c r="AQ220" s="572"/>
      <c r="AR220" s="44"/>
      <c r="AS220" s="44"/>
      <c r="AT220" s="44"/>
      <c r="AU220" s="44"/>
      <c r="AV220" s="44"/>
      <c r="AW220" s="44"/>
      <c r="AX220" s="44"/>
      <c r="AY220" s="44"/>
      <c r="AZ220" s="45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  <c r="BP220" s="44"/>
      <c r="BQ220" s="44"/>
      <c r="BR220" s="44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4"/>
      <c r="CU220" s="44"/>
      <c r="CV220" s="44"/>
      <c r="CW220" s="44"/>
      <c r="CX220" s="44"/>
      <c r="CY220" s="44"/>
      <c r="CZ220" s="45"/>
      <c r="DA220" s="632"/>
      <c r="DB220" s="44"/>
      <c r="DC220" s="44"/>
      <c r="DD220" s="44"/>
      <c r="DE220" s="44"/>
      <c r="DF220" s="44"/>
      <c r="DG220" s="44"/>
      <c r="DH220" s="44"/>
      <c r="DI220" s="44"/>
    </row>
    <row r="221" spans="1:113" s="24" customFormat="1" ht="12" hidden="1" outlineLevel="2">
      <c r="A221" s="1"/>
      <c r="B221" s="24" t="s">
        <v>405</v>
      </c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  <c r="AJ221" s="55"/>
      <c r="AK221" s="55"/>
      <c r="AL221" s="55"/>
      <c r="AM221" s="55"/>
      <c r="AN221" s="55"/>
      <c r="AO221" s="55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4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5"/>
      <c r="BT221" s="55"/>
      <c r="BU221" s="55"/>
      <c r="BV221" s="55"/>
      <c r="BW221" s="55"/>
      <c r="BX221" s="55"/>
      <c r="BY221" s="55"/>
      <c r="BZ221" s="55"/>
      <c r="CA221" s="55"/>
      <c r="CB221" s="55"/>
      <c r="CC221" s="55"/>
      <c r="CD221" s="55"/>
      <c r="CE221" s="55"/>
      <c r="CF221" s="55"/>
      <c r="CG221" s="55"/>
      <c r="CH221" s="55"/>
      <c r="CI221" s="55"/>
      <c r="CJ221" s="55"/>
      <c r="CK221" s="55"/>
      <c r="CL221" s="55"/>
      <c r="CM221" s="55"/>
      <c r="CN221" s="55"/>
      <c r="CO221" s="55"/>
      <c r="CP221" s="55"/>
      <c r="CQ221" s="55"/>
      <c r="CR221" s="55"/>
      <c r="CS221" s="55"/>
      <c r="CT221" s="526"/>
      <c r="CU221" s="526"/>
      <c r="CV221" s="526"/>
      <c r="CW221" s="526"/>
      <c r="CX221" s="526"/>
      <c r="CY221" s="526"/>
      <c r="CZ221" s="524"/>
      <c r="DA221" s="526"/>
      <c r="DB221" s="526"/>
      <c r="DC221" s="526"/>
      <c r="DD221" s="526"/>
      <c r="DE221" s="526"/>
      <c r="DF221" s="526"/>
      <c r="DG221" s="526"/>
      <c r="DH221" s="526"/>
      <c r="DI221" s="526"/>
    </row>
    <row r="222" spans="1:113" ht="12" hidden="1" outlineLevel="2">
      <c r="A222" s="1" t="s">
        <v>480</v>
      </c>
      <c r="B222" s="19" t="s">
        <v>162</v>
      </c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525">
        <v>0</v>
      </c>
      <c r="AQ222" s="525">
        <v>0</v>
      </c>
      <c r="AR222" s="525">
        <v>0</v>
      </c>
      <c r="AS222" s="525">
        <v>0</v>
      </c>
      <c r="AT222" s="525">
        <v>0</v>
      </c>
      <c r="AU222" s="525">
        <v>0</v>
      </c>
      <c r="AV222" s="525">
        <v>0</v>
      </c>
      <c r="AW222" s="525">
        <v>0</v>
      </c>
      <c r="AX222" s="525">
        <v>0</v>
      </c>
      <c r="AY222" s="525">
        <v>0</v>
      </c>
      <c r="AZ222" s="523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113"/>
      <c r="CI222" s="113"/>
      <c r="CJ222" s="294"/>
      <c r="CK222" s="294"/>
      <c r="CL222" s="113"/>
      <c r="CM222" s="113"/>
      <c r="CN222" s="113"/>
      <c r="CO222" s="113"/>
      <c r="CP222" s="113"/>
      <c r="CQ222" s="113"/>
      <c r="CR222" s="113"/>
      <c r="CS222" s="113"/>
      <c r="CT222" s="525">
        <v>0</v>
      </c>
      <c r="CU222" s="525">
        <v>0</v>
      </c>
      <c r="CV222" s="525">
        <v>0</v>
      </c>
      <c r="CW222" s="525">
        <v>0</v>
      </c>
      <c r="CX222" s="525">
        <v>0</v>
      </c>
      <c r="CY222" s="525">
        <v>0</v>
      </c>
      <c r="CZ222" s="45">
        <f t="shared" ref="CZ222:CZ224" si="1164">(AX222*(AX$3-AW$3)+AY222*(AY$3-AX$3))/(AY$3-AW$3)</f>
        <v>0</v>
      </c>
      <c r="DA222" s="44">
        <f t="shared" ref="DA222:DA224" si="1165">(AZ222*(AZ$3-AY$3)+BA222*(BA$3-AZ$3))/(BA$3-AY$3)</f>
        <v>0</v>
      </c>
      <c r="DB222" s="44">
        <f t="shared" ref="DB222:DB224" si="1166">(BB222*(BB$3-BA$3)+BC222*(BC$3-BB$3))/(BC$3-BA$3)</f>
        <v>0</v>
      </c>
      <c r="DC222" s="44">
        <f t="shared" ref="DC222:DC224" si="1167">(BD222*(BD$3-BC$3)+BE222*(BE$3-BD$3))/(BE$3-BC$3)</f>
        <v>0</v>
      </c>
      <c r="DD222" s="44">
        <f t="shared" ref="DD222:DD224" si="1168">(BF222*(BF$3-BE$3)+BG222*(BG$3-BF$3))/(BG$3-BE$3)</f>
        <v>0</v>
      </c>
      <c r="DE222" s="44">
        <f>(BH222*(BH$3-BG$3)+BI222*(BI$3-BH$3))/(BI$3-BG$3)</f>
        <v>0</v>
      </c>
      <c r="DF222" s="44">
        <f>(BJ222*(BJ$3-BI$3)+BK222*(BK$3-BJ$3))/(BK$3-BI$3)</f>
        <v>0</v>
      </c>
      <c r="DG222" s="44">
        <f>(BL222*(BL$3-BK$3)+BM222*(BM$3-BL$3))/(BM$3-BK$3)</f>
        <v>0</v>
      </c>
      <c r="DH222" s="44">
        <f>(BN222*(BN$3-BM$3)+BO222*(BO$3-BN$3))/(BO$3-BM$3)</f>
        <v>0</v>
      </c>
      <c r="DI222" s="44">
        <f>(BP222*(BP$3-BO$3)+BQ222*(BQ$3-BP$3))/(BQ$3-BO$3)</f>
        <v>0</v>
      </c>
    </row>
    <row r="223" spans="1:113" ht="12" hidden="1" outlineLevel="2">
      <c r="A223" s="1" t="s">
        <v>1059</v>
      </c>
      <c r="B223" s="19" t="s">
        <v>341</v>
      </c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4">
        <f t="shared" ref="AP223:AR223" si="1169">AP224-AP222</f>
        <v>0</v>
      </c>
      <c r="AQ223" s="44">
        <f t="shared" si="1169"/>
        <v>0</v>
      </c>
      <c r="AR223" s="44">
        <f t="shared" si="1169"/>
        <v>0</v>
      </c>
      <c r="AS223" s="44">
        <f t="shared" ref="AS223:AT223" si="1170">AS224-AS222</f>
        <v>0</v>
      </c>
      <c r="AT223" s="44">
        <f t="shared" si="1170"/>
        <v>0</v>
      </c>
      <c r="AU223" s="44">
        <f t="shared" ref="AU223:AV223" si="1171">AU224-AU222</f>
        <v>0</v>
      </c>
      <c r="AV223" s="44">
        <f t="shared" si="1171"/>
        <v>0</v>
      </c>
      <c r="AW223" s="44">
        <f t="shared" ref="AW223:AX223" si="1172">AW224-AW222</f>
        <v>0</v>
      </c>
      <c r="AX223" s="44">
        <f t="shared" si="1172"/>
        <v>0</v>
      </c>
      <c r="AY223" s="44">
        <f t="shared" ref="AY223:AZ223" si="1173">AY224-AY222</f>
        <v>0</v>
      </c>
      <c r="AZ223" s="45">
        <f t="shared" si="1173"/>
        <v>0</v>
      </c>
      <c r="BA223" s="44">
        <v>0</v>
      </c>
      <c r="BB223" s="44">
        <v>0</v>
      </c>
      <c r="BC223" s="44">
        <v>0</v>
      </c>
      <c r="BD223" s="44">
        <v>0</v>
      </c>
      <c r="BE223" s="44">
        <v>0</v>
      </c>
      <c r="BF223" s="44">
        <v>0</v>
      </c>
      <c r="BG223" s="44">
        <v>0</v>
      </c>
      <c r="BH223" s="44">
        <v>0</v>
      </c>
      <c r="BI223" s="44">
        <v>0</v>
      </c>
      <c r="BJ223" s="44">
        <v>0</v>
      </c>
      <c r="BK223" s="44">
        <v>0</v>
      </c>
      <c r="BL223" s="44">
        <v>0</v>
      </c>
      <c r="BM223" s="44">
        <v>0</v>
      </c>
      <c r="BN223" s="44">
        <v>0</v>
      </c>
      <c r="BO223" s="44">
        <v>0</v>
      </c>
      <c r="BP223" s="44">
        <v>0</v>
      </c>
      <c r="BQ223" s="44">
        <v>0</v>
      </c>
      <c r="BR223" s="44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4">
        <f>CT224-CT222</f>
        <v>0</v>
      </c>
      <c r="CU223" s="44">
        <f t="shared" ref="CU223:CV223" si="1174">CU224-CU222</f>
        <v>0</v>
      </c>
      <c r="CV223" s="44">
        <f t="shared" si="1174"/>
        <v>0</v>
      </c>
      <c r="CW223" s="44">
        <f t="shared" ref="CW223:CX223" si="1175">CW224-CW222</f>
        <v>0</v>
      </c>
      <c r="CX223" s="44">
        <f t="shared" si="1175"/>
        <v>0</v>
      </c>
      <c r="CY223" s="44">
        <f t="shared" ref="CY223" si="1176">CY224-CY222</f>
        <v>0</v>
      </c>
      <c r="CZ223" s="45">
        <f t="shared" si="1164"/>
        <v>0</v>
      </c>
      <c r="DA223" s="44">
        <f t="shared" si="1165"/>
        <v>0</v>
      </c>
      <c r="DB223" s="44">
        <f t="shared" si="1166"/>
        <v>0</v>
      </c>
      <c r="DC223" s="44">
        <f t="shared" si="1167"/>
        <v>0</v>
      </c>
      <c r="DD223" s="44">
        <f t="shared" si="1168"/>
        <v>0</v>
      </c>
      <c r="DE223" s="44">
        <f>(BH223*(BH$3-BG$3)+BI223*(BI$3-BH$3))/(BI$3-BG$3)</f>
        <v>0</v>
      </c>
      <c r="DF223" s="44">
        <f>(BJ223*(BJ$3-BI$3)+BK223*(BK$3-BJ$3))/(BK$3-BI$3)</f>
        <v>0</v>
      </c>
      <c r="DG223" s="44">
        <f>(BL223*(BL$3-BK$3)+BM223*(BM$3-BL$3))/(BM$3-BK$3)</f>
        <v>0</v>
      </c>
      <c r="DH223" s="44">
        <f>(BN223*(BN$3-BM$3)+BO223*(BO$3-BN$3))/(BO$3-BM$3)</f>
        <v>0</v>
      </c>
      <c r="DI223" s="44">
        <f>(BP223*(BP$3-BO$3)+BQ223*(BQ$3-BP$3))/(BQ$3-BO$3)</f>
        <v>0</v>
      </c>
    </row>
    <row r="224" spans="1:113" s="24" customFormat="1" ht="12" hidden="1" outlineLevel="2">
      <c r="A224" s="1" t="s">
        <v>397</v>
      </c>
      <c r="B224" s="24" t="s">
        <v>166</v>
      </c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5"/>
      <c r="AM224" s="55"/>
      <c r="AN224" s="55"/>
      <c r="AO224" s="55"/>
      <c r="AP224" s="521">
        <v>0</v>
      </c>
      <c r="AQ224" s="521">
        <v>0</v>
      </c>
      <c r="AR224" s="521">
        <v>0</v>
      </c>
      <c r="AS224" s="521">
        <v>0</v>
      </c>
      <c r="AT224" s="521">
        <v>0</v>
      </c>
      <c r="AU224" s="521">
        <v>0</v>
      </c>
      <c r="AV224" s="521">
        <v>0</v>
      </c>
      <c r="AW224" s="521">
        <v>0</v>
      </c>
      <c r="AX224" s="521">
        <v>0</v>
      </c>
      <c r="AY224" s="521">
        <v>0</v>
      </c>
      <c r="AZ224" s="522">
        <v>0</v>
      </c>
      <c r="BA224" s="526">
        <v>0</v>
      </c>
      <c r="BB224" s="526">
        <v>0</v>
      </c>
      <c r="BC224" s="526">
        <v>0</v>
      </c>
      <c r="BD224" s="526">
        <v>0</v>
      </c>
      <c r="BE224" s="526">
        <v>0</v>
      </c>
      <c r="BF224" s="526">
        <v>0</v>
      </c>
      <c r="BG224" s="526">
        <v>0</v>
      </c>
      <c r="BH224" s="526">
        <v>0</v>
      </c>
      <c r="BI224" s="526">
        <v>0</v>
      </c>
      <c r="BJ224" s="526">
        <v>0</v>
      </c>
      <c r="BK224" s="526">
        <v>0</v>
      </c>
      <c r="BL224" s="526">
        <v>0</v>
      </c>
      <c r="BM224" s="526">
        <v>0</v>
      </c>
      <c r="BN224" s="526">
        <v>0</v>
      </c>
      <c r="BO224" s="526">
        <v>0</v>
      </c>
      <c r="BP224" s="526">
        <v>0</v>
      </c>
      <c r="BQ224" s="526">
        <v>0</v>
      </c>
      <c r="BR224" s="526"/>
      <c r="BS224" s="54"/>
      <c r="BT224" s="54"/>
      <c r="BU224" s="54"/>
      <c r="BV224" s="54"/>
      <c r="BW224" s="54"/>
      <c r="BX224" s="54"/>
      <c r="BY224" s="54"/>
      <c r="BZ224" s="54"/>
      <c r="CA224" s="54"/>
      <c r="CB224" s="54"/>
      <c r="CC224" s="55"/>
      <c r="CD224" s="55"/>
      <c r="CE224" s="55"/>
      <c r="CF224" s="55"/>
      <c r="CG224" s="55"/>
      <c r="CH224" s="117"/>
      <c r="CI224" s="117"/>
      <c r="CJ224" s="295"/>
      <c r="CK224" s="295"/>
      <c r="CL224" s="117"/>
      <c r="CM224" s="117"/>
      <c r="CN224" s="117"/>
      <c r="CO224" s="117"/>
      <c r="CP224" s="117"/>
      <c r="CQ224" s="117"/>
      <c r="CR224" s="117"/>
      <c r="CS224" s="117"/>
      <c r="CT224" s="521">
        <v>0</v>
      </c>
      <c r="CU224" s="521">
        <v>0</v>
      </c>
      <c r="CV224" s="521">
        <v>0</v>
      </c>
      <c r="CW224" s="521">
        <v>0</v>
      </c>
      <c r="CX224" s="521">
        <v>0</v>
      </c>
      <c r="CY224" s="521">
        <v>0</v>
      </c>
      <c r="CZ224" s="524">
        <f t="shared" si="1164"/>
        <v>0</v>
      </c>
      <c r="DA224" s="526">
        <f t="shared" si="1165"/>
        <v>0</v>
      </c>
      <c r="DB224" s="526">
        <f t="shared" si="1166"/>
        <v>0</v>
      </c>
      <c r="DC224" s="526">
        <f t="shared" si="1167"/>
        <v>0</v>
      </c>
      <c r="DD224" s="526">
        <f t="shared" si="1168"/>
        <v>0</v>
      </c>
      <c r="DE224" s="526">
        <f>(BH224*(BH$3-BG$3)+BI224*(BI$3-BH$3))/(BI$3-BG$3)</f>
        <v>0</v>
      </c>
      <c r="DF224" s="526">
        <f>(BJ224*(BJ$3-BI$3)+BK224*(BK$3-BJ$3))/(BK$3-BI$3)</f>
        <v>0</v>
      </c>
      <c r="DG224" s="526">
        <f>(BL224*(BL$3-BK$3)+BM224*(BM$3-BL$3))/(BM$3-BK$3)</f>
        <v>0</v>
      </c>
      <c r="DH224" s="526">
        <f>(BN224*(BN$3-BM$3)+BO224*(BO$3-BN$3))/(BO$3-BM$3)</f>
        <v>0</v>
      </c>
      <c r="DI224" s="526">
        <f>(BP224*(BP$3-BO$3)+BQ224*(BQ$3-BP$3))/(BQ$3-BO$3)</f>
        <v>0</v>
      </c>
    </row>
    <row r="225" spans="1:113" ht="12" hidden="1" outlineLevel="2"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4"/>
      <c r="AQ225" s="44"/>
      <c r="AR225" s="44"/>
      <c r="AS225" s="44"/>
      <c r="AT225" s="44"/>
      <c r="AU225" s="44"/>
      <c r="AV225" s="44"/>
      <c r="AW225" s="44"/>
      <c r="AX225" s="44"/>
      <c r="AY225" s="44"/>
      <c r="AZ225" s="45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  <c r="BP225" s="44"/>
      <c r="BQ225" s="44"/>
      <c r="BR225" s="44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4"/>
      <c r="CU225" s="44"/>
      <c r="CV225" s="44"/>
      <c r="CW225" s="44"/>
      <c r="CX225" s="44"/>
      <c r="CY225" s="44"/>
      <c r="CZ225" s="45"/>
      <c r="DA225" s="44"/>
      <c r="DB225" s="44"/>
      <c r="DC225" s="44"/>
      <c r="DD225" s="44"/>
      <c r="DE225" s="44"/>
      <c r="DF225" s="44"/>
      <c r="DG225" s="44"/>
      <c r="DH225" s="44"/>
      <c r="DI225" s="44"/>
    </row>
    <row r="226" spans="1:113" s="24" customFormat="1" ht="12" hidden="1" outlineLevel="2">
      <c r="A226" s="1"/>
      <c r="B226" s="24" t="s">
        <v>339</v>
      </c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4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5"/>
      <c r="BT226" s="55"/>
      <c r="BU226" s="55"/>
      <c r="BV226" s="55"/>
      <c r="BW226" s="55"/>
      <c r="BX226" s="55"/>
      <c r="BY226" s="55"/>
      <c r="BZ226" s="55"/>
      <c r="CA226" s="55"/>
      <c r="CB226" s="55"/>
      <c r="CC226" s="55"/>
      <c r="CD226" s="55"/>
      <c r="CE226" s="55"/>
      <c r="CF226" s="55"/>
      <c r="CG226" s="55"/>
      <c r="CH226" s="55"/>
      <c r="CI226" s="55"/>
      <c r="CJ226" s="55"/>
      <c r="CK226" s="55"/>
      <c r="CL226" s="55"/>
      <c r="CM226" s="55"/>
      <c r="CN226" s="55"/>
      <c r="CO226" s="55"/>
      <c r="CP226" s="55"/>
      <c r="CQ226" s="55"/>
      <c r="CR226" s="55"/>
      <c r="CS226" s="55"/>
      <c r="CT226" s="526"/>
      <c r="CU226" s="526"/>
      <c r="CV226" s="526"/>
      <c r="CW226" s="526"/>
      <c r="CX226" s="526"/>
      <c r="CY226" s="526"/>
      <c r="CZ226" s="524"/>
      <c r="DA226" s="526"/>
      <c r="DB226" s="526"/>
      <c r="DC226" s="526"/>
      <c r="DD226" s="526"/>
      <c r="DE226" s="526"/>
      <c r="DF226" s="526"/>
      <c r="DG226" s="526"/>
      <c r="DH226" s="526"/>
      <c r="DI226" s="526"/>
    </row>
    <row r="227" spans="1:113" ht="12" hidden="1" outlineLevel="2">
      <c r="A227" s="1" t="s">
        <v>398</v>
      </c>
      <c r="B227" s="19" t="s">
        <v>162</v>
      </c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525">
        <v>0</v>
      </c>
      <c r="AQ227" s="525">
        <v>0</v>
      </c>
      <c r="AR227" s="525">
        <v>0</v>
      </c>
      <c r="AS227" s="525">
        <v>0</v>
      </c>
      <c r="AT227" s="525">
        <v>0</v>
      </c>
      <c r="AU227" s="525">
        <v>0</v>
      </c>
      <c r="AV227" s="525">
        <v>0</v>
      </c>
      <c r="AW227" s="525">
        <v>0</v>
      </c>
      <c r="AX227" s="525">
        <v>0</v>
      </c>
      <c r="AY227" s="525">
        <v>0</v>
      </c>
      <c r="AZ227" s="523">
        <v>0</v>
      </c>
      <c r="BA227" s="44">
        <v>0</v>
      </c>
      <c r="BB227" s="44">
        <v>0</v>
      </c>
      <c r="BC227" s="44">
        <v>0</v>
      </c>
      <c r="BD227" s="44">
        <v>0</v>
      </c>
      <c r="BE227" s="44">
        <v>0</v>
      </c>
      <c r="BF227" s="44">
        <v>0</v>
      </c>
      <c r="BG227" s="44">
        <v>0</v>
      </c>
      <c r="BH227" s="44">
        <v>0</v>
      </c>
      <c r="BI227" s="44">
        <v>0</v>
      </c>
      <c r="BJ227" s="44">
        <v>0</v>
      </c>
      <c r="BK227" s="44">
        <v>0</v>
      </c>
      <c r="BL227" s="44">
        <v>0</v>
      </c>
      <c r="BM227" s="44">
        <v>0</v>
      </c>
      <c r="BN227" s="44">
        <v>0</v>
      </c>
      <c r="BO227" s="44">
        <v>0</v>
      </c>
      <c r="BP227" s="44">
        <v>0</v>
      </c>
      <c r="BQ227" s="44">
        <v>0</v>
      </c>
      <c r="BR227" s="44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113"/>
      <c r="CI227" s="113"/>
      <c r="CJ227" s="294"/>
      <c r="CK227" s="294"/>
      <c r="CL227" s="113"/>
      <c r="CM227" s="113"/>
      <c r="CN227" s="113"/>
      <c r="CO227" s="113"/>
      <c r="CP227" s="113"/>
      <c r="CQ227" s="113"/>
      <c r="CR227" s="113"/>
      <c r="CS227" s="113"/>
      <c r="CT227" s="525">
        <v>0</v>
      </c>
      <c r="CU227" s="525">
        <v>0</v>
      </c>
      <c r="CV227" s="525">
        <v>0</v>
      </c>
      <c r="CW227" s="525">
        <v>0</v>
      </c>
      <c r="CX227" s="525">
        <v>0</v>
      </c>
      <c r="CY227" s="525">
        <v>0</v>
      </c>
      <c r="CZ227" s="45">
        <f t="shared" ref="CZ227:CZ229" si="1177">(AX227*(AX$3-AW$3)+AY227*(AY$3-AX$3))/(AY$3-AW$3)</f>
        <v>0</v>
      </c>
      <c r="DA227" s="44">
        <f t="shared" ref="DA227:DA229" si="1178">(AZ227*(AZ$3-AY$3)+BA227*(BA$3-AZ$3))/(BA$3-AY$3)</f>
        <v>0</v>
      </c>
      <c r="DB227" s="44">
        <f t="shared" ref="DB227:DB229" si="1179">(BB227*(BB$3-BA$3)+BC227*(BC$3-BB$3))/(BC$3-BA$3)</f>
        <v>0</v>
      </c>
      <c r="DC227" s="44">
        <f t="shared" ref="DC227:DC229" si="1180">(BD227*(BD$3-BC$3)+BE227*(BE$3-BD$3))/(BE$3-BC$3)</f>
        <v>0</v>
      </c>
      <c r="DD227" s="44">
        <f t="shared" ref="DD227:DD229" si="1181">(BF227*(BF$3-BE$3)+BG227*(BG$3-BF$3))/(BG$3-BE$3)</f>
        <v>0</v>
      </c>
      <c r="DE227" s="44">
        <f>(BH227*(BH$3-BG$3)+BI227*(BI$3-BH$3))/(BI$3-BG$3)</f>
        <v>0</v>
      </c>
      <c r="DF227" s="44">
        <f>(BJ227*(BJ$3-BI$3)+BK227*(BK$3-BJ$3))/(BK$3-BI$3)</f>
        <v>0</v>
      </c>
      <c r="DG227" s="44">
        <f>(BL227*(BL$3-BK$3)+BM227*(BM$3-BL$3))/(BM$3-BK$3)</f>
        <v>0</v>
      </c>
      <c r="DH227" s="44">
        <f>(BN227*(BN$3-BM$3)+BO227*(BO$3-BN$3))/(BO$3-BM$3)</f>
        <v>0</v>
      </c>
      <c r="DI227" s="44">
        <f>(BP227*(BP$3-BO$3)+BQ227*(BQ$3-BP$3))/(BQ$3-BO$3)</f>
        <v>0</v>
      </c>
    </row>
    <row r="228" spans="1:113" ht="12" hidden="1" outlineLevel="2">
      <c r="A228" s="1" t="s">
        <v>1060</v>
      </c>
      <c r="B228" s="19" t="s">
        <v>341</v>
      </c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4">
        <f t="shared" ref="AP228:AR228" si="1182">AP229-AP227</f>
        <v>0</v>
      </c>
      <c r="AQ228" s="44">
        <f t="shared" si="1182"/>
        <v>0</v>
      </c>
      <c r="AR228" s="44">
        <f t="shared" si="1182"/>
        <v>0</v>
      </c>
      <c r="AS228" s="44">
        <f t="shared" ref="AS228:AT228" si="1183">AS229-AS227</f>
        <v>0</v>
      </c>
      <c r="AT228" s="44">
        <f t="shared" si="1183"/>
        <v>0</v>
      </c>
      <c r="AU228" s="44">
        <f t="shared" ref="AU228:AV228" si="1184">AU229-AU227</f>
        <v>0</v>
      </c>
      <c r="AV228" s="44">
        <f t="shared" si="1184"/>
        <v>0</v>
      </c>
      <c r="AW228" s="44">
        <f t="shared" ref="AW228:AX228" si="1185">AW229-AW227</f>
        <v>0</v>
      </c>
      <c r="AX228" s="44">
        <f t="shared" si="1185"/>
        <v>0</v>
      </c>
      <c r="AY228" s="44">
        <f t="shared" ref="AY228:AZ228" si="1186">AY229-AY227</f>
        <v>1</v>
      </c>
      <c r="AZ228" s="45">
        <f t="shared" si="1186"/>
        <v>0</v>
      </c>
      <c r="BA228" s="44">
        <v>0</v>
      </c>
      <c r="BB228" s="44">
        <v>0</v>
      </c>
      <c r="BC228" s="44">
        <v>0</v>
      </c>
      <c r="BD228" s="44">
        <v>0</v>
      </c>
      <c r="BE228" s="44">
        <v>0</v>
      </c>
      <c r="BF228" s="44">
        <v>0</v>
      </c>
      <c r="BG228" s="44">
        <v>0</v>
      </c>
      <c r="BH228" s="44">
        <v>0</v>
      </c>
      <c r="BI228" s="44">
        <v>0</v>
      </c>
      <c r="BJ228" s="44">
        <v>0</v>
      </c>
      <c r="BK228" s="44">
        <v>0</v>
      </c>
      <c r="BL228" s="44">
        <v>0</v>
      </c>
      <c r="BM228" s="44">
        <v>0</v>
      </c>
      <c r="BN228" s="44">
        <v>0</v>
      </c>
      <c r="BO228" s="44">
        <v>0</v>
      </c>
      <c r="BP228" s="44">
        <v>0</v>
      </c>
      <c r="BQ228" s="44">
        <v>0</v>
      </c>
      <c r="BR228" s="44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4">
        <f>CT229-CT227</f>
        <v>0</v>
      </c>
      <c r="CU228" s="44">
        <f t="shared" ref="CU228:CV228" si="1187">CU229-CU227</f>
        <v>0</v>
      </c>
      <c r="CV228" s="44">
        <f t="shared" si="1187"/>
        <v>0</v>
      </c>
      <c r="CW228" s="44">
        <f t="shared" ref="CW228:CX228" si="1188">CW229-CW227</f>
        <v>0</v>
      </c>
      <c r="CX228" s="44">
        <f t="shared" si="1188"/>
        <v>0</v>
      </c>
      <c r="CY228" s="44">
        <f t="shared" ref="CY228" si="1189">CY229-CY227</f>
        <v>0</v>
      </c>
      <c r="CZ228" s="45">
        <f t="shared" si="1177"/>
        <v>0.49589041095890413</v>
      </c>
      <c r="DA228" s="44">
        <f t="shared" si="1178"/>
        <v>0</v>
      </c>
      <c r="DB228" s="44">
        <f t="shared" si="1179"/>
        <v>0</v>
      </c>
      <c r="DC228" s="44">
        <f t="shared" si="1180"/>
        <v>0</v>
      </c>
      <c r="DD228" s="44">
        <f t="shared" si="1181"/>
        <v>0</v>
      </c>
      <c r="DE228" s="44">
        <f>(BH228*(BH$3-BG$3)+BI228*(BI$3-BH$3))/(BI$3-BG$3)</f>
        <v>0</v>
      </c>
      <c r="DF228" s="44">
        <f>(BJ228*(BJ$3-BI$3)+BK228*(BK$3-BJ$3))/(BK$3-BI$3)</f>
        <v>0</v>
      </c>
      <c r="DG228" s="44">
        <f>(BL228*(BL$3-BK$3)+BM228*(BM$3-BL$3))/(BM$3-BK$3)</f>
        <v>0</v>
      </c>
      <c r="DH228" s="44">
        <f>(BN228*(BN$3-BM$3)+BO228*(BO$3-BN$3))/(BO$3-BM$3)</f>
        <v>0</v>
      </c>
      <c r="DI228" s="44">
        <f>(BP228*(BP$3-BO$3)+BQ228*(BQ$3-BP$3))/(BQ$3-BO$3)</f>
        <v>0</v>
      </c>
    </row>
    <row r="229" spans="1:113" s="24" customFormat="1" ht="12" hidden="1" outlineLevel="2">
      <c r="A229" s="1" t="s">
        <v>399</v>
      </c>
      <c r="B229" s="24" t="s">
        <v>166</v>
      </c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21">
        <v>0</v>
      </c>
      <c r="AQ229" s="521">
        <v>0</v>
      </c>
      <c r="AR229" s="521">
        <v>0</v>
      </c>
      <c r="AS229" s="521">
        <v>0</v>
      </c>
      <c r="AT229" s="521">
        <v>0</v>
      </c>
      <c r="AU229" s="521">
        <v>0</v>
      </c>
      <c r="AV229" s="521">
        <v>0</v>
      </c>
      <c r="AW229" s="521">
        <v>0</v>
      </c>
      <c r="AX229" s="521">
        <v>0</v>
      </c>
      <c r="AY229" s="521">
        <v>1</v>
      </c>
      <c r="AZ229" s="522">
        <v>0</v>
      </c>
      <c r="BA229" s="526">
        <v>0</v>
      </c>
      <c r="BB229" s="526">
        <v>0</v>
      </c>
      <c r="BC229" s="526">
        <v>0</v>
      </c>
      <c r="BD229" s="526">
        <v>0</v>
      </c>
      <c r="BE229" s="526">
        <v>0</v>
      </c>
      <c r="BF229" s="526">
        <v>0</v>
      </c>
      <c r="BG229" s="526">
        <v>0</v>
      </c>
      <c r="BH229" s="526">
        <v>0</v>
      </c>
      <c r="BI229" s="526">
        <v>0</v>
      </c>
      <c r="BJ229" s="526">
        <v>0</v>
      </c>
      <c r="BK229" s="526">
        <v>0</v>
      </c>
      <c r="BL229" s="526">
        <v>0</v>
      </c>
      <c r="BM229" s="526">
        <v>0</v>
      </c>
      <c r="BN229" s="526">
        <v>0</v>
      </c>
      <c r="BO229" s="526">
        <v>0</v>
      </c>
      <c r="BP229" s="526">
        <v>0</v>
      </c>
      <c r="BQ229" s="526">
        <v>0</v>
      </c>
      <c r="BR229" s="526"/>
      <c r="BS229" s="54"/>
      <c r="BT229" s="54"/>
      <c r="BU229" s="54"/>
      <c r="BV229" s="54"/>
      <c r="BW229" s="54"/>
      <c r="BX229" s="54"/>
      <c r="BY229" s="54"/>
      <c r="BZ229" s="54"/>
      <c r="CA229" s="54"/>
      <c r="CB229" s="54"/>
      <c r="CC229" s="55"/>
      <c r="CD229" s="55"/>
      <c r="CE229" s="55"/>
      <c r="CF229" s="55"/>
      <c r="CG229" s="55"/>
      <c r="CH229" s="117"/>
      <c r="CI229" s="117"/>
      <c r="CJ229" s="295"/>
      <c r="CK229" s="295"/>
      <c r="CL229" s="117"/>
      <c r="CM229" s="117"/>
      <c r="CN229" s="117"/>
      <c r="CO229" s="117"/>
      <c r="CP229" s="117"/>
      <c r="CQ229" s="117"/>
      <c r="CR229" s="117"/>
      <c r="CS229" s="117"/>
      <c r="CT229" s="521">
        <v>0</v>
      </c>
      <c r="CU229" s="521">
        <v>0</v>
      </c>
      <c r="CV229" s="521">
        <v>0</v>
      </c>
      <c r="CW229" s="521">
        <v>0</v>
      </c>
      <c r="CX229" s="521">
        <v>0</v>
      </c>
      <c r="CY229" s="521">
        <v>0</v>
      </c>
      <c r="CZ229" s="524">
        <f t="shared" si="1177"/>
        <v>0.49589041095890413</v>
      </c>
      <c r="DA229" s="526">
        <f t="shared" si="1178"/>
        <v>0</v>
      </c>
      <c r="DB229" s="526">
        <f t="shared" si="1179"/>
        <v>0</v>
      </c>
      <c r="DC229" s="526">
        <f t="shared" si="1180"/>
        <v>0</v>
      </c>
      <c r="DD229" s="526">
        <f t="shared" si="1181"/>
        <v>0</v>
      </c>
      <c r="DE229" s="526">
        <f>(BH229*(BH$3-BG$3)+BI229*(BI$3-BH$3))/(BI$3-BG$3)</f>
        <v>0</v>
      </c>
      <c r="DF229" s="526">
        <f>(BJ229*(BJ$3-BI$3)+BK229*(BK$3-BJ$3))/(BK$3-BI$3)</f>
        <v>0</v>
      </c>
      <c r="DG229" s="526">
        <f>(BL229*(BL$3-BK$3)+BM229*(BM$3-BL$3))/(BM$3-BK$3)</f>
        <v>0</v>
      </c>
      <c r="DH229" s="526">
        <f>(BN229*(BN$3-BM$3)+BO229*(BO$3-BN$3))/(BO$3-BM$3)</f>
        <v>0</v>
      </c>
      <c r="DI229" s="526">
        <f>(BP229*(BP$3-BO$3)+BQ229*(BQ$3-BP$3))/(BQ$3-BO$3)</f>
        <v>0</v>
      </c>
    </row>
    <row r="230" spans="1:113" ht="12" hidden="1" outlineLevel="2"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4"/>
      <c r="AQ230" s="572"/>
      <c r="AR230" s="44"/>
      <c r="AS230" s="44"/>
      <c r="AT230" s="44"/>
      <c r="AU230" s="44"/>
      <c r="AV230" s="44"/>
      <c r="AW230" s="44"/>
      <c r="AX230" s="44"/>
      <c r="AY230" s="44"/>
      <c r="AZ230" s="45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  <c r="BP230" s="44"/>
      <c r="BQ230" s="44"/>
      <c r="BR230" s="44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4"/>
      <c r="CU230" s="44"/>
      <c r="CV230" s="44"/>
      <c r="CW230" s="44"/>
      <c r="CX230" s="44"/>
      <c r="CY230" s="44"/>
      <c r="CZ230" s="45"/>
      <c r="DA230" s="44"/>
      <c r="DB230" s="44"/>
      <c r="DC230" s="44"/>
      <c r="DD230" s="44"/>
      <c r="DE230" s="44"/>
      <c r="DF230" s="44"/>
      <c r="DG230" s="44"/>
      <c r="DH230" s="44"/>
      <c r="DI230" s="44"/>
    </row>
    <row r="231" spans="1:113" s="24" customFormat="1" ht="12" hidden="1" outlineLevel="1" collapsed="1">
      <c r="A231" s="1"/>
      <c r="B231" s="24" t="s">
        <v>340</v>
      </c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5"/>
      <c r="AM231" s="55"/>
      <c r="AN231" s="55"/>
      <c r="AO231" s="55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4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5"/>
      <c r="BT231" s="55"/>
      <c r="BU231" s="55"/>
      <c r="BV231" s="55"/>
      <c r="BW231" s="55"/>
      <c r="BX231" s="55"/>
      <c r="BY231" s="55"/>
      <c r="BZ231" s="55"/>
      <c r="CA231" s="55"/>
      <c r="CB231" s="55"/>
      <c r="CC231" s="55"/>
      <c r="CD231" s="55"/>
      <c r="CE231" s="55"/>
      <c r="CF231" s="55"/>
      <c r="CG231" s="55"/>
      <c r="CH231" s="55"/>
      <c r="CI231" s="55"/>
      <c r="CJ231" s="55"/>
      <c r="CK231" s="55"/>
      <c r="CL231" s="55"/>
      <c r="CM231" s="55"/>
      <c r="CN231" s="55"/>
      <c r="CO231" s="55"/>
      <c r="CP231" s="55"/>
      <c r="CQ231" s="55"/>
      <c r="CR231" s="55"/>
      <c r="CS231" s="55"/>
      <c r="CT231" s="526"/>
      <c r="CU231" s="526"/>
      <c r="CV231" s="526"/>
      <c r="CW231" s="526"/>
      <c r="CX231" s="526"/>
      <c r="CY231" s="526"/>
      <c r="CZ231" s="524"/>
      <c r="DA231" s="526"/>
      <c r="DB231" s="526"/>
      <c r="DC231" s="526"/>
      <c r="DD231" s="526"/>
      <c r="DE231" s="526"/>
      <c r="DF231" s="526"/>
      <c r="DG231" s="526"/>
      <c r="DH231" s="526"/>
      <c r="DI231" s="526"/>
    </row>
    <row r="232" spans="1:113" ht="12" hidden="1" outlineLevel="1">
      <c r="A232" s="1" t="s">
        <v>402</v>
      </c>
      <c r="B232" s="19" t="s">
        <v>162</v>
      </c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4">
        <f t="shared" ref="AP232:AR232" si="1190">AP215+AP222+AP227</f>
        <v>203.50209364293872</v>
      </c>
      <c r="AQ232" s="44">
        <f t="shared" si="1190"/>
        <v>290.84393816110656</v>
      </c>
      <c r="AR232" s="44">
        <f t="shared" si="1190"/>
        <v>424.57422902223283</v>
      </c>
      <c r="AS232" s="44">
        <f t="shared" ref="AS232:AT232" si="1191">AS215+AS222+AS227</f>
        <v>548.05585009140771</v>
      </c>
      <c r="AT232" s="44">
        <f t="shared" si="1191"/>
        <v>695.36552186369897</v>
      </c>
      <c r="AU232" s="44">
        <f t="shared" ref="AU232:AV232" si="1192">AU215+AU222+AU227</f>
        <v>844.47633455539221</v>
      </c>
      <c r="AV232" s="44">
        <f t="shared" si="1192"/>
        <v>1002.1858393289883</v>
      </c>
      <c r="AW232" s="44">
        <f t="shared" ref="AW232:AX232" si="1193">AW215+AW222+AW227</f>
        <v>1074.3879339482621</v>
      </c>
      <c r="AX232" s="44">
        <f t="shared" si="1193"/>
        <v>1140.2061516304909</v>
      </c>
      <c r="AY232" s="44">
        <f t="shared" ref="AY232:AZ232" si="1194">AY215+AY222+AY227</f>
        <v>1118.3407569612066</v>
      </c>
      <c r="AZ232" s="45">
        <f t="shared" si="1194"/>
        <v>1156.180639073757</v>
      </c>
      <c r="BA232" s="44">
        <f t="shared" ref="BA232:BI232" si="1195">BA215+BA222+BA227</f>
        <v>1168.5887696922964</v>
      </c>
      <c r="BB232" s="44">
        <f t="shared" si="1195"/>
        <v>1191.9605450861422</v>
      </c>
      <c r="BC232" s="44">
        <f t="shared" si="1195"/>
        <v>1215.7997559878652</v>
      </c>
      <c r="BD232" s="44">
        <f t="shared" si="1195"/>
        <v>1251.3135708102097</v>
      </c>
      <c r="BE232" s="44">
        <f t="shared" si="1195"/>
        <v>1287.8647530419687</v>
      </c>
      <c r="BF232" s="44">
        <f t="shared" si="1195"/>
        <v>1325.4836044445128</v>
      </c>
      <c r="BG232" s="44">
        <f t="shared" si="1195"/>
        <v>1358.82780136882</v>
      </c>
      <c r="BH232" s="44">
        <f t="shared" si="1195"/>
        <v>1393.0108132470043</v>
      </c>
      <c r="BI232" s="44">
        <f t="shared" si="1195"/>
        <v>1421.0103305932691</v>
      </c>
      <c r="BJ232" s="44">
        <f t="shared" ref="BJ232:BK232" si="1196">BJ215+BJ222+BJ227</f>
        <v>1449.5726382381938</v>
      </c>
      <c r="BK232" s="44">
        <f t="shared" si="1196"/>
        <v>1478.7090482667816</v>
      </c>
      <c r="BL232" s="44">
        <f t="shared" ref="BL232:BM232" si="1197">BL215+BL222+BL227</f>
        <v>1508.431100136944</v>
      </c>
      <c r="BM232" s="44">
        <f t="shared" si="1197"/>
        <v>1538.7505652496966</v>
      </c>
      <c r="BN232" s="44">
        <f t="shared" ref="BN232:BO232" si="1198">BN215+BN222+BN227</f>
        <v>1569.6794516112154</v>
      </c>
      <c r="BO232" s="44">
        <f t="shared" si="1198"/>
        <v>1601.2300085886009</v>
      </c>
      <c r="BP232" s="44">
        <f t="shared" ref="BP232:BQ232" si="1199">BP215+BP222+BP227</f>
        <v>1633.4147317612317</v>
      </c>
      <c r="BQ232" s="44">
        <f t="shared" si="1199"/>
        <v>1666.2463678696324</v>
      </c>
      <c r="BR232" s="44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4">
        <f t="shared" ref="CT232" si="1200">CT215+CT222+CT227</f>
        <v>1.7791200000000003</v>
      </c>
      <c r="CU232" s="44">
        <f>CU215+CU222+CU227</f>
        <v>53.389442103465797</v>
      </c>
      <c r="CV232" s="44">
        <f t="shared" ref="CV232:CW232" si="1201">CV215+CV222+CV227</f>
        <v>227.11523864993501</v>
      </c>
      <c r="CW232" s="44">
        <f t="shared" si="1201"/>
        <v>488.22674297606659</v>
      </c>
      <c r="CX232" s="44">
        <f t="shared" ref="CX232:CY232" si="1202">CX215+CX222+CX227</f>
        <v>776.28195042600566</v>
      </c>
      <c r="CY232" s="44">
        <f t="shared" si="1202"/>
        <v>1032.7296321970316</v>
      </c>
      <c r="CZ232" s="45">
        <f t="shared" ref="CZ232:CZ237" si="1203">(AX232*(AX$3-AW$3)+AY232*(AY$3-AX$3))/(AY$3-AW$3)</f>
        <v>1129.363312082161</v>
      </c>
      <c r="DA232" s="44">
        <f t="shared" ref="DA232:DA237" si="1204">(AZ232*(AZ$3-AY$3)+BA232*(BA$3-AZ$3))/(BA$3-AY$3)</f>
        <v>1162.3337120654164</v>
      </c>
      <c r="DB232" s="44">
        <f t="shared" ref="DB232:DB237" si="1205">(BB232*(BB$3-BA$3)+BC232*(BC$3-BB$3))/(BC$3-BA$3)</f>
        <v>1203.7821811771337</v>
      </c>
      <c r="DC232" s="44">
        <f t="shared" ref="DC232:DC237" si="1206">(BD232*(BD$3-BC$3)+BE232*(BE$3-BD$3))/(BE$3-BC$3)</f>
        <v>1269.4892953079695</v>
      </c>
      <c r="DD232" s="44">
        <f t="shared" ref="DD232:DD237" si="1207">(BF232*(BF$3-BE$3)+BG232*(BG$3-BF$3))/(BG$3-BE$3)</f>
        <v>1342.0186719604021</v>
      </c>
      <c r="DE232" s="44">
        <f t="shared" ref="DE232:DE237" si="1208">(BH232*(BH$3-BG$3)+BI232*(BI$3-BH$3))/(BI$3-BG$3)</f>
        <v>1406.8955054104945</v>
      </c>
      <c r="DF232" s="44">
        <f t="shared" ref="DF232:DF237" si="1209">(BJ232*(BJ$3-BI$3)+BK232*(BK$3-BJ$3))/(BK$3-BI$3)</f>
        <v>1464.0211045811375</v>
      </c>
      <c r="DG232" s="44">
        <f t="shared" ref="DG232:DG237" si="1210">(BL232*(BL$3-BK$3)+BM232*(BM$3-BL$3))/(BM$3-BK$3)</f>
        <v>1523.5079926247063</v>
      </c>
      <c r="DH232" s="44">
        <f t="shared" ref="DH232:DH237" si="1211">(BN232*(BN$3-BM$3)+BO232*(BO$3-BN$3))/(BO$3-BM$3)</f>
        <v>1585.3250702767136</v>
      </c>
      <c r="DI232" s="44">
        <f t="shared" ref="DI232:DI237" si="1212">(BP232*(BP$3-BO$3)+BQ232*(BQ$3-BP$3))/(BQ$3-BO$3)</f>
        <v>1649.6956252834798</v>
      </c>
    </row>
    <row r="233" spans="1:113" ht="12" hidden="1" outlineLevel="1">
      <c r="A233" s="1" t="s">
        <v>332</v>
      </c>
      <c r="B233" s="19" t="s">
        <v>341</v>
      </c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4">
        <f t="shared" ref="AP233:AR233" si="1213">AP234-AP232</f>
        <v>1996.4979063570613</v>
      </c>
      <c r="AQ233" s="44">
        <f t="shared" si="1213"/>
        <v>2668.1560618388935</v>
      </c>
      <c r="AR233" s="44">
        <f t="shared" si="1213"/>
        <v>3744.4257709777671</v>
      </c>
      <c r="AS233" s="44">
        <f t="shared" ref="AS233:AT233" si="1214">AS234-AS232</f>
        <v>4838.9441499085924</v>
      </c>
      <c r="AT233" s="44">
        <f t="shared" si="1214"/>
        <v>6085.6344781363014</v>
      </c>
      <c r="AU233" s="44">
        <f t="shared" ref="AU233:AV233" si="1215">AU234-AU232</f>
        <v>7205.523665444608</v>
      </c>
      <c r="AV233" s="44">
        <f t="shared" si="1215"/>
        <v>8347.8141606710124</v>
      </c>
      <c r="AW233" s="44">
        <f t="shared" ref="AW233:AX233" si="1216">AW234-AW232</f>
        <v>8951.6120660517372</v>
      </c>
      <c r="AX233" s="44">
        <f t="shared" si="1216"/>
        <v>10083.793848369509</v>
      </c>
      <c r="AY233" s="44">
        <f t="shared" ref="AY233:AZ233" si="1217">AY234-AY232</f>
        <v>10678.659243038794</v>
      </c>
      <c r="AZ233" s="45">
        <f t="shared" si="1217"/>
        <v>11688.819360926243</v>
      </c>
      <c r="BA233" s="44">
        <f t="shared" ref="BA233:BI233" si="1218">BA234-BA232</f>
        <v>12766.910447164357</v>
      </c>
      <c r="BB233" s="44">
        <f t="shared" si="1218"/>
        <v>13636.427944520005</v>
      </c>
      <c r="BC233" s="44">
        <f t="shared" si="1218"/>
        <v>14761.402247178314</v>
      </c>
      <c r="BD233" s="44">
        <f t="shared" si="1218"/>
        <v>15693.003600780143</v>
      </c>
      <c r="BE233" s="44">
        <f t="shared" si="1218"/>
        <v>16909.544781343891</v>
      </c>
      <c r="BF233" s="44">
        <f t="shared" si="1218"/>
        <v>17892.896802619674</v>
      </c>
      <c r="BG233" s="44">
        <f t="shared" si="1218"/>
        <v>19191.768916801124</v>
      </c>
      <c r="BH233" s="44">
        <f t="shared" si="1218"/>
        <v>20128.487941049534</v>
      </c>
      <c r="BI233" s="44">
        <f t="shared" si="1218"/>
        <v>21401.539460601143</v>
      </c>
      <c r="BJ233" s="44">
        <f t="shared" ref="BJ233:BK233" si="1219">BJ234-BJ232</f>
        <v>22245.339525178508</v>
      </c>
      <c r="BK233" s="44">
        <f t="shared" si="1219"/>
        <v>23443.329908936248</v>
      </c>
      <c r="BL233" s="44">
        <f t="shared" ref="BL233:BM233" si="1220">BL234-BL232</f>
        <v>24147.053541328929</v>
      </c>
      <c r="BM233" s="44">
        <f t="shared" si="1220"/>
        <v>25220.243701238105</v>
      </c>
      <c r="BN233" s="44">
        <f t="shared" ref="BN233:BO233" si="1221">BN234-BN232</f>
        <v>25850.9680370319</v>
      </c>
      <c r="BO233" s="44">
        <f t="shared" si="1221"/>
        <v>26870.373067095403</v>
      </c>
      <c r="BP233" s="44">
        <f t="shared" ref="BP233:BQ233" si="1222">BP234-BP232</f>
        <v>27542.359498587251</v>
      </c>
      <c r="BQ233" s="44">
        <f t="shared" si="1222"/>
        <v>28628.716853852318</v>
      </c>
      <c r="BR233" s="44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4">
        <f t="shared" ref="CT233:CV233" si="1223">CT234-CT232</f>
        <v>87.176879999999997</v>
      </c>
      <c r="CU233" s="44">
        <f t="shared" si="1223"/>
        <v>916.72255789653423</v>
      </c>
      <c r="CV233" s="44">
        <f t="shared" si="1223"/>
        <v>2349.3177613500648</v>
      </c>
      <c r="CW233" s="44">
        <f t="shared" ref="CW233:CX233" si="1224">CW234-CW232</f>
        <v>4284.7732570239332</v>
      </c>
      <c r="CX233" s="44">
        <f t="shared" si="1224"/>
        <v>6633.718049573994</v>
      </c>
      <c r="CY233" s="44">
        <f t="shared" ref="CY233" si="1225">CY234-CY232</f>
        <v>8654.2703678029684</v>
      </c>
      <c r="CZ233" s="45">
        <f t="shared" si="1203"/>
        <v>10378.78189339729</v>
      </c>
      <c r="DA233" s="44">
        <f t="shared" si="1204"/>
        <v>12223.434392731993</v>
      </c>
      <c r="DB233" s="44">
        <f t="shared" si="1205"/>
        <v>14194.29191378344</v>
      </c>
      <c r="DC233" s="44">
        <f t="shared" si="1206"/>
        <v>16297.950308055011</v>
      </c>
      <c r="DD233" s="44">
        <f t="shared" si="1207"/>
        <v>18536.995029104175</v>
      </c>
      <c r="DE233" s="44">
        <f t="shared" si="1208"/>
        <v>20759.78198225184</v>
      </c>
      <c r="DF233" s="44">
        <f t="shared" si="1209"/>
        <v>22839.411468904949</v>
      </c>
      <c r="DG233" s="44">
        <f t="shared" si="1210"/>
        <v>24680.716407731852</v>
      </c>
      <c r="DH233" s="44">
        <f t="shared" si="1211"/>
        <v>26356.48121632366</v>
      </c>
      <c r="DI233" s="44">
        <f t="shared" si="1212"/>
        <v>28081.073693937869</v>
      </c>
    </row>
    <row r="234" spans="1:113" s="24" customFormat="1" ht="12" hidden="1" outlineLevel="1">
      <c r="A234" s="1" t="s">
        <v>333</v>
      </c>
      <c r="B234" s="24" t="s">
        <v>166</v>
      </c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  <c r="AK234" s="55"/>
      <c r="AL234" s="55"/>
      <c r="AM234" s="55"/>
      <c r="AN234" s="55"/>
      <c r="AO234" s="55"/>
      <c r="AP234" s="526">
        <f t="shared" ref="AP234:AR234" si="1226">AP219+AP224+AP229</f>
        <v>2200</v>
      </c>
      <c r="AQ234" s="526">
        <f t="shared" si="1226"/>
        <v>2959</v>
      </c>
      <c r="AR234" s="526">
        <f t="shared" si="1226"/>
        <v>4169</v>
      </c>
      <c r="AS234" s="526">
        <f t="shared" ref="AS234:AT234" si="1227">AS219+AS224+AS229</f>
        <v>5387</v>
      </c>
      <c r="AT234" s="526">
        <f t="shared" si="1227"/>
        <v>6781</v>
      </c>
      <c r="AU234" s="526">
        <f t="shared" ref="AU234:AV234" si="1228">AU219+AU224+AU229</f>
        <v>8050</v>
      </c>
      <c r="AV234" s="526">
        <f t="shared" si="1228"/>
        <v>9350</v>
      </c>
      <c r="AW234" s="526">
        <f t="shared" ref="AW234:AX234" si="1229">AW219+AW224+AW229</f>
        <v>10026</v>
      </c>
      <c r="AX234" s="526">
        <f t="shared" si="1229"/>
        <v>11224</v>
      </c>
      <c r="AY234" s="526">
        <f t="shared" ref="AY234:AZ234" si="1230">AY219+AY224+AY229</f>
        <v>11797</v>
      </c>
      <c r="AZ234" s="524">
        <f t="shared" si="1230"/>
        <v>12845</v>
      </c>
      <c r="BA234" s="526">
        <f t="shared" ref="BA234:BI234" si="1231">BA219+BA224+BA229</f>
        <v>13935.499216856653</v>
      </c>
      <c r="BB234" s="526">
        <f t="shared" si="1231"/>
        <v>14828.388489606146</v>
      </c>
      <c r="BC234" s="526">
        <f t="shared" si="1231"/>
        <v>15977.20200316618</v>
      </c>
      <c r="BD234" s="526">
        <f t="shared" si="1231"/>
        <v>16944.317171590352</v>
      </c>
      <c r="BE234" s="526">
        <f t="shared" si="1231"/>
        <v>18197.409534385861</v>
      </c>
      <c r="BF234" s="526">
        <f t="shared" si="1231"/>
        <v>19218.380407064185</v>
      </c>
      <c r="BG234" s="526">
        <f t="shared" si="1231"/>
        <v>20550.596718169945</v>
      </c>
      <c r="BH234" s="526">
        <f t="shared" si="1231"/>
        <v>21521.498754296539</v>
      </c>
      <c r="BI234" s="526">
        <f t="shared" si="1231"/>
        <v>22822.549791194411</v>
      </c>
      <c r="BJ234" s="526">
        <f t="shared" ref="BJ234:BK234" si="1232">BJ219+BJ224+BJ229</f>
        <v>23694.912163416702</v>
      </c>
      <c r="BK234" s="526">
        <f t="shared" si="1232"/>
        <v>24922.038957203029</v>
      </c>
      <c r="BL234" s="526">
        <f t="shared" ref="BL234:BM234" si="1233">BL219+BL224+BL229</f>
        <v>25655.484641465871</v>
      </c>
      <c r="BM234" s="526">
        <f t="shared" si="1233"/>
        <v>26758.994266487804</v>
      </c>
      <c r="BN234" s="526">
        <f t="shared" ref="BN234:BO234" si="1234">BN219+BN224+BN229</f>
        <v>27420.647488643117</v>
      </c>
      <c r="BO234" s="526">
        <f t="shared" si="1234"/>
        <v>28471.603075684005</v>
      </c>
      <c r="BP234" s="526">
        <f t="shared" ref="BP234:BQ234" si="1235">BP219+BP224+BP229</f>
        <v>29175.774230348485</v>
      </c>
      <c r="BQ234" s="526">
        <f t="shared" si="1235"/>
        <v>30294.963221721951</v>
      </c>
      <c r="BR234" s="526"/>
      <c r="BS234" s="55"/>
      <c r="BT234" s="55"/>
      <c r="BU234" s="55"/>
      <c r="BV234" s="55"/>
      <c r="BW234" s="55"/>
      <c r="BX234" s="55"/>
      <c r="BY234" s="55"/>
      <c r="BZ234" s="55"/>
      <c r="CA234" s="55"/>
      <c r="CB234" s="55"/>
      <c r="CC234" s="55"/>
      <c r="CD234" s="55"/>
      <c r="CE234" s="55"/>
      <c r="CF234" s="55"/>
      <c r="CG234" s="55"/>
      <c r="CH234" s="55"/>
      <c r="CI234" s="55"/>
      <c r="CJ234" s="55"/>
      <c r="CK234" s="55"/>
      <c r="CL234" s="55"/>
      <c r="CM234" s="55"/>
      <c r="CN234" s="55"/>
      <c r="CO234" s="55"/>
      <c r="CP234" s="55"/>
      <c r="CQ234" s="55"/>
      <c r="CR234" s="55"/>
      <c r="CS234" s="55"/>
      <c r="CT234" s="526">
        <f t="shared" ref="CT234:CV234" si="1236">CT219+CT224+CT229</f>
        <v>88.956000000000003</v>
      </c>
      <c r="CU234" s="526">
        <f t="shared" si="1236"/>
        <v>970.11199999999997</v>
      </c>
      <c r="CV234" s="526">
        <f t="shared" si="1236"/>
        <v>2576.433</v>
      </c>
      <c r="CW234" s="526">
        <f t="shared" ref="CW234:CX234" si="1237">CW219+CW224+CW229</f>
        <v>4773</v>
      </c>
      <c r="CX234" s="526">
        <f t="shared" si="1237"/>
        <v>7410</v>
      </c>
      <c r="CY234" s="526">
        <f t="shared" ref="CY234" si="1238">CY219+CY224+CY229</f>
        <v>9687</v>
      </c>
      <c r="CZ234" s="524">
        <f t="shared" si="1203"/>
        <v>11508.145205479452</v>
      </c>
      <c r="DA234" s="526">
        <f t="shared" si="1204"/>
        <v>13385.768104797407</v>
      </c>
      <c r="DB234" s="526">
        <f t="shared" si="1205"/>
        <v>15398.074094960573</v>
      </c>
      <c r="DC234" s="526">
        <f t="shared" si="1206"/>
        <v>17567.439603362982</v>
      </c>
      <c r="DD234" s="526">
        <f t="shared" si="1207"/>
        <v>19879.013701064578</v>
      </c>
      <c r="DE234" s="526">
        <f t="shared" si="1208"/>
        <v>22166.677487662331</v>
      </c>
      <c r="DF234" s="526">
        <f t="shared" si="1209"/>
        <v>24303.43257348609</v>
      </c>
      <c r="DG234" s="526">
        <f t="shared" si="1210"/>
        <v>26204.224400356554</v>
      </c>
      <c r="DH234" s="526">
        <f t="shared" si="1211"/>
        <v>27941.806286600378</v>
      </c>
      <c r="DI234" s="526">
        <f t="shared" si="1212"/>
        <v>29730.769319221356</v>
      </c>
    </row>
    <row r="235" spans="1:113" ht="12" hidden="1" outlineLevel="1">
      <c r="A235" s="1" t="s">
        <v>334</v>
      </c>
      <c r="B235" s="19" t="s">
        <v>342</v>
      </c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525">
        <v>0</v>
      </c>
      <c r="AQ235" s="525">
        <v>0</v>
      </c>
      <c r="AR235" s="525">
        <v>0</v>
      </c>
      <c r="AS235" s="525">
        <v>0</v>
      </c>
      <c r="AT235" s="525">
        <v>0</v>
      </c>
      <c r="AU235" s="525">
        <v>0</v>
      </c>
      <c r="AV235" s="525">
        <v>0</v>
      </c>
      <c r="AW235" s="525">
        <v>0</v>
      </c>
      <c r="AX235" s="525">
        <v>0</v>
      </c>
      <c r="AY235" s="525">
        <v>0</v>
      </c>
      <c r="AZ235" s="523">
        <v>0</v>
      </c>
      <c r="BA235" s="46">
        <v>0</v>
      </c>
      <c r="BB235" s="46">
        <v>0</v>
      </c>
      <c r="BC235" s="46">
        <v>0</v>
      </c>
      <c r="BD235" s="46">
        <v>0</v>
      </c>
      <c r="BE235" s="46">
        <v>0</v>
      </c>
      <c r="BF235" s="46">
        <v>0</v>
      </c>
      <c r="BG235" s="46">
        <v>0</v>
      </c>
      <c r="BH235" s="46">
        <v>0</v>
      </c>
      <c r="BI235" s="46">
        <v>0</v>
      </c>
      <c r="BJ235" s="46">
        <v>0</v>
      </c>
      <c r="BK235" s="46">
        <v>0</v>
      </c>
      <c r="BL235" s="46">
        <v>0</v>
      </c>
      <c r="BM235" s="46">
        <v>0</v>
      </c>
      <c r="BN235" s="46">
        <v>0</v>
      </c>
      <c r="BO235" s="46">
        <v>0</v>
      </c>
      <c r="BP235" s="46">
        <v>0</v>
      </c>
      <c r="BQ235" s="46">
        <v>0</v>
      </c>
      <c r="BR235" s="44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2"/>
      <c r="CD235" s="42"/>
      <c r="CE235" s="42"/>
      <c r="CF235" s="113"/>
      <c r="CG235" s="113"/>
      <c r="CH235" s="113"/>
      <c r="CI235" s="113"/>
      <c r="CJ235" s="113"/>
      <c r="CK235" s="113"/>
      <c r="CL235" s="113"/>
      <c r="CM235" s="113"/>
      <c r="CN235" s="113"/>
      <c r="CO235" s="113"/>
      <c r="CP235" s="113"/>
      <c r="CQ235" s="113"/>
      <c r="CR235" s="113"/>
      <c r="CS235" s="113"/>
      <c r="CT235" s="525">
        <v>0</v>
      </c>
      <c r="CU235" s="525">
        <v>0</v>
      </c>
      <c r="CV235" s="525">
        <v>0</v>
      </c>
      <c r="CW235" s="525">
        <v>0</v>
      </c>
      <c r="CX235" s="525">
        <v>0</v>
      </c>
      <c r="CY235" s="525">
        <v>0</v>
      </c>
      <c r="CZ235" s="45">
        <f t="shared" si="1203"/>
        <v>0</v>
      </c>
      <c r="DA235" s="44">
        <f t="shared" si="1204"/>
        <v>0</v>
      </c>
      <c r="DB235" s="44">
        <f t="shared" si="1205"/>
        <v>0</v>
      </c>
      <c r="DC235" s="44">
        <f t="shared" si="1206"/>
        <v>0</v>
      </c>
      <c r="DD235" s="44">
        <f t="shared" si="1207"/>
        <v>0</v>
      </c>
      <c r="DE235" s="44">
        <f t="shared" si="1208"/>
        <v>0</v>
      </c>
      <c r="DF235" s="44">
        <f t="shared" si="1209"/>
        <v>0</v>
      </c>
      <c r="DG235" s="44">
        <f t="shared" si="1210"/>
        <v>0</v>
      </c>
      <c r="DH235" s="44">
        <f t="shared" si="1211"/>
        <v>0</v>
      </c>
      <c r="DI235" s="44">
        <f t="shared" si="1212"/>
        <v>0</v>
      </c>
    </row>
    <row r="236" spans="1:113" ht="12" hidden="1" outlineLevel="1">
      <c r="A236" s="1" t="s">
        <v>335</v>
      </c>
      <c r="B236" s="19" t="s">
        <v>586</v>
      </c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511"/>
      <c r="AB236" s="511"/>
      <c r="AC236" s="511"/>
      <c r="AD236" s="511"/>
      <c r="AE236" s="511"/>
      <c r="AF236" s="511"/>
      <c r="AG236" s="511"/>
      <c r="AH236" s="511"/>
      <c r="AI236" s="511"/>
      <c r="AJ236" s="511"/>
      <c r="AK236" s="511"/>
      <c r="AL236" s="511"/>
      <c r="AM236" s="511"/>
      <c r="AN236" s="511"/>
      <c r="AO236" s="511"/>
      <c r="AP236" s="575">
        <v>0</v>
      </c>
      <c r="AQ236" s="575">
        <v>0</v>
      </c>
      <c r="AR236" s="575">
        <v>0</v>
      </c>
      <c r="AS236" s="575">
        <v>0</v>
      </c>
      <c r="AT236" s="575">
        <v>0</v>
      </c>
      <c r="AU236" s="575">
        <v>0</v>
      </c>
      <c r="AV236" s="575">
        <v>0</v>
      </c>
      <c r="AW236" s="575">
        <v>0</v>
      </c>
      <c r="AX236" s="575">
        <v>0</v>
      </c>
      <c r="AY236" s="575">
        <v>0</v>
      </c>
      <c r="AZ236" s="576">
        <v>0</v>
      </c>
      <c r="BA236" s="46">
        <v>0</v>
      </c>
      <c r="BB236" s="46">
        <v>0</v>
      </c>
      <c r="BC236" s="46">
        <v>0</v>
      </c>
      <c r="BD236" s="46">
        <v>0</v>
      </c>
      <c r="BE236" s="46">
        <v>0</v>
      </c>
      <c r="BF236" s="46">
        <v>0</v>
      </c>
      <c r="BG236" s="46">
        <v>0</v>
      </c>
      <c r="BH236" s="46">
        <v>0</v>
      </c>
      <c r="BI236" s="46">
        <v>0</v>
      </c>
      <c r="BJ236" s="46">
        <v>0</v>
      </c>
      <c r="BK236" s="46">
        <v>0</v>
      </c>
      <c r="BL236" s="46">
        <v>0</v>
      </c>
      <c r="BM236" s="46">
        <v>0</v>
      </c>
      <c r="BN236" s="46">
        <v>0</v>
      </c>
      <c r="BO236" s="46">
        <v>0</v>
      </c>
      <c r="BP236" s="46">
        <v>0</v>
      </c>
      <c r="BQ236" s="46">
        <v>0</v>
      </c>
      <c r="BR236" s="44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2"/>
      <c r="CD236" s="42"/>
      <c r="CE236" s="42"/>
      <c r="CF236" s="113"/>
      <c r="CG236" s="113"/>
      <c r="CH236" s="113"/>
      <c r="CI236" s="113"/>
      <c r="CJ236" s="113"/>
      <c r="CK236" s="113"/>
      <c r="CL236" s="113"/>
      <c r="CM236" s="113"/>
      <c r="CN236" s="113"/>
      <c r="CO236" s="113"/>
      <c r="CP236" s="113"/>
      <c r="CQ236" s="113"/>
      <c r="CR236" s="113"/>
      <c r="CS236" s="113"/>
      <c r="CT236" s="575">
        <v>0</v>
      </c>
      <c r="CU236" s="575">
        <v>0</v>
      </c>
      <c r="CV236" s="575">
        <v>0</v>
      </c>
      <c r="CW236" s="575">
        <v>0</v>
      </c>
      <c r="CX236" s="575">
        <v>0</v>
      </c>
      <c r="CY236" s="575">
        <v>0</v>
      </c>
      <c r="CZ236" s="45">
        <f t="shared" si="1203"/>
        <v>0</v>
      </c>
      <c r="DA236" s="44">
        <f t="shared" si="1204"/>
        <v>0</v>
      </c>
      <c r="DB236" s="44">
        <f t="shared" si="1205"/>
        <v>0</v>
      </c>
      <c r="DC236" s="44">
        <f t="shared" si="1206"/>
        <v>0</v>
      </c>
      <c r="DD236" s="44">
        <f t="shared" si="1207"/>
        <v>0</v>
      </c>
      <c r="DE236" s="44">
        <f t="shared" si="1208"/>
        <v>0</v>
      </c>
      <c r="DF236" s="44">
        <f t="shared" si="1209"/>
        <v>0</v>
      </c>
      <c r="DG236" s="44">
        <f t="shared" si="1210"/>
        <v>0</v>
      </c>
      <c r="DH236" s="44">
        <f t="shared" si="1211"/>
        <v>0</v>
      </c>
      <c r="DI236" s="44">
        <f t="shared" si="1212"/>
        <v>0</v>
      </c>
    </row>
    <row r="237" spans="1:113" s="24" customFormat="1" ht="12" hidden="1" outlineLevel="1">
      <c r="A237" s="1" t="s">
        <v>336</v>
      </c>
      <c r="B237" s="24" t="s">
        <v>587</v>
      </c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  <c r="AJ237" s="55"/>
      <c r="AK237" s="55"/>
      <c r="AL237" s="55"/>
      <c r="AM237" s="55"/>
      <c r="AN237" s="55"/>
      <c r="AO237" s="55"/>
      <c r="AP237" s="526">
        <f t="shared" ref="AP237:AR237" si="1239">AP234+AP235+AP236</f>
        <v>2200</v>
      </c>
      <c r="AQ237" s="526">
        <f t="shared" si="1239"/>
        <v>2959</v>
      </c>
      <c r="AR237" s="526">
        <f t="shared" si="1239"/>
        <v>4169</v>
      </c>
      <c r="AS237" s="526">
        <f t="shared" ref="AS237:AT237" si="1240">AS234+AS235+AS236</f>
        <v>5387</v>
      </c>
      <c r="AT237" s="526">
        <f t="shared" si="1240"/>
        <v>6781</v>
      </c>
      <c r="AU237" s="526">
        <f t="shared" ref="AU237:AV237" si="1241">AU234+AU235+AU236</f>
        <v>8050</v>
      </c>
      <c r="AV237" s="526">
        <f t="shared" si="1241"/>
        <v>9350</v>
      </c>
      <c r="AW237" s="526">
        <f t="shared" ref="AW237:AX237" si="1242">AW234+AW235+AW236</f>
        <v>10026</v>
      </c>
      <c r="AX237" s="526">
        <f t="shared" si="1242"/>
        <v>11224</v>
      </c>
      <c r="AY237" s="526">
        <f t="shared" ref="AY237:AZ237" si="1243">AY234+AY235+AY236</f>
        <v>11797</v>
      </c>
      <c r="AZ237" s="524">
        <f t="shared" si="1243"/>
        <v>12845</v>
      </c>
      <c r="BA237" s="526">
        <f t="shared" ref="BA237:BI237" si="1244">SUM(BA234:BA236)</f>
        <v>13935.499216856653</v>
      </c>
      <c r="BB237" s="526">
        <f t="shared" si="1244"/>
        <v>14828.388489606146</v>
      </c>
      <c r="BC237" s="526">
        <f t="shared" si="1244"/>
        <v>15977.20200316618</v>
      </c>
      <c r="BD237" s="526">
        <f t="shared" si="1244"/>
        <v>16944.317171590352</v>
      </c>
      <c r="BE237" s="526">
        <f t="shared" si="1244"/>
        <v>18197.409534385861</v>
      </c>
      <c r="BF237" s="526">
        <f t="shared" si="1244"/>
        <v>19218.380407064185</v>
      </c>
      <c r="BG237" s="526">
        <f t="shared" si="1244"/>
        <v>20550.596718169945</v>
      </c>
      <c r="BH237" s="526">
        <f t="shared" si="1244"/>
        <v>21521.498754296539</v>
      </c>
      <c r="BI237" s="526">
        <f t="shared" si="1244"/>
        <v>22822.549791194411</v>
      </c>
      <c r="BJ237" s="526">
        <f t="shared" ref="BJ237:BK237" si="1245">SUM(BJ234:BJ236)</f>
        <v>23694.912163416702</v>
      </c>
      <c r="BK237" s="526">
        <f t="shared" si="1245"/>
        <v>24922.038957203029</v>
      </c>
      <c r="BL237" s="526">
        <f t="shared" ref="BL237:BM237" si="1246">SUM(BL234:BL236)</f>
        <v>25655.484641465871</v>
      </c>
      <c r="BM237" s="526">
        <f t="shared" si="1246"/>
        <v>26758.994266487804</v>
      </c>
      <c r="BN237" s="526">
        <f t="shared" ref="BN237:BO237" si="1247">SUM(BN234:BN236)</f>
        <v>27420.647488643117</v>
      </c>
      <c r="BO237" s="526">
        <f t="shared" si="1247"/>
        <v>28471.603075684005</v>
      </c>
      <c r="BP237" s="526">
        <f t="shared" ref="BP237:BQ237" si="1248">SUM(BP234:BP236)</f>
        <v>29175.774230348485</v>
      </c>
      <c r="BQ237" s="526">
        <f t="shared" si="1248"/>
        <v>30294.963221721951</v>
      </c>
      <c r="BR237" s="526"/>
      <c r="BS237" s="55"/>
      <c r="BT237" s="55"/>
      <c r="BU237" s="55"/>
      <c r="BV237" s="55"/>
      <c r="BW237" s="55"/>
      <c r="BX237" s="55"/>
      <c r="BY237" s="55"/>
      <c r="BZ237" s="55"/>
      <c r="CA237" s="55"/>
      <c r="CB237" s="55"/>
      <c r="CC237" s="55"/>
      <c r="CD237" s="55"/>
      <c r="CE237" s="55"/>
      <c r="CF237" s="55"/>
      <c r="CG237" s="55"/>
      <c r="CH237" s="55"/>
      <c r="CI237" s="55"/>
      <c r="CJ237" s="55"/>
      <c r="CK237" s="55"/>
      <c r="CL237" s="55"/>
      <c r="CM237" s="55"/>
      <c r="CN237" s="55"/>
      <c r="CO237" s="55"/>
      <c r="CP237" s="55"/>
      <c r="CQ237" s="55"/>
      <c r="CR237" s="55"/>
      <c r="CS237" s="55"/>
      <c r="CT237" s="526">
        <f t="shared" ref="CT237:CV237" si="1249">CT234+CT235+CT236</f>
        <v>88.956000000000003</v>
      </c>
      <c r="CU237" s="526">
        <f t="shared" si="1249"/>
        <v>970.11199999999997</v>
      </c>
      <c r="CV237" s="526">
        <f t="shared" si="1249"/>
        <v>2576.433</v>
      </c>
      <c r="CW237" s="526">
        <f t="shared" ref="CW237:CX237" si="1250">CW234+CW235+CW236</f>
        <v>4773</v>
      </c>
      <c r="CX237" s="526">
        <f t="shared" si="1250"/>
        <v>7410</v>
      </c>
      <c r="CY237" s="526">
        <f t="shared" ref="CY237" si="1251">CY234+CY235+CY236</f>
        <v>9687</v>
      </c>
      <c r="CZ237" s="524">
        <f t="shared" si="1203"/>
        <v>11508.145205479452</v>
      </c>
      <c r="DA237" s="526">
        <f t="shared" si="1204"/>
        <v>13385.768104797407</v>
      </c>
      <c r="DB237" s="526">
        <f t="shared" si="1205"/>
        <v>15398.074094960573</v>
      </c>
      <c r="DC237" s="526">
        <f t="shared" si="1206"/>
        <v>17567.439603362982</v>
      </c>
      <c r="DD237" s="526">
        <f t="shared" si="1207"/>
        <v>19879.013701064578</v>
      </c>
      <c r="DE237" s="526">
        <f t="shared" si="1208"/>
        <v>22166.677487662331</v>
      </c>
      <c r="DF237" s="526">
        <f t="shared" si="1209"/>
        <v>24303.43257348609</v>
      </c>
      <c r="DG237" s="526">
        <f t="shared" si="1210"/>
        <v>26204.224400356554</v>
      </c>
      <c r="DH237" s="526">
        <f t="shared" si="1211"/>
        <v>27941.806286600378</v>
      </c>
      <c r="DI237" s="526">
        <f t="shared" si="1212"/>
        <v>29730.769319221356</v>
      </c>
    </row>
    <row r="238" spans="1:113" ht="12" hidden="1" outlineLevel="1">
      <c r="A238" s="1" t="s">
        <v>919</v>
      </c>
      <c r="B238" s="19" t="s">
        <v>386</v>
      </c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4">
        <f t="shared" ref="AP238:AR238" si="1252">AP239-AP237</f>
        <v>845</v>
      </c>
      <c r="AQ238" s="44">
        <f t="shared" si="1252"/>
        <v>1990</v>
      </c>
      <c r="AR238" s="44">
        <f t="shared" si="1252"/>
        <v>3520</v>
      </c>
      <c r="AS238" s="44">
        <f t="shared" ref="AS238:AT238" si="1253">AS239-AS237</f>
        <v>3303</v>
      </c>
      <c r="AT238" s="44">
        <f t="shared" si="1253"/>
        <v>3222</v>
      </c>
      <c r="AU238" s="44">
        <f t="shared" ref="AU238:AV238" si="1254">AU239-AU237</f>
        <v>3083</v>
      </c>
      <c r="AV238" s="44">
        <f t="shared" si="1254"/>
        <v>3510</v>
      </c>
      <c r="AW238" s="44">
        <f t="shared" ref="AW238:AX238" si="1255">AW239-AW237</f>
        <v>3433</v>
      </c>
      <c r="AX238" s="44">
        <f t="shared" si="1255"/>
        <v>2412</v>
      </c>
      <c r="AY238" s="44">
        <f t="shared" ref="AY238:AZ238" si="1256">AY239-AY237</f>
        <v>2408</v>
      </c>
      <c r="AZ238" s="45">
        <f t="shared" si="1256"/>
        <v>2574</v>
      </c>
      <c r="BA238" s="577">
        <f>AZ238*(1+(((BA243/AZ243)-1)*80%))</f>
        <v>2784.4053723742841</v>
      </c>
      <c r="BB238" s="577">
        <f t="shared" ref="BB238:BQ238" si="1257">BA238*(1+(((BB243/BA243)-1)*80%))</f>
        <v>2989.0624741385359</v>
      </c>
      <c r="BC238" s="577">
        <f t="shared" si="1257"/>
        <v>3198.9866309761119</v>
      </c>
      <c r="BD238" s="577">
        <f t="shared" si="1257"/>
        <v>3410.5819296579875</v>
      </c>
      <c r="BE238" s="577">
        <f t="shared" si="1257"/>
        <v>3624.9800603872468</v>
      </c>
      <c r="BF238" s="577">
        <f t="shared" si="1257"/>
        <v>3850.062692574118</v>
      </c>
      <c r="BG238" s="577">
        <f t="shared" si="1257"/>
        <v>4083.4415334044011</v>
      </c>
      <c r="BH238" s="577">
        <f t="shared" si="1257"/>
        <v>4290.1800237921088</v>
      </c>
      <c r="BI238" s="577">
        <f t="shared" si="1257"/>
        <v>4475.5206887515997</v>
      </c>
      <c r="BJ238" s="577">
        <f t="shared" si="1257"/>
        <v>4651.0059138816196</v>
      </c>
      <c r="BK238" s="577">
        <f t="shared" si="1257"/>
        <v>4818.9383180487121</v>
      </c>
      <c r="BL238" s="577">
        <f t="shared" si="1257"/>
        <v>4974.4047160355794</v>
      </c>
      <c r="BM238" s="577">
        <f t="shared" si="1257"/>
        <v>5118.9394184644398</v>
      </c>
      <c r="BN238" s="577">
        <f t="shared" si="1257"/>
        <v>5256.8518711558791</v>
      </c>
      <c r="BO238" s="577">
        <f t="shared" si="1257"/>
        <v>5389.7863909354019</v>
      </c>
      <c r="BP238" s="577">
        <f t="shared" si="1257"/>
        <v>5525.18631677554</v>
      </c>
      <c r="BQ238" s="577">
        <f t="shared" si="1257"/>
        <v>5664.993607240267</v>
      </c>
      <c r="BR238" s="44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4">
        <f t="shared" ref="CT238:DF238" si="1258">CT239-CT237</f>
        <v>72.930792452830175</v>
      </c>
      <c r="CU238" s="44">
        <f t="shared" si="1258"/>
        <v>421.88800000000003</v>
      </c>
      <c r="CV238" s="44">
        <f t="shared" si="1258"/>
        <v>1457.567</v>
      </c>
      <c r="CW238" s="44">
        <f t="shared" ref="CW238:CX238" si="1259">CW239-CW237</f>
        <v>3406</v>
      </c>
      <c r="CX238" s="44">
        <f t="shared" si="1259"/>
        <v>3145</v>
      </c>
      <c r="CY238" s="44">
        <f t="shared" ref="CY238" si="1260">CY239-CY237</f>
        <v>3443</v>
      </c>
      <c r="CZ238" s="45">
        <f t="shared" ref="CZ238" si="1261">(AX238*(AX$3-AW$3)+AY238*(AY$3-AX$3))/(AY$3-AW$3)</f>
        <v>2410.0164383561646</v>
      </c>
      <c r="DA238" s="44">
        <f t="shared" ref="DA238" si="1262">(AZ238*(AZ$3-AY$3)+BA238*(BA$3-AZ$3))/(BA$3-AY$3)</f>
        <v>2678.3380065746451</v>
      </c>
      <c r="DB238" s="44">
        <f t="shared" si="1258"/>
        <v>3093.1618505429233</v>
      </c>
      <c r="DC238" s="44">
        <f t="shared" si="1258"/>
        <v>3517.1952077801834</v>
      </c>
      <c r="DD238" s="44">
        <f t="shared" si="1258"/>
        <v>3965.7930218625552</v>
      </c>
      <c r="DE238" s="44">
        <f t="shared" si="1258"/>
        <v>4382.0886823062683</v>
      </c>
      <c r="DF238" s="44">
        <f t="shared" si="1258"/>
        <v>4734.2819827973508</v>
      </c>
      <c r="DG238" s="44">
        <f t="shared" ref="DG238:DH238" si="1263">DG239-DG237</f>
        <v>5046.2771636914695</v>
      </c>
      <c r="DH238" s="44">
        <f t="shared" si="1263"/>
        <v>5322.772824799973</v>
      </c>
      <c r="DI238" s="44">
        <f t="shared" ref="DI238" si="1264">DI239-DI237</f>
        <v>5594.5154114991456</v>
      </c>
    </row>
    <row r="239" spans="1:113" s="24" customFormat="1" ht="12" hidden="1" outlineLevel="1">
      <c r="A239" s="1" t="s">
        <v>920</v>
      </c>
      <c r="B239" s="24" t="s">
        <v>469</v>
      </c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  <c r="AN239" s="55"/>
      <c r="AO239" s="55"/>
      <c r="AP239" s="521">
        <v>3045</v>
      </c>
      <c r="AQ239" s="521">
        <v>4949</v>
      </c>
      <c r="AR239" s="521">
        <v>7689</v>
      </c>
      <c r="AS239" s="521">
        <v>8690</v>
      </c>
      <c r="AT239" s="521">
        <v>10003</v>
      </c>
      <c r="AU239" s="521">
        <v>11133</v>
      </c>
      <c r="AV239" s="521">
        <v>12860</v>
      </c>
      <c r="AW239" s="521">
        <v>13459</v>
      </c>
      <c r="AX239" s="521">
        <v>13636</v>
      </c>
      <c r="AY239" s="521">
        <v>14205</v>
      </c>
      <c r="AZ239" s="522">
        <v>15419</v>
      </c>
      <c r="BA239" s="526">
        <f t="shared" ref="BA239:BI239" si="1265">BA237+BA238</f>
        <v>16719.904589230937</v>
      </c>
      <c r="BB239" s="526">
        <f t="shared" si="1265"/>
        <v>17817.450963744683</v>
      </c>
      <c r="BC239" s="526">
        <f t="shared" si="1265"/>
        <v>19176.188634142291</v>
      </c>
      <c r="BD239" s="526">
        <f t="shared" si="1265"/>
        <v>20354.899101248338</v>
      </c>
      <c r="BE239" s="526">
        <f t="shared" si="1265"/>
        <v>21822.389594773107</v>
      </c>
      <c r="BF239" s="526">
        <f t="shared" si="1265"/>
        <v>23068.443099638302</v>
      </c>
      <c r="BG239" s="526">
        <f t="shared" si="1265"/>
        <v>24634.038251574348</v>
      </c>
      <c r="BH239" s="526">
        <f t="shared" si="1265"/>
        <v>25811.678778088648</v>
      </c>
      <c r="BI239" s="526">
        <f t="shared" si="1265"/>
        <v>27298.070479946011</v>
      </c>
      <c r="BJ239" s="526">
        <f t="shared" ref="BJ239:BK239" si="1266">BJ237+BJ238</f>
        <v>28345.918077298324</v>
      </c>
      <c r="BK239" s="526">
        <f t="shared" si="1266"/>
        <v>29740.977275251742</v>
      </c>
      <c r="BL239" s="526">
        <f t="shared" ref="BL239:BM239" si="1267">BL237+BL238</f>
        <v>30629.889357501452</v>
      </c>
      <c r="BM239" s="526">
        <f t="shared" si="1267"/>
        <v>31877.933684952244</v>
      </c>
      <c r="BN239" s="526">
        <f t="shared" ref="BN239:BO239" si="1268">BN237+BN238</f>
        <v>32677.499359798996</v>
      </c>
      <c r="BO239" s="526">
        <f t="shared" si="1268"/>
        <v>33861.38946661941</v>
      </c>
      <c r="BP239" s="526">
        <f t="shared" ref="BP239:BQ239" si="1269">BP237+BP238</f>
        <v>34700.960547124021</v>
      </c>
      <c r="BQ239" s="526">
        <f t="shared" si="1269"/>
        <v>35959.956828962218</v>
      </c>
      <c r="BR239" s="526"/>
      <c r="BS239" s="54"/>
      <c r="BT239" s="54"/>
      <c r="BU239" s="54"/>
      <c r="BV239" s="54"/>
      <c r="BW239" s="54"/>
      <c r="BX239" s="54"/>
      <c r="BY239" s="54"/>
      <c r="BZ239" s="54"/>
      <c r="CA239" s="54"/>
      <c r="CB239" s="54"/>
      <c r="CC239" s="55"/>
      <c r="CD239" s="55"/>
      <c r="CE239" s="55"/>
      <c r="CF239" s="55"/>
      <c r="CG239" s="117"/>
      <c r="CH239" s="117"/>
      <c r="CI239" s="117"/>
      <c r="CJ239" s="117"/>
      <c r="CK239" s="117"/>
      <c r="CL239" s="117"/>
      <c r="CM239" s="117"/>
      <c r="CN239" s="117"/>
      <c r="CO239" s="117"/>
      <c r="CP239" s="117"/>
      <c r="CQ239" s="117"/>
      <c r="CR239" s="117"/>
      <c r="CS239" s="117"/>
      <c r="CT239" s="521">
        <f>858/0.53%/CT$5/1000</f>
        <v>161.88679245283018</v>
      </c>
      <c r="CU239" s="521">
        <f>27840/2%/CU$5/1000</f>
        <v>1392</v>
      </c>
      <c r="CV239" s="521">
        <v>4034</v>
      </c>
      <c r="CW239" s="521">
        <v>8179</v>
      </c>
      <c r="CX239" s="521">
        <v>10555</v>
      </c>
      <c r="CY239" s="521">
        <v>13130</v>
      </c>
      <c r="CZ239" s="524">
        <f>(AX239*(AX$3-AW$3)+AY239*(AY$3-AX$3))/(AY$3-AW$3)</f>
        <v>13918.161643835616</v>
      </c>
      <c r="DA239" s="526">
        <f>(AZ239*(AZ$3-AY$3)+BA239*(BA$3-AZ$3))/(BA$3-AY$3)</f>
        <v>16064.106111372053</v>
      </c>
      <c r="DB239" s="526">
        <f>(BB239*(BB$3-BA$3)+BC239*(BC$3-BB$3))/(BC$3-BA$3)</f>
        <v>18491.235945503497</v>
      </c>
      <c r="DC239" s="526">
        <f>(BD239*(BD$3-BC$3)+BE239*(BE$3-BD$3))/(BE$3-BC$3)</f>
        <v>21084.634811143165</v>
      </c>
      <c r="DD239" s="526">
        <f>(BF239*(BF$3-BE$3)+BG239*(BG$3-BF$3))/(BG$3-BE$3)</f>
        <v>23844.806722927133</v>
      </c>
      <c r="DE239" s="526">
        <f>(BH239*(BH$3-BG$3)+BI239*(BI$3-BH$3))/(BI$3-BG$3)</f>
        <v>26548.7661699686</v>
      </c>
      <c r="DF239" s="526">
        <f>(BJ239*(BJ$3-BI$3)+BK239*(BK$3-BJ$3))/(BK$3-BI$3)</f>
        <v>29037.714556283441</v>
      </c>
      <c r="DG239" s="526">
        <f>(BL239*(BL$3-BK$3)+BM239*(BM$3-BL$3))/(BM$3-BK$3)</f>
        <v>31250.501564048023</v>
      </c>
      <c r="DH239" s="526">
        <f>(BN239*(BN$3-BM$3)+BO239*(BO$3-BN$3))/(BO$3-BM$3)</f>
        <v>33264.579111400351</v>
      </c>
      <c r="DI239" s="526">
        <f>(BP239*(BP$3-BO$3)+BQ239*(BQ$3-BP$3))/(BQ$3-BO$3)</f>
        <v>35325.284730720501</v>
      </c>
    </row>
    <row r="240" spans="1:113" ht="12" hidden="1" outlineLevel="1"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388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4"/>
      <c r="AQ240" s="632"/>
      <c r="AR240" s="632"/>
      <c r="AS240" s="636"/>
      <c r="AT240" s="654"/>
      <c r="AU240" s="654"/>
      <c r="AV240" s="668"/>
      <c r="AW240" s="668"/>
      <c r="AX240" s="668"/>
      <c r="AY240" s="668"/>
      <c r="AZ240" s="786">
        <f>+AZ244-AY244</f>
        <v>1099</v>
      </c>
      <c r="BA240" s="787">
        <f t="shared" ref="BA240:BC240" si="1270">+BA244-AZ244</f>
        <v>1063.1642868854033</v>
      </c>
      <c r="BB240" s="787">
        <f t="shared" si="1270"/>
        <v>1053.6546190421086</v>
      </c>
      <c r="BC240" s="787">
        <f t="shared" si="1270"/>
        <v>1099.2712174145981</v>
      </c>
      <c r="BD240" s="44"/>
      <c r="BE240" s="44"/>
      <c r="BF240" s="44"/>
      <c r="BG240" s="44"/>
      <c r="BH240" s="44"/>
      <c r="BI240" s="44"/>
      <c r="BJ240" s="44"/>
      <c r="BK240" s="44"/>
      <c r="BL240" s="44"/>
      <c r="BM240" s="44"/>
      <c r="BN240" s="44"/>
      <c r="BO240" s="44"/>
      <c r="BP240" s="44"/>
      <c r="BQ240" s="44"/>
      <c r="BR240" s="44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172"/>
      <c r="CO240" s="172"/>
      <c r="CP240" s="172"/>
      <c r="CQ240" s="172"/>
      <c r="CR240" s="172"/>
      <c r="CS240" s="172"/>
      <c r="CT240" s="160"/>
      <c r="CU240" s="160"/>
      <c r="CV240" s="572"/>
      <c r="CW240" s="572"/>
      <c r="CX240" s="572"/>
      <c r="CY240" s="572"/>
      <c r="CZ240" s="642"/>
      <c r="DA240" s="44"/>
      <c r="DB240" s="44"/>
      <c r="DC240" s="44"/>
      <c r="DD240" s="44"/>
      <c r="DE240" s="44"/>
      <c r="DF240" s="44"/>
      <c r="DG240" s="44"/>
      <c r="DH240" s="44"/>
      <c r="DI240" s="44"/>
    </row>
    <row r="241" spans="1:113" s="24" customFormat="1" ht="12" hidden="1" outlineLevel="1">
      <c r="A241" s="19"/>
      <c r="B241" s="24" t="s">
        <v>588</v>
      </c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  <c r="AK241" s="55"/>
      <c r="AL241" s="55"/>
      <c r="AM241" s="55"/>
      <c r="AN241" s="55"/>
      <c r="AO241" s="55"/>
      <c r="AP241" s="526"/>
      <c r="AQ241" s="526"/>
      <c r="AR241" s="526"/>
      <c r="AS241" s="526"/>
      <c r="AT241" s="654"/>
      <c r="AU241" s="654"/>
      <c r="AV241" s="654"/>
      <c r="AW241" s="654"/>
      <c r="AX241" s="654"/>
      <c r="AY241" s="654"/>
      <c r="AZ241" s="642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5"/>
      <c r="BT241" s="55"/>
      <c r="BU241" s="55"/>
      <c r="BV241" s="55"/>
      <c r="BW241" s="55"/>
      <c r="BX241" s="55"/>
      <c r="BY241" s="55"/>
      <c r="BZ241" s="55"/>
      <c r="CA241" s="55"/>
      <c r="CB241" s="55"/>
      <c r="CC241" s="55"/>
      <c r="CD241" s="55"/>
      <c r="CE241" s="55"/>
      <c r="CF241" s="55"/>
      <c r="CG241" s="55"/>
      <c r="CH241" s="55"/>
      <c r="CI241" s="55"/>
      <c r="CJ241" s="55"/>
      <c r="CK241" s="55"/>
      <c r="CL241" s="55"/>
      <c r="CM241" s="55"/>
      <c r="CN241" s="55"/>
      <c r="CO241" s="55"/>
      <c r="CP241" s="55"/>
      <c r="CQ241" s="55"/>
      <c r="CR241" s="55"/>
      <c r="CS241" s="55"/>
      <c r="CT241" s="526"/>
      <c r="CU241" s="526"/>
      <c r="CV241" s="526"/>
      <c r="CW241" s="526"/>
      <c r="CX241" s="526"/>
      <c r="CY241" s="526"/>
      <c r="CZ241" s="642"/>
      <c r="DA241" s="526"/>
      <c r="DB241" s="526"/>
      <c r="DC241" s="526"/>
      <c r="DD241" s="526"/>
      <c r="DE241" s="526"/>
      <c r="DF241" s="526"/>
      <c r="DG241" s="526"/>
      <c r="DH241" s="526"/>
      <c r="DI241" s="526"/>
    </row>
    <row r="242" spans="1:113" ht="12" hidden="1" outlineLevel="1">
      <c r="A242" s="1" t="s">
        <v>337</v>
      </c>
      <c r="B242" s="19" t="s">
        <v>589</v>
      </c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525">
        <v>0</v>
      </c>
      <c r="AQ242" s="525">
        <v>0</v>
      </c>
      <c r="AR242" s="525">
        <v>0</v>
      </c>
      <c r="AS242" s="525">
        <v>0</v>
      </c>
      <c r="AT242" s="525">
        <v>0</v>
      </c>
      <c r="AU242" s="525">
        <v>0</v>
      </c>
      <c r="AV242" s="525">
        <v>0</v>
      </c>
      <c r="AW242" s="525">
        <v>0</v>
      </c>
      <c r="AX242" s="525">
        <v>0</v>
      </c>
      <c r="AY242" s="525">
        <v>0</v>
      </c>
      <c r="AZ242" s="523">
        <v>0</v>
      </c>
      <c r="BA242" s="44">
        <f t="shared" ref="BA242:BI243" si="1271">AZ242/AZ$244*BA$244</f>
        <v>0</v>
      </c>
      <c r="BB242" s="44">
        <f t="shared" si="1271"/>
        <v>0</v>
      </c>
      <c r="BC242" s="44">
        <f t="shared" si="1271"/>
        <v>0</v>
      </c>
      <c r="BD242" s="44">
        <f t="shared" si="1271"/>
        <v>0</v>
      </c>
      <c r="BE242" s="44">
        <f t="shared" si="1271"/>
        <v>0</v>
      </c>
      <c r="BF242" s="44">
        <f t="shared" si="1271"/>
        <v>0</v>
      </c>
      <c r="BG242" s="44">
        <f t="shared" si="1271"/>
        <v>0</v>
      </c>
      <c r="BH242" s="44">
        <f t="shared" si="1271"/>
        <v>0</v>
      </c>
      <c r="BI242" s="44">
        <f t="shared" si="1271"/>
        <v>0</v>
      </c>
      <c r="BJ242" s="44">
        <f t="shared" ref="BJ242:BJ243" si="1272">BI242/BI$244*BJ$244</f>
        <v>0</v>
      </c>
      <c r="BK242" s="44">
        <f t="shared" ref="BK242:BK243" si="1273">BJ242/BJ$244*BK$244</f>
        <v>0</v>
      </c>
      <c r="BL242" s="44">
        <f t="shared" ref="BL242:BL243" si="1274">BK242/BK$244*BL$244</f>
        <v>0</v>
      </c>
      <c r="BM242" s="44">
        <f t="shared" ref="BM242:BM243" si="1275">BL242/BL$244*BM$244</f>
        <v>0</v>
      </c>
      <c r="BN242" s="44">
        <f t="shared" ref="BN242:BN243" si="1276">BM242/BM$244*BN$244</f>
        <v>0</v>
      </c>
      <c r="BO242" s="44">
        <f t="shared" ref="BO242:BO243" si="1277">BN242/BN$244*BO$244</f>
        <v>0</v>
      </c>
      <c r="BP242" s="44">
        <f t="shared" ref="BP242:BP243" si="1278">BO242/BO$244*BP$244</f>
        <v>0</v>
      </c>
      <c r="BQ242" s="44">
        <f t="shared" ref="BQ242:BQ243" si="1279">BP242/BP$244*BQ$244</f>
        <v>0</v>
      </c>
      <c r="BR242" s="44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525">
        <v>0</v>
      </c>
      <c r="CU242" s="525">
        <v>0</v>
      </c>
      <c r="CV242" s="525">
        <v>0</v>
      </c>
      <c r="CW242" s="525">
        <v>0</v>
      </c>
      <c r="CX242" s="525">
        <v>0</v>
      </c>
      <c r="CY242" s="525">
        <v>0</v>
      </c>
      <c r="CZ242" s="45">
        <f t="shared" ref="CZ242:CZ244" si="1280">(AX242*(AX$3-AW$3)+AY242*(AY$3-AX$3))/(AY$3-AW$3)</f>
        <v>0</v>
      </c>
      <c r="DA242" s="44">
        <f t="shared" ref="DA242:DA244" si="1281">(AZ242*(AZ$3-AY$3)+BA242*(BA$3-AZ$3))/(BA$3-AY$3)</f>
        <v>0</v>
      </c>
      <c r="DB242" s="44">
        <f t="shared" ref="DB242:DB244" si="1282">(BB242*(BB$3-BA$3)+BC242*(BC$3-BB$3))/(BC$3-BA$3)</f>
        <v>0</v>
      </c>
      <c r="DC242" s="44">
        <f t="shared" ref="DC242:DC244" si="1283">(BD242*(BD$3-BC$3)+BE242*(BE$3-BD$3))/(BE$3-BC$3)</f>
        <v>0</v>
      </c>
      <c r="DD242" s="44">
        <f t="shared" ref="DD242:DD244" si="1284">(BF242*(BF$3-BE$3)+BG242*(BG$3-BF$3))/(BG$3-BE$3)</f>
        <v>0</v>
      </c>
      <c r="DE242" s="44">
        <f>(BH242*(BH$3-BG$3)+BI242*(BI$3-BH$3))/(BI$3-BG$3)</f>
        <v>0</v>
      </c>
      <c r="DF242" s="44">
        <f>(BJ242*(BJ$3-BI$3)+BK242*(BK$3-BJ$3))/(BK$3-BI$3)</f>
        <v>0</v>
      </c>
      <c r="DG242" s="44">
        <f>(BL242*(BL$3-BK$3)+BM242*(BM$3-BL$3))/(BM$3-BK$3)</f>
        <v>0</v>
      </c>
      <c r="DH242" s="44">
        <f>(BN242*(BN$3-BM$3)+BO242*(BO$3-BN$3))/(BO$3-BM$3)</f>
        <v>0</v>
      </c>
      <c r="DI242" s="44">
        <f>(BP242*(BP$3-BO$3)+BQ242*(BQ$3-BP$3))/(BQ$3-BO$3)</f>
        <v>0</v>
      </c>
    </row>
    <row r="243" spans="1:113" ht="12" hidden="1" outlineLevel="1">
      <c r="A243" s="1" t="s">
        <v>338</v>
      </c>
      <c r="B243" s="19" t="s">
        <v>470</v>
      </c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4">
        <f t="shared" ref="AP243:AR243" si="1285">AP244-AP242</f>
        <v>1733</v>
      </c>
      <c r="AQ243" s="44">
        <f t="shared" si="1285"/>
        <v>2201</v>
      </c>
      <c r="AR243" s="44">
        <f t="shared" si="1285"/>
        <v>2890</v>
      </c>
      <c r="AS243" s="44">
        <f t="shared" ref="AS243:AT243" si="1286">AS244-AS242</f>
        <v>3615.9668508287291</v>
      </c>
      <c r="AT243" s="44">
        <f t="shared" si="1286"/>
        <v>4735</v>
      </c>
      <c r="AU243" s="44">
        <f t="shared" ref="AU243:AV243" si="1287">AU244-AU242</f>
        <v>5475</v>
      </c>
      <c r="AV243" s="44">
        <f t="shared" si="1287"/>
        <v>6565</v>
      </c>
      <c r="AW243" s="44">
        <f t="shared" ref="AW243:AX243" si="1288">AW244-AW242</f>
        <v>7476</v>
      </c>
      <c r="AX243" s="44">
        <f t="shared" si="1288"/>
        <v>8692</v>
      </c>
      <c r="AY243" s="44">
        <f t="shared" ref="AY243:AZ243" si="1289">AY244-AY242</f>
        <v>9306</v>
      </c>
      <c r="AZ243" s="45">
        <f t="shared" si="1289"/>
        <v>10405</v>
      </c>
      <c r="BA243" s="44">
        <f t="shared" si="1271"/>
        <v>11468.164286885403</v>
      </c>
      <c r="BB243" s="44">
        <f t="shared" si="1271"/>
        <v>12521.818905927512</v>
      </c>
      <c r="BC243" s="44">
        <f t="shared" si="1271"/>
        <v>13621.09012334211</v>
      </c>
      <c r="BD243" s="44">
        <f t="shared" si="1271"/>
        <v>14747.289981882112</v>
      </c>
      <c r="BE243" s="44">
        <f t="shared" si="1271"/>
        <v>15906.106670151394</v>
      </c>
      <c r="BF243" s="44">
        <f t="shared" si="1271"/>
        <v>17140.661170287171</v>
      </c>
      <c r="BG243" s="44">
        <f t="shared" si="1271"/>
        <v>18439.428214620584</v>
      </c>
      <c r="BH243" s="44">
        <f t="shared" si="1271"/>
        <v>19606.378788517057</v>
      </c>
      <c r="BI243" s="44">
        <f t="shared" si="1271"/>
        <v>20665.151165771349</v>
      </c>
      <c r="BJ243" s="44">
        <f t="shared" si="1272"/>
        <v>21678.002227376768</v>
      </c>
      <c r="BK243" s="44">
        <f t="shared" si="1273"/>
        <v>22656.403217127594</v>
      </c>
      <c r="BL243" s="44">
        <f t="shared" si="1274"/>
        <v>23570.066447240057</v>
      </c>
      <c r="BM243" s="44">
        <f t="shared" si="1275"/>
        <v>24426.121778141867</v>
      </c>
      <c r="BN243" s="44">
        <f t="shared" si="1276"/>
        <v>25248.720486775794</v>
      </c>
      <c r="BO243" s="44">
        <f t="shared" si="1277"/>
        <v>26046.828036508527</v>
      </c>
      <c r="BP243" s="44">
        <f t="shared" si="1278"/>
        <v>26864.749733378878</v>
      </c>
      <c r="BQ243" s="44">
        <f t="shared" si="1279"/>
        <v>27714.46946541603</v>
      </c>
      <c r="BR243" s="44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4">
        <f t="shared" ref="CT243" si="1290">CT244-CT242</f>
        <v>104.4</v>
      </c>
      <c r="CU243" s="44">
        <f>CU244-CU242</f>
        <v>745.35</v>
      </c>
      <c r="CV243" s="44">
        <f t="shared" ref="CV243:CW243" si="1291">CV244-CV242</f>
        <v>1967</v>
      </c>
      <c r="CW243" s="44">
        <f t="shared" si="1291"/>
        <v>3250</v>
      </c>
      <c r="CX243" s="44">
        <f t="shared" ref="CX243:CY243" si="1292">CX244-CX242</f>
        <v>5093</v>
      </c>
      <c r="CY243" s="44">
        <f t="shared" si="1292"/>
        <v>7028</v>
      </c>
      <c r="CZ243" s="45">
        <f t="shared" si="1280"/>
        <v>8996.4767123287675</v>
      </c>
      <c r="DA243" s="44">
        <f t="shared" si="1281"/>
        <v>10932.212975140432</v>
      </c>
      <c r="DB243" s="44">
        <f t="shared" si="1282"/>
        <v>13066.936961686532</v>
      </c>
      <c r="DC243" s="44">
        <f t="shared" si="1283"/>
        <v>15323.532160201807</v>
      </c>
      <c r="DD243" s="44">
        <f t="shared" si="1284"/>
        <v>17784.70729364155</v>
      </c>
      <c r="DE243" s="44">
        <f>(BH243*(BH$3-BG$3)+BI243*(BI$3-BH$3))/(BI$3-BG$3)</f>
        <v>20131.413857785621</v>
      </c>
      <c r="DF243" s="44">
        <f>(BJ243*(BJ$3-BI$3)+BK243*(BK$3-BJ$3))/(BK$3-BI$3)</f>
        <v>22163.181896266902</v>
      </c>
      <c r="DG243" s="44">
        <f>(BL243*(BL$3-BK$3)+BM243*(BM$3-BL$3))/(BM$3-BK$3)</f>
        <v>23995.755163699429</v>
      </c>
      <c r="DH243" s="44">
        <f>(BN243*(BN$3-BM$3)+BO243*(BO$3-BN$3))/(BO$3-BM$3)</f>
        <v>25644.494367602161</v>
      </c>
      <c r="DI243" s="44">
        <f>(BP243*(BP$3-BO$3)+BQ243*(BQ$3-BP$3))/(BQ$3-BO$3)</f>
        <v>27286.117600498674</v>
      </c>
    </row>
    <row r="244" spans="1:113" s="24" customFormat="1" ht="12" hidden="1" outlineLevel="1">
      <c r="A244" s="1" t="s">
        <v>251</v>
      </c>
      <c r="B244" s="24" t="s">
        <v>166</v>
      </c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  <c r="AJ244" s="55"/>
      <c r="AK244" s="55"/>
      <c r="AL244" s="55"/>
      <c r="AM244" s="55"/>
      <c r="AN244" s="55"/>
      <c r="AO244" s="55"/>
      <c r="AP244" s="521">
        <f>859+874</f>
        <v>1733</v>
      </c>
      <c r="AQ244" s="521">
        <f>1175+1026</f>
        <v>2201</v>
      </c>
      <c r="AR244" s="521">
        <f>1515+1375</f>
        <v>2890</v>
      </c>
      <c r="AS244" s="521">
        <f>(CW244*(AS$3-AQ$3)-AR244*(AR$3-AQ$3))/(AS$3-AR$3)</f>
        <v>3615.9668508287291</v>
      </c>
      <c r="AT244" s="521">
        <f>2814+1921</f>
        <v>4735</v>
      </c>
      <c r="AU244" s="521">
        <f>3595+1880</f>
        <v>5475</v>
      </c>
      <c r="AV244" s="521">
        <f>4604+1961</f>
        <v>6565</v>
      </c>
      <c r="AW244" s="521">
        <f>5281+2195</f>
        <v>7476</v>
      </c>
      <c r="AX244" s="521">
        <f>6106+2586</f>
        <v>8692</v>
      </c>
      <c r="AY244" s="521">
        <f>6867+2439</f>
        <v>9306</v>
      </c>
      <c r="AZ244" s="522">
        <f>7226+3179</f>
        <v>10405</v>
      </c>
      <c r="BA244" s="526">
        <f t="shared" ref="BA244" si="1293">AZ244*AVERAGE(AZ186:BA186)/AVERAGE(AY186:AZ186)</f>
        <v>11468.164286885403</v>
      </c>
      <c r="BB244" s="526">
        <f t="shared" ref="BB244:BI244" si="1294">BA244*AVERAGE(BA186:BB186)/AVERAGE(AZ186:BA186)</f>
        <v>12521.818905927512</v>
      </c>
      <c r="BC244" s="526">
        <f t="shared" si="1294"/>
        <v>13621.09012334211</v>
      </c>
      <c r="BD244" s="526">
        <f t="shared" si="1294"/>
        <v>14747.289981882112</v>
      </c>
      <c r="BE244" s="526">
        <f t="shared" si="1294"/>
        <v>15906.106670151394</v>
      </c>
      <c r="BF244" s="526">
        <f t="shared" si="1294"/>
        <v>17140.661170287171</v>
      </c>
      <c r="BG244" s="526">
        <f t="shared" si="1294"/>
        <v>18439.428214620584</v>
      </c>
      <c r="BH244" s="526">
        <f t="shared" si="1294"/>
        <v>19606.378788517057</v>
      </c>
      <c r="BI244" s="526">
        <f t="shared" si="1294"/>
        <v>20665.151165771349</v>
      </c>
      <c r="BJ244" s="526">
        <f t="shared" ref="BJ244" si="1295">BI244*AVERAGE(BI186:BJ186)/AVERAGE(BH186:BI186)</f>
        <v>21678.002227376768</v>
      </c>
      <c r="BK244" s="526">
        <f>BJ244*AVERAGE(BJ186:BK186)/AVERAGE(BI186:BJ186)</f>
        <v>22656.403217127594</v>
      </c>
      <c r="BL244" s="526">
        <f t="shared" ref="BL244" si="1296">BK244*AVERAGE(BK186:BL186)/AVERAGE(BJ186:BK186)</f>
        <v>23570.066447240057</v>
      </c>
      <c r="BM244" s="526">
        <f t="shared" ref="BM244" si="1297">BL244*AVERAGE(BL186:BM186)/AVERAGE(BK186:BL186)</f>
        <v>24426.121778141867</v>
      </c>
      <c r="BN244" s="526">
        <f t="shared" ref="BN244" si="1298">BM244*AVERAGE(BM186:BN186)/AVERAGE(BL186:BM186)</f>
        <v>25248.720486775794</v>
      </c>
      <c r="BO244" s="526">
        <f>BN244*AVERAGE(BN186:BO186)/AVERAGE(BM186:BN186)</f>
        <v>26046.828036508527</v>
      </c>
      <c r="BP244" s="526">
        <f t="shared" ref="BP244" si="1299">BO244*AVERAGE(BO186:BP186)/AVERAGE(BN186:BO186)</f>
        <v>26864.749733378878</v>
      </c>
      <c r="BQ244" s="526">
        <f>BP244*AVERAGE(BP186:BQ186)/AVERAGE(BO186:BP186)</f>
        <v>27714.46946541603</v>
      </c>
      <c r="BR244" s="526"/>
      <c r="BS244" s="54"/>
      <c r="BT244" s="54"/>
      <c r="BU244" s="54"/>
      <c r="BV244" s="54"/>
      <c r="BW244" s="54"/>
      <c r="BX244" s="54"/>
      <c r="BY244" s="54"/>
      <c r="BZ244" s="54"/>
      <c r="CA244" s="54"/>
      <c r="CB244" s="54"/>
      <c r="CC244" s="55"/>
      <c r="CD244" s="55"/>
      <c r="CE244" s="55"/>
      <c r="CF244" s="55"/>
      <c r="CG244" s="55"/>
      <c r="CH244" s="117"/>
      <c r="CI244" s="117"/>
      <c r="CJ244" s="295"/>
      <c r="CK244" s="295"/>
      <c r="CL244" s="295"/>
      <c r="CM244" s="295"/>
      <c r="CN244" s="117"/>
      <c r="CO244" s="117"/>
      <c r="CP244" s="117"/>
      <c r="CQ244" s="117"/>
      <c r="CR244" s="117"/>
      <c r="CS244" s="117"/>
      <c r="CT244" s="521">
        <f>AVERAGE(CS186:CT186)</f>
        <v>104.4</v>
      </c>
      <c r="CU244" s="521">
        <f t="shared" ref="CU244:CV244" si="1300">AVERAGE(CT186:CU186)</f>
        <v>745.35</v>
      </c>
      <c r="CV244" s="521">
        <f t="shared" si="1300"/>
        <v>1967</v>
      </c>
      <c r="CW244" s="521">
        <f>1698+1552</f>
        <v>3250</v>
      </c>
      <c r="CX244" s="521">
        <f>3199+1894</f>
        <v>5093</v>
      </c>
      <c r="CY244" s="521">
        <f>4938+2090</f>
        <v>7028</v>
      </c>
      <c r="CZ244" s="524">
        <f t="shared" si="1280"/>
        <v>8996.4767123287675</v>
      </c>
      <c r="DA244" s="526">
        <f t="shared" si="1281"/>
        <v>10932.212975140432</v>
      </c>
      <c r="DB244" s="526">
        <f t="shared" si="1282"/>
        <v>13066.936961686532</v>
      </c>
      <c r="DC244" s="526">
        <f t="shared" si="1283"/>
        <v>15323.532160201807</v>
      </c>
      <c r="DD244" s="526">
        <f t="shared" si="1284"/>
        <v>17784.70729364155</v>
      </c>
      <c r="DE244" s="526">
        <f>(BH244*(BH$3-BG$3)+BI244*(BI$3-BH$3))/(BI$3-BG$3)</f>
        <v>20131.413857785621</v>
      </c>
      <c r="DF244" s="526">
        <f>(BJ244*(BJ$3-BI$3)+BK244*(BK$3-BJ$3))/(BK$3-BI$3)</f>
        <v>22163.181896266902</v>
      </c>
      <c r="DG244" s="526">
        <f>(BL244*(BL$3-BK$3)+BM244*(BM$3-BL$3))/(BM$3-BK$3)</f>
        <v>23995.755163699429</v>
      </c>
      <c r="DH244" s="526">
        <f>(BN244*(BN$3-BM$3)+BO244*(BO$3-BN$3))/(BO$3-BM$3)</f>
        <v>25644.494367602161</v>
      </c>
      <c r="DI244" s="526">
        <f>(BP244*(BP$3-BO$3)+BQ244*(BQ$3-BP$3))/(BQ$3-BO$3)</f>
        <v>27286.117600498674</v>
      </c>
    </row>
    <row r="245" spans="1:113" ht="12" hidden="1" outlineLevel="2"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4"/>
      <c r="AQ245" s="44"/>
      <c r="AR245" s="44"/>
      <c r="AS245" s="44"/>
      <c r="AT245" s="44"/>
      <c r="AU245" s="44"/>
      <c r="AV245" s="44"/>
      <c r="AW245" s="44"/>
      <c r="AX245" s="44"/>
      <c r="AY245" s="44"/>
      <c r="AZ245" s="45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  <c r="BL245" s="44"/>
      <c r="BM245" s="44"/>
      <c r="BN245" s="44"/>
      <c r="BO245" s="44"/>
      <c r="BP245" s="44"/>
      <c r="BQ245" s="44"/>
      <c r="BR245" s="44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4"/>
      <c r="CU245" s="525"/>
      <c r="CV245" s="44"/>
      <c r="CW245" s="44"/>
      <c r="CX245" s="44"/>
      <c r="CY245" s="44"/>
      <c r="CZ245" s="45"/>
      <c r="DA245" s="44"/>
      <c r="DB245" s="44"/>
      <c r="DC245" s="529"/>
      <c r="DD245" s="529"/>
      <c r="DE245" s="529"/>
      <c r="DF245" s="529"/>
      <c r="DG245" s="529"/>
      <c r="DH245" s="529"/>
      <c r="DI245" s="529"/>
    </row>
    <row r="246" spans="1:113" s="24" customFormat="1" ht="12" hidden="1" outlineLevel="2">
      <c r="A246" s="19"/>
      <c r="B246" s="24" t="s">
        <v>591</v>
      </c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  <c r="AJ246" s="55"/>
      <c r="AK246" s="55"/>
      <c r="AL246" s="55"/>
      <c r="AM246" s="55"/>
      <c r="AN246" s="55"/>
      <c r="AO246" s="55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4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5"/>
      <c r="BT246" s="55"/>
      <c r="BU246" s="55"/>
      <c r="BV246" s="55"/>
      <c r="BW246" s="55"/>
      <c r="BX246" s="55"/>
      <c r="BY246" s="55"/>
      <c r="BZ246" s="55"/>
      <c r="CA246" s="55"/>
      <c r="CB246" s="55"/>
      <c r="CC246" s="55"/>
      <c r="CD246" s="55"/>
      <c r="CE246" s="55"/>
      <c r="CF246" s="55"/>
      <c r="CG246" s="55"/>
      <c r="CH246" s="55"/>
      <c r="CI246" s="55"/>
      <c r="CJ246" s="55"/>
      <c r="CK246" s="55"/>
      <c r="CL246" s="55"/>
      <c r="CM246" s="55"/>
      <c r="CN246" s="55"/>
      <c r="CO246" s="55"/>
      <c r="CP246" s="55"/>
      <c r="CQ246" s="55"/>
      <c r="CR246" s="55"/>
      <c r="CS246" s="55"/>
      <c r="CT246" s="526"/>
      <c r="CU246" s="526"/>
      <c r="CV246" s="526"/>
      <c r="CW246" s="526"/>
      <c r="CX246" s="526"/>
      <c r="CY246" s="526"/>
      <c r="CZ246" s="524"/>
      <c r="DA246" s="526"/>
      <c r="DB246" s="526"/>
      <c r="DC246" s="541"/>
      <c r="DD246" s="541"/>
      <c r="DE246" s="541"/>
      <c r="DF246" s="541"/>
      <c r="DG246" s="541"/>
      <c r="DH246" s="541"/>
      <c r="DI246" s="541"/>
    </row>
    <row r="247" spans="1:113" ht="12" hidden="1" outlineLevel="2">
      <c r="A247" s="1" t="s">
        <v>252</v>
      </c>
      <c r="B247" s="19" t="s">
        <v>589</v>
      </c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525">
        <v>0</v>
      </c>
      <c r="AQ247" s="525">
        <v>0</v>
      </c>
      <c r="AR247" s="525">
        <v>0</v>
      </c>
      <c r="AS247" s="525">
        <v>0</v>
      </c>
      <c r="AT247" s="525">
        <v>0</v>
      </c>
      <c r="AU247" s="525">
        <v>0</v>
      </c>
      <c r="AV247" s="525">
        <v>0</v>
      </c>
      <c r="AW247" s="525">
        <v>0</v>
      </c>
      <c r="AX247" s="525">
        <v>0</v>
      </c>
      <c r="AY247" s="525">
        <v>0</v>
      </c>
      <c r="AZ247" s="523">
        <v>0</v>
      </c>
      <c r="BA247" s="44">
        <v>0</v>
      </c>
      <c r="BB247" s="44">
        <v>0</v>
      </c>
      <c r="BC247" s="44">
        <v>0</v>
      </c>
      <c r="BD247" s="44">
        <v>0</v>
      </c>
      <c r="BE247" s="44">
        <v>0</v>
      </c>
      <c r="BF247" s="44">
        <v>0</v>
      </c>
      <c r="BG247" s="44">
        <v>0</v>
      </c>
      <c r="BH247" s="44">
        <v>0</v>
      </c>
      <c r="BI247" s="44">
        <v>0</v>
      </c>
      <c r="BJ247" s="44">
        <v>0</v>
      </c>
      <c r="BK247" s="44">
        <v>0</v>
      </c>
      <c r="BL247" s="44">
        <v>0</v>
      </c>
      <c r="BM247" s="44">
        <v>0</v>
      </c>
      <c r="BN247" s="44">
        <v>0</v>
      </c>
      <c r="BO247" s="44">
        <v>0</v>
      </c>
      <c r="BP247" s="44">
        <v>0</v>
      </c>
      <c r="BQ247" s="44">
        <v>0</v>
      </c>
      <c r="BR247" s="44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525">
        <v>0</v>
      </c>
      <c r="CU247" s="525">
        <v>0</v>
      </c>
      <c r="CV247" s="525">
        <v>0</v>
      </c>
      <c r="CW247" s="525">
        <v>0</v>
      </c>
      <c r="CX247" s="525">
        <v>0</v>
      </c>
      <c r="CY247" s="525">
        <v>0</v>
      </c>
      <c r="CZ247" s="45">
        <f t="shared" ref="CZ247:CZ249" si="1301">(AX247*(AX$3-AW$3)+AY247*(AY$3-AX$3))/(AY$3-AW$3)</f>
        <v>0</v>
      </c>
      <c r="DA247" s="44">
        <f t="shared" ref="DA247:DA248" si="1302">(AZ247*(AZ$3-AY$3)+BA247*(BA$3-AZ$3))/(BA$3-AY$3)</f>
        <v>0</v>
      </c>
      <c r="DB247" s="44">
        <f t="shared" ref="DB247:DB249" si="1303">(BB247*(BB$3-BA$3)+BC247*(BC$3-BB$3))/(BC$3-BA$3)</f>
        <v>0</v>
      </c>
      <c r="DC247" s="44">
        <f t="shared" ref="DC247:DC249" si="1304">(BD247*(BD$3-BC$3)+BE247*(BE$3-BD$3))/(BE$3-BC$3)</f>
        <v>0</v>
      </c>
      <c r="DD247" s="44">
        <f t="shared" ref="DD247:DD249" si="1305">(BF247*(BF$3-BE$3)+BG247*(BG$3-BF$3))/(BG$3-BE$3)</f>
        <v>0</v>
      </c>
      <c r="DE247" s="44">
        <f>(BH247*(BH$3-BG$3)+BI247*(BI$3-BH$3))/(BI$3-BG$3)</f>
        <v>0</v>
      </c>
      <c r="DF247" s="44">
        <f>(BJ247*(BJ$3-BI$3)+BK247*(BK$3-BJ$3))/(BK$3-BI$3)</f>
        <v>0</v>
      </c>
      <c r="DG247" s="44">
        <f>(BL247*(BL$3-BK$3)+BM247*(BM$3-BL$3))/(BM$3-BK$3)</f>
        <v>0</v>
      </c>
      <c r="DH247" s="44">
        <f>(BN247*(BN$3-BM$3)+BO247*(BO$3-BN$3))/(BO$3-BM$3)</f>
        <v>0</v>
      </c>
      <c r="DI247" s="44">
        <f>(BP247*(BP$3-BO$3)+BQ247*(BQ$3-BP$3))/(BQ$3-BO$3)</f>
        <v>0</v>
      </c>
    </row>
    <row r="248" spans="1:113" ht="12" hidden="1" outlineLevel="2">
      <c r="A248" s="1" t="s">
        <v>253</v>
      </c>
      <c r="B248" s="19" t="s">
        <v>470</v>
      </c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525">
        <v>0</v>
      </c>
      <c r="AQ248" s="525">
        <v>0</v>
      </c>
      <c r="AR248" s="525">
        <v>0</v>
      </c>
      <c r="AS248" s="525">
        <v>0</v>
      </c>
      <c r="AT248" s="525">
        <v>0</v>
      </c>
      <c r="AU248" s="525">
        <v>0</v>
      </c>
      <c r="AV248" s="525">
        <v>0</v>
      </c>
      <c r="AW248" s="525">
        <v>0</v>
      </c>
      <c r="AX248" s="525">
        <v>0</v>
      </c>
      <c r="AY248" s="525">
        <v>0</v>
      </c>
      <c r="AZ248" s="523">
        <v>0</v>
      </c>
      <c r="BA248" s="44">
        <v>0</v>
      </c>
      <c r="BB248" s="44">
        <v>0</v>
      </c>
      <c r="BC248" s="44">
        <v>0</v>
      </c>
      <c r="BD248" s="44">
        <v>0</v>
      </c>
      <c r="BE248" s="44">
        <v>0</v>
      </c>
      <c r="BF248" s="44">
        <v>0</v>
      </c>
      <c r="BG248" s="44">
        <v>0</v>
      </c>
      <c r="BH248" s="44">
        <v>0</v>
      </c>
      <c r="BI248" s="44">
        <v>0</v>
      </c>
      <c r="BJ248" s="44">
        <v>0</v>
      </c>
      <c r="BK248" s="44">
        <v>0</v>
      </c>
      <c r="BL248" s="44">
        <v>0</v>
      </c>
      <c r="BM248" s="44">
        <v>0</v>
      </c>
      <c r="BN248" s="44">
        <v>0</v>
      </c>
      <c r="BO248" s="44">
        <v>0</v>
      </c>
      <c r="BP248" s="44">
        <v>0</v>
      </c>
      <c r="BQ248" s="44">
        <v>0</v>
      </c>
      <c r="BR248" s="44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525">
        <v>0</v>
      </c>
      <c r="CU248" s="525">
        <v>0</v>
      </c>
      <c r="CV248" s="525">
        <v>0</v>
      </c>
      <c r="CW248" s="525">
        <v>0</v>
      </c>
      <c r="CX248" s="525">
        <v>0</v>
      </c>
      <c r="CY248" s="525">
        <v>0</v>
      </c>
      <c r="CZ248" s="45">
        <f t="shared" si="1301"/>
        <v>0</v>
      </c>
      <c r="DA248" s="44">
        <f t="shared" si="1302"/>
        <v>0</v>
      </c>
      <c r="DB248" s="44">
        <f t="shared" si="1303"/>
        <v>0</v>
      </c>
      <c r="DC248" s="44">
        <f t="shared" si="1304"/>
        <v>0</v>
      </c>
      <c r="DD248" s="44">
        <f t="shared" si="1305"/>
        <v>0</v>
      </c>
      <c r="DE248" s="44">
        <f>(BH248*(BH$3-BG$3)+BI248*(BI$3-BH$3))/(BI$3-BG$3)</f>
        <v>0</v>
      </c>
      <c r="DF248" s="44">
        <f>(BJ248*(BJ$3-BI$3)+BK248*(BK$3-BJ$3))/(BK$3-BI$3)</f>
        <v>0</v>
      </c>
      <c r="DG248" s="44">
        <f>(BL248*(BL$3-BK$3)+BM248*(BM$3-BL$3))/(BM$3-BK$3)</f>
        <v>0</v>
      </c>
      <c r="DH248" s="44">
        <f>(BN248*(BN$3-BM$3)+BO248*(BO$3-BN$3))/(BO$3-BM$3)</f>
        <v>0</v>
      </c>
      <c r="DI248" s="44">
        <f>(BP248*(BP$3-BO$3)+BQ248*(BQ$3-BP$3))/(BQ$3-BO$3)</f>
        <v>0</v>
      </c>
    </row>
    <row r="249" spans="1:113" s="24" customFormat="1" ht="12" hidden="1" outlineLevel="2">
      <c r="A249" s="1" t="s">
        <v>254</v>
      </c>
      <c r="B249" s="24" t="s">
        <v>166</v>
      </c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  <c r="AJ249" s="55"/>
      <c r="AK249" s="55"/>
      <c r="AL249" s="55"/>
      <c r="AM249" s="55"/>
      <c r="AN249" s="55"/>
      <c r="AO249" s="55"/>
      <c r="AP249" s="526">
        <f t="shared" ref="AP249:AR249" si="1306">AP247+AP248</f>
        <v>0</v>
      </c>
      <c r="AQ249" s="526">
        <f t="shared" si="1306"/>
        <v>0</v>
      </c>
      <c r="AR249" s="526">
        <f t="shared" si="1306"/>
        <v>0</v>
      </c>
      <c r="AS249" s="526">
        <f t="shared" ref="AS249:AT249" si="1307">AS247+AS248</f>
        <v>0</v>
      </c>
      <c r="AT249" s="526">
        <f t="shared" si="1307"/>
        <v>0</v>
      </c>
      <c r="AU249" s="526">
        <f t="shared" ref="AU249:AV249" si="1308">AU247+AU248</f>
        <v>0</v>
      </c>
      <c r="AV249" s="526">
        <f t="shared" si="1308"/>
        <v>0</v>
      </c>
      <c r="AW249" s="526">
        <f t="shared" ref="AW249:AX249" si="1309">AW247+AW248</f>
        <v>0</v>
      </c>
      <c r="AX249" s="526">
        <f t="shared" si="1309"/>
        <v>0</v>
      </c>
      <c r="AY249" s="526">
        <f t="shared" ref="AY249:AZ249" si="1310">AY247+AY248</f>
        <v>0</v>
      </c>
      <c r="AZ249" s="524">
        <f t="shared" si="1310"/>
        <v>0</v>
      </c>
      <c r="BA249" s="526">
        <v>0</v>
      </c>
      <c r="BB249" s="526">
        <v>0</v>
      </c>
      <c r="BC249" s="526">
        <v>0</v>
      </c>
      <c r="BD249" s="526">
        <v>0</v>
      </c>
      <c r="BE249" s="526">
        <v>0</v>
      </c>
      <c r="BF249" s="526">
        <v>0</v>
      </c>
      <c r="BG249" s="526">
        <v>0</v>
      </c>
      <c r="BH249" s="526">
        <v>0</v>
      </c>
      <c r="BI249" s="526">
        <v>0</v>
      </c>
      <c r="BJ249" s="526">
        <v>0</v>
      </c>
      <c r="BK249" s="526">
        <v>0</v>
      </c>
      <c r="BL249" s="526">
        <v>0</v>
      </c>
      <c r="BM249" s="526">
        <v>0</v>
      </c>
      <c r="BN249" s="526">
        <v>0</v>
      </c>
      <c r="BO249" s="526">
        <v>0</v>
      </c>
      <c r="BP249" s="526">
        <v>0</v>
      </c>
      <c r="BQ249" s="526">
        <v>0</v>
      </c>
      <c r="BR249" s="526"/>
      <c r="BS249" s="55"/>
      <c r="BT249" s="55"/>
      <c r="BU249" s="55"/>
      <c r="BV249" s="55"/>
      <c r="BW249" s="55"/>
      <c r="BX249" s="55"/>
      <c r="BY249" s="55"/>
      <c r="BZ249" s="55"/>
      <c r="CA249" s="55"/>
      <c r="CB249" s="55"/>
      <c r="CC249" s="55"/>
      <c r="CD249" s="55"/>
      <c r="CE249" s="55"/>
      <c r="CF249" s="55"/>
      <c r="CG249" s="55"/>
      <c r="CH249" s="117"/>
      <c r="CI249" s="117"/>
      <c r="CJ249" s="295"/>
      <c r="CK249" s="295"/>
      <c r="CL249" s="295"/>
      <c r="CM249" s="295"/>
      <c r="CN249" s="117"/>
      <c r="CO249" s="117"/>
      <c r="CP249" s="117"/>
      <c r="CQ249" s="117"/>
      <c r="CR249" s="117"/>
      <c r="CS249" s="117"/>
      <c r="CT249" s="526">
        <f t="shared" ref="CT249:CV249" si="1311">CT247+CT248</f>
        <v>0</v>
      </c>
      <c r="CU249" s="526">
        <f t="shared" si="1311"/>
        <v>0</v>
      </c>
      <c r="CV249" s="526">
        <f t="shared" si="1311"/>
        <v>0</v>
      </c>
      <c r="CW249" s="526">
        <f t="shared" ref="CW249:CX249" si="1312">CW247+CW248</f>
        <v>0</v>
      </c>
      <c r="CX249" s="526">
        <f t="shared" si="1312"/>
        <v>0</v>
      </c>
      <c r="CY249" s="526">
        <f t="shared" ref="CY249" si="1313">CY247+CY248</f>
        <v>0</v>
      </c>
      <c r="CZ249" s="524">
        <f t="shared" si="1301"/>
        <v>0</v>
      </c>
      <c r="DA249" s="526">
        <f>(AZ249*(AZ$3-AY$3)+BA249*(BA$3-AZ$3))/(BA$3-AY$3)</f>
        <v>0</v>
      </c>
      <c r="DB249" s="526">
        <f t="shared" si="1303"/>
        <v>0</v>
      </c>
      <c r="DC249" s="526">
        <f t="shared" si="1304"/>
        <v>0</v>
      </c>
      <c r="DD249" s="526">
        <f t="shared" si="1305"/>
        <v>0</v>
      </c>
      <c r="DE249" s="526">
        <f>(BH249*(BH$3-BG$3)+BI249*(BI$3-BH$3))/(BI$3-BG$3)</f>
        <v>0</v>
      </c>
      <c r="DF249" s="526">
        <f>(BJ249*(BJ$3-BI$3)+BK249*(BK$3-BJ$3))/(BK$3-BI$3)</f>
        <v>0</v>
      </c>
      <c r="DG249" s="526">
        <f>(BL249*(BL$3-BK$3)+BM249*(BM$3-BL$3))/(BM$3-BK$3)</f>
        <v>0</v>
      </c>
      <c r="DH249" s="526">
        <f>(BN249*(BN$3-BM$3)+BO249*(BO$3-BN$3))/(BO$3-BM$3)</f>
        <v>0</v>
      </c>
      <c r="DI249" s="526">
        <f>(BP249*(BP$3-BO$3)+BQ249*(BQ$3-BP$3))/(BQ$3-BO$3)</f>
        <v>0</v>
      </c>
    </row>
    <row r="250" spans="1:113" ht="12" hidden="1" outlineLevel="2"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4"/>
      <c r="AQ250" s="44"/>
      <c r="AR250" s="44"/>
      <c r="AS250" s="44"/>
      <c r="AT250" s="44"/>
      <c r="AU250" s="44"/>
      <c r="AV250" s="44"/>
      <c r="AW250" s="44"/>
      <c r="AX250" s="44"/>
      <c r="AY250" s="44"/>
      <c r="AZ250" s="45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  <c r="BL250" s="44"/>
      <c r="BM250" s="44"/>
      <c r="BN250" s="44"/>
      <c r="BO250" s="44"/>
      <c r="BP250" s="44"/>
      <c r="BQ250" s="44"/>
      <c r="BR250" s="44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4"/>
      <c r="CU250" s="44"/>
      <c r="CV250" s="44"/>
      <c r="CW250" s="44"/>
      <c r="CX250" s="44"/>
      <c r="CY250" s="44"/>
      <c r="CZ250" s="45"/>
      <c r="DA250" s="44"/>
      <c r="DB250" s="44"/>
      <c r="DC250" s="44"/>
      <c r="DD250" s="44"/>
      <c r="DE250" s="44"/>
      <c r="DF250" s="44"/>
      <c r="DG250" s="44"/>
      <c r="DH250" s="44"/>
      <c r="DI250" s="44"/>
    </row>
    <row r="251" spans="1:113" s="24" customFormat="1" ht="12" hidden="1" outlineLevel="2">
      <c r="A251" s="1"/>
      <c r="B251" s="24" t="s">
        <v>491</v>
      </c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5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4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5"/>
      <c r="BT251" s="55"/>
      <c r="BU251" s="55"/>
      <c r="BV251" s="55"/>
      <c r="BW251" s="55"/>
      <c r="BX251" s="55"/>
      <c r="BY251" s="55"/>
      <c r="BZ251" s="55"/>
      <c r="CA251" s="55"/>
      <c r="CB251" s="55"/>
      <c r="CC251" s="55"/>
      <c r="CD251" s="55"/>
      <c r="CE251" s="55"/>
      <c r="CF251" s="55"/>
      <c r="CG251" s="55"/>
      <c r="CH251" s="55"/>
      <c r="CI251" s="55"/>
      <c r="CJ251" s="55"/>
      <c r="CK251" s="55"/>
      <c r="CL251" s="55"/>
      <c r="CM251" s="55"/>
      <c r="CN251" s="55"/>
      <c r="CO251" s="55"/>
      <c r="CP251" s="55"/>
      <c r="CQ251" s="55"/>
      <c r="CR251" s="55"/>
      <c r="CS251" s="55"/>
      <c r="CT251" s="526"/>
      <c r="CU251" s="526"/>
      <c r="CV251" s="526"/>
      <c r="CW251" s="526"/>
      <c r="CX251" s="526"/>
      <c r="CY251" s="526"/>
      <c r="CZ251" s="524"/>
      <c r="DA251" s="526"/>
      <c r="DB251" s="526"/>
      <c r="DC251" s="526"/>
      <c r="DD251" s="526"/>
      <c r="DE251" s="526"/>
      <c r="DF251" s="526"/>
      <c r="DG251" s="526"/>
      <c r="DH251" s="526"/>
      <c r="DI251" s="526"/>
    </row>
    <row r="252" spans="1:113" ht="12" hidden="1" outlineLevel="2">
      <c r="A252" s="1" t="s">
        <v>255</v>
      </c>
      <c r="B252" s="19" t="s">
        <v>589</v>
      </c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525">
        <v>0</v>
      </c>
      <c r="AQ252" s="525">
        <v>0</v>
      </c>
      <c r="AR252" s="525">
        <v>0</v>
      </c>
      <c r="AS252" s="525">
        <v>0</v>
      </c>
      <c r="AT252" s="525">
        <v>0</v>
      </c>
      <c r="AU252" s="525">
        <v>0</v>
      </c>
      <c r="AV252" s="525">
        <v>0</v>
      </c>
      <c r="AW252" s="525">
        <v>0</v>
      </c>
      <c r="AX252" s="525">
        <v>0</v>
      </c>
      <c r="AY252" s="525">
        <v>0</v>
      </c>
      <c r="AZ252" s="523">
        <v>0</v>
      </c>
      <c r="BA252" s="44">
        <v>0</v>
      </c>
      <c r="BB252" s="44">
        <v>0</v>
      </c>
      <c r="BC252" s="44">
        <v>0</v>
      </c>
      <c r="BD252" s="44">
        <v>0</v>
      </c>
      <c r="BE252" s="44">
        <v>0</v>
      </c>
      <c r="BF252" s="44">
        <v>0</v>
      </c>
      <c r="BG252" s="44">
        <v>0</v>
      </c>
      <c r="BH252" s="44">
        <v>0</v>
      </c>
      <c r="BI252" s="44">
        <v>0</v>
      </c>
      <c r="BJ252" s="44">
        <v>0</v>
      </c>
      <c r="BK252" s="44">
        <v>0</v>
      </c>
      <c r="BL252" s="44">
        <v>0</v>
      </c>
      <c r="BM252" s="44">
        <v>0</v>
      </c>
      <c r="BN252" s="44">
        <v>0</v>
      </c>
      <c r="BO252" s="44">
        <v>0</v>
      </c>
      <c r="BP252" s="44">
        <v>0</v>
      </c>
      <c r="BQ252" s="44">
        <v>0</v>
      </c>
      <c r="BR252" s="44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525">
        <v>0</v>
      </c>
      <c r="CU252" s="525">
        <v>0</v>
      </c>
      <c r="CV252" s="525">
        <v>0</v>
      </c>
      <c r="CW252" s="525">
        <v>0</v>
      </c>
      <c r="CX252" s="525">
        <v>0</v>
      </c>
      <c r="CY252" s="525">
        <v>0</v>
      </c>
      <c r="CZ252" s="45">
        <f t="shared" ref="CZ252:CZ254" si="1314">(AX252*(AX$3-AW$3)+AY252*(AY$3-AX$3))/(AY$3-AW$3)</f>
        <v>0</v>
      </c>
      <c r="DA252" s="44">
        <f t="shared" ref="DA252:DA254" si="1315">(AZ252*(AZ$3-AY$3)+BA252*(BA$3-AZ$3))/(BA$3-AY$3)</f>
        <v>0</v>
      </c>
      <c r="DB252" s="44">
        <f t="shared" ref="DB252:DB254" si="1316">(BB252*(BB$3-BA$3)+BC252*(BC$3-BB$3))/(BC$3-BA$3)</f>
        <v>0</v>
      </c>
      <c r="DC252" s="44">
        <f t="shared" ref="DC252:DC254" si="1317">(BD252*(BD$3-BC$3)+BE252*(BE$3-BD$3))/(BE$3-BC$3)</f>
        <v>0</v>
      </c>
      <c r="DD252" s="44">
        <f t="shared" ref="DD252:DD254" si="1318">(BF252*(BF$3-BE$3)+BG252*(BG$3-BF$3))/(BG$3-BE$3)</f>
        <v>0</v>
      </c>
      <c r="DE252" s="44">
        <f>(BH252*(BH$3-BG$3)+BI252*(BI$3-BH$3))/(BI$3-BG$3)</f>
        <v>0</v>
      </c>
      <c r="DF252" s="44">
        <f>(BJ252*(BJ$3-BI$3)+BK252*(BK$3-BJ$3))/(BK$3-BI$3)</f>
        <v>0</v>
      </c>
      <c r="DG252" s="44">
        <f>(BL252*(BL$3-BK$3)+BM252*(BM$3-BL$3))/(BM$3-BK$3)</f>
        <v>0</v>
      </c>
      <c r="DH252" s="44">
        <f>(BN252*(BN$3-BM$3)+BO252*(BO$3-BN$3))/(BO$3-BM$3)</f>
        <v>0</v>
      </c>
      <c r="DI252" s="44">
        <f>(BP252*(BP$3-BO$3)+BQ252*(BQ$3-BP$3))/(BQ$3-BO$3)</f>
        <v>0</v>
      </c>
    </row>
    <row r="253" spans="1:113" ht="12" hidden="1" outlineLevel="2">
      <c r="A253" s="1" t="s">
        <v>156</v>
      </c>
      <c r="B253" s="19" t="s">
        <v>470</v>
      </c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525">
        <v>0</v>
      </c>
      <c r="AQ253" s="525">
        <v>0</v>
      </c>
      <c r="AR253" s="525">
        <v>0</v>
      </c>
      <c r="AS253" s="525">
        <v>0</v>
      </c>
      <c r="AT253" s="525">
        <v>0</v>
      </c>
      <c r="AU253" s="525">
        <v>0</v>
      </c>
      <c r="AV253" s="525">
        <v>0</v>
      </c>
      <c r="AW253" s="525">
        <v>0</v>
      </c>
      <c r="AX253" s="525">
        <v>0</v>
      </c>
      <c r="AY253" s="525">
        <v>0</v>
      </c>
      <c r="AZ253" s="523">
        <v>0</v>
      </c>
      <c r="BA253" s="44">
        <v>0</v>
      </c>
      <c r="BB253" s="44">
        <v>0</v>
      </c>
      <c r="BC253" s="44">
        <v>0</v>
      </c>
      <c r="BD253" s="44">
        <v>0</v>
      </c>
      <c r="BE253" s="44">
        <v>0</v>
      </c>
      <c r="BF253" s="44">
        <v>0</v>
      </c>
      <c r="BG253" s="44">
        <v>0</v>
      </c>
      <c r="BH253" s="44">
        <v>0</v>
      </c>
      <c r="BI253" s="44">
        <v>0</v>
      </c>
      <c r="BJ253" s="44">
        <v>0</v>
      </c>
      <c r="BK253" s="44">
        <v>0</v>
      </c>
      <c r="BL253" s="44">
        <v>0</v>
      </c>
      <c r="BM253" s="44">
        <v>0</v>
      </c>
      <c r="BN253" s="44">
        <v>0</v>
      </c>
      <c r="BO253" s="44">
        <v>0</v>
      </c>
      <c r="BP253" s="44">
        <v>0</v>
      </c>
      <c r="BQ253" s="44">
        <v>0</v>
      </c>
      <c r="BR253" s="44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525">
        <v>0</v>
      </c>
      <c r="CU253" s="525">
        <v>0</v>
      </c>
      <c r="CV253" s="525">
        <v>0</v>
      </c>
      <c r="CW253" s="525">
        <v>0</v>
      </c>
      <c r="CX253" s="525">
        <v>0</v>
      </c>
      <c r="CY253" s="525">
        <v>0</v>
      </c>
      <c r="CZ253" s="45">
        <f t="shared" si="1314"/>
        <v>0</v>
      </c>
      <c r="DA253" s="44">
        <f t="shared" si="1315"/>
        <v>0</v>
      </c>
      <c r="DB253" s="44">
        <f t="shared" si="1316"/>
        <v>0</v>
      </c>
      <c r="DC253" s="44">
        <f t="shared" si="1317"/>
        <v>0</v>
      </c>
      <c r="DD253" s="44">
        <f t="shared" si="1318"/>
        <v>0</v>
      </c>
      <c r="DE253" s="44">
        <f>(BH253*(BH$3-BG$3)+BI253*(BI$3-BH$3))/(BI$3-BG$3)</f>
        <v>0</v>
      </c>
      <c r="DF253" s="44">
        <f>(BJ253*(BJ$3-BI$3)+BK253*(BK$3-BJ$3))/(BK$3-BI$3)</f>
        <v>0</v>
      </c>
      <c r="DG253" s="44">
        <f>(BL253*(BL$3-BK$3)+BM253*(BM$3-BL$3))/(BM$3-BK$3)</f>
        <v>0</v>
      </c>
      <c r="DH253" s="44">
        <f>(BN253*(BN$3-BM$3)+BO253*(BO$3-BN$3))/(BO$3-BM$3)</f>
        <v>0</v>
      </c>
      <c r="DI253" s="44">
        <f>(BP253*(BP$3-BO$3)+BQ253*(BQ$3-BP$3))/(BQ$3-BO$3)</f>
        <v>0</v>
      </c>
    </row>
    <row r="254" spans="1:113" s="24" customFormat="1" ht="12" hidden="1" outlineLevel="2">
      <c r="A254" s="1" t="s">
        <v>157</v>
      </c>
      <c r="B254" s="24" t="s">
        <v>166</v>
      </c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26">
        <f t="shared" ref="AP254:AR254" si="1319">AP252+AP253</f>
        <v>0</v>
      </c>
      <c r="AQ254" s="526">
        <f t="shared" si="1319"/>
        <v>0</v>
      </c>
      <c r="AR254" s="526">
        <f t="shared" si="1319"/>
        <v>0</v>
      </c>
      <c r="AS254" s="526">
        <f t="shared" ref="AS254:AT254" si="1320">AS252+AS253</f>
        <v>0</v>
      </c>
      <c r="AT254" s="526">
        <f t="shared" si="1320"/>
        <v>0</v>
      </c>
      <c r="AU254" s="526">
        <f t="shared" ref="AU254:AV254" si="1321">AU252+AU253</f>
        <v>0</v>
      </c>
      <c r="AV254" s="526">
        <f t="shared" si="1321"/>
        <v>0</v>
      </c>
      <c r="AW254" s="526">
        <f t="shared" ref="AW254:AX254" si="1322">AW252+AW253</f>
        <v>0</v>
      </c>
      <c r="AX254" s="526">
        <f t="shared" si="1322"/>
        <v>0</v>
      </c>
      <c r="AY254" s="526">
        <f t="shared" ref="AY254:AZ254" si="1323">AY252+AY253</f>
        <v>0</v>
      </c>
      <c r="AZ254" s="524">
        <f t="shared" si="1323"/>
        <v>0</v>
      </c>
      <c r="BA254" s="526">
        <v>0</v>
      </c>
      <c r="BB254" s="526">
        <v>0</v>
      </c>
      <c r="BC254" s="526">
        <v>0</v>
      </c>
      <c r="BD254" s="526">
        <v>0</v>
      </c>
      <c r="BE254" s="526">
        <v>0</v>
      </c>
      <c r="BF254" s="526">
        <v>0</v>
      </c>
      <c r="BG254" s="526">
        <v>0</v>
      </c>
      <c r="BH254" s="526">
        <v>0</v>
      </c>
      <c r="BI254" s="526">
        <v>0</v>
      </c>
      <c r="BJ254" s="526">
        <v>0</v>
      </c>
      <c r="BK254" s="526">
        <v>0</v>
      </c>
      <c r="BL254" s="526">
        <v>0</v>
      </c>
      <c r="BM254" s="526">
        <v>0</v>
      </c>
      <c r="BN254" s="526">
        <v>0</v>
      </c>
      <c r="BO254" s="526">
        <v>0</v>
      </c>
      <c r="BP254" s="526">
        <v>0</v>
      </c>
      <c r="BQ254" s="526">
        <v>0</v>
      </c>
      <c r="BR254" s="526"/>
      <c r="BS254" s="54"/>
      <c r="BT254" s="54"/>
      <c r="BU254" s="54"/>
      <c r="BV254" s="54"/>
      <c r="BW254" s="54"/>
      <c r="BX254" s="54"/>
      <c r="BY254" s="54"/>
      <c r="BZ254" s="54"/>
      <c r="CA254" s="54"/>
      <c r="CB254" s="54"/>
      <c r="CC254" s="55"/>
      <c r="CD254" s="55"/>
      <c r="CE254" s="55"/>
      <c r="CF254" s="55"/>
      <c r="CG254" s="55"/>
      <c r="CH254" s="117"/>
      <c r="CI254" s="117"/>
      <c r="CJ254" s="295"/>
      <c r="CK254" s="295"/>
      <c r="CL254" s="295"/>
      <c r="CM254" s="295"/>
      <c r="CN254" s="117"/>
      <c r="CO254" s="117"/>
      <c r="CP254" s="117"/>
      <c r="CQ254" s="117"/>
      <c r="CR254" s="117"/>
      <c r="CS254" s="117"/>
      <c r="CT254" s="526">
        <f t="shared" ref="CT254:CV254" si="1324">CT252+CT253</f>
        <v>0</v>
      </c>
      <c r="CU254" s="526">
        <f t="shared" si="1324"/>
        <v>0</v>
      </c>
      <c r="CV254" s="526">
        <f t="shared" si="1324"/>
        <v>0</v>
      </c>
      <c r="CW254" s="526">
        <f t="shared" ref="CW254:CX254" si="1325">CW252+CW253</f>
        <v>0</v>
      </c>
      <c r="CX254" s="526">
        <f t="shared" si="1325"/>
        <v>0</v>
      </c>
      <c r="CY254" s="526">
        <f t="shared" ref="CY254" si="1326">CY252+CY253</f>
        <v>0</v>
      </c>
      <c r="CZ254" s="524">
        <f t="shared" si="1314"/>
        <v>0</v>
      </c>
      <c r="DA254" s="526">
        <f t="shared" si="1315"/>
        <v>0</v>
      </c>
      <c r="DB254" s="526">
        <f t="shared" si="1316"/>
        <v>0</v>
      </c>
      <c r="DC254" s="526">
        <f t="shared" si="1317"/>
        <v>0</v>
      </c>
      <c r="DD254" s="526">
        <f t="shared" si="1318"/>
        <v>0</v>
      </c>
      <c r="DE254" s="526">
        <f>(BH254*(BH$3-BG$3)+BI254*(BI$3-BH$3))/(BI$3-BG$3)</f>
        <v>0</v>
      </c>
      <c r="DF254" s="526">
        <f>(BJ254*(BJ$3-BI$3)+BK254*(BK$3-BJ$3))/(BK$3-BI$3)</f>
        <v>0</v>
      </c>
      <c r="DG254" s="526">
        <f>(BL254*(BL$3-BK$3)+BM254*(BM$3-BL$3))/(BM$3-BK$3)</f>
        <v>0</v>
      </c>
      <c r="DH254" s="526">
        <f>(BN254*(BN$3-BM$3)+BO254*(BO$3-BN$3))/(BO$3-BM$3)</f>
        <v>0</v>
      </c>
      <c r="DI254" s="526">
        <f>(BP254*(BP$3-BO$3)+BQ254*(BQ$3-BP$3))/(BQ$3-BO$3)</f>
        <v>0</v>
      </c>
    </row>
    <row r="255" spans="1:113" ht="12" hidden="1" outlineLevel="2"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4"/>
      <c r="AQ255" s="44"/>
      <c r="AR255" s="44"/>
      <c r="AS255" s="44"/>
      <c r="AT255" s="44"/>
      <c r="AU255" s="44"/>
      <c r="AV255" s="44"/>
      <c r="AW255" s="44"/>
      <c r="AX255" s="44"/>
      <c r="AY255" s="44"/>
      <c r="AZ255" s="45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  <c r="BP255" s="44"/>
      <c r="BQ255" s="44"/>
      <c r="BR255" s="44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4"/>
      <c r="CU255" s="44"/>
      <c r="CV255" s="44"/>
      <c r="CW255" s="44"/>
      <c r="CX255" s="44"/>
      <c r="CY255" s="44"/>
      <c r="CZ255" s="45"/>
      <c r="DA255" s="44"/>
      <c r="DB255" s="44"/>
      <c r="DC255" s="44"/>
      <c r="DD255" s="44"/>
      <c r="DE255" s="44"/>
      <c r="DF255" s="44"/>
      <c r="DG255" s="44"/>
      <c r="DH255" s="44"/>
      <c r="DI255" s="44"/>
    </row>
    <row r="256" spans="1:113" s="24" customFormat="1" ht="12" hidden="1" outlineLevel="1" collapsed="1">
      <c r="A256" s="19"/>
      <c r="B256" s="24" t="s">
        <v>496</v>
      </c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5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4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5"/>
      <c r="BT256" s="55"/>
      <c r="BU256" s="55"/>
      <c r="BV256" s="55"/>
      <c r="BW256" s="55"/>
      <c r="BX256" s="55"/>
      <c r="BY256" s="55"/>
      <c r="BZ256" s="55"/>
      <c r="CA256" s="55"/>
      <c r="CB256" s="55"/>
      <c r="CC256" s="55"/>
      <c r="CD256" s="55"/>
      <c r="CE256" s="55"/>
      <c r="CF256" s="55"/>
      <c r="CG256" s="55"/>
      <c r="CH256" s="55"/>
      <c r="CI256" s="55"/>
      <c r="CJ256" s="55"/>
      <c r="CK256" s="55"/>
      <c r="CL256" s="55"/>
      <c r="CM256" s="55"/>
      <c r="CN256" s="55"/>
      <c r="CO256" s="55"/>
      <c r="CP256" s="55"/>
      <c r="CQ256" s="55"/>
      <c r="CR256" s="55"/>
      <c r="CS256" s="55"/>
      <c r="CT256" s="526"/>
      <c r="CU256" s="526"/>
      <c r="CV256" s="526"/>
      <c r="CW256" s="526"/>
      <c r="CX256" s="526"/>
      <c r="CY256" s="526"/>
      <c r="CZ256" s="524"/>
      <c r="DA256" s="526"/>
      <c r="DB256" s="526"/>
      <c r="DC256" s="526"/>
      <c r="DD256" s="526"/>
      <c r="DE256" s="526"/>
      <c r="DF256" s="526"/>
      <c r="DG256" s="526"/>
      <c r="DH256" s="526"/>
      <c r="DI256" s="526"/>
    </row>
    <row r="257" spans="1:113" ht="12" hidden="1" outlineLevel="1">
      <c r="A257" s="1" t="s">
        <v>287</v>
      </c>
      <c r="B257" s="19" t="str">
        <f>B$184</f>
        <v>Core deposits</v>
      </c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4">
        <f t="shared" ref="AP257:AR257" si="1327">+AP242+AP247+AP252</f>
        <v>0</v>
      </c>
      <c r="AQ257" s="44">
        <f t="shared" si="1327"/>
        <v>0</v>
      </c>
      <c r="AR257" s="44">
        <f t="shared" si="1327"/>
        <v>0</v>
      </c>
      <c r="AS257" s="44">
        <f t="shared" ref="AS257:AT257" si="1328">+AS242+AS247+AS252</f>
        <v>0</v>
      </c>
      <c r="AT257" s="44">
        <f t="shared" si="1328"/>
        <v>0</v>
      </c>
      <c r="AU257" s="44">
        <f t="shared" ref="AU257:AV257" si="1329">+AU242+AU247+AU252</f>
        <v>0</v>
      </c>
      <c r="AV257" s="44">
        <f t="shared" si="1329"/>
        <v>0</v>
      </c>
      <c r="AW257" s="44">
        <f t="shared" ref="AW257:AX257" si="1330">+AW242+AW247+AW252</f>
        <v>0</v>
      </c>
      <c r="AX257" s="44">
        <f t="shared" si="1330"/>
        <v>0</v>
      </c>
      <c r="AY257" s="44">
        <f t="shared" ref="AY257:AZ257" si="1331">+AY242+AY247+AY252</f>
        <v>0</v>
      </c>
      <c r="AZ257" s="45">
        <f t="shared" si="1331"/>
        <v>0</v>
      </c>
      <c r="BA257" s="44">
        <f t="shared" ref="BA257:BI258" si="1332">BA242+BA247+BA252</f>
        <v>0</v>
      </c>
      <c r="BB257" s="44">
        <f t="shared" si="1332"/>
        <v>0</v>
      </c>
      <c r="BC257" s="44">
        <f t="shared" si="1332"/>
        <v>0</v>
      </c>
      <c r="BD257" s="44">
        <f t="shared" si="1332"/>
        <v>0</v>
      </c>
      <c r="BE257" s="44">
        <f t="shared" si="1332"/>
        <v>0</v>
      </c>
      <c r="BF257" s="44">
        <f t="shared" si="1332"/>
        <v>0</v>
      </c>
      <c r="BG257" s="44">
        <f t="shared" si="1332"/>
        <v>0</v>
      </c>
      <c r="BH257" s="44">
        <f t="shared" si="1332"/>
        <v>0</v>
      </c>
      <c r="BI257" s="44">
        <f t="shared" si="1332"/>
        <v>0</v>
      </c>
      <c r="BJ257" s="44">
        <f t="shared" ref="BJ257:BK257" si="1333">BJ242+BJ247+BJ252</f>
        <v>0</v>
      </c>
      <c r="BK257" s="44">
        <f t="shared" si="1333"/>
        <v>0</v>
      </c>
      <c r="BL257" s="44">
        <f t="shared" ref="BL257:BM257" si="1334">BL242+BL247+BL252</f>
        <v>0</v>
      </c>
      <c r="BM257" s="44">
        <f t="shared" si="1334"/>
        <v>0</v>
      </c>
      <c r="BN257" s="44">
        <f t="shared" ref="BN257:BO257" si="1335">BN242+BN247+BN252</f>
        <v>0</v>
      </c>
      <c r="BO257" s="44">
        <f t="shared" si="1335"/>
        <v>0</v>
      </c>
      <c r="BP257" s="44">
        <f t="shared" ref="BP257:BQ257" si="1336">BP242+BP247+BP252</f>
        <v>0</v>
      </c>
      <c r="BQ257" s="44">
        <f t="shared" si="1336"/>
        <v>0</v>
      </c>
      <c r="BR257" s="44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4">
        <f t="shared" ref="CT257:CV257" si="1337">+CT242+CT247+CT252</f>
        <v>0</v>
      </c>
      <c r="CU257" s="44">
        <f t="shared" si="1337"/>
        <v>0</v>
      </c>
      <c r="CV257" s="44">
        <f t="shared" si="1337"/>
        <v>0</v>
      </c>
      <c r="CW257" s="44">
        <f t="shared" ref="CW257:CX257" si="1338">+CW242+CW247+CW252</f>
        <v>0</v>
      </c>
      <c r="CX257" s="44">
        <f t="shared" si="1338"/>
        <v>0</v>
      </c>
      <c r="CY257" s="44">
        <f t="shared" ref="CY257" si="1339">+CY242+CY247+CY252</f>
        <v>0</v>
      </c>
      <c r="CZ257" s="45">
        <f t="shared" ref="CZ257:CZ260" si="1340">(AX257*(AX$3-AW$3)+AY257*(AY$3-AX$3))/(AY$3-AW$3)</f>
        <v>0</v>
      </c>
      <c r="DA257" s="44">
        <f t="shared" ref="DA257:DA259" si="1341">(AZ257*(AZ$3-AY$3)+BA257*(BA$3-AZ$3))/(BA$3-AY$3)</f>
        <v>0</v>
      </c>
      <c r="DB257" s="44">
        <f t="shared" ref="DB257:DB260" si="1342">(BB257*(BB$3-BA$3)+BC257*(BC$3-BB$3))/(BC$3-BA$3)</f>
        <v>0</v>
      </c>
      <c r="DC257" s="44">
        <f t="shared" ref="DC257:DC260" si="1343">(BD257*(BD$3-BC$3)+BE257*(BE$3-BD$3))/(BE$3-BC$3)</f>
        <v>0</v>
      </c>
      <c r="DD257" s="44">
        <f t="shared" ref="DD257:DD260" si="1344">(BF257*(BF$3-BE$3)+BG257*(BG$3-BF$3))/(BG$3-BE$3)</f>
        <v>0</v>
      </c>
      <c r="DE257" s="44">
        <f>(BH257*(BH$3-BG$3)+BI257*(BI$3-BH$3))/(BI$3-BG$3)</f>
        <v>0</v>
      </c>
      <c r="DF257" s="44">
        <f>(BJ257*(BJ$3-BI$3)+BK257*(BK$3-BJ$3))/(BK$3-BI$3)</f>
        <v>0</v>
      </c>
      <c r="DG257" s="44">
        <f>(BL257*(BL$3-BK$3)+BM257*(BM$3-BL$3))/(BM$3-BK$3)</f>
        <v>0</v>
      </c>
      <c r="DH257" s="44">
        <f>(BN257*(BN$3-BM$3)+BO257*(BO$3-BN$3))/(BO$3-BM$3)</f>
        <v>0</v>
      </c>
      <c r="DI257" s="44">
        <f>(BP257*(BP$3-BO$3)+BQ257*(BQ$3-BP$3))/(BQ$3-BO$3)</f>
        <v>0</v>
      </c>
    </row>
    <row r="258" spans="1:113" ht="12" hidden="1" outlineLevel="1">
      <c r="A258" s="1" t="s">
        <v>288</v>
      </c>
      <c r="B258" s="19" t="str">
        <f>B$185</f>
        <v>Time deposits (includes CDs)</v>
      </c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4">
        <f t="shared" ref="AP258:AR258" si="1345">AP259-AP257</f>
        <v>1733</v>
      </c>
      <c r="AQ258" s="44">
        <f t="shared" si="1345"/>
        <v>2201</v>
      </c>
      <c r="AR258" s="44">
        <f t="shared" si="1345"/>
        <v>2890</v>
      </c>
      <c r="AS258" s="44">
        <f t="shared" ref="AS258:AT258" si="1346">AS259-AS257</f>
        <v>3615.9668508287291</v>
      </c>
      <c r="AT258" s="44">
        <f t="shared" si="1346"/>
        <v>4735</v>
      </c>
      <c r="AU258" s="44">
        <f t="shared" ref="AU258:AV258" si="1347">AU259-AU257</f>
        <v>5475</v>
      </c>
      <c r="AV258" s="44">
        <f t="shared" si="1347"/>
        <v>6565</v>
      </c>
      <c r="AW258" s="44">
        <f t="shared" ref="AW258:AX258" si="1348">AW259-AW257</f>
        <v>7476</v>
      </c>
      <c r="AX258" s="44">
        <f t="shared" si="1348"/>
        <v>8692</v>
      </c>
      <c r="AY258" s="44">
        <f t="shared" ref="AY258:AZ258" si="1349">AY259-AY257</f>
        <v>9306</v>
      </c>
      <c r="AZ258" s="45">
        <f t="shared" si="1349"/>
        <v>10405</v>
      </c>
      <c r="BA258" s="44">
        <f t="shared" si="1332"/>
        <v>11468.164286885403</v>
      </c>
      <c r="BB258" s="44">
        <f t="shared" si="1332"/>
        <v>12521.818905927512</v>
      </c>
      <c r="BC258" s="44">
        <f t="shared" si="1332"/>
        <v>13621.09012334211</v>
      </c>
      <c r="BD258" s="44">
        <f t="shared" si="1332"/>
        <v>14747.289981882112</v>
      </c>
      <c r="BE258" s="44">
        <f t="shared" si="1332"/>
        <v>15906.106670151394</v>
      </c>
      <c r="BF258" s="44">
        <f t="shared" si="1332"/>
        <v>17140.661170287171</v>
      </c>
      <c r="BG258" s="44">
        <f t="shared" si="1332"/>
        <v>18439.428214620584</v>
      </c>
      <c r="BH258" s="44">
        <f t="shared" si="1332"/>
        <v>19606.378788517057</v>
      </c>
      <c r="BI258" s="44">
        <f t="shared" si="1332"/>
        <v>20665.151165771349</v>
      </c>
      <c r="BJ258" s="44">
        <f t="shared" ref="BJ258:BK258" si="1350">BJ243+BJ248+BJ253</f>
        <v>21678.002227376768</v>
      </c>
      <c r="BK258" s="44">
        <f t="shared" si="1350"/>
        <v>22656.403217127594</v>
      </c>
      <c r="BL258" s="44">
        <f t="shared" ref="BL258:BM258" si="1351">BL243+BL248+BL253</f>
        <v>23570.066447240057</v>
      </c>
      <c r="BM258" s="44">
        <f t="shared" si="1351"/>
        <v>24426.121778141867</v>
      </c>
      <c r="BN258" s="44">
        <f t="shared" ref="BN258:BO258" si="1352">BN243+BN248+BN253</f>
        <v>25248.720486775794</v>
      </c>
      <c r="BO258" s="44">
        <f t="shared" si="1352"/>
        <v>26046.828036508527</v>
      </c>
      <c r="BP258" s="44">
        <f t="shared" ref="BP258:BQ258" si="1353">BP243+BP248+BP253</f>
        <v>26864.749733378878</v>
      </c>
      <c r="BQ258" s="44">
        <f t="shared" si="1353"/>
        <v>27714.46946541603</v>
      </c>
      <c r="BR258" s="44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4">
        <f t="shared" ref="CT258:CV258" si="1354">CT259-CT257</f>
        <v>104.4</v>
      </c>
      <c r="CU258" s="44">
        <f t="shared" si="1354"/>
        <v>745.35</v>
      </c>
      <c r="CV258" s="44">
        <f t="shared" si="1354"/>
        <v>1967</v>
      </c>
      <c r="CW258" s="44">
        <f t="shared" ref="CW258:CX258" si="1355">CW259-CW257</f>
        <v>3250</v>
      </c>
      <c r="CX258" s="44">
        <f t="shared" si="1355"/>
        <v>5093</v>
      </c>
      <c r="CY258" s="44">
        <f t="shared" ref="CY258" si="1356">CY259-CY257</f>
        <v>7028</v>
      </c>
      <c r="CZ258" s="45">
        <f t="shared" si="1340"/>
        <v>8996.4767123287675</v>
      </c>
      <c r="DA258" s="44">
        <f t="shared" si="1341"/>
        <v>10932.212975140432</v>
      </c>
      <c r="DB258" s="44">
        <f t="shared" si="1342"/>
        <v>13066.936961686532</v>
      </c>
      <c r="DC258" s="44">
        <f t="shared" si="1343"/>
        <v>15323.532160201807</v>
      </c>
      <c r="DD258" s="44">
        <f t="shared" si="1344"/>
        <v>17784.70729364155</v>
      </c>
      <c r="DE258" s="44">
        <f>(BH258*(BH$3-BG$3)+BI258*(BI$3-BH$3))/(BI$3-BG$3)</f>
        <v>20131.413857785621</v>
      </c>
      <c r="DF258" s="44">
        <f>(BJ258*(BJ$3-BI$3)+BK258*(BK$3-BJ$3))/(BK$3-BI$3)</f>
        <v>22163.181896266902</v>
      </c>
      <c r="DG258" s="44">
        <f>(BL258*(BL$3-BK$3)+BM258*(BM$3-BL$3))/(BM$3-BK$3)</f>
        <v>23995.755163699429</v>
      </c>
      <c r="DH258" s="44">
        <f>(BN258*(BN$3-BM$3)+BO258*(BO$3-BN$3))/(BO$3-BM$3)</f>
        <v>25644.494367602161</v>
      </c>
      <c r="DI258" s="44">
        <f>(BP258*(BP$3-BO$3)+BQ258*(BQ$3-BP$3))/(BQ$3-BO$3)</f>
        <v>27286.117600498674</v>
      </c>
    </row>
    <row r="259" spans="1:113" s="24" customFormat="1" ht="12" hidden="1" outlineLevel="1">
      <c r="A259" s="1" t="s">
        <v>289</v>
      </c>
      <c r="B259" s="24" t="s">
        <v>166</v>
      </c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  <c r="AJ259" s="55"/>
      <c r="AK259" s="55"/>
      <c r="AL259" s="55"/>
      <c r="AM259" s="55"/>
      <c r="AN259" s="55"/>
      <c r="AO259" s="55"/>
      <c r="AP259" s="526">
        <f t="shared" ref="AP259:AR259" si="1357">+AP244+AP249+AP254</f>
        <v>1733</v>
      </c>
      <c r="AQ259" s="526">
        <f t="shared" si="1357"/>
        <v>2201</v>
      </c>
      <c r="AR259" s="526">
        <f t="shared" si="1357"/>
        <v>2890</v>
      </c>
      <c r="AS259" s="526">
        <f t="shared" ref="AS259:AT259" si="1358">+AS244+AS249+AS254</f>
        <v>3615.9668508287291</v>
      </c>
      <c r="AT259" s="526">
        <f t="shared" si="1358"/>
        <v>4735</v>
      </c>
      <c r="AU259" s="526">
        <f t="shared" ref="AU259:AV259" si="1359">+AU244+AU249+AU254</f>
        <v>5475</v>
      </c>
      <c r="AV259" s="526">
        <f t="shared" si="1359"/>
        <v>6565</v>
      </c>
      <c r="AW259" s="526">
        <f t="shared" ref="AW259:AX259" si="1360">+AW244+AW249+AW254</f>
        <v>7476</v>
      </c>
      <c r="AX259" s="526">
        <f t="shared" si="1360"/>
        <v>8692</v>
      </c>
      <c r="AY259" s="526">
        <f t="shared" ref="AY259:AZ259" si="1361">+AY244+AY249+AY254</f>
        <v>9306</v>
      </c>
      <c r="AZ259" s="524">
        <f t="shared" si="1361"/>
        <v>10405</v>
      </c>
      <c r="BA259" s="526">
        <f t="shared" ref="BA259:BI259" si="1362">BA257+BA258</f>
        <v>11468.164286885403</v>
      </c>
      <c r="BB259" s="526">
        <f t="shared" si="1362"/>
        <v>12521.818905927512</v>
      </c>
      <c r="BC259" s="526">
        <f t="shared" si="1362"/>
        <v>13621.09012334211</v>
      </c>
      <c r="BD259" s="526">
        <f t="shared" si="1362"/>
        <v>14747.289981882112</v>
      </c>
      <c r="BE259" s="526">
        <f t="shared" si="1362"/>
        <v>15906.106670151394</v>
      </c>
      <c r="BF259" s="526">
        <f t="shared" si="1362"/>
        <v>17140.661170287171</v>
      </c>
      <c r="BG259" s="526">
        <f t="shared" si="1362"/>
        <v>18439.428214620584</v>
      </c>
      <c r="BH259" s="526">
        <f t="shared" si="1362"/>
        <v>19606.378788517057</v>
      </c>
      <c r="BI259" s="526">
        <f t="shared" si="1362"/>
        <v>20665.151165771349</v>
      </c>
      <c r="BJ259" s="526">
        <f t="shared" ref="BJ259:BK259" si="1363">BJ257+BJ258</f>
        <v>21678.002227376768</v>
      </c>
      <c r="BK259" s="526">
        <f t="shared" si="1363"/>
        <v>22656.403217127594</v>
      </c>
      <c r="BL259" s="526">
        <f t="shared" ref="BL259:BM259" si="1364">BL257+BL258</f>
        <v>23570.066447240057</v>
      </c>
      <c r="BM259" s="526">
        <f t="shared" si="1364"/>
        <v>24426.121778141867</v>
      </c>
      <c r="BN259" s="526">
        <f t="shared" ref="BN259:BO259" si="1365">BN257+BN258</f>
        <v>25248.720486775794</v>
      </c>
      <c r="BO259" s="526">
        <f t="shared" si="1365"/>
        <v>26046.828036508527</v>
      </c>
      <c r="BP259" s="526">
        <f t="shared" ref="BP259:BQ259" si="1366">BP257+BP258</f>
        <v>26864.749733378878</v>
      </c>
      <c r="BQ259" s="526">
        <f t="shared" si="1366"/>
        <v>27714.46946541603</v>
      </c>
      <c r="BR259" s="526"/>
      <c r="BS259" s="117"/>
      <c r="BT259" s="117"/>
      <c r="BU259" s="117"/>
      <c r="BV259" s="117"/>
      <c r="BW259" s="117"/>
      <c r="BX259" s="117"/>
      <c r="BY259" s="117"/>
      <c r="BZ259" s="117"/>
      <c r="CA259" s="117"/>
      <c r="CB259" s="117"/>
      <c r="CC259" s="55"/>
      <c r="CD259" s="55"/>
      <c r="CE259" s="55"/>
      <c r="CF259" s="55"/>
      <c r="CG259" s="55"/>
      <c r="CH259" s="55"/>
      <c r="CI259" s="55"/>
      <c r="CJ259" s="55"/>
      <c r="CK259" s="55"/>
      <c r="CL259" s="55"/>
      <c r="CM259" s="55"/>
      <c r="CN259" s="55"/>
      <c r="CO259" s="55"/>
      <c r="CP259" s="55"/>
      <c r="CQ259" s="55"/>
      <c r="CR259" s="55"/>
      <c r="CS259" s="55"/>
      <c r="CT259" s="526">
        <f t="shared" ref="CT259:CV259" si="1367">+CT244+CT249+CT254</f>
        <v>104.4</v>
      </c>
      <c r="CU259" s="526">
        <f t="shared" si="1367"/>
        <v>745.35</v>
      </c>
      <c r="CV259" s="526">
        <f t="shared" si="1367"/>
        <v>1967</v>
      </c>
      <c r="CW259" s="526">
        <f t="shared" ref="CW259:CX259" si="1368">+CW244+CW249+CW254</f>
        <v>3250</v>
      </c>
      <c r="CX259" s="526">
        <f t="shared" si="1368"/>
        <v>5093</v>
      </c>
      <c r="CY259" s="526">
        <f t="shared" ref="CY259" si="1369">+CY244+CY249+CY254</f>
        <v>7028</v>
      </c>
      <c r="CZ259" s="524">
        <f t="shared" si="1340"/>
        <v>8996.4767123287675</v>
      </c>
      <c r="DA259" s="526">
        <f t="shared" si="1341"/>
        <v>10932.212975140432</v>
      </c>
      <c r="DB259" s="526">
        <f t="shared" si="1342"/>
        <v>13066.936961686532</v>
      </c>
      <c r="DC259" s="526">
        <f t="shared" si="1343"/>
        <v>15323.532160201807</v>
      </c>
      <c r="DD259" s="526">
        <f t="shared" si="1344"/>
        <v>17784.70729364155</v>
      </c>
      <c r="DE259" s="526">
        <f>(BH259*(BH$3-BG$3)+BI259*(BI$3-BH$3))/(BI$3-BG$3)</f>
        <v>20131.413857785621</v>
      </c>
      <c r="DF259" s="526">
        <f>(BJ259*(BJ$3-BI$3)+BK259*(BK$3-BJ$3))/(BK$3-BI$3)</f>
        <v>22163.181896266902</v>
      </c>
      <c r="DG259" s="526">
        <f>(BL259*(BL$3-BK$3)+BM259*(BM$3-BL$3))/(BM$3-BK$3)</f>
        <v>23995.755163699429</v>
      </c>
      <c r="DH259" s="526">
        <f>(BN259*(BN$3-BM$3)+BO259*(BO$3-BN$3))/(BO$3-BM$3)</f>
        <v>25644.494367602161</v>
      </c>
      <c r="DI259" s="526">
        <f>(BP259*(BP$3-BO$3)+BQ259*(BQ$3-BP$3))/(BQ$3-BO$3)</f>
        <v>27286.117600498674</v>
      </c>
    </row>
    <row r="260" spans="1:113" ht="12" hidden="1" outlineLevel="1">
      <c r="A260" s="1" t="s">
        <v>921</v>
      </c>
      <c r="B260" s="19" t="s">
        <v>275</v>
      </c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525">
        <f>(CV260*(AQ$3-AO$3)-AQ260*(AQ$3-AP$3))/(AP$3-AO$3)</f>
        <v>770.64130434782612</v>
      </c>
      <c r="AQ260" s="525">
        <f>4023-AQ259</f>
        <v>1822</v>
      </c>
      <c r="AR260" s="525">
        <f>6545-AR259</f>
        <v>3655</v>
      </c>
      <c r="AS260" s="525">
        <f>(CW260*(AS$3-AQ$3)-AR260*(AR$3-AQ$3))/(AS$3-AR$3)</f>
        <v>3713.4806629834252</v>
      </c>
      <c r="AT260" s="525">
        <f>8581-AT259</f>
        <v>3846</v>
      </c>
      <c r="AU260" s="525">
        <f>9605-AU259</f>
        <v>4130</v>
      </c>
      <c r="AV260" s="525">
        <f>11248-AV259</f>
        <v>4683</v>
      </c>
      <c r="AW260" s="525">
        <f>11768-AW259</f>
        <v>4292</v>
      </c>
      <c r="AX260" s="525">
        <f>11865-AX259</f>
        <v>3173</v>
      </c>
      <c r="AY260" s="525">
        <f>12326-AY259</f>
        <v>3020</v>
      </c>
      <c r="AZ260" s="523">
        <f>13470-AZ259</f>
        <v>3065</v>
      </c>
      <c r="BA260" s="44">
        <f t="shared" ref="BA260:BK260" si="1370">BA262-BA261-BA259</f>
        <v>3240.3602068586952</v>
      </c>
      <c r="BB260" s="44">
        <f t="shared" si="1370"/>
        <v>3208.6642103935828</v>
      </c>
      <c r="BC260" s="44">
        <f t="shared" si="1370"/>
        <v>3386.7893490872484</v>
      </c>
      <c r="BD260" s="44">
        <f t="shared" si="1370"/>
        <v>3211.0056425782404</v>
      </c>
      <c r="BE260" s="44">
        <f>BE262-BE261-BE259</f>
        <v>3421.8651529912331</v>
      </c>
      <c r="BF260" s="44">
        <f t="shared" si="1370"/>
        <v>3326.8324804553595</v>
      </c>
      <c r="BG260" s="44">
        <f t="shared" si="1370"/>
        <v>3472.2933916360453</v>
      </c>
      <c r="BH260" s="44">
        <f t="shared" si="1370"/>
        <v>3350.7222947210794</v>
      </c>
      <c r="BI260" s="44">
        <f t="shared" si="1370"/>
        <v>3668.5798292672589</v>
      </c>
      <c r="BJ260" s="44">
        <f t="shared" si="1370"/>
        <v>3611.6734936964749</v>
      </c>
      <c r="BK260" s="44">
        <f t="shared" si="1370"/>
        <v>3912.3008095051991</v>
      </c>
      <c r="BL260" s="44">
        <f t="shared" ref="BL260:BM260" si="1371">BL262-BL261-BL259</f>
        <v>3790.617083848967</v>
      </c>
      <c r="BM260" s="44">
        <f t="shared" si="1371"/>
        <v>4075.3257372998705</v>
      </c>
      <c r="BN260" s="44">
        <f t="shared" ref="BN260:BO260" si="1372">BN262-BN261-BN259</f>
        <v>3964.81718716256</v>
      </c>
      <c r="BO260" s="44">
        <f t="shared" si="1372"/>
        <v>4253.6255942661119</v>
      </c>
      <c r="BP260" s="44">
        <f t="shared" ref="BP260:BQ260" si="1373">BP262-BP261-BP259</f>
        <v>4188.8263680238342</v>
      </c>
      <c r="BQ260" s="44">
        <f t="shared" si="1373"/>
        <v>4502.0130137341075</v>
      </c>
      <c r="BR260" s="17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2"/>
      <c r="CD260" s="42"/>
      <c r="CE260" s="42"/>
      <c r="CF260" s="42"/>
      <c r="CG260" s="42"/>
      <c r="CH260" s="113"/>
      <c r="CI260" s="113"/>
      <c r="CJ260" s="294"/>
      <c r="CK260" s="294"/>
      <c r="CL260" s="294"/>
      <c r="CM260" s="294"/>
      <c r="CN260" s="113"/>
      <c r="CO260" s="113"/>
      <c r="CP260" s="113"/>
      <c r="CQ260" s="113"/>
      <c r="CR260" s="113"/>
      <c r="CS260" s="113"/>
      <c r="CT260" s="44">
        <f>CT262-CT259-CT261</f>
        <v>-24.913584905660386</v>
      </c>
      <c r="CU260" s="44">
        <f t="shared" ref="CU260" si="1374">CU262-CU259-CU261</f>
        <v>209.56199999999995</v>
      </c>
      <c r="CV260" s="525">
        <f>3259-CV259</f>
        <v>1292</v>
      </c>
      <c r="CW260" s="525">
        <f>6934-CW259</f>
        <v>3684</v>
      </c>
      <c r="CX260" s="525">
        <f>9081-CX259</f>
        <v>3988</v>
      </c>
      <c r="CY260" s="525">
        <f>11479-CY259</f>
        <v>4451</v>
      </c>
      <c r="CZ260" s="45">
        <f t="shared" si="1340"/>
        <v>3097.1287671232876</v>
      </c>
      <c r="DA260" s="44">
        <f>(AZ260*(AZ$3-AY$3)+BA260*(BA$3-AZ$3))/(BA$3-AY$3)</f>
        <v>3151.9594450449968</v>
      </c>
      <c r="DB260" s="44">
        <f t="shared" si="1342"/>
        <v>3296.9947586224962</v>
      </c>
      <c r="DC260" s="44">
        <f t="shared" si="1343"/>
        <v>3315.8592789038271</v>
      </c>
      <c r="DD260" s="44">
        <f t="shared" si="1344"/>
        <v>3398.9651514792063</v>
      </c>
      <c r="DE260" s="44">
        <f>(BH260*(BH$3-BG$3)+BI260*(BI$3-BH$3))/(BI$3-BG$3)</f>
        <v>3508.3447981535687</v>
      </c>
      <c r="DF260" s="44">
        <f>(BJ260*(BJ$3-BI$3)+BK260*(BK$3-BJ$3))/(BK$3-BI$3)</f>
        <v>3760.7516968783357</v>
      </c>
      <c r="DG260" s="44">
        <f>(BL260*(BL$3-BK$3)+BM260*(BM$3-BL$3))/(BM$3-BK$3)</f>
        <v>3932.1935180786513</v>
      </c>
      <c r="DH260" s="44">
        <f>(BN260*(BN$3-BM$3)+BO260*(BO$3-BN$3))/(BO$3-BM$3)</f>
        <v>4108.0345068495271</v>
      </c>
      <c r="DI260" s="44">
        <f>(BP260*(BP$3-BO$3)+BQ260*(BQ$3-BP$3))/(BQ$3-BO$3)</f>
        <v>4344.1326224719423</v>
      </c>
    </row>
    <row r="261" spans="1:113" ht="12" hidden="1" outlineLevel="1">
      <c r="A261" s="1" t="s">
        <v>922</v>
      </c>
      <c r="B261" s="19" t="s">
        <v>276</v>
      </c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4">
        <f>AP262-AP259-AP260</f>
        <v>541.35869565217388</v>
      </c>
      <c r="AQ261" s="44">
        <f t="shared" ref="AQ261:AR261" si="1375">AQ262-AQ259-AQ260</f>
        <v>926</v>
      </c>
      <c r="AR261" s="44">
        <f t="shared" si="1375"/>
        <v>1144</v>
      </c>
      <c r="AS261" s="44">
        <f t="shared" ref="AS261:AT261" si="1376">AS262-AS259-AS260</f>
        <v>1360.5524861878462</v>
      </c>
      <c r="AT261" s="44">
        <f t="shared" si="1376"/>
        <v>1422</v>
      </c>
      <c r="AU261" s="44">
        <f t="shared" ref="AU261:AV261" si="1377">AU262-AU259-AU260</f>
        <v>1528</v>
      </c>
      <c r="AV261" s="44">
        <f t="shared" si="1377"/>
        <v>1612</v>
      </c>
      <c r="AW261" s="44">
        <f t="shared" ref="AW261:AX261" si="1378">AW262-AW259-AW260</f>
        <v>1691</v>
      </c>
      <c r="AX261" s="44">
        <f t="shared" si="1378"/>
        <v>1771</v>
      </c>
      <c r="AY261" s="44">
        <f t="shared" ref="AY261:AZ261" si="1379">AY262-AY259-AY260</f>
        <v>1879</v>
      </c>
      <c r="AZ261" s="45">
        <f t="shared" si="1379"/>
        <v>1949</v>
      </c>
      <c r="BA261" s="44">
        <f t="shared" ref="BA261:BK261" si="1380">AZ261+AZ515-BA635+SUM(BA621,BA623,BA626:BA628)</f>
        <v>2011.3800954868391</v>
      </c>
      <c r="BB261" s="44">
        <f t="shared" si="1380"/>
        <v>2086.967847423588</v>
      </c>
      <c r="BC261" s="44">
        <f t="shared" si="1380"/>
        <v>2168.3091617129326</v>
      </c>
      <c r="BD261" s="44">
        <f t="shared" si="1380"/>
        <v>2396.6034767879869</v>
      </c>
      <c r="BE261" s="44">
        <f t="shared" si="1380"/>
        <v>2494.4177716304794</v>
      </c>
      <c r="BF261" s="44">
        <f t="shared" si="1380"/>
        <v>2600.9494488957698</v>
      </c>
      <c r="BG261" s="44">
        <f t="shared" si="1380"/>
        <v>2722.3166453177187</v>
      </c>
      <c r="BH261" s="44">
        <f t="shared" si="1380"/>
        <v>2854.5776948505127</v>
      </c>
      <c r="BI261" s="44">
        <f t="shared" si="1380"/>
        <v>2964.3394849074043</v>
      </c>
      <c r="BJ261" s="44">
        <f t="shared" si="1380"/>
        <v>3056.2423562250801</v>
      </c>
      <c r="BK261" s="44">
        <f t="shared" si="1380"/>
        <v>3172.2732486189489</v>
      </c>
      <c r="BL261" s="44">
        <f t="shared" ref="BL261" si="1381">BK261+BK515-BL635+SUM(BL621,BL623,BL626:BL628)</f>
        <v>3269.2058264124275</v>
      </c>
      <c r="BM261" s="44">
        <f t="shared" ref="BM261" si="1382">BL261+BL515-BM635+SUM(BM621,BM623,BM626:BM628)</f>
        <v>3376.4861695105074</v>
      </c>
      <c r="BN261" s="44">
        <f t="shared" ref="BN261" si="1383">BM261+BM515-BN635+SUM(BN621,BN623,BN626:BN628)</f>
        <v>3463.9616858606419</v>
      </c>
      <c r="BO261" s="44">
        <f t="shared" ref="BO261" si="1384">BN261+BN515-BO635+SUM(BO621,BO623,BO626:BO628)</f>
        <v>3560.9358358447698</v>
      </c>
      <c r="BP261" s="44">
        <f t="shared" ref="BP261" si="1385">BO261+BO515-BP635+SUM(BP621,BP623,BP626:BP628)</f>
        <v>3647.3844457213104</v>
      </c>
      <c r="BQ261" s="44">
        <f t="shared" ref="BQ261" si="1386">BP261+BP515-BQ635+SUM(BQ621,BQ623,BQ626:BQ628)</f>
        <v>3743.4743498120806</v>
      </c>
      <c r="BR261" s="44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525">
        <f>50.9%*CT262</f>
        <v>82.400377358490559</v>
      </c>
      <c r="CU261" s="525">
        <f>31.4%*CU262</f>
        <v>437.08800000000002</v>
      </c>
      <c r="CV261" s="44">
        <f>CV262-CV259-CV260</f>
        <v>775</v>
      </c>
      <c r="CW261" s="44">
        <f>CW262-CW259-CW260</f>
        <v>1245</v>
      </c>
      <c r="CX261" s="44">
        <f>CX262-CX259-CX260</f>
        <v>1474</v>
      </c>
      <c r="CY261" s="44">
        <f>CY262-CY259-CY260</f>
        <v>1651</v>
      </c>
      <c r="CZ261" s="45">
        <f t="shared" ref="CZ261:DF261" si="1387">CZ262-CZ259-CZ260</f>
        <v>1824.5561643835608</v>
      </c>
      <c r="DA261" s="44">
        <f t="shared" si="1387"/>
        <v>1979.9336911866249</v>
      </c>
      <c r="DB261" s="44">
        <f t="shared" si="1387"/>
        <v>2127.3042251944689</v>
      </c>
      <c r="DC261" s="44">
        <f t="shared" si="1387"/>
        <v>2445.2433720375316</v>
      </c>
      <c r="DD261" s="44">
        <f t="shared" si="1387"/>
        <v>2661.1342778063768</v>
      </c>
      <c r="DE261" s="44">
        <f t="shared" si="1387"/>
        <v>2909.0075140294098</v>
      </c>
      <c r="DF261" s="44">
        <f t="shared" si="1387"/>
        <v>3113.7809631382033</v>
      </c>
      <c r="DG261" s="44">
        <f t="shared" ref="DG261:DH261" si="1388">DG262-DG259-DG260</f>
        <v>3322.5528822699434</v>
      </c>
      <c r="DH261" s="44">
        <f t="shared" si="1388"/>
        <v>3512.050236948663</v>
      </c>
      <c r="DI261" s="44">
        <f t="shared" ref="DI261" si="1389">DI262-DI259-DI260</f>
        <v>3695.0345077498851</v>
      </c>
    </row>
    <row r="262" spans="1:113" s="24" customFormat="1" ht="12" hidden="1" outlineLevel="1">
      <c r="A262" s="1" t="s">
        <v>923</v>
      </c>
      <c r="B262" s="24" t="s">
        <v>579</v>
      </c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  <c r="AJ262" s="55"/>
      <c r="AK262" s="55"/>
      <c r="AL262" s="55"/>
      <c r="AM262" s="55"/>
      <c r="AN262" s="55"/>
      <c r="AO262" s="55"/>
      <c r="AP262" s="526">
        <f t="shared" ref="AP262:AR262" si="1390">AP239</f>
        <v>3045</v>
      </c>
      <c r="AQ262" s="526">
        <f t="shared" si="1390"/>
        <v>4949</v>
      </c>
      <c r="AR262" s="526">
        <f t="shared" si="1390"/>
        <v>7689</v>
      </c>
      <c r="AS262" s="526">
        <f t="shared" ref="AS262:AT262" si="1391">AS239</f>
        <v>8690</v>
      </c>
      <c r="AT262" s="526">
        <f t="shared" si="1391"/>
        <v>10003</v>
      </c>
      <c r="AU262" s="526">
        <f t="shared" ref="AU262:AV262" si="1392">AU239</f>
        <v>11133</v>
      </c>
      <c r="AV262" s="526">
        <f t="shared" si="1392"/>
        <v>12860</v>
      </c>
      <c r="AW262" s="526">
        <f t="shared" ref="AW262:AX262" si="1393">AW239</f>
        <v>13459</v>
      </c>
      <c r="AX262" s="526">
        <f t="shared" si="1393"/>
        <v>13636</v>
      </c>
      <c r="AY262" s="526">
        <f t="shared" ref="AY262:AZ262" si="1394">AY239</f>
        <v>14205</v>
      </c>
      <c r="AZ262" s="524">
        <f t="shared" si="1394"/>
        <v>15419</v>
      </c>
      <c r="BA262" s="526">
        <f t="shared" ref="BA262:BI262" si="1395">BA239</f>
        <v>16719.904589230937</v>
      </c>
      <c r="BB262" s="526">
        <f t="shared" si="1395"/>
        <v>17817.450963744683</v>
      </c>
      <c r="BC262" s="526">
        <f t="shared" si="1395"/>
        <v>19176.188634142291</v>
      </c>
      <c r="BD262" s="526">
        <f t="shared" si="1395"/>
        <v>20354.899101248338</v>
      </c>
      <c r="BE262" s="526">
        <f t="shared" si="1395"/>
        <v>21822.389594773107</v>
      </c>
      <c r="BF262" s="526">
        <f t="shared" si="1395"/>
        <v>23068.443099638302</v>
      </c>
      <c r="BG262" s="526">
        <f t="shared" si="1395"/>
        <v>24634.038251574348</v>
      </c>
      <c r="BH262" s="526">
        <f t="shared" si="1395"/>
        <v>25811.678778088648</v>
      </c>
      <c r="BI262" s="526">
        <f t="shared" si="1395"/>
        <v>27298.070479946011</v>
      </c>
      <c r="BJ262" s="526">
        <f t="shared" ref="BJ262:BK262" si="1396">BJ239</f>
        <v>28345.918077298324</v>
      </c>
      <c r="BK262" s="526">
        <f t="shared" si="1396"/>
        <v>29740.977275251742</v>
      </c>
      <c r="BL262" s="526">
        <f t="shared" ref="BL262:BM262" si="1397">BL239</f>
        <v>30629.889357501452</v>
      </c>
      <c r="BM262" s="526">
        <f t="shared" si="1397"/>
        <v>31877.933684952244</v>
      </c>
      <c r="BN262" s="526">
        <f t="shared" ref="BN262:BO262" si="1398">BN239</f>
        <v>32677.499359798996</v>
      </c>
      <c r="BO262" s="526">
        <f t="shared" si="1398"/>
        <v>33861.38946661941</v>
      </c>
      <c r="BP262" s="526">
        <f t="shared" ref="BP262:BQ262" si="1399">BP239</f>
        <v>34700.960547124021</v>
      </c>
      <c r="BQ262" s="526">
        <f t="shared" si="1399"/>
        <v>35959.956828962218</v>
      </c>
      <c r="BR262" s="526"/>
      <c r="BS262" s="55"/>
      <c r="BT262" s="55"/>
      <c r="BU262" s="55"/>
      <c r="BV262" s="55"/>
      <c r="BW262" s="55"/>
      <c r="BX262" s="55"/>
      <c r="BY262" s="55"/>
      <c r="BZ262" s="55"/>
      <c r="CA262" s="55"/>
      <c r="CB262" s="55"/>
      <c r="CC262" s="55"/>
      <c r="CD262" s="55"/>
      <c r="CE262" s="55"/>
      <c r="CF262" s="55"/>
      <c r="CG262" s="55"/>
      <c r="CH262" s="55"/>
      <c r="CI262" s="55"/>
      <c r="CJ262" s="55"/>
      <c r="CK262" s="55"/>
      <c r="CL262" s="55"/>
      <c r="CM262" s="55"/>
      <c r="CN262" s="55"/>
      <c r="CO262" s="55"/>
      <c r="CP262" s="55"/>
      <c r="CQ262" s="55"/>
      <c r="CR262" s="55"/>
      <c r="CS262" s="55"/>
      <c r="CT262" s="526">
        <f t="shared" ref="CT262:DF262" si="1400">CT239</f>
        <v>161.88679245283018</v>
      </c>
      <c r="CU262" s="526">
        <f t="shared" si="1400"/>
        <v>1392</v>
      </c>
      <c r="CV262" s="526">
        <f t="shared" si="1400"/>
        <v>4034</v>
      </c>
      <c r="CW262" s="526">
        <f t="shared" ref="CW262:CX262" si="1401">CW239</f>
        <v>8179</v>
      </c>
      <c r="CX262" s="526">
        <f t="shared" si="1401"/>
        <v>10555</v>
      </c>
      <c r="CY262" s="526">
        <f t="shared" ref="CY262" si="1402">CY239</f>
        <v>13130</v>
      </c>
      <c r="CZ262" s="524">
        <f t="shared" si="1400"/>
        <v>13918.161643835616</v>
      </c>
      <c r="DA262" s="526">
        <f t="shared" si="1400"/>
        <v>16064.106111372053</v>
      </c>
      <c r="DB262" s="526">
        <f t="shared" si="1400"/>
        <v>18491.235945503497</v>
      </c>
      <c r="DC262" s="526">
        <f t="shared" si="1400"/>
        <v>21084.634811143165</v>
      </c>
      <c r="DD262" s="526">
        <f t="shared" si="1400"/>
        <v>23844.806722927133</v>
      </c>
      <c r="DE262" s="526">
        <f t="shared" si="1400"/>
        <v>26548.7661699686</v>
      </c>
      <c r="DF262" s="526">
        <f t="shared" si="1400"/>
        <v>29037.714556283441</v>
      </c>
      <c r="DG262" s="526">
        <f t="shared" ref="DG262:DH262" si="1403">DG239</f>
        <v>31250.501564048023</v>
      </c>
      <c r="DH262" s="526">
        <f t="shared" si="1403"/>
        <v>33264.579111400351</v>
      </c>
      <c r="DI262" s="526">
        <f t="shared" ref="DI262" si="1404">DI239</f>
        <v>35325.284730720501</v>
      </c>
    </row>
    <row r="263" spans="1:113" ht="12" hidden="1" outlineLevel="1"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5"/>
      <c r="BA263" s="663"/>
      <c r="BB263" s="663"/>
      <c r="BC263" s="663"/>
      <c r="BD263" s="663"/>
      <c r="BE263" s="663"/>
      <c r="BF263" s="650"/>
      <c r="BG263" s="650"/>
      <c r="BH263" s="650"/>
      <c r="BI263" s="650"/>
      <c r="BJ263" s="650"/>
      <c r="BK263" s="650"/>
      <c r="BL263" s="650"/>
      <c r="BM263" s="650"/>
      <c r="BN263" s="650"/>
      <c r="BO263" s="650"/>
      <c r="BP263" s="650"/>
      <c r="BQ263" s="650"/>
      <c r="BR263" s="639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4"/>
      <c r="CU263" s="44"/>
      <c r="CV263" s="44"/>
      <c r="CW263" s="44"/>
      <c r="CX263" s="44"/>
      <c r="CY263" s="44"/>
      <c r="CZ263" s="45"/>
      <c r="DA263" s="44"/>
      <c r="DB263" s="44"/>
      <c r="DC263" s="44"/>
      <c r="DD263" s="44"/>
      <c r="DE263" s="44"/>
      <c r="DF263" s="44"/>
      <c r="DG263" s="44"/>
      <c r="DH263" s="44"/>
      <c r="DI263" s="44"/>
    </row>
    <row r="264" spans="1:113" s="24" customFormat="1" ht="12" hidden="1" outlineLevel="1">
      <c r="A264" s="19"/>
      <c r="B264" s="24" t="s">
        <v>497</v>
      </c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  <c r="AJ264" s="55"/>
      <c r="AK264" s="55"/>
      <c r="AL264" s="55"/>
      <c r="AM264" s="55"/>
      <c r="AN264" s="55"/>
      <c r="AO264" s="55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4"/>
      <c r="BA264" s="639"/>
      <c r="BB264" s="639"/>
      <c r="BC264" s="639"/>
      <c r="BD264" s="639"/>
      <c r="BE264" s="639"/>
      <c r="BF264" s="639"/>
      <c r="BG264" s="639"/>
      <c r="BH264" s="639"/>
      <c r="BI264" s="639"/>
      <c r="BJ264" s="639"/>
      <c r="BK264" s="639"/>
      <c r="BL264" s="639"/>
      <c r="BM264" s="639"/>
      <c r="BN264" s="639"/>
      <c r="BO264" s="639"/>
      <c r="BP264" s="639"/>
      <c r="BQ264" s="639"/>
      <c r="BR264" s="526"/>
      <c r="BS264" s="55"/>
      <c r="BT264" s="55"/>
      <c r="BU264" s="55"/>
      <c r="BV264" s="55"/>
      <c r="BW264" s="55"/>
      <c r="BX264" s="55"/>
      <c r="BY264" s="55"/>
      <c r="BZ264" s="55"/>
      <c r="CA264" s="55"/>
      <c r="CB264" s="55"/>
      <c r="CC264" s="55"/>
      <c r="CD264" s="55"/>
      <c r="CE264" s="55"/>
      <c r="CF264" s="55"/>
      <c r="CG264" s="55"/>
      <c r="CH264" s="55"/>
      <c r="CI264" s="55"/>
      <c r="CJ264" s="55"/>
      <c r="CK264" s="55"/>
      <c r="CL264" s="55"/>
      <c r="CM264" s="55"/>
      <c r="CN264" s="55"/>
      <c r="CO264" s="55"/>
      <c r="CP264" s="55"/>
      <c r="CQ264" s="55"/>
      <c r="CR264" s="55"/>
      <c r="CS264" s="55"/>
      <c r="CT264" s="526"/>
      <c r="CU264" s="526"/>
      <c r="CV264" s="526"/>
      <c r="CW264" s="526"/>
      <c r="CX264" s="526"/>
      <c r="CY264" s="526"/>
      <c r="CZ264" s="524"/>
      <c r="DA264" s="526"/>
      <c r="DB264" s="526"/>
      <c r="DC264" s="526"/>
      <c r="DD264" s="526"/>
      <c r="DE264" s="526"/>
      <c r="DF264" s="526"/>
      <c r="DG264" s="526"/>
      <c r="DH264" s="526"/>
      <c r="DI264" s="526"/>
    </row>
    <row r="265" spans="1:113" ht="12" hidden="1" outlineLevel="1">
      <c r="A265" s="1" t="s">
        <v>290</v>
      </c>
      <c r="B265" s="19" t="s">
        <v>432</v>
      </c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4">
        <f t="shared" ref="AP265:AP266" si="1405">AVERAGE(AO208:AP208)</f>
        <v>0</v>
      </c>
      <c r="AQ265" s="44">
        <f t="shared" ref="AQ265:AQ266" si="1406">AVERAGE(AP208:AQ208)</f>
        <v>0</v>
      </c>
      <c r="AR265" s="44">
        <f t="shared" ref="AR265:AZ266" si="1407">AVERAGE(AQ208:AR208)</f>
        <v>0</v>
      </c>
      <c r="AS265" s="44">
        <f t="shared" si="1407"/>
        <v>0</v>
      </c>
      <c r="AT265" s="44">
        <f t="shared" si="1407"/>
        <v>0</v>
      </c>
      <c r="AU265" s="44">
        <f t="shared" si="1407"/>
        <v>0</v>
      </c>
      <c r="AV265" s="44">
        <f t="shared" si="1407"/>
        <v>0</v>
      </c>
      <c r="AW265" s="44">
        <f t="shared" si="1407"/>
        <v>0</v>
      </c>
      <c r="AX265" s="44">
        <f t="shared" si="1407"/>
        <v>0</v>
      </c>
      <c r="AY265" s="44">
        <f t="shared" si="1407"/>
        <v>0</v>
      </c>
      <c r="AZ265" s="45">
        <f t="shared" si="1407"/>
        <v>0</v>
      </c>
      <c r="BA265" s="44">
        <f t="shared" ref="BA265:BI266" si="1408">AVERAGE(AZ208:BA208)</f>
        <v>0</v>
      </c>
      <c r="BB265" s="44">
        <f t="shared" si="1408"/>
        <v>0</v>
      </c>
      <c r="BC265" s="44">
        <f t="shared" si="1408"/>
        <v>0</v>
      </c>
      <c r="BD265" s="44">
        <f t="shared" si="1408"/>
        <v>0</v>
      </c>
      <c r="BE265" s="44">
        <f t="shared" si="1408"/>
        <v>0</v>
      </c>
      <c r="BF265" s="44">
        <f t="shared" si="1408"/>
        <v>0</v>
      </c>
      <c r="BG265" s="44">
        <f t="shared" si="1408"/>
        <v>0</v>
      </c>
      <c r="BH265" s="44">
        <f t="shared" si="1408"/>
        <v>0</v>
      </c>
      <c r="BI265" s="44">
        <f t="shared" si="1408"/>
        <v>0</v>
      </c>
      <c r="BJ265" s="44">
        <f t="shared" ref="BJ265:BJ266" si="1409">AVERAGE(BI208:BJ208)</f>
        <v>0</v>
      </c>
      <c r="BK265" s="44">
        <f t="shared" ref="BK265:BK266" si="1410">AVERAGE(BJ208:BK208)</f>
        <v>0</v>
      </c>
      <c r="BL265" s="44">
        <f t="shared" ref="BL265:BL266" si="1411">AVERAGE(BK208:BL208)</f>
        <v>0</v>
      </c>
      <c r="BM265" s="44">
        <f t="shared" ref="BM265:BM266" si="1412">AVERAGE(BL208:BM208)</f>
        <v>0</v>
      </c>
      <c r="BN265" s="44">
        <f t="shared" ref="BN265:BN266" si="1413">AVERAGE(BM208:BN208)</f>
        <v>0</v>
      </c>
      <c r="BO265" s="44">
        <f t="shared" ref="BO265:BO266" si="1414">AVERAGE(BN208:BO208)</f>
        <v>0</v>
      </c>
      <c r="BP265" s="44">
        <f t="shared" ref="BP265:BP266" si="1415">AVERAGE(BO208:BP208)</f>
        <v>0</v>
      </c>
      <c r="BQ265" s="44">
        <f t="shared" ref="BQ265:BQ266" si="1416">AVERAGE(BP208:BQ208)</f>
        <v>0</v>
      </c>
      <c r="BR265" s="44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4">
        <f t="shared" ref="CT265:CV266" si="1417">AVERAGE(CS208:CT208)</f>
        <v>0</v>
      </c>
      <c r="CU265" s="44">
        <f t="shared" si="1417"/>
        <v>0</v>
      </c>
      <c r="CV265" s="44">
        <f t="shared" si="1417"/>
        <v>0</v>
      </c>
      <c r="CW265" s="44">
        <f>SUMPRODUCT(AR265:AS265,AR$5:AS$5)/SUM(AR$5:AS$5)</f>
        <v>0</v>
      </c>
      <c r="CX265" s="44">
        <f t="shared" ref="CX265:CY267" si="1418">SUMPRODUCT(AT265:AU265,AT$5:AU$5)/SUM(AT$5:AU$5)</f>
        <v>0</v>
      </c>
      <c r="CY265" s="44">
        <f t="shared" si="1418"/>
        <v>0</v>
      </c>
      <c r="CZ265" s="45">
        <f>SUMPRODUCT(AX265:AY265,AX$5:AY$5)/SUM(AX$5:AY$5)</f>
        <v>0</v>
      </c>
      <c r="DA265" s="44">
        <f t="shared" ref="DA265:DA267" si="1419">SUMPRODUCT(AZ265:BA265,AZ$5:BA$5)/SUM(AZ$5:BA$5)</f>
        <v>0</v>
      </c>
      <c r="DB265" s="44">
        <f>SUMPRODUCT(BB265:BC265,BB$5:BC$5)/SUM(BB$5:BC$5)</f>
        <v>0</v>
      </c>
      <c r="DC265" s="44">
        <f>SUMPRODUCT(BD265:BE265,BD$5:BE$5)/SUM(BD$5:BE$5)</f>
        <v>0</v>
      </c>
      <c r="DD265" s="44">
        <f>SUMPRODUCT(BF265:BG265,BF$5:BG$5)/SUM(BF$5:BG$5)</f>
        <v>0</v>
      </c>
      <c r="DE265" s="44">
        <f>SUMPRODUCT(BH265:BI265,BH$5:BI$5)/SUM(BH$5:BI$5)</f>
        <v>0</v>
      </c>
      <c r="DF265" s="44">
        <f>SUMPRODUCT(BJ265:BK265,BJ$5:BK$5)/SUM(BJ$5:BK$5)</f>
        <v>0</v>
      </c>
      <c r="DG265" s="44">
        <f>SUMPRODUCT(BL265:BM265,BL$5:BM$5)/SUM(BL$5:BM$5)</f>
        <v>0</v>
      </c>
      <c r="DH265" s="44">
        <f>SUMPRODUCT(BN265:BO265,BN$5:BO$5)/SUM(BN$5:BO$5)</f>
        <v>0</v>
      </c>
      <c r="DI265" s="44">
        <f>SUMPRODUCT(BP265:BQ265,BP$5:BQ$5)/SUM(BP$5:BQ$5)</f>
        <v>0</v>
      </c>
    </row>
    <row r="266" spans="1:113" ht="12" hidden="1" outlineLevel="1">
      <c r="A266" s="1" t="s">
        <v>291</v>
      </c>
      <c r="B266" s="19" t="s">
        <v>433</v>
      </c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4">
        <f t="shared" si="1405"/>
        <v>0</v>
      </c>
      <c r="AQ266" s="44">
        <f t="shared" si="1406"/>
        <v>0</v>
      </c>
      <c r="AR266" s="44">
        <f t="shared" si="1407"/>
        <v>0</v>
      </c>
      <c r="AS266" s="44">
        <f t="shared" si="1407"/>
        <v>0</v>
      </c>
      <c r="AT266" s="44">
        <f t="shared" si="1407"/>
        <v>0</v>
      </c>
      <c r="AU266" s="44">
        <f t="shared" si="1407"/>
        <v>0</v>
      </c>
      <c r="AV266" s="44">
        <f t="shared" si="1407"/>
        <v>0</v>
      </c>
      <c r="AW266" s="44">
        <f t="shared" si="1407"/>
        <v>0</v>
      </c>
      <c r="AX266" s="44">
        <f t="shared" si="1407"/>
        <v>0</v>
      </c>
      <c r="AY266" s="44">
        <f t="shared" si="1407"/>
        <v>0</v>
      </c>
      <c r="AZ266" s="45">
        <f t="shared" si="1407"/>
        <v>0</v>
      </c>
      <c r="BA266" s="44">
        <f t="shared" si="1408"/>
        <v>0</v>
      </c>
      <c r="BB266" s="44">
        <f t="shared" si="1408"/>
        <v>0</v>
      </c>
      <c r="BC266" s="44">
        <f t="shared" si="1408"/>
        <v>0</v>
      </c>
      <c r="BD266" s="44">
        <f t="shared" si="1408"/>
        <v>0</v>
      </c>
      <c r="BE266" s="44">
        <f t="shared" si="1408"/>
        <v>0</v>
      </c>
      <c r="BF266" s="44">
        <f t="shared" si="1408"/>
        <v>0</v>
      </c>
      <c r="BG266" s="44">
        <f t="shared" si="1408"/>
        <v>0</v>
      </c>
      <c r="BH266" s="44">
        <f t="shared" si="1408"/>
        <v>0</v>
      </c>
      <c r="BI266" s="44">
        <f t="shared" si="1408"/>
        <v>0</v>
      </c>
      <c r="BJ266" s="44">
        <f t="shared" si="1409"/>
        <v>0</v>
      </c>
      <c r="BK266" s="44">
        <f t="shared" si="1410"/>
        <v>0</v>
      </c>
      <c r="BL266" s="44">
        <f t="shared" si="1411"/>
        <v>0</v>
      </c>
      <c r="BM266" s="44">
        <f t="shared" si="1412"/>
        <v>0</v>
      </c>
      <c r="BN266" s="44">
        <f t="shared" si="1413"/>
        <v>0</v>
      </c>
      <c r="BO266" s="44">
        <f t="shared" si="1414"/>
        <v>0</v>
      </c>
      <c r="BP266" s="44">
        <f t="shared" si="1415"/>
        <v>0</v>
      </c>
      <c r="BQ266" s="44">
        <f t="shared" si="1416"/>
        <v>0</v>
      </c>
      <c r="BR266" s="44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4">
        <f t="shared" si="1417"/>
        <v>0</v>
      </c>
      <c r="CU266" s="44">
        <f t="shared" si="1417"/>
        <v>0</v>
      </c>
      <c r="CV266" s="44">
        <f t="shared" si="1417"/>
        <v>0</v>
      </c>
      <c r="CW266" s="44">
        <f>SUMPRODUCT(AR266:AS266,AR$5:AS$5)/SUM(AR$5:AS$5)</f>
        <v>0</v>
      </c>
      <c r="CX266" s="44">
        <f t="shared" si="1418"/>
        <v>0</v>
      </c>
      <c r="CY266" s="44">
        <f t="shared" si="1418"/>
        <v>0</v>
      </c>
      <c r="CZ266" s="45">
        <f>SUMPRODUCT(AX266:AY266,AX$5:AY$5)/SUM(AX$5:AY$5)</f>
        <v>0</v>
      </c>
      <c r="DA266" s="44">
        <f t="shared" si="1419"/>
        <v>0</v>
      </c>
      <c r="DB266" s="44">
        <f>SUMPRODUCT(BB266:BC266,BB$5:BC$5)/SUM(BB$5:BC$5)</f>
        <v>0</v>
      </c>
      <c r="DC266" s="44">
        <f>SUMPRODUCT(BD266:BE266,BD$5:BE$5)/SUM(BD$5:BE$5)</f>
        <v>0</v>
      </c>
      <c r="DD266" s="44">
        <f>SUMPRODUCT(BF266:BG266,BF$5:BG$5)/SUM(BF$5:BG$5)</f>
        <v>0</v>
      </c>
      <c r="DE266" s="44">
        <f>SUMPRODUCT(BH266:BI266,BH$5:BI$5)/SUM(BH$5:BI$5)</f>
        <v>0</v>
      </c>
      <c r="DF266" s="44">
        <f>SUMPRODUCT(BJ266:BK266,BJ$5:BK$5)/SUM(BJ$5:BK$5)</f>
        <v>0</v>
      </c>
      <c r="DG266" s="44">
        <f>SUMPRODUCT(BL266:BM266,BL$5:BM$5)/SUM(BL$5:BM$5)</f>
        <v>0</v>
      </c>
      <c r="DH266" s="44">
        <f>SUMPRODUCT(BN266:BO266,BN$5:BO$5)/SUM(BN$5:BO$5)</f>
        <v>0</v>
      </c>
      <c r="DI266" s="44">
        <f>SUMPRODUCT(BP266:BQ266,BP$5:BQ$5)/SUM(BP$5:BQ$5)</f>
        <v>0</v>
      </c>
    </row>
    <row r="267" spans="1:113" s="24" customFormat="1" ht="12" hidden="1" outlineLevel="1">
      <c r="A267" s="1" t="s">
        <v>292</v>
      </c>
      <c r="B267" s="24" t="s">
        <v>384</v>
      </c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  <c r="AJ267" s="55"/>
      <c r="AK267" s="55"/>
      <c r="AL267" s="55"/>
      <c r="AM267" s="55"/>
      <c r="AN267" s="55"/>
      <c r="AO267" s="55"/>
      <c r="AP267" s="526">
        <f t="shared" ref="AP267:AR267" si="1420">SUM(AP265:AP266)</f>
        <v>0</v>
      </c>
      <c r="AQ267" s="526">
        <f t="shared" si="1420"/>
        <v>0</v>
      </c>
      <c r="AR267" s="526">
        <f t="shared" si="1420"/>
        <v>0</v>
      </c>
      <c r="AS267" s="526">
        <f t="shared" ref="AS267:AT267" si="1421">SUM(AS265:AS266)</f>
        <v>0</v>
      </c>
      <c r="AT267" s="526">
        <f t="shared" si="1421"/>
        <v>0</v>
      </c>
      <c r="AU267" s="526">
        <f t="shared" ref="AU267:AV267" si="1422">SUM(AU265:AU266)</f>
        <v>0</v>
      </c>
      <c r="AV267" s="526">
        <f t="shared" si="1422"/>
        <v>0</v>
      </c>
      <c r="AW267" s="526">
        <f t="shared" ref="AW267:AX267" si="1423">SUM(AW265:AW266)</f>
        <v>0</v>
      </c>
      <c r="AX267" s="526">
        <f t="shared" si="1423"/>
        <v>0</v>
      </c>
      <c r="AY267" s="526">
        <f t="shared" ref="AY267:AZ267" si="1424">SUM(AY265:AY266)</f>
        <v>0</v>
      </c>
      <c r="AZ267" s="524">
        <f t="shared" si="1424"/>
        <v>0</v>
      </c>
      <c r="BA267" s="526">
        <f t="shared" ref="BA267:BI267" si="1425">SUM(BA265:BA266)</f>
        <v>0</v>
      </c>
      <c r="BB267" s="526">
        <f t="shared" si="1425"/>
        <v>0</v>
      </c>
      <c r="BC267" s="526">
        <f t="shared" si="1425"/>
        <v>0</v>
      </c>
      <c r="BD267" s="526">
        <f t="shared" si="1425"/>
        <v>0</v>
      </c>
      <c r="BE267" s="526">
        <f t="shared" si="1425"/>
        <v>0</v>
      </c>
      <c r="BF267" s="526">
        <f t="shared" si="1425"/>
        <v>0</v>
      </c>
      <c r="BG267" s="526">
        <f t="shared" si="1425"/>
        <v>0</v>
      </c>
      <c r="BH267" s="526">
        <f t="shared" si="1425"/>
        <v>0</v>
      </c>
      <c r="BI267" s="526">
        <f t="shared" si="1425"/>
        <v>0</v>
      </c>
      <c r="BJ267" s="526">
        <f t="shared" ref="BJ267:BK267" si="1426">SUM(BJ265:BJ266)</f>
        <v>0</v>
      </c>
      <c r="BK267" s="526">
        <f t="shared" si="1426"/>
        <v>0</v>
      </c>
      <c r="BL267" s="526">
        <f t="shared" ref="BL267:BM267" si="1427">SUM(BL265:BL266)</f>
        <v>0</v>
      </c>
      <c r="BM267" s="526">
        <f t="shared" si="1427"/>
        <v>0</v>
      </c>
      <c r="BN267" s="526">
        <f t="shared" ref="BN267:BO267" si="1428">SUM(BN265:BN266)</f>
        <v>0</v>
      </c>
      <c r="BO267" s="526">
        <f t="shared" si="1428"/>
        <v>0</v>
      </c>
      <c r="BP267" s="526">
        <f t="shared" ref="BP267:BQ267" si="1429">SUM(BP265:BP266)</f>
        <v>0</v>
      </c>
      <c r="BQ267" s="526">
        <f t="shared" si="1429"/>
        <v>0</v>
      </c>
      <c r="BR267" s="526"/>
      <c r="BS267" s="55"/>
      <c r="BT267" s="55"/>
      <c r="BU267" s="55"/>
      <c r="BV267" s="55"/>
      <c r="BW267" s="55"/>
      <c r="BX267" s="55"/>
      <c r="BY267" s="55"/>
      <c r="BZ267" s="55"/>
      <c r="CA267" s="55"/>
      <c r="CB267" s="55"/>
      <c r="CC267" s="55"/>
      <c r="CD267" s="55"/>
      <c r="CE267" s="55"/>
      <c r="CF267" s="55"/>
      <c r="CG267" s="55"/>
      <c r="CH267" s="55"/>
      <c r="CI267" s="55"/>
      <c r="CJ267" s="55"/>
      <c r="CK267" s="55"/>
      <c r="CL267" s="55"/>
      <c r="CM267" s="55"/>
      <c r="CN267" s="55"/>
      <c r="CO267" s="55"/>
      <c r="CP267" s="55"/>
      <c r="CQ267" s="55"/>
      <c r="CR267" s="55"/>
      <c r="CS267" s="55"/>
      <c r="CT267" s="526">
        <f t="shared" ref="CT267:CV267" si="1430">SUM(CT265:CT266)</f>
        <v>0</v>
      </c>
      <c r="CU267" s="526">
        <f t="shared" si="1430"/>
        <v>0</v>
      </c>
      <c r="CV267" s="526">
        <f t="shared" si="1430"/>
        <v>0</v>
      </c>
      <c r="CW267" s="526">
        <f>SUMPRODUCT(AR267:AS267,AR$5:AS$5)/SUM(AR$5:AS$5)</f>
        <v>0</v>
      </c>
      <c r="CX267" s="526">
        <f t="shared" si="1418"/>
        <v>0</v>
      </c>
      <c r="CY267" s="526">
        <f t="shared" si="1418"/>
        <v>0</v>
      </c>
      <c r="CZ267" s="524">
        <f>SUMPRODUCT(AX267:AY267,AX$5:AY$5)/SUM(AX$5:AY$5)</f>
        <v>0</v>
      </c>
      <c r="DA267" s="526">
        <f t="shared" si="1419"/>
        <v>0</v>
      </c>
      <c r="DB267" s="526">
        <f>SUMPRODUCT(BB267:BC267,BB$5:BC$5)/SUM(BB$5:BC$5)</f>
        <v>0</v>
      </c>
      <c r="DC267" s="526">
        <f>SUMPRODUCT(BD267:BE267,BD$5:BE$5)/SUM(BD$5:BE$5)</f>
        <v>0</v>
      </c>
      <c r="DD267" s="526">
        <f>SUMPRODUCT(BF267:BG267,BF$5:BG$5)/SUM(BF$5:BG$5)</f>
        <v>0</v>
      </c>
      <c r="DE267" s="526">
        <f>SUMPRODUCT(BH267:BI267,BH$5:BI$5)/SUM(BH$5:BI$5)</f>
        <v>0</v>
      </c>
      <c r="DF267" s="526">
        <f>SUMPRODUCT(BJ267:BK267,BJ$5:BK$5)/SUM(BJ$5:BK$5)</f>
        <v>0</v>
      </c>
      <c r="DG267" s="526">
        <f>SUMPRODUCT(BL267:BM267,BL$5:BM$5)/SUM(BL$5:BM$5)</f>
        <v>0</v>
      </c>
      <c r="DH267" s="526">
        <f>SUMPRODUCT(BN267:BO267,BN$5:BO$5)/SUM(BN$5:BO$5)</f>
        <v>0</v>
      </c>
      <c r="DI267" s="526">
        <f>SUMPRODUCT(BP267:BQ267,BP$5:BQ$5)/SUM(BP$5:BQ$5)</f>
        <v>0</v>
      </c>
    </row>
    <row r="268" spans="1:113" ht="12" collapsed="1">
      <c r="AP268" s="44"/>
      <c r="AQ268" s="44"/>
      <c r="AR268" s="44"/>
      <c r="AS268" s="44"/>
      <c r="AT268" s="44"/>
      <c r="AU268" s="44"/>
      <c r="AV268" s="44"/>
      <c r="AW268" s="44"/>
      <c r="AX268" s="44"/>
      <c r="AY268" s="44"/>
      <c r="AZ268" s="45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  <c r="BL268" s="44"/>
      <c r="BM268" s="44"/>
      <c r="BN268" s="44"/>
      <c r="BO268" s="44"/>
      <c r="BP268" s="44"/>
      <c r="BQ268" s="44"/>
      <c r="BR268" s="44"/>
      <c r="CT268" s="44"/>
      <c r="CU268" s="44"/>
      <c r="CV268" s="44"/>
      <c r="CW268" s="44"/>
      <c r="CX268" s="44"/>
      <c r="CY268" s="44"/>
      <c r="DC268" s="19"/>
      <c r="DD268" s="19"/>
      <c r="DE268" s="19"/>
      <c r="DF268" s="19"/>
      <c r="DG268" s="19"/>
      <c r="DH268" s="19"/>
      <c r="DI268" s="19"/>
    </row>
    <row r="269" spans="1:113" s="36" customFormat="1" ht="12" collapsed="1">
      <c r="A269" s="1" t="s">
        <v>924</v>
      </c>
      <c r="B269" s="2" t="s">
        <v>580</v>
      </c>
      <c r="C269" s="584"/>
      <c r="D269" s="584"/>
      <c r="E269" s="584"/>
      <c r="F269" s="584"/>
      <c r="G269" s="584"/>
      <c r="H269" s="584"/>
      <c r="I269" s="584"/>
      <c r="J269" s="584"/>
      <c r="K269" s="584"/>
      <c r="L269" s="584"/>
      <c r="M269" s="584"/>
      <c r="N269" s="584"/>
      <c r="O269" s="584"/>
      <c r="P269" s="584"/>
      <c r="Q269" s="584"/>
      <c r="R269" s="584"/>
      <c r="S269" s="584"/>
      <c r="T269" s="515"/>
      <c r="U269" s="584"/>
      <c r="V269" s="584"/>
      <c r="W269" s="584"/>
      <c r="X269" s="584"/>
      <c r="Y269" s="515"/>
      <c r="Z269" s="515"/>
      <c r="AA269" s="515"/>
      <c r="AB269" s="515"/>
      <c r="AC269" s="515"/>
      <c r="AD269" s="515"/>
      <c r="AE269" s="515"/>
      <c r="AF269" s="515"/>
      <c r="AG269" s="515"/>
      <c r="AH269" s="515"/>
      <c r="AI269" s="515"/>
      <c r="AJ269" s="515"/>
      <c r="AK269" s="515"/>
      <c r="AL269" s="515"/>
      <c r="AM269" s="515"/>
      <c r="AN269" s="515"/>
      <c r="AO269" s="515"/>
      <c r="AP269" s="512">
        <f t="shared" ref="AP269:BI269" si="1431">AP323</f>
        <v>2.2801099450274864E-2</v>
      </c>
      <c r="AQ269" s="512">
        <f t="shared" si="1431"/>
        <v>2.016982056757937E-2</v>
      </c>
      <c r="AR269" s="512">
        <f t="shared" si="1431"/>
        <v>1.896236577380447E-2</v>
      </c>
      <c r="AS269" s="512">
        <f t="shared" ref="AS269:AT269" si="1432">AS323</f>
        <v>2.2347080851172044E-2</v>
      </c>
      <c r="AT269" s="512">
        <f t="shared" si="1432"/>
        <v>3.2324541767904405E-2</v>
      </c>
      <c r="AU269" s="512">
        <f t="shared" ref="AU269:AV269" si="1433">AU323</f>
        <v>3.3437498294106464E-2</v>
      </c>
      <c r="AV269" s="512">
        <f t="shared" si="1433"/>
        <v>3.0192710798566499E-2</v>
      </c>
      <c r="AW269" s="512">
        <f t="shared" ref="AW269:AX269" si="1434">AW323</f>
        <v>2.8508559573274639E-2</v>
      </c>
      <c r="AX269" s="512">
        <f t="shared" si="1434"/>
        <v>2.8076654507888325E-2</v>
      </c>
      <c r="AY269" s="512">
        <f t="shared" si="1431"/>
        <v>3.0422522611873112E-2</v>
      </c>
      <c r="AZ269" s="578">
        <f t="shared" si="1431"/>
        <v>3.0297705823137459E-2</v>
      </c>
      <c r="BA269" s="414">
        <f t="shared" si="1431"/>
        <v>3.1497806064230457E-2</v>
      </c>
      <c r="BB269" s="414">
        <f t="shared" si="1431"/>
        <v>3.1806587737525198E-2</v>
      </c>
      <c r="BC269" s="414">
        <f t="shared" si="1431"/>
        <v>3.1853222364715168E-2</v>
      </c>
      <c r="BD269" s="414">
        <f t="shared" si="1431"/>
        <v>3.2050709772316929E-2</v>
      </c>
      <c r="BE269" s="414">
        <f t="shared" si="1431"/>
        <v>3.2097217776893554E-2</v>
      </c>
      <c r="BF269" s="414">
        <f t="shared" si="1431"/>
        <v>3.2012201161499713E-2</v>
      </c>
      <c r="BG269" s="414">
        <f t="shared" si="1431"/>
        <v>3.1916492173235105E-2</v>
      </c>
      <c r="BH269" s="414">
        <f t="shared" si="1431"/>
        <v>3.1799074929274335E-2</v>
      </c>
      <c r="BI269" s="414">
        <f t="shared" si="1431"/>
        <v>3.1692275208065439E-2</v>
      </c>
      <c r="BJ269" s="414">
        <f t="shared" ref="BJ269:BK269" si="1435">BJ323</f>
        <v>3.1560340051831642E-2</v>
      </c>
      <c r="BK269" s="414">
        <f t="shared" si="1435"/>
        <v>3.1452018349830912E-2</v>
      </c>
      <c r="BL269" s="414">
        <f t="shared" ref="BL269:BM269" si="1436">BL323</f>
        <v>3.132061581187888E-2</v>
      </c>
      <c r="BM269" s="414">
        <f t="shared" si="1436"/>
        <v>3.1207699375022598E-2</v>
      </c>
      <c r="BN269" s="414">
        <f t="shared" ref="BN269:BO269" si="1437">BN323</f>
        <v>3.1075716599485964E-2</v>
      </c>
      <c r="BO269" s="414">
        <f t="shared" si="1437"/>
        <v>3.0958329429364898E-2</v>
      </c>
      <c r="BP269" s="414">
        <f t="shared" ref="BP269:BQ269" si="1438">BP323</f>
        <v>3.0827331707437598E-2</v>
      </c>
      <c r="BQ269" s="414">
        <f t="shared" si="1438"/>
        <v>3.070716110005741E-2</v>
      </c>
      <c r="BR269" s="414"/>
      <c r="BS269" s="414"/>
      <c r="BT269" s="414"/>
      <c r="BU269" s="414"/>
      <c r="BV269" s="414"/>
      <c r="BW269" s="414"/>
      <c r="BX269" s="414"/>
      <c r="BY269" s="414"/>
      <c r="BZ269" s="414"/>
      <c r="CA269" s="414"/>
      <c r="CB269" s="414"/>
      <c r="CC269" s="414"/>
      <c r="CD269" s="414"/>
      <c r="CE269" s="414"/>
      <c r="CF269" s="414"/>
      <c r="CG269" s="414"/>
      <c r="CH269" s="414"/>
      <c r="CI269" s="414"/>
      <c r="CJ269" s="414"/>
      <c r="CK269" s="414"/>
      <c r="CL269" s="414"/>
      <c r="CM269" s="512"/>
      <c r="CN269" s="512"/>
      <c r="CO269" s="512"/>
      <c r="CP269" s="512"/>
      <c r="CQ269" s="512"/>
      <c r="CR269" s="512"/>
      <c r="CS269" s="512"/>
      <c r="CT269" s="512">
        <f t="shared" ref="CT269:CU269" si="1439">CT323</f>
        <v>5.2999999999999992E-3</v>
      </c>
      <c r="CU269" s="512">
        <f t="shared" si="1439"/>
        <v>0.02</v>
      </c>
      <c r="CV269" s="512">
        <f>CV323</f>
        <v>2.0946950917203767E-2</v>
      </c>
      <c r="CW269" s="512">
        <f t="shared" ref="CW269:DG269" si="1440">CW323</f>
        <v>2.0733866536418587E-2</v>
      </c>
      <c r="CX269" s="512">
        <f t="shared" si="1440"/>
        <v>3.2891748675246031E-2</v>
      </c>
      <c r="CY269" s="512">
        <f t="shared" ref="CY269" si="1441">CY323</f>
        <v>2.933242144458376E-2</v>
      </c>
      <c r="CZ269" s="578">
        <f t="shared" si="1440"/>
        <v>2.9259006501203264E-2</v>
      </c>
      <c r="DA269" s="414">
        <f t="shared" si="1440"/>
        <v>3.0906833146576291E-2</v>
      </c>
      <c r="DB269" s="414">
        <f t="shared" si="1440"/>
        <v>3.1820960953146585E-2</v>
      </c>
      <c r="DC269" s="414">
        <f t="shared" si="1440"/>
        <v>3.2068547637801613E-2</v>
      </c>
      <c r="DD269" s="414">
        <f t="shared" si="1440"/>
        <v>3.1954546917360951E-2</v>
      </c>
      <c r="DE269" s="414">
        <f t="shared" si="1440"/>
        <v>3.1737316953600866E-2</v>
      </c>
      <c r="DF269" s="414">
        <f t="shared" si="1440"/>
        <v>3.1499104331792559E-2</v>
      </c>
      <c r="DG269" s="414">
        <f t="shared" si="1440"/>
        <v>3.1259927776578544E-2</v>
      </c>
      <c r="DH269" s="414">
        <f t="shared" ref="DH269:DI269" si="1442">DH323</f>
        <v>3.1011925215375994E-2</v>
      </c>
      <c r="DI269" s="414">
        <f t="shared" si="1442"/>
        <v>3.076216399037239E-2</v>
      </c>
    </row>
    <row r="270" spans="1:113" ht="12" hidden="1" outlineLevel="1">
      <c r="AD270" s="608"/>
      <c r="AE270" s="608"/>
      <c r="AF270" s="608"/>
      <c r="AG270" s="165"/>
      <c r="AH270" s="165"/>
      <c r="AI270" s="165"/>
      <c r="AJ270" s="165"/>
      <c r="AK270" s="165"/>
      <c r="AL270" s="165"/>
      <c r="AM270" s="165"/>
      <c r="AN270" s="165"/>
      <c r="AO270" s="165"/>
      <c r="AP270" s="165"/>
      <c r="CR270" s="165"/>
      <c r="CS270" s="165"/>
      <c r="CU270" s="165"/>
      <c r="DC270" s="19"/>
      <c r="DD270" s="19"/>
      <c r="DE270" s="19"/>
      <c r="DF270" s="19"/>
      <c r="DG270" s="19"/>
      <c r="DH270" s="19"/>
      <c r="DI270" s="19"/>
    </row>
    <row r="271" spans="1:113" s="24" customFormat="1" ht="12" hidden="1" outlineLevel="2">
      <c r="A271" s="1"/>
      <c r="B271" s="24" t="s">
        <v>439</v>
      </c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2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21"/>
      <c r="CW271" s="21"/>
      <c r="CX271" s="21"/>
      <c r="CY271" s="21"/>
      <c r="CZ271" s="23"/>
      <c r="DA271" s="13"/>
      <c r="DB271" s="13"/>
    </row>
    <row r="272" spans="1:113" ht="12" hidden="1" outlineLevel="2">
      <c r="A272" s="1" t="s">
        <v>173</v>
      </c>
      <c r="B272" s="19" t="s">
        <v>162</v>
      </c>
      <c r="C272" s="601"/>
      <c r="D272" s="601"/>
      <c r="E272" s="601"/>
      <c r="F272" s="601"/>
      <c r="G272" s="601"/>
      <c r="H272" s="601"/>
      <c r="I272" s="416"/>
      <c r="J272" s="416"/>
      <c r="K272" s="416"/>
      <c r="L272" s="416"/>
      <c r="M272" s="416"/>
      <c r="N272" s="416"/>
      <c r="O272" s="416"/>
      <c r="P272" s="416"/>
      <c r="Q272" s="416"/>
      <c r="R272" s="416"/>
      <c r="S272" s="416"/>
      <c r="T272" s="416"/>
      <c r="U272" s="416"/>
      <c r="V272" s="416"/>
      <c r="W272" s="416"/>
      <c r="X272" s="416"/>
      <c r="Y272" s="416"/>
      <c r="Z272" s="416"/>
      <c r="AA272" s="416"/>
      <c r="AB272" s="416"/>
      <c r="AC272" s="416"/>
      <c r="AD272" s="416"/>
      <c r="AE272" s="416"/>
      <c r="AF272" s="416"/>
      <c r="AG272" s="416"/>
      <c r="AH272" s="416"/>
      <c r="AI272" s="416"/>
      <c r="AJ272" s="416"/>
      <c r="AK272" s="416"/>
      <c r="AL272" s="416"/>
      <c r="AM272" s="416"/>
      <c r="AN272" s="416"/>
      <c r="AO272" s="416"/>
      <c r="AP272" s="167"/>
      <c r="AQ272" s="167"/>
      <c r="AR272" s="167"/>
      <c r="AS272" s="167"/>
      <c r="AT272" s="167"/>
      <c r="AU272" s="167"/>
      <c r="AV272" s="167"/>
      <c r="AW272" s="167"/>
      <c r="AX272" s="167"/>
      <c r="AY272" s="167"/>
      <c r="AZ272" s="174"/>
      <c r="BA272" s="166"/>
      <c r="BB272" s="166"/>
      <c r="BC272" s="166"/>
      <c r="BD272" s="166"/>
      <c r="BE272" s="166"/>
      <c r="BF272" s="166"/>
      <c r="BG272" s="166"/>
      <c r="BH272" s="166"/>
      <c r="BI272" s="166"/>
      <c r="BJ272" s="166"/>
      <c r="BK272" s="166"/>
      <c r="BL272" s="166"/>
      <c r="BM272" s="166"/>
      <c r="BN272" s="166"/>
      <c r="BO272" s="166"/>
      <c r="BP272" s="166"/>
      <c r="BQ272" s="166"/>
      <c r="BR272" s="166"/>
      <c r="BS272" s="166"/>
      <c r="BT272" s="166"/>
      <c r="BU272" s="166"/>
      <c r="BV272" s="166"/>
      <c r="BW272" s="166"/>
      <c r="BX272" s="166"/>
      <c r="BY272" s="166"/>
      <c r="BZ272" s="166"/>
      <c r="CA272" s="166"/>
      <c r="CB272" s="166"/>
      <c r="CC272" s="166"/>
      <c r="CD272" s="166"/>
      <c r="CE272" s="166"/>
      <c r="CF272" s="166"/>
      <c r="CG272" s="166"/>
      <c r="CH272" s="166"/>
      <c r="CI272" s="166"/>
      <c r="CJ272" s="166"/>
      <c r="CK272" s="166"/>
      <c r="CL272" s="166"/>
      <c r="CM272" s="167"/>
      <c r="CN272" s="167"/>
      <c r="CO272" s="167"/>
      <c r="CP272" s="167"/>
      <c r="CQ272" s="167"/>
      <c r="CR272" s="167"/>
      <c r="CS272" s="167"/>
      <c r="CT272" s="167"/>
      <c r="CU272" s="167"/>
      <c r="CV272" s="167"/>
      <c r="CW272" s="167"/>
      <c r="CX272" s="167"/>
      <c r="CY272" s="167"/>
      <c r="CZ272" s="174"/>
      <c r="DA272" s="166"/>
      <c r="DB272" s="166"/>
      <c r="DC272" s="166"/>
      <c r="DD272" s="166"/>
      <c r="DE272" s="166"/>
      <c r="DF272" s="166"/>
      <c r="DG272" s="166"/>
      <c r="DH272" s="166"/>
      <c r="DI272" s="166"/>
    </row>
    <row r="273" spans="1:113" ht="12" hidden="1" outlineLevel="2">
      <c r="A273" s="1" t="s">
        <v>226</v>
      </c>
      <c r="B273" s="19" t="s">
        <v>163</v>
      </c>
      <c r="C273" s="601"/>
      <c r="D273" s="601"/>
      <c r="E273" s="601"/>
      <c r="F273" s="601"/>
      <c r="G273" s="601"/>
      <c r="H273" s="601"/>
      <c r="I273" s="601"/>
      <c r="J273" s="601"/>
      <c r="K273" s="601"/>
      <c r="L273" s="601"/>
      <c r="M273" s="601"/>
      <c r="N273" s="601"/>
      <c r="O273" s="601"/>
      <c r="P273" s="601"/>
      <c r="Q273" s="601"/>
      <c r="R273" s="601"/>
      <c r="S273" s="601"/>
      <c r="T273" s="416"/>
      <c r="U273" s="601"/>
      <c r="V273" s="601"/>
      <c r="W273" s="601"/>
      <c r="X273" s="601"/>
      <c r="Y273" s="416"/>
      <c r="Z273" s="416"/>
      <c r="AA273" s="416"/>
      <c r="AB273" s="416"/>
      <c r="AC273" s="416"/>
      <c r="AD273" s="416"/>
      <c r="AE273" s="416"/>
      <c r="AF273" s="416"/>
      <c r="AG273" s="416"/>
      <c r="AH273" s="416"/>
      <c r="AI273" s="416"/>
      <c r="AJ273" s="416"/>
      <c r="AK273" s="416"/>
      <c r="AL273" s="416"/>
      <c r="AM273" s="416"/>
      <c r="AN273" s="416"/>
      <c r="AO273" s="416"/>
      <c r="AP273" s="167"/>
      <c r="AQ273" s="167"/>
      <c r="AR273" s="167"/>
      <c r="AS273" s="167"/>
      <c r="AT273" s="167"/>
      <c r="AU273" s="167"/>
      <c r="AV273" s="167"/>
      <c r="AW273" s="167"/>
      <c r="AX273" s="167"/>
      <c r="AY273" s="167"/>
      <c r="AZ273" s="174"/>
      <c r="BA273" s="166"/>
      <c r="BB273" s="166"/>
      <c r="BC273" s="166"/>
      <c r="BD273" s="166"/>
      <c r="BE273" s="166"/>
      <c r="BF273" s="166"/>
      <c r="BG273" s="166"/>
      <c r="BH273" s="166"/>
      <c r="BI273" s="166"/>
      <c r="BJ273" s="166"/>
      <c r="BK273" s="166"/>
      <c r="BL273" s="166"/>
      <c r="BM273" s="166"/>
      <c r="BN273" s="166"/>
      <c r="BO273" s="166"/>
      <c r="BP273" s="166"/>
      <c r="BQ273" s="166"/>
      <c r="BR273" s="166"/>
      <c r="BS273" s="166"/>
      <c r="BT273" s="166"/>
      <c r="BU273" s="166"/>
      <c r="BV273" s="166"/>
      <c r="BW273" s="166"/>
      <c r="BX273" s="166"/>
      <c r="BY273" s="166"/>
      <c r="BZ273" s="166"/>
      <c r="CA273" s="166"/>
      <c r="CB273" s="166"/>
      <c r="CC273" s="166"/>
      <c r="CD273" s="166"/>
      <c r="CE273" s="166"/>
      <c r="CF273" s="166"/>
      <c r="CG273" s="166"/>
      <c r="CH273" s="166"/>
      <c r="CI273" s="166"/>
      <c r="CJ273" s="166"/>
      <c r="CK273" s="166"/>
      <c r="CL273" s="166"/>
      <c r="CM273" s="167"/>
      <c r="CN273" s="167"/>
      <c r="CO273" s="167"/>
      <c r="CP273" s="167"/>
      <c r="CQ273" s="167"/>
      <c r="CR273" s="167"/>
      <c r="CS273" s="167"/>
      <c r="CT273" s="167"/>
      <c r="CU273" s="167"/>
      <c r="CV273" s="167"/>
      <c r="CW273" s="167"/>
      <c r="CX273" s="167"/>
      <c r="CY273" s="167"/>
      <c r="CZ273" s="174"/>
      <c r="DA273" s="166"/>
      <c r="DB273" s="166"/>
      <c r="DC273" s="166"/>
      <c r="DD273" s="166"/>
      <c r="DE273" s="166"/>
      <c r="DF273" s="166"/>
      <c r="DG273" s="166"/>
      <c r="DH273" s="166"/>
      <c r="DI273" s="166"/>
    </row>
    <row r="274" spans="1:113" ht="12" hidden="1" outlineLevel="2">
      <c r="A274" s="1" t="s">
        <v>227</v>
      </c>
      <c r="B274" s="19" t="s">
        <v>164</v>
      </c>
      <c r="C274" s="601"/>
      <c r="D274" s="601"/>
      <c r="E274" s="601"/>
      <c r="F274" s="601"/>
      <c r="G274" s="601"/>
      <c r="H274" s="601"/>
      <c r="I274" s="601"/>
      <c r="J274" s="601"/>
      <c r="K274" s="601"/>
      <c r="L274" s="601"/>
      <c r="M274" s="601"/>
      <c r="N274" s="601"/>
      <c r="O274" s="601"/>
      <c r="P274" s="601"/>
      <c r="Q274" s="601"/>
      <c r="R274" s="601"/>
      <c r="S274" s="601"/>
      <c r="T274" s="416"/>
      <c r="U274" s="601"/>
      <c r="V274" s="601"/>
      <c r="W274" s="601"/>
      <c r="X274" s="601"/>
      <c r="Y274" s="416"/>
      <c r="Z274" s="416"/>
      <c r="AA274" s="416"/>
      <c r="AB274" s="416"/>
      <c r="AC274" s="416"/>
      <c r="AD274" s="416"/>
      <c r="AE274" s="416"/>
      <c r="AF274" s="416"/>
      <c r="AG274" s="416"/>
      <c r="AH274" s="416"/>
      <c r="AI274" s="416"/>
      <c r="AJ274" s="416"/>
      <c r="AK274" s="416"/>
      <c r="AL274" s="416"/>
      <c r="AM274" s="416"/>
      <c r="AN274" s="416"/>
      <c r="AO274" s="416"/>
      <c r="AP274" s="167"/>
      <c r="AQ274" s="167"/>
      <c r="AR274" s="167"/>
      <c r="AS274" s="167"/>
      <c r="AT274" s="167"/>
      <c r="AU274" s="167"/>
      <c r="AV274" s="167"/>
      <c r="AW274" s="167"/>
      <c r="AX274" s="167"/>
      <c r="AY274" s="167"/>
      <c r="AZ274" s="174"/>
      <c r="BA274" s="166"/>
      <c r="BB274" s="166"/>
      <c r="BC274" s="166"/>
      <c r="BD274" s="166"/>
      <c r="BE274" s="166"/>
      <c r="BF274" s="166"/>
      <c r="BG274" s="166"/>
      <c r="BH274" s="166"/>
      <c r="BI274" s="166"/>
      <c r="BJ274" s="166"/>
      <c r="BK274" s="166"/>
      <c r="BL274" s="166"/>
      <c r="BM274" s="166"/>
      <c r="BN274" s="166"/>
      <c r="BO274" s="166"/>
      <c r="BP274" s="166"/>
      <c r="BQ274" s="166"/>
      <c r="BR274" s="166"/>
      <c r="BS274" s="166"/>
      <c r="BT274" s="166"/>
      <c r="BU274" s="166"/>
      <c r="BV274" s="166"/>
      <c r="BW274" s="166"/>
      <c r="BX274" s="166"/>
      <c r="BY274" s="166"/>
      <c r="BZ274" s="166"/>
      <c r="CA274" s="166"/>
      <c r="CB274" s="166"/>
      <c r="CC274" s="166"/>
      <c r="CD274" s="166"/>
      <c r="CE274" s="166"/>
      <c r="CF274" s="166"/>
      <c r="CG274" s="166"/>
      <c r="CH274" s="166"/>
      <c r="CI274" s="166"/>
      <c r="CJ274" s="166"/>
      <c r="CK274" s="166"/>
      <c r="CL274" s="166"/>
      <c r="CM274" s="167"/>
      <c r="CN274" s="167"/>
      <c r="CO274" s="167"/>
      <c r="CP274" s="167"/>
      <c r="CQ274" s="167"/>
      <c r="CR274" s="167"/>
      <c r="CS274" s="167"/>
      <c r="CT274" s="167"/>
      <c r="CU274" s="167"/>
      <c r="CV274" s="167"/>
      <c r="CW274" s="167"/>
      <c r="CX274" s="167"/>
      <c r="CY274" s="167"/>
      <c r="CZ274" s="174"/>
      <c r="DA274" s="166"/>
      <c r="DB274" s="166"/>
      <c r="DC274" s="166"/>
      <c r="DD274" s="166"/>
      <c r="DE274" s="166"/>
      <c r="DF274" s="166"/>
      <c r="DG274" s="166"/>
      <c r="DH274" s="166"/>
      <c r="DI274" s="166"/>
    </row>
    <row r="275" spans="1:113" ht="12" hidden="1" outlineLevel="2">
      <c r="A275" s="1" t="s">
        <v>228</v>
      </c>
      <c r="B275" s="19" t="s">
        <v>165</v>
      </c>
      <c r="C275" s="601"/>
      <c r="D275" s="601"/>
      <c r="E275" s="601"/>
      <c r="F275" s="601"/>
      <c r="G275" s="601"/>
      <c r="H275" s="601"/>
      <c r="I275" s="601"/>
      <c r="J275" s="601"/>
      <c r="K275" s="601"/>
      <c r="L275" s="601"/>
      <c r="M275" s="601"/>
      <c r="N275" s="601"/>
      <c r="O275" s="601"/>
      <c r="P275" s="601"/>
      <c r="Q275" s="601"/>
      <c r="R275" s="601"/>
      <c r="S275" s="601"/>
      <c r="T275" s="416"/>
      <c r="U275" s="601"/>
      <c r="V275" s="601"/>
      <c r="W275" s="601"/>
      <c r="X275" s="601"/>
      <c r="Y275" s="416"/>
      <c r="Z275" s="416"/>
      <c r="AA275" s="416"/>
      <c r="AB275" s="416"/>
      <c r="AC275" s="416"/>
      <c r="AD275" s="416"/>
      <c r="AE275" s="416"/>
      <c r="AF275" s="416"/>
      <c r="AG275" s="416"/>
      <c r="AH275" s="416"/>
      <c r="AI275" s="416"/>
      <c r="AJ275" s="416"/>
      <c r="AK275" s="416"/>
      <c r="AL275" s="416"/>
      <c r="AM275" s="416"/>
      <c r="AN275" s="416"/>
      <c r="AO275" s="416"/>
      <c r="AP275" s="167"/>
      <c r="AQ275" s="167"/>
      <c r="AR275" s="167"/>
      <c r="AS275" s="167"/>
      <c r="AT275" s="167"/>
      <c r="AU275" s="167"/>
      <c r="AV275" s="167"/>
      <c r="AW275" s="167"/>
      <c r="AX275" s="167"/>
      <c r="AY275" s="167"/>
      <c r="AZ275" s="174"/>
      <c r="BA275" s="166"/>
      <c r="BB275" s="166"/>
      <c r="BC275" s="166"/>
      <c r="BD275" s="166"/>
      <c r="BE275" s="166"/>
      <c r="BF275" s="166"/>
      <c r="BG275" s="166"/>
      <c r="BH275" s="166"/>
      <c r="BI275" s="166"/>
      <c r="BJ275" s="166"/>
      <c r="BK275" s="166"/>
      <c r="BL275" s="166"/>
      <c r="BM275" s="166"/>
      <c r="BN275" s="166"/>
      <c r="BO275" s="166"/>
      <c r="BP275" s="166"/>
      <c r="BQ275" s="166"/>
      <c r="BR275" s="166"/>
      <c r="BS275" s="166"/>
      <c r="BT275" s="166"/>
      <c r="BU275" s="166"/>
      <c r="BV275" s="166"/>
      <c r="BW275" s="166"/>
      <c r="BX275" s="166"/>
      <c r="BY275" s="166"/>
      <c r="BZ275" s="166"/>
      <c r="CA275" s="166"/>
      <c r="CB275" s="166"/>
      <c r="CC275" s="166"/>
      <c r="CD275" s="166"/>
      <c r="CE275" s="166"/>
      <c r="CF275" s="166"/>
      <c r="CG275" s="166"/>
      <c r="CH275" s="166"/>
      <c r="CI275" s="166"/>
      <c r="CJ275" s="166"/>
      <c r="CK275" s="166"/>
      <c r="CL275" s="166"/>
      <c r="CM275" s="167"/>
      <c r="CN275" s="167"/>
      <c r="CO275" s="167"/>
      <c r="CP275" s="167"/>
      <c r="CQ275" s="167"/>
      <c r="CR275" s="167"/>
      <c r="CS275" s="167"/>
      <c r="CT275" s="167"/>
      <c r="CU275" s="167"/>
      <c r="CV275" s="167"/>
      <c r="CW275" s="167"/>
      <c r="CX275" s="167"/>
      <c r="CY275" s="167"/>
      <c r="CZ275" s="174"/>
      <c r="DA275" s="166"/>
      <c r="DB275" s="166"/>
      <c r="DC275" s="166"/>
      <c r="DD275" s="166"/>
      <c r="DE275" s="166"/>
      <c r="DF275" s="166"/>
      <c r="DG275" s="166"/>
      <c r="DH275" s="166"/>
      <c r="DI275" s="166"/>
    </row>
    <row r="276" spans="1:113" s="24" customFormat="1" ht="12" hidden="1" outlineLevel="2">
      <c r="A276" s="1" t="s">
        <v>229</v>
      </c>
      <c r="B276" s="24" t="s">
        <v>166</v>
      </c>
      <c r="C276" s="515"/>
      <c r="D276" s="515"/>
      <c r="E276" s="515"/>
      <c r="F276" s="515"/>
      <c r="G276" s="515"/>
      <c r="H276" s="515"/>
      <c r="I276" s="515"/>
      <c r="J276" s="515"/>
      <c r="K276" s="515"/>
      <c r="L276" s="515"/>
      <c r="M276" s="515"/>
      <c r="N276" s="515"/>
      <c r="O276" s="515"/>
      <c r="P276" s="515"/>
      <c r="Q276" s="515"/>
      <c r="R276" s="515"/>
      <c r="S276" s="515"/>
      <c r="T276" s="515"/>
      <c r="U276" s="515"/>
      <c r="V276" s="515"/>
      <c r="W276" s="515"/>
      <c r="X276" s="515"/>
      <c r="Y276" s="515"/>
      <c r="Z276" s="515"/>
      <c r="AA276" s="515"/>
      <c r="AB276" s="515"/>
      <c r="AC276" s="515"/>
      <c r="AD276" s="515"/>
      <c r="AE276" s="515"/>
      <c r="AF276" s="515"/>
      <c r="AG276" s="515"/>
      <c r="AH276" s="515"/>
      <c r="AI276" s="515"/>
      <c r="AJ276" s="515"/>
      <c r="AK276" s="515"/>
      <c r="AL276" s="515"/>
      <c r="AM276" s="515"/>
      <c r="AN276" s="515"/>
      <c r="AO276" s="515"/>
      <c r="AP276" s="598"/>
      <c r="AQ276" s="598"/>
      <c r="AR276" s="598"/>
      <c r="AS276" s="598"/>
      <c r="AT276" s="598"/>
      <c r="AU276" s="598"/>
      <c r="AV276" s="598"/>
      <c r="AW276" s="598"/>
      <c r="AX276" s="598"/>
      <c r="AY276" s="514"/>
      <c r="AZ276" s="624"/>
      <c r="BA276" s="415"/>
      <c r="BB276" s="415"/>
      <c r="BC276" s="415"/>
      <c r="BD276" s="415"/>
      <c r="BE276" s="415"/>
      <c r="BF276" s="415"/>
      <c r="BG276" s="415"/>
      <c r="BH276" s="415"/>
      <c r="BI276" s="415"/>
      <c r="BJ276" s="415"/>
      <c r="BK276" s="415"/>
      <c r="BL276" s="415"/>
      <c r="BM276" s="415"/>
      <c r="BN276" s="415"/>
      <c r="BO276" s="415"/>
      <c r="BP276" s="415"/>
      <c r="BQ276" s="415"/>
      <c r="BR276" s="415"/>
      <c r="BS276" s="425"/>
      <c r="BT276" s="425"/>
      <c r="BU276" s="425"/>
      <c r="BV276" s="425"/>
      <c r="BW276" s="425"/>
      <c r="BX276" s="425"/>
      <c r="BY276" s="425"/>
      <c r="BZ276" s="425"/>
      <c r="CA276" s="425"/>
      <c r="CB276" s="425"/>
      <c r="CC276" s="415"/>
      <c r="CD276" s="415"/>
      <c r="CE276" s="415"/>
      <c r="CF276" s="415"/>
      <c r="CG276" s="415"/>
      <c r="CH276" s="415"/>
      <c r="CI276" s="415"/>
      <c r="CJ276" s="415"/>
      <c r="CK276" s="415"/>
      <c r="CL276" s="415"/>
      <c r="CM276" s="514"/>
      <c r="CN276" s="514"/>
      <c r="CO276" s="514"/>
      <c r="CP276" s="514"/>
      <c r="CQ276" s="514"/>
      <c r="CR276" s="514"/>
      <c r="CS276" s="514"/>
      <c r="CT276" s="579"/>
      <c r="CU276" s="579"/>
      <c r="CV276" s="514"/>
      <c r="CW276" s="514"/>
      <c r="CX276" s="514"/>
      <c r="CY276" s="514"/>
      <c r="CZ276" s="581"/>
      <c r="DA276" s="415"/>
      <c r="DB276" s="415"/>
      <c r="DC276" s="415"/>
      <c r="DD276" s="415"/>
      <c r="DE276" s="415"/>
      <c r="DF276" s="415"/>
      <c r="DG276" s="415"/>
      <c r="DH276" s="415"/>
      <c r="DI276" s="415"/>
    </row>
    <row r="277" spans="1:113" ht="12" hidden="1" outlineLevel="2">
      <c r="C277" s="601"/>
      <c r="D277" s="601"/>
      <c r="E277" s="601"/>
      <c r="F277" s="601"/>
      <c r="G277" s="601"/>
      <c r="H277" s="601"/>
      <c r="I277" s="601"/>
      <c r="J277" s="601"/>
      <c r="K277" s="601"/>
      <c r="L277" s="601"/>
      <c r="M277" s="601"/>
      <c r="N277" s="601"/>
      <c r="O277" s="601"/>
      <c r="P277" s="601"/>
      <c r="Q277" s="601"/>
      <c r="R277" s="601"/>
      <c r="S277" s="601"/>
      <c r="T277" s="601"/>
      <c r="U277" s="601"/>
      <c r="V277" s="601"/>
      <c r="W277" s="601"/>
      <c r="X277" s="601"/>
      <c r="Y277" s="416"/>
      <c r="Z277" s="416"/>
      <c r="AA277" s="416"/>
      <c r="AB277" s="416"/>
      <c r="AC277" s="416"/>
      <c r="AD277" s="416"/>
      <c r="AE277" s="416"/>
      <c r="AF277" s="416"/>
      <c r="AG277" s="416"/>
      <c r="AH277" s="416"/>
      <c r="AI277" s="416"/>
      <c r="AJ277" s="416"/>
      <c r="AK277" s="416"/>
      <c r="AL277" s="416"/>
      <c r="AM277" s="416"/>
      <c r="AN277" s="416"/>
      <c r="AO277" s="416"/>
      <c r="AP277" s="167"/>
      <c r="AQ277" s="167"/>
      <c r="AR277" s="167"/>
      <c r="AS277" s="167"/>
      <c r="AT277" s="167"/>
      <c r="AU277" s="167"/>
      <c r="AV277" s="167"/>
      <c r="AW277" s="167"/>
      <c r="AX277" s="167"/>
      <c r="AY277" s="167"/>
      <c r="AZ277" s="174"/>
      <c r="BA277" s="166"/>
      <c r="BB277" s="166"/>
      <c r="BC277" s="166"/>
      <c r="BD277" s="166"/>
      <c r="BE277" s="166"/>
      <c r="BF277" s="166"/>
      <c r="BG277" s="166"/>
      <c r="BH277" s="166"/>
      <c r="BI277" s="166"/>
      <c r="BJ277" s="166"/>
      <c r="BK277" s="166"/>
      <c r="BL277" s="166"/>
      <c r="BM277" s="166"/>
      <c r="BN277" s="166"/>
      <c r="BO277" s="166"/>
      <c r="BP277" s="166"/>
      <c r="BQ277" s="166"/>
      <c r="BR277" s="166"/>
      <c r="BS277" s="166"/>
      <c r="BT277" s="166"/>
      <c r="BU277" s="166"/>
      <c r="BV277" s="166"/>
      <c r="BW277" s="166"/>
      <c r="BX277" s="166"/>
      <c r="BY277" s="166"/>
      <c r="BZ277" s="166"/>
      <c r="CA277" s="166"/>
      <c r="CB277" s="166"/>
      <c r="CC277" s="166"/>
      <c r="CD277" s="166"/>
      <c r="CE277" s="166"/>
      <c r="CF277" s="166"/>
      <c r="CG277" s="166"/>
      <c r="CH277" s="166"/>
      <c r="CI277" s="166"/>
      <c r="CJ277" s="166"/>
      <c r="CK277" s="166"/>
      <c r="CL277" s="166"/>
      <c r="CM277" s="167"/>
      <c r="CN277" s="167"/>
      <c r="CO277" s="167"/>
      <c r="CP277" s="167"/>
      <c r="CQ277" s="167"/>
      <c r="CR277" s="167"/>
      <c r="CS277" s="167"/>
      <c r="CT277" s="167"/>
      <c r="CU277" s="167"/>
      <c r="CV277" s="167"/>
      <c r="CW277" s="167"/>
      <c r="CX277" s="167"/>
      <c r="CY277" s="167"/>
      <c r="CZ277" s="174"/>
      <c r="DA277" s="166"/>
      <c r="DG277" s="21"/>
      <c r="DH277" s="21"/>
      <c r="DI277" s="21"/>
    </row>
    <row r="278" spans="1:113" s="24" customFormat="1" ht="12" hidden="1" outlineLevel="2">
      <c r="A278" s="1"/>
      <c r="B278" s="24" t="s">
        <v>405</v>
      </c>
      <c r="C278" s="584"/>
      <c r="D278" s="584"/>
      <c r="E278" s="584"/>
      <c r="F278" s="584"/>
      <c r="G278" s="584"/>
      <c r="H278" s="584"/>
      <c r="I278" s="584"/>
      <c r="J278" s="584"/>
      <c r="K278" s="584"/>
      <c r="L278" s="584"/>
      <c r="M278" s="584"/>
      <c r="N278" s="584"/>
      <c r="O278" s="584"/>
      <c r="P278" s="584"/>
      <c r="Q278" s="584"/>
      <c r="R278" s="584"/>
      <c r="S278" s="584"/>
      <c r="T278" s="584"/>
      <c r="U278" s="584"/>
      <c r="V278" s="584"/>
      <c r="W278" s="584"/>
      <c r="X278" s="584"/>
      <c r="Y278" s="515"/>
      <c r="Z278" s="515"/>
      <c r="AA278" s="515"/>
      <c r="AB278" s="515"/>
      <c r="AC278" s="515"/>
      <c r="AD278" s="515"/>
      <c r="AE278" s="515"/>
      <c r="AF278" s="515"/>
      <c r="AG278" s="515"/>
      <c r="AH278" s="515"/>
      <c r="AI278" s="515"/>
      <c r="AJ278" s="515"/>
      <c r="AK278" s="515"/>
      <c r="AL278" s="515"/>
      <c r="AM278" s="515"/>
      <c r="AN278" s="515"/>
      <c r="AO278" s="515"/>
      <c r="AP278" s="514"/>
      <c r="AQ278" s="514"/>
      <c r="AR278" s="514"/>
      <c r="AS278" s="514"/>
      <c r="AT278" s="514"/>
      <c r="AU278" s="514"/>
      <c r="AV278" s="514"/>
      <c r="AW278" s="514"/>
      <c r="AX278" s="514"/>
      <c r="AY278" s="514"/>
      <c r="AZ278" s="581"/>
      <c r="BA278" s="415"/>
      <c r="BB278" s="415"/>
      <c r="BC278" s="415"/>
      <c r="BD278" s="415"/>
      <c r="BE278" s="415"/>
      <c r="BF278" s="415"/>
      <c r="BG278" s="415"/>
      <c r="BH278" s="415"/>
      <c r="BI278" s="415"/>
      <c r="BJ278" s="415"/>
      <c r="BK278" s="415"/>
      <c r="BL278" s="415"/>
      <c r="BM278" s="415"/>
      <c r="BN278" s="415"/>
      <c r="BO278" s="415"/>
      <c r="BP278" s="415"/>
      <c r="BQ278" s="415"/>
      <c r="BR278" s="415"/>
      <c r="BS278" s="415"/>
      <c r="BT278" s="415"/>
      <c r="BU278" s="415"/>
      <c r="BV278" s="415"/>
      <c r="BW278" s="415"/>
      <c r="BX278" s="415"/>
      <c r="BY278" s="415"/>
      <c r="BZ278" s="415"/>
      <c r="CA278" s="415"/>
      <c r="CB278" s="415"/>
      <c r="CC278" s="415"/>
      <c r="CD278" s="415"/>
      <c r="CE278" s="415"/>
      <c r="CF278" s="415"/>
      <c r="CG278" s="415"/>
      <c r="CH278" s="415"/>
      <c r="CI278" s="415"/>
      <c r="CJ278" s="415"/>
      <c r="CK278" s="415"/>
      <c r="CL278" s="415"/>
      <c r="CM278" s="514"/>
      <c r="CN278" s="514"/>
      <c r="CO278" s="514"/>
      <c r="CP278" s="514"/>
      <c r="CQ278" s="514"/>
      <c r="CR278" s="514"/>
      <c r="CS278" s="514"/>
      <c r="CT278" s="514"/>
      <c r="CU278" s="514"/>
      <c r="CV278" s="514"/>
      <c r="CW278" s="514"/>
      <c r="CX278" s="514"/>
      <c r="CY278" s="514"/>
      <c r="CZ278" s="581"/>
      <c r="DA278" s="415"/>
      <c r="DB278" s="13"/>
      <c r="DC278" s="13"/>
      <c r="DD278" s="13"/>
      <c r="DE278" s="13"/>
      <c r="DF278" s="13"/>
      <c r="DG278" s="13"/>
      <c r="DH278" s="13"/>
      <c r="DI278" s="13"/>
    </row>
    <row r="279" spans="1:113" ht="12" hidden="1" outlineLevel="2">
      <c r="A279" s="1" t="s">
        <v>142</v>
      </c>
      <c r="B279" s="19" t="s">
        <v>162</v>
      </c>
      <c r="C279" s="416"/>
      <c r="D279" s="416"/>
      <c r="E279" s="416"/>
      <c r="F279" s="416"/>
      <c r="G279" s="416"/>
      <c r="H279" s="416"/>
      <c r="I279" s="416"/>
      <c r="J279" s="416"/>
      <c r="K279" s="416"/>
      <c r="L279" s="416"/>
      <c r="M279" s="416"/>
      <c r="N279" s="416"/>
      <c r="O279" s="416"/>
      <c r="P279" s="416"/>
      <c r="Q279" s="416"/>
      <c r="R279" s="416"/>
      <c r="S279" s="416"/>
      <c r="T279" s="416"/>
      <c r="U279" s="416"/>
      <c r="V279" s="416"/>
      <c r="W279" s="416"/>
      <c r="X279" s="416"/>
      <c r="Y279" s="416"/>
      <c r="Z279" s="416"/>
      <c r="AA279" s="416"/>
      <c r="AB279" s="416"/>
      <c r="AC279" s="416"/>
      <c r="AD279" s="416"/>
      <c r="AE279" s="416"/>
      <c r="AF279" s="416"/>
      <c r="AG279" s="416"/>
      <c r="AH279" s="416"/>
      <c r="AI279" s="416"/>
      <c r="AJ279" s="416"/>
      <c r="AK279" s="416"/>
      <c r="AL279" s="416"/>
      <c r="AM279" s="416"/>
      <c r="AN279" s="416"/>
      <c r="AO279" s="416"/>
      <c r="AP279" s="509"/>
      <c r="AQ279" s="509"/>
      <c r="AR279" s="509"/>
      <c r="AS279" s="509"/>
      <c r="AT279" s="509"/>
      <c r="AU279" s="509"/>
      <c r="AV279" s="509"/>
      <c r="AW279" s="509"/>
      <c r="AX279" s="509"/>
      <c r="AY279" s="167"/>
      <c r="AZ279" s="558"/>
      <c r="BA279" s="166"/>
      <c r="BB279" s="166"/>
      <c r="BC279" s="166"/>
      <c r="BD279" s="166"/>
      <c r="BE279" s="166"/>
      <c r="BF279" s="166"/>
      <c r="BG279" s="166"/>
      <c r="BH279" s="166"/>
      <c r="BI279" s="166"/>
      <c r="BJ279" s="166"/>
      <c r="BK279" s="166"/>
      <c r="BL279" s="166"/>
      <c r="BM279" s="166"/>
      <c r="BN279" s="166"/>
      <c r="BO279" s="166"/>
      <c r="BP279" s="166"/>
      <c r="BQ279" s="166"/>
      <c r="BR279" s="166"/>
      <c r="BS279" s="166"/>
      <c r="BT279" s="166"/>
      <c r="BU279" s="166"/>
      <c r="BV279" s="166"/>
      <c r="BW279" s="166"/>
      <c r="BX279" s="166"/>
      <c r="BY279" s="166"/>
      <c r="BZ279" s="166"/>
      <c r="CA279" s="166"/>
      <c r="CB279" s="166"/>
      <c r="CC279" s="166"/>
      <c r="CD279" s="166"/>
      <c r="CE279" s="166"/>
      <c r="CF279" s="166"/>
      <c r="CG279" s="166"/>
      <c r="CH279" s="166"/>
      <c r="CI279" s="166"/>
      <c r="CJ279" s="166"/>
      <c r="CK279" s="166"/>
      <c r="CL279" s="166"/>
      <c r="CM279" s="167"/>
      <c r="CN279" s="167"/>
      <c r="CO279" s="167"/>
      <c r="CP279" s="167"/>
      <c r="CQ279" s="167"/>
      <c r="CR279" s="167"/>
      <c r="CS279" s="167"/>
      <c r="CT279" s="509"/>
      <c r="CU279" s="509"/>
      <c r="CV279" s="167"/>
      <c r="CW279" s="167"/>
      <c r="CX279" s="167"/>
      <c r="CY279" s="167"/>
      <c r="CZ279" s="174"/>
      <c r="DA279" s="166"/>
      <c r="DG279" s="21"/>
      <c r="DH279" s="21"/>
      <c r="DI279" s="21"/>
    </row>
    <row r="280" spans="1:113" ht="12" hidden="1" outlineLevel="2">
      <c r="A280" s="1" t="s">
        <v>143</v>
      </c>
      <c r="B280" s="19" t="s">
        <v>341</v>
      </c>
      <c r="C280" s="416"/>
      <c r="D280" s="416"/>
      <c r="E280" s="416"/>
      <c r="F280" s="416"/>
      <c r="G280" s="416"/>
      <c r="H280" s="416"/>
      <c r="I280" s="416"/>
      <c r="J280" s="416"/>
      <c r="K280" s="416"/>
      <c r="L280" s="416"/>
      <c r="M280" s="416"/>
      <c r="N280" s="416"/>
      <c r="O280" s="416"/>
      <c r="P280" s="416"/>
      <c r="Q280" s="416"/>
      <c r="R280" s="416"/>
      <c r="S280" s="416"/>
      <c r="T280" s="416"/>
      <c r="U280" s="416"/>
      <c r="V280" s="416"/>
      <c r="W280" s="416"/>
      <c r="X280" s="416"/>
      <c r="Y280" s="416"/>
      <c r="Z280" s="416"/>
      <c r="AA280" s="416"/>
      <c r="AB280" s="416"/>
      <c r="AC280" s="416"/>
      <c r="AD280" s="416"/>
      <c r="AE280" s="416"/>
      <c r="AF280" s="416"/>
      <c r="AG280" s="416"/>
      <c r="AH280" s="416"/>
      <c r="AI280" s="416"/>
      <c r="AJ280" s="416"/>
      <c r="AK280" s="416"/>
      <c r="AL280" s="416"/>
      <c r="AM280" s="416"/>
      <c r="AN280" s="416"/>
      <c r="AO280" s="416"/>
      <c r="AP280" s="167"/>
      <c r="AQ280" s="167"/>
      <c r="AR280" s="167"/>
      <c r="AS280" s="167"/>
      <c r="AT280" s="167"/>
      <c r="AU280" s="167"/>
      <c r="AV280" s="167"/>
      <c r="AW280" s="167"/>
      <c r="AX280" s="167"/>
      <c r="AY280" s="167"/>
      <c r="AZ280" s="174"/>
      <c r="BA280" s="166"/>
      <c r="BB280" s="166"/>
      <c r="BC280" s="166"/>
      <c r="BD280" s="166"/>
      <c r="BE280" s="166"/>
      <c r="BF280" s="166"/>
      <c r="BG280" s="166"/>
      <c r="BH280" s="166"/>
      <c r="BI280" s="166"/>
      <c r="BJ280" s="166"/>
      <c r="BK280" s="166"/>
      <c r="BL280" s="166"/>
      <c r="BM280" s="166"/>
      <c r="BN280" s="166"/>
      <c r="BO280" s="166"/>
      <c r="BP280" s="166"/>
      <c r="BQ280" s="166"/>
      <c r="BR280" s="166"/>
      <c r="BS280" s="166"/>
      <c r="BT280" s="166"/>
      <c r="BU280" s="166"/>
      <c r="BV280" s="166"/>
      <c r="BW280" s="166"/>
      <c r="BX280" s="166"/>
      <c r="BY280" s="166"/>
      <c r="BZ280" s="166"/>
      <c r="CA280" s="166"/>
      <c r="CB280" s="166"/>
      <c r="CC280" s="166"/>
      <c r="CD280" s="166"/>
      <c r="CE280" s="166"/>
      <c r="CF280" s="166"/>
      <c r="CG280" s="166"/>
      <c r="CH280" s="166"/>
      <c r="CI280" s="166"/>
      <c r="CJ280" s="166"/>
      <c r="CK280" s="166"/>
      <c r="CL280" s="166"/>
      <c r="CM280" s="167"/>
      <c r="CN280" s="167"/>
      <c r="CO280" s="167"/>
      <c r="CP280" s="167"/>
      <c r="CQ280" s="167"/>
      <c r="CR280" s="167"/>
      <c r="CS280" s="167"/>
      <c r="CT280" s="167"/>
      <c r="CU280" s="167"/>
      <c r="CV280" s="167"/>
      <c r="CW280" s="167"/>
      <c r="CX280" s="167"/>
      <c r="CY280" s="167"/>
      <c r="CZ280" s="174"/>
      <c r="DA280" s="166"/>
      <c r="DG280" s="21"/>
      <c r="DH280" s="21"/>
      <c r="DI280" s="21"/>
    </row>
    <row r="281" spans="1:113" s="24" customFormat="1" ht="12" hidden="1" outlineLevel="2">
      <c r="A281" s="1" t="s">
        <v>144</v>
      </c>
      <c r="B281" s="24" t="s">
        <v>166</v>
      </c>
      <c r="C281" s="515"/>
      <c r="D281" s="515"/>
      <c r="E281" s="515"/>
      <c r="F281" s="515"/>
      <c r="G281" s="515"/>
      <c r="H281" s="515"/>
      <c r="I281" s="515"/>
      <c r="J281" s="515"/>
      <c r="K281" s="515"/>
      <c r="L281" s="515"/>
      <c r="M281" s="515"/>
      <c r="N281" s="515"/>
      <c r="O281" s="515"/>
      <c r="P281" s="515"/>
      <c r="Q281" s="515"/>
      <c r="R281" s="515"/>
      <c r="S281" s="515"/>
      <c r="T281" s="515"/>
      <c r="U281" s="515"/>
      <c r="V281" s="515"/>
      <c r="W281" s="515"/>
      <c r="X281" s="515"/>
      <c r="Y281" s="515"/>
      <c r="Z281" s="515"/>
      <c r="AA281" s="515"/>
      <c r="AB281" s="515"/>
      <c r="AC281" s="515"/>
      <c r="AD281" s="515"/>
      <c r="AE281" s="515"/>
      <c r="AF281" s="515"/>
      <c r="AG281" s="515"/>
      <c r="AH281" s="515"/>
      <c r="AI281" s="515"/>
      <c r="AJ281" s="515"/>
      <c r="AK281" s="515"/>
      <c r="AL281" s="515"/>
      <c r="AM281" s="515"/>
      <c r="AN281" s="515"/>
      <c r="AO281" s="515"/>
      <c r="AP281" s="513"/>
      <c r="AQ281" s="513"/>
      <c r="AR281" s="513"/>
      <c r="AS281" s="513"/>
      <c r="AT281" s="513"/>
      <c r="AU281" s="513"/>
      <c r="AV281" s="513"/>
      <c r="AW281" s="513"/>
      <c r="AX281" s="513"/>
      <c r="AY281" s="514"/>
      <c r="AZ281" s="580"/>
      <c r="BA281" s="415"/>
      <c r="BB281" s="415"/>
      <c r="BC281" s="415"/>
      <c r="BD281" s="415"/>
      <c r="BE281" s="415"/>
      <c r="BF281" s="415"/>
      <c r="BG281" s="415"/>
      <c r="BH281" s="415"/>
      <c r="BI281" s="415"/>
      <c r="BJ281" s="415"/>
      <c r="BK281" s="415"/>
      <c r="BL281" s="415"/>
      <c r="BM281" s="415"/>
      <c r="BN281" s="415"/>
      <c r="BO281" s="415"/>
      <c r="BP281" s="415"/>
      <c r="BQ281" s="415"/>
      <c r="BR281" s="415"/>
      <c r="BS281" s="415"/>
      <c r="BT281" s="415"/>
      <c r="BU281" s="415"/>
      <c r="BV281" s="415"/>
      <c r="BW281" s="415"/>
      <c r="BX281" s="415"/>
      <c r="BY281" s="415"/>
      <c r="BZ281" s="415"/>
      <c r="CA281" s="415"/>
      <c r="CB281" s="415"/>
      <c r="CC281" s="415"/>
      <c r="CD281" s="415"/>
      <c r="CE281" s="415"/>
      <c r="CF281" s="415"/>
      <c r="CG281" s="415"/>
      <c r="CH281" s="415"/>
      <c r="CI281" s="415"/>
      <c r="CJ281" s="415"/>
      <c r="CK281" s="415"/>
      <c r="CL281" s="415"/>
      <c r="CM281" s="514"/>
      <c r="CN281" s="514"/>
      <c r="CO281" s="514"/>
      <c r="CP281" s="514"/>
      <c r="CQ281" s="514"/>
      <c r="CR281" s="514"/>
      <c r="CS281" s="514"/>
      <c r="CT281" s="513"/>
      <c r="CU281" s="513"/>
      <c r="CV281" s="633"/>
      <c r="CW281" s="633"/>
      <c r="CX281" s="633"/>
      <c r="CY281" s="633"/>
      <c r="CZ281" s="630"/>
      <c r="DA281" s="626"/>
      <c r="DB281" s="626"/>
      <c r="DC281" s="626"/>
      <c r="DD281" s="626"/>
      <c r="DE281" s="626"/>
      <c r="DF281" s="626"/>
      <c r="DG281" s="626"/>
      <c r="DH281" s="626"/>
      <c r="DI281" s="626"/>
    </row>
    <row r="282" spans="1:113" ht="12" hidden="1" outlineLevel="2">
      <c r="C282" s="601"/>
      <c r="D282" s="601"/>
      <c r="E282" s="601"/>
      <c r="F282" s="601"/>
      <c r="G282" s="601"/>
      <c r="H282" s="601"/>
      <c r="I282" s="601"/>
      <c r="J282" s="601"/>
      <c r="K282" s="601"/>
      <c r="L282" s="601"/>
      <c r="M282" s="601"/>
      <c r="N282" s="601"/>
      <c r="O282" s="601"/>
      <c r="P282" s="601"/>
      <c r="Q282" s="601"/>
      <c r="R282" s="601"/>
      <c r="S282" s="601"/>
      <c r="T282" s="601"/>
      <c r="U282" s="601"/>
      <c r="V282" s="601"/>
      <c r="W282" s="601"/>
      <c r="X282" s="601"/>
      <c r="Y282" s="416"/>
      <c r="Z282" s="416"/>
      <c r="AA282" s="416"/>
      <c r="AB282" s="416"/>
      <c r="AC282" s="416"/>
      <c r="AD282" s="416"/>
      <c r="AE282" s="416"/>
      <c r="AF282" s="416"/>
      <c r="AG282" s="416"/>
      <c r="AH282" s="416"/>
      <c r="AI282" s="416"/>
      <c r="AJ282" s="416"/>
      <c r="AK282" s="416"/>
      <c r="AL282" s="416"/>
      <c r="AM282" s="416"/>
      <c r="AN282" s="416"/>
      <c r="AO282" s="416"/>
      <c r="AP282" s="167"/>
      <c r="AQ282" s="167"/>
      <c r="AR282" s="167"/>
      <c r="AS282" s="167"/>
      <c r="AT282" s="167"/>
      <c r="AU282" s="167"/>
      <c r="AV282" s="167"/>
      <c r="AW282" s="167"/>
      <c r="AX282" s="167"/>
      <c r="AY282" s="167"/>
      <c r="AZ282" s="174"/>
      <c r="BA282" s="166"/>
      <c r="BB282" s="166"/>
      <c r="BC282" s="166"/>
      <c r="BD282" s="166"/>
      <c r="BE282" s="166"/>
      <c r="BF282" s="166"/>
      <c r="BG282" s="166"/>
      <c r="BH282" s="166"/>
      <c r="BI282" s="166"/>
      <c r="BJ282" s="166"/>
      <c r="BK282" s="166"/>
      <c r="BL282" s="166"/>
      <c r="BM282" s="166"/>
      <c r="BN282" s="166"/>
      <c r="BO282" s="166"/>
      <c r="BP282" s="166"/>
      <c r="BQ282" s="166"/>
      <c r="BR282" s="166"/>
      <c r="BS282" s="166"/>
      <c r="BT282" s="166"/>
      <c r="BU282" s="166"/>
      <c r="BV282" s="166"/>
      <c r="BW282" s="166"/>
      <c r="BX282" s="166"/>
      <c r="BY282" s="166"/>
      <c r="BZ282" s="166"/>
      <c r="CA282" s="166"/>
      <c r="CB282" s="166"/>
      <c r="CC282" s="166"/>
      <c r="CD282" s="166"/>
      <c r="CE282" s="166"/>
      <c r="CF282" s="166"/>
      <c r="CG282" s="166"/>
      <c r="CH282" s="166"/>
      <c r="CI282" s="166"/>
      <c r="CJ282" s="166"/>
      <c r="CK282" s="166"/>
      <c r="CL282" s="166"/>
      <c r="CM282" s="167"/>
      <c r="CN282" s="167"/>
      <c r="CO282" s="167"/>
      <c r="CP282" s="167"/>
      <c r="CQ282" s="167"/>
      <c r="CR282" s="167"/>
      <c r="CS282" s="167"/>
      <c r="CT282" s="167"/>
      <c r="CU282" s="167"/>
      <c r="CV282" s="167"/>
      <c r="CW282" s="167"/>
      <c r="CX282" s="167"/>
      <c r="CY282" s="167"/>
      <c r="CZ282" s="174"/>
      <c r="DA282" s="166"/>
      <c r="DG282" s="21"/>
      <c r="DH282" s="21"/>
      <c r="DI282" s="21"/>
    </row>
    <row r="283" spans="1:113" s="24" customFormat="1" ht="12" hidden="1" outlineLevel="2">
      <c r="A283" s="1"/>
      <c r="B283" s="24" t="s">
        <v>339</v>
      </c>
      <c r="C283" s="584"/>
      <c r="D283" s="584"/>
      <c r="E283" s="584"/>
      <c r="F283" s="584"/>
      <c r="G283" s="584"/>
      <c r="H283" s="584"/>
      <c r="I283" s="584"/>
      <c r="J283" s="584"/>
      <c r="K283" s="584"/>
      <c r="L283" s="584"/>
      <c r="M283" s="584"/>
      <c r="N283" s="584"/>
      <c r="O283" s="584"/>
      <c r="P283" s="584"/>
      <c r="Q283" s="584"/>
      <c r="R283" s="584"/>
      <c r="S283" s="584"/>
      <c r="T283" s="584"/>
      <c r="U283" s="584"/>
      <c r="V283" s="584"/>
      <c r="W283" s="584"/>
      <c r="X283" s="584"/>
      <c r="Y283" s="515"/>
      <c r="Z283" s="515"/>
      <c r="AA283" s="515"/>
      <c r="AB283" s="515"/>
      <c r="AC283" s="515"/>
      <c r="AD283" s="515"/>
      <c r="AE283" s="515"/>
      <c r="AF283" s="515"/>
      <c r="AG283" s="515"/>
      <c r="AH283" s="515"/>
      <c r="AI283" s="515"/>
      <c r="AJ283" s="515"/>
      <c r="AK283" s="515"/>
      <c r="AL283" s="515"/>
      <c r="AM283" s="515"/>
      <c r="AN283" s="515"/>
      <c r="AO283" s="515"/>
      <c r="AP283" s="514"/>
      <c r="AQ283" s="514"/>
      <c r="AR283" s="514"/>
      <c r="AS283" s="514"/>
      <c r="AT283" s="514"/>
      <c r="AU283" s="514"/>
      <c r="AV283" s="514"/>
      <c r="AW283" s="514"/>
      <c r="AX283" s="514"/>
      <c r="AY283" s="514"/>
      <c r="AZ283" s="581"/>
      <c r="BA283" s="415"/>
      <c r="BB283" s="415"/>
      <c r="BC283" s="415"/>
      <c r="BD283" s="415"/>
      <c r="BE283" s="415"/>
      <c r="BF283" s="415"/>
      <c r="BG283" s="415"/>
      <c r="BH283" s="415"/>
      <c r="BI283" s="415"/>
      <c r="BJ283" s="415"/>
      <c r="BK283" s="415"/>
      <c r="BL283" s="415"/>
      <c r="BM283" s="415"/>
      <c r="BN283" s="415"/>
      <c r="BO283" s="415"/>
      <c r="BP283" s="415"/>
      <c r="BQ283" s="415"/>
      <c r="BR283" s="415"/>
      <c r="BS283" s="415"/>
      <c r="BT283" s="415"/>
      <c r="BU283" s="415"/>
      <c r="BV283" s="415"/>
      <c r="BW283" s="415"/>
      <c r="BX283" s="415"/>
      <c r="BY283" s="415"/>
      <c r="BZ283" s="415"/>
      <c r="CA283" s="415"/>
      <c r="CB283" s="415"/>
      <c r="CC283" s="415"/>
      <c r="CD283" s="415"/>
      <c r="CE283" s="415"/>
      <c r="CF283" s="415"/>
      <c r="CG283" s="415"/>
      <c r="CH283" s="415"/>
      <c r="CI283" s="415"/>
      <c r="CJ283" s="415"/>
      <c r="CK283" s="415"/>
      <c r="CL283" s="415"/>
      <c r="CM283" s="514"/>
      <c r="CN283" s="514"/>
      <c r="CO283" s="514"/>
      <c r="CP283" s="514"/>
      <c r="CQ283" s="514"/>
      <c r="CR283" s="514"/>
      <c r="CS283" s="514"/>
      <c r="CT283" s="514"/>
      <c r="CU283" s="514"/>
      <c r="CV283" s="514"/>
      <c r="CW283" s="514"/>
      <c r="CX283" s="514"/>
      <c r="CY283" s="514"/>
      <c r="CZ283" s="581"/>
      <c r="DA283" s="415"/>
      <c r="DB283" s="13"/>
      <c r="DC283" s="13"/>
      <c r="DD283" s="13"/>
      <c r="DE283" s="13"/>
      <c r="DF283" s="13"/>
      <c r="DG283" s="13"/>
      <c r="DH283" s="13"/>
      <c r="DI283" s="13"/>
    </row>
    <row r="284" spans="1:113" ht="12" hidden="1" outlineLevel="2">
      <c r="A284" s="1" t="s">
        <v>145</v>
      </c>
      <c r="B284" s="19" t="s">
        <v>162</v>
      </c>
      <c r="C284" s="416"/>
      <c r="D284" s="416"/>
      <c r="E284" s="416"/>
      <c r="F284" s="416"/>
      <c r="G284" s="416"/>
      <c r="H284" s="416"/>
      <c r="I284" s="416"/>
      <c r="J284" s="416"/>
      <c r="K284" s="416"/>
      <c r="L284" s="416"/>
      <c r="M284" s="416"/>
      <c r="N284" s="416"/>
      <c r="O284" s="416"/>
      <c r="P284" s="416"/>
      <c r="Q284" s="416"/>
      <c r="R284" s="416"/>
      <c r="S284" s="416"/>
      <c r="T284" s="416"/>
      <c r="U284" s="416"/>
      <c r="V284" s="416"/>
      <c r="W284" s="416"/>
      <c r="X284" s="416"/>
      <c r="Y284" s="416"/>
      <c r="Z284" s="416"/>
      <c r="AA284" s="416"/>
      <c r="AB284" s="416"/>
      <c r="AC284" s="416"/>
      <c r="AD284" s="416"/>
      <c r="AE284" s="416"/>
      <c r="AF284" s="416"/>
      <c r="AG284" s="416"/>
      <c r="AH284" s="416"/>
      <c r="AI284" s="416"/>
      <c r="AJ284" s="416"/>
      <c r="AK284" s="416"/>
      <c r="AL284" s="416"/>
      <c r="AM284" s="416"/>
      <c r="AN284" s="416"/>
      <c r="AO284" s="416"/>
      <c r="AP284" s="509"/>
      <c r="AQ284" s="509"/>
      <c r="AR284" s="509"/>
      <c r="AS284" s="509"/>
      <c r="AT284" s="509"/>
      <c r="AU284" s="509"/>
      <c r="AV284" s="509"/>
      <c r="AW284" s="509"/>
      <c r="AX284" s="509"/>
      <c r="AY284" s="167"/>
      <c r="AZ284" s="558"/>
      <c r="BA284" s="166"/>
      <c r="BB284" s="166"/>
      <c r="BC284" s="166"/>
      <c r="BD284" s="166"/>
      <c r="BE284" s="166"/>
      <c r="BF284" s="166"/>
      <c r="BG284" s="166"/>
      <c r="BH284" s="166"/>
      <c r="BI284" s="166"/>
      <c r="BJ284" s="166"/>
      <c r="BK284" s="166"/>
      <c r="BL284" s="166"/>
      <c r="BM284" s="166"/>
      <c r="BN284" s="166"/>
      <c r="BO284" s="166"/>
      <c r="BP284" s="166"/>
      <c r="BQ284" s="166"/>
      <c r="BR284" s="166"/>
      <c r="BS284" s="166"/>
      <c r="BT284" s="166"/>
      <c r="BU284" s="166"/>
      <c r="BV284" s="166"/>
      <c r="BW284" s="166"/>
      <c r="BX284" s="166"/>
      <c r="BY284" s="166"/>
      <c r="BZ284" s="166"/>
      <c r="CA284" s="166"/>
      <c r="CB284" s="166"/>
      <c r="CC284" s="166"/>
      <c r="CD284" s="166"/>
      <c r="CE284" s="166"/>
      <c r="CF284" s="166"/>
      <c r="CG284" s="166"/>
      <c r="CH284" s="166"/>
      <c r="CI284" s="166"/>
      <c r="CJ284" s="166"/>
      <c r="CK284" s="166"/>
      <c r="CL284" s="166"/>
      <c r="CM284" s="167"/>
      <c r="CN284" s="167"/>
      <c r="CO284" s="167"/>
      <c r="CP284" s="167"/>
      <c r="CQ284" s="167"/>
      <c r="CR284" s="167"/>
      <c r="CS284" s="167"/>
      <c r="CT284" s="509"/>
      <c r="CU284" s="509"/>
      <c r="CV284" s="167"/>
      <c r="CW284" s="167"/>
      <c r="CX284" s="167"/>
      <c r="CY284" s="167"/>
      <c r="CZ284" s="174"/>
      <c r="DA284" s="166"/>
      <c r="DG284" s="21"/>
      <c r="DH284" s="21"/>
      <c r="DI284" s="21"/>
    </row>
    <row r="285" spans="1:113" ht="12" hidden="1" outlineLevel="2">
      <c r="A285" s="1" t="s">
        <v>146</v>
      </c>
      <c r="B285" s="19" t="s">
        <v>341</v>
      </c>
      <c r="C285" s="416"/>
      <c r="D285" s="416"/>
      <c r="E285" s="416"/>
      <c r="F285" s="416"/>
      <c r="G285" s="416"/>
      <c r="H285" s="416"/>
      <c r="I285" s="416"/>
      <c r="J285" s="416"/>
      <c r="K285" s="416"/>
      <c r="L285" s="416"/>
      <c r="M285" s="416"/>
      <c r="N285" s="416"/>
      <c r="O285" s="416"/>
      <c r="P285" s="416"/>
      <c r="Q285" s="416"/>
      <c r="R285" s="416"/>
      <c r="S285" s="416"/>
      <c r="T285" s="416"/>
      <c r="U285" s="416"/>
      <c r="V285" s="416"/>
      <c r="W285" s="416"/>
      <c r="X285" s="416"/>
      <c r="Y285" s="416"/>
      <c r="Z285" s="416"/>
      <c r="AA285" s="416"/>
      <c r="AB285" s="416"/>
      <c r="AC285" s="416"/>
      <c r="AD285" s="416"/>
      <c r="AE285" s="416"/>
      <c r="AF285" s="416"/>
      <c r="AG285" s="416"/>
      <c r="AH285" s="416"/>
      <c r="AI285" s="416"/>
      <c r="AJ285" s="416"/>
      <c r="AK285" s="416"/>
      <c r="AL285" s="416"/>
      <c r="AM285" s="416"/>
      <c r="AN285" s="416"/>
      <c r="AO285" s="416"/>
      <c r="AP285" s="167"/>
      <c r="AQ285" s="167"/>
      <c r="AR285" s="167"/>
      <c r="AS285" s="167"/>
      <c r="AT285" s="167"/>
      <c r="AU285" s="167"/>
      <c r="AV285" s="167"/>
      <c r="AW285" s="167"/>
      <c r="AX285" s="167"/>
      <c r="AY285" s="167"/>
      <c r="AZ285" s="174"/>
      <c r="BA285" s="166"/>
      <c r="BB285" s="166"/>
      <c r="BC285" s="166"/>
      <c r="BD285" s="166"/>
      <c r="BE285" s="166"/>
      <c r="BF285" s="166"/>
      <c r="BG285" s="166"/>
      <c r="BH285" s="166"/>
      <c r="BI285" s="166"/>
      <c r="BJ285" s="166"/>
      <c r="BK285" s="166"/>
      <c r="BL285" s="166"/>
      <c r="BM285" s="166"/>
      <c r="BN285" s="166"/>
      <c r="BO285" s="166"/>
      <c r="BP285" s="166"/>
      <c r="BQ285" s="166"/>
      <c r="BR285" s="166"/>
      <c r="BS285" s="166"/>
      <c r="BT285" s="166"/>
      <c r="BU285" s="166"/>
      <c r="BV285" s="166"/>
      <c r="BW285" s="166"/>
      <c r="BX285" s="166"/>
      <c r="BY285" s="166"/>
      <c r="BZ285" s="166"/>
      <c r="CA285" s="166"/>
      <c r="CB285" s="166"/>
      <c r="CC285" s="166"/>
      <c r="CD285" s="166"/>
      <c r="CE285" s="166"/>
      <c r="CF285" s="166"/>
      <c r="CG285" s="166"/>
      <c r="CH285" s="166"/>
      <c r="CI285" s="166"/>
      <c r="CJ285" s="166"/>
      <c r="CK285" s="166"/>
      <c r="CL285" s="166"/>
      <c r="CM285" s="167"/>
      <c r="CN285" s="167"/>
      <c r="CO285" s="167"/>
      <c r="CP285" s="167"/>
      <c r="CQ285" s="167"/>
      <c r="CR285" s="167"/>
      <c r="CS285" s="167"/>
      <c r="CT285" s="167"/>
      <c r="CU285" s="167"/>
      <c r="CV285" s="167"/>
      <c r="CW285" s="167"/>
      <c r="CX285" s="167"/>
      <c r="CY285" s="167"/>
      <c r="CZ285" s="174"/>
      <c r="DA285" s="166"/>
      <c r="DG285" s="21"/>
      <c r="DH285" s="21"/>
      <c r="DI285" s="21"/>
    </row>
    <row r="286" spans="1:113" s="24" customFormat="1" ht="12" hidden="1" outlineLevel="2">
      <c r="A286" s="1" t="s">
        <v>147</v>
      </c>
      <c r="B286" s="24" t="s">
        <v>166</v>
      </c>
      <c r="C286" s="515"/>
      <c r="D286" s="515"/>
      <c r="E286" s="515"/>
      <c r="F286" s="515"/>
      <c r="G286" s="515"/>
      <c r="H286" s="515"/>
      <c r="I286" s="515"/>
      <c r="J286" s="515"/>
      <c r="K286" s="515"/>
      <c r="L286" s="515"/>
      <c r="M286" s="515"/>
      <c r="N286" s="515"/>
      <c r="O286" s="515"/>
      <c r="P286" s="515"/>
      <c r="Q286" s="515"/>
      <c r="R286" s="515"/>
      <c r="S286" s="515"/>
      <c r="T286" s="515"/>
      <c r="U286" s="515"/>
      <c r="V286" s="515"/>
      <c r="W286" s="515"/>
      <c r="X286" s="515"/>
      <c r="Y286" s="515"/>
      <c r="Z286" s="515"/>
      <c r="AA286" s="515"/>
      <c r="AB286" s="515"/>
      <c r="AC286" s="515"/>
      <c r="AD286" s="515"/>
      <c r="AE286" s="515"/>
      <c r="AF286" s="515"/>
      <c r="AG286" s="515"/>
      <c r="AH286" s="515"/>
      <c r="AI286" s="515"/>
      <c r="AJ286" s="515"/>
      <c r="AK286" s="515"/>
      <c r="AL286" s="515"/>
      <c r="AM286" s="515"/>
      <c r="AN286" s="515"/>
      <c r="AO286" s="515"/>
      <c r="AP286" s="513"/>
      <c r="AQ286" s="513"/>
      <c r="AR286" s="513"/>
      <c r="AS286" s="513"/>
      <c r="AT286" s="513"/>
      <c r="AU286" s="513"/>
      <c r="AV286" s="513"/>
      <c r="AW286" s="513"/>
      <c r="AX286" s="513"/>
      <c r="AY286" s="514"/>
      <c r="AZ286" s="580"/>
      <c r="BA286" s="415"/>
      <c r="BB286" s="415"/>
      <c r="BC286" s="415"/>
      <c r="BD286" s="415"/>
      <c r="BE286" s="415"/>
      <c r="BF286" s="415"/>
      <c r="BG286" s="415"/>
      <c r="BH286" s="415"/>
      <c r="BI286" s="415"/>
      <c r="BJ286" s="415"/>
      <c r="BK286" s="415"/>
      <c r="BL286" s="415"/>
      <c r="BM286" s="415"/>
      <c r="BN286" s="415"/>
      <c r="BO286" s="415"/>
      <c r="BP286" s="415"/>
      <c r="BQ286" s="415"/>
      <c r="BR286" s="415"/>
      <c r="BS286" s="415"/>
      <c r="BT286" s="415"/>
      <c r="BU286" s="415"/>
      <c r="BV286" s="415"/>
      <c r="BW286" s="415"/>
      <c r="BX286" s="415"/>
      <c r="BY286" s="415"/>
      <c r="BZ286" s="415"/>
      <c r="CA286" s="415"/>
      <c r="CB286" s="415"/>
      <c r="CC286" s="415"/>
      <c r="CD286" s="415"/>
      <c r="CE286" s="415"/>
      <c r="CF286" s="415"/>
      <c r="CG286" s="415"/>
      <c r="CH286" s="415"/>
      <c r="CI286" s="415"/>
      <c r="CJ286" s="415"/>
      <c r="CK286" s="415"/>
      <c r="CL286" s="415"/>
      <c r="CM286" s="514"/>
      <c r="CN286" s="514"/>
      <c r="CO286" s="514"/>
      <c r="CP286" s="514"/>
      <c r="CQ286" s="514"/>
      <c r="CR286" s="514"/>
      <c r="CS286" s="514"/>
      <c r="CT286" s="513"/>
      <c r="CU286" s="513"/>
      <c r="CV286" s="633"/>
      <c r="CW286" s="633"/>
      <c r="CX286" s="633"/>
      <c r="CY286" s="633"/>
      <c r="CZ286" s="630"/>
      <c r="DA286" s="626"/>
      <c r="DB286" s="626"/>
      <c r="DC286" s="626"/>
      <c r="DD286" s="626"/>
      <c r="DE286" s="626"/>
      <c r="DF286" s="626"/>
      <c r="DG286" s="626"/>
      <c r="DH286" s="626"/>
      <c r="DI286" s="626"/>
    </row>
    <row r="287" spans="1:113" ht="12" hidden="1" outlineLevel="2">
      <c r="C287" s="601"/>
      <c r="D287" s="601"/>
      <c r="E287" s="601"/>
      <c r="F287" s="601"/>
      <c r="G287" s="601"/>
      <c r="H287" s="601"/>
      <c r="I287" s="601"/>
      <c r="J287" s="601"/>
      <c r="K287" s="601"/>
      <c r="L287" s="601"/>
      <c r="M287" s="601"/>
      <c r="N287" s="601"/>
      <c r="O287" s="601"/>
      <c r="P287" s="601"/>
      <c r="Q287" s="601"/>
      <c r="R287" s="601"/>
      <c r="S287" s="601"/>
      <c r="T287" s="601"/>
      <c r="U287" s="601"/>
      <c r="V287" s="601"/>
      <c r="W287" s="601"/>
      <c r="X287" s="601"/>
      <c r="Y287" s="416"/>
      <c r="Z287" s="416"/>
      <c r="AA287" s="416"/>
      <c r="AB287" s="416"/>
      <c r="AC287" s="416"/>
      <c r="AD287" s="416"/>
      <c r="AE287" s="416"/>
      <c r="AF287" s="416"/>
      <c r="AG287" s="416"/>
      <c r="AH287" s="416"/>
      <c r="AI287" s="416"/>
      <c r="AJ287" s="416"/>
      <c r="AK287" s="416"/>
      <c r="AL287" s="416"/>
      <c r="AM287" s="416"/>
      <c r="AN287" s="416"/>
      <c r="AO287" s="416"/>
      <c r="AP287" s="167"/>
      <c r="AQ287" s="167"/>
      <c r="AR287" s="167"/>
      <c r="AS287" s="167"/>
      <c r="AT287" s="167"/>
      <c r="AU287" s="167"/>
      <c r="AV287" s="167"/>
      <c r="AW287" s="167"/>
      <c r="AX287" s="167"/>
      <c r="AY287" s="167"/>
      <c r="AZ287" s="174"/>
      <c r="BA287" s="166"/>
      <c r="BB287" s="166"/>
      <c r="BC287" s="166"/>
      <c r="BD287" s="166"/>
      <c r="BE287" s="166"/>
      <c r="BF287" s="166"/>
      <c r="BG287" s="166"/>
      <c r="BH287" s="166"/>
      <c r="BI287" s="166"/>
      <c r="BJ287" s="166"/>
      <c r="BK287" s="166"/>
      <c r="BL287" s="166"/>
      <c r="BM287" s="166"/>
      <c r="BN287" s="166"/>
      <c r="BO287" s="166"/>
      <c r="BP287" s="166"/>
      <c r="BQ287" s="166"/>
      <c r="BR287" s="166"/>
      <c r="BS287" s="166"/>
      <c r="BT287" s="166"/>
      <c r="BU287" s="166"/>
      <c r="BV287" s="166"/>
      <c r="BW287" s="166"/>
      <c r="BX287" s="166"/>
      <c r="BY287" s="166"/>
      <c r="BZ287" s="166"/>
      <c r="CA287" s="166"/>
      <c r="CB287" s="166"/>
      <c r="CC287" s="166"/>
      <c r="CD287" s="166"/>
      <c r="CE287" s="166"/>
      <c r="CF287" s="166"/>
      <c r="CG287" s="166"/>
      <c r="CH287" s="166"/>
      <c r="CI287" s="166"/>
      <c r="CJ287" s="166"/>
      <c r="CK287" s="166"/>
      <c r="CL287" s="166"/>
      <c r="CM287" s="167"/>
      <c r="CN287" s="167"/>
      <c r="CO287" s="167"/>
      <c r="CP287" s="167"/>
      <c r="CQ287" s="167"/>
      <c r="CR287" s="167"/>
      <c r="CS287" s="167"/>
      <c r="CT287" s="167"/>
      <c r="CU287" s="167"/>
      <c r="CV287" s="167"/>
      <c r="CW287" s="167"/>
      <c r="CX287" s="167"/>
      <c r="CY287" s="167"/>
      <c r="CZ287" s="174"/>
      <c r="DA287" s="166"/>
      <c r="DC287" s="19"/>
      <c r="DD287" s="19"/>
      <c r="DE287" s="19"/>
      <c r="DF287" s="19"/>
      <c r="DG287" s="19"/>
      <c r="DH287" s="19"/>
      <c r="DI287" s="19"/>
    </row>
    <row r="288" spans="1:113" s="24" customFormat="1" ht="12" hidden="1" outlineLevel="2">
      <c r="A288" s="1"/>
      <c r="B288" s="24" t="s">
        <v>340</v>
      </c>
      <c r="C288" s="584"/>
      <c r="D288" s="584"/>
      <c r="E288" s="584"/>
      <c r="F288" s="584"/>
      <c r="G288" s="584"/>
      <c r="H288" s="584"/>
      <c r="I288" s="584"/>
      <c r="J288" s="584"/>
      <c r="K288" s="584"/>
      <c r="L288" s="584"/>
      <c r="M288" s="584"/>
      <c r="N288" s="584"/>
      <c r="O288" s="584"/>
      <c r="P288" s="584"/>
      <c r="Q288" s="584"/>
      <c r="R288" s="584"/>
      <c r="S288" s="584"/>
      <c r="T288" s="584"/>
      <c r="U288" s="584"/>
      <c r="V288" s="584"/>
      <c r="W288" s="584"/>
      <c r="X288" s="584"/>
      <c r="Y288" s="515"/>
      <c r="Z288" s="515"/>
      <c r="AA288" s="515"/>
      <c r="AB288" s="515"/>
      <c r="AC288" s="515"/>
      <c r="AD288" s="515"/>
      <c r="AE288" s="515"/>
      <c r="AF288" s="515"/>
      <c r="AG288" s="515"/>
      <c r="AH288" s="515"/>
      <c r="AI288" s="515"/>
      <c r="AJ288" s="515"/>
      <c r="AK288" s="515"/>
      <c r="AL288" s="515"/>
      <c r="AM288" s="515"/>
      <c r="AN288" s="515"/>
      <c r="AO288" s="515"/>
      <c r="AP288" s="514"/>
      <c r="AQ288" s="514"/>
      <c r="AR288" s="514"/>
      <c r="AS288" s="514"/>
      <c r="AT288" s="514"/>
      <c r="AU288" s="514"/>
      <c r="AV288" s="514"/>
      <c r="AW288" s="514"/>
      <c r="AX288" s="514"/>
      <c r="AY288" s="514"/>
      <c r="AZ288" s="581"/>
      <c r="BA288" s="415"/>
      <c r="BB288" s="415"/>
      <c r="BC288" s="415"/>
      <c r="BD288" s="415"/>
      <c r="BE288" s="415"/>
      <c r="BF288" s="415"/>
      <c r="BG288" s="415"/>
      <c r="BH288" s="415"/>
      <c r="BI288" s="415"/>
      <c r="BJ288" s="415"/>
      <c r="BK288" s="415"/>
      <c r="BL288" s="415"/>
      <c r="BM288" s="415"/>
      <c r="BN288" s="415"/>
      <c r="BO288" s="415"/>
      <c r="BP288" s="415"/>
      <c r="BQ288" s="415"/>
      <c r="BR288" s="415"/>
      <c r="BS288" s="415"/>
      <c r="BT288" s="415"/>
      <c r="BU288" s="415"/>
      <c r="BV288" s="415"/>
      <c r="BW288" s="415"/>
      <c r="BX288" s="415"/>
      <c r="BY288" s="415"/>
      <c r="BZ288" s="415"/>
      <c r="CA288" s="415"/>
      <c r="CB288" s="415"/>
      <c r="CC288" s="415"/>
      <c r="CD288" s="415"/>
      <c r="CE288" s="415"/>
      <c r="CF288" s="415"/>
      <c r="CG288" s="415"/>
      <c r="CH288" s="415"/>
      <c r="CI288" s="415"/>
      <c r="CJ288" s="415"/>
      <c r="CK288" s="415"/>
      <c r="CL288" s="415"/>
      <c r="CM288" s="514"/>
      <c r="CN288" s="514"/>
      <c r="CO288" s="514"/>
      <c r="CP288" s="514"/>
      <c r="CQ288" s="514"/>
      <c r="CR288" s="514"/>
      <c r="CS288" s="514"/>
      <c r="CT288" s="514"/>
      <c r="CU288" s="514"/>
      <c r="CV288" s="514"/>
      <c r="CW288" s="514"/>
      <c r="CX288" s="514"/>
      <c r="CY288" s="514"/>
      <c r="CZ288" s="581"/>
      <c r="DA288" s="415"/>
      <c r="DB288" s="13"/>
    </row>
    <row r="289" spans="1:113" ht="12" hidden="1" outlineLevel="2">
      <c r="A289" s="1" t="s">
        <v>148</v>
      </c>
      <c r="B289" s="19" t="s">
        <v>162</v>
      </c>
      <c r="C289" s="416"/>
      <c r="D289" s="416"/>
      <c r="E289" s="416"/>
      <c r="F289" s="416"/>
      <c r="G289" s="416"/>
      <c r="H289" s="416"/>
      <c r="I289" s="416"/>
      <c r="J289" s="416"/>
      <c r="K289" s="416"/>
      <c r="L289" s="416"/>
      <c r="M289" s="416"/>
      <c r="N289" s="416"/>
      <c r="O289" s="416"/>
      <c r="P289" s="416"/>
      <c r="Q289" s="416"/>
      <c r="R289" s="416"/>
      <c r="S289" s="416"/>
      <c r="T289" s="416"/>
      <c r="U289" s="416"/>
      <c r="V289" s="416"/>
      <c r="W289" s="416"/>
      <c r="X289" s="416"/>
      <c r="Y289" s="416"/>
      <c r="Z289" s="416"/>
      <c r="AA289" s="416"/>
      <c r="AB289" s="416"/>
      <c r="AC289" s="416"/>
      <c r="AD289" s="416"/>
      <c r="AE289" s="416"/>
      <c r="AF289" s="416"/>
      <c r="AG289" s="416"/>
      <c r="AH289" s="416"/>
      <c r="AI289" s="416"/>
      <c r="AJ289" s="416"/>
      <c r="AK289" s="416"/>
      <c r="AL289" s="416"/>
      <c r="AM289" s="416"/>
      <c r="AN289" s="416"/>
      <c r="AO289" s="416"/>
      <c r="AP289" s="167"/>
      <c r="AQ289" s="167"/>
      <c r="AR289" s="167"/>
      <c r="AS289" s="167"/>
      <c r="AT289" s="167"/>
      <c r="AU289" s="167"/>
      <c r="AV289" s="167"/>
      <c r="AW289" s="167"/>
      <c r="AX289" s="167"/>
      <c r="AY289" s="167"/>
      <c r="AZ289" s="174"/>
      <c r="BA289" s="166"/>
      <c r="BB289" s="166"/>
      <c r="BC289" s="166"/>
      <c r="BD289" s="166"/>
      <c r="BE289" s="166"/>
      <c r="BF289" s="166"/>
      <c r="BG289" s="166"/>
      <c r="BH289" s="166"/>
      <c r="BI289" s="166"/>
      <c r="BJ289" s="166"/>
      <c r="BK289" s="166"/>
      <c r="BL289" s="166"/>
      <c r="BM289" s="166"/>
      <c r="BN289" s="166"/>
      <c r="BO289" s="166"/>
      <c r="BP289" s="166"/>
      <c r="BQ289" s="166"/>
      <c r="BR289" s="166"/>
      <c r="BS289" s="166"/>
      <c r="BT289" s="166"/>
      <c r="BU289" s="166"/>
      <c r="BV289" s="166"/>
      <c r="BW289" s="166"/>
      <c r="BX289" s="166"/>
      <c r="BY289" s="166"/>
      <c r="BZ289" s="166"/>
      <c r="CA289" s="166"/>
      <c r="CB289" s="166"/>
      <c r="CC289" s="166"/>
      <c r="CD289" s="166"/>
      <c r="CE289" s="166"/>
      <c r="CF289" s="166"/>
      <c r="CG289" s="166"/>
      <c r="CH289" s="166"/>
      <c r="CI289" s="166"/>
      <c r="CJ289" s="166"/>
      <c r="CK289" s="166"/>
      <c r="CL289" s="166"/>
      <c r="CM289" s="167"/>
      <c r="CN289" s="167"/>
      <c r="CO289" s="167"/>
      <c r="CP289" s="167"/>
      <c r="CQ289" s="167"/>
      <c r="CR289" s="167"/>
      <c r="CS289" s="167"/>
      <c r="CT289" s="167"/>
      <c r="CU289" s="167"/>
      <c r="CV289" s="167"/>
      <c r="CW289" s="167"/>
      <c r="CX289" s="167"/>
      <c r="CY289" s="167"/>
      <c r="CZ289" s="174"/>
      <c r="DA289" s="166"/>
      <c r="DC289" s="19"/>
      <c r="DD289" s="19"/>
      <c r="DE289" s="19"/>
      <c r="DF289" s="19"/>
      <c r="DG289" s="19"/>
      <c r="DH289" s="19"/>
      <c r="DI289" s="19"/>
    </row>
    <row r="290" spans="1:113" ht="12" hidden="1" outlineLevel="2">
      <c r="A290" s="1" t="s">
        <v>149</v>
      </c>
      <c r="B290" s="19" t="s">
        <v>341</v>
      </c>
      <c r="C290" s="416"/>
      <c r="D290" s="416"/>
      <c r="E290" s="416"/>
      <c r="F290" s="416"/>
      <c r="G290" s="416"/>
      <c r="H290" s="416"/>
      <c r="I290" s="416"/>
      <c r="J290" s="416"/>
      <c r="K290" s="416"/>
      <c r="L290" s="416"/>
      <c r="M290" s="416"/>
      <c r="N290" s="416"/>
      <c r="O290" s="416"/>
      <c r="P290" s="416"/>
      <c r="Q290" s="416"/>
      <c r="R290" s="416"/>
      <c r="S290" s="416"/>
      <c r="T290" s="416"/>
      <c r="U290" s="416"/>
      <c r="V290" s="416"/>
      <c r="W290" s="416"/>
      <c r="X290" s="416"/>
      <c r="Y290" s="416"/>
      <c r="Z290" s="416"/>
      <c r="AA290" s="416"/>
      <c r="AB290" s="416"/>
      <c r="AC290" s="416"/>
      <c r="AD290" s="416"/>
      <c r="AE290" s="416"/>
      <c r="AF290" s="416"/>
      <c r="AG290" s="416"/>
      <c r="AH290" s="416"/>
      <c r="AI290" s="416"/>
      <c r="AJ290" s="416"/>
      <c r="AK290" s="416"/>
      <c r="AL290" s="416"/>
      <c r="AM290" s="416"/>
      <c r="AN290" s="416"/>
      <c r="AO290" s="416"/>
      <c r="AP290" s="167"/>
      <c r="AQ290" s="167"/>
      <c r="AR290" s="167"/>
      <c r="AS290" s="167"/>
      <c r="AT290" s="167"/>
      <c r="AU290" s="167"/>
      <c r="AV290" s="167"/>
      <c r="AW290" s="167"/>
      <c r="AX290" s="167"/>
      <c r="AY290" s="167"/>
      <c r="AZ290" s="174"/>
      <c r="BA290" s="166"/>
      <c r="BB290" s="166"/>
      <c r="BC290" s="166"/>
      <c r="BD290" s="166"/>
      <c r="BE290" s="166"/>
      <c r="BF290" s="166"/>
      <c r="BG290" s="166"/>
      <c r="BH290" s="166"/>
      <c r="BI290" s="166"/>
      <c r="BJ290" s="166"/>
      <c r="BK290" s="166"/>
      <c r="BL290" s="166"/>
      <c r="BM290" s="166"/>
      <c r="BN290" s="166"/>
      <c r="BO290" s="166"/>
      <c r="BP290" s="166"/>
      <c r="BQ290" s="166"/>
      <c r="BR290" s="166"/>
      <c r="BS290" s="166"/>
      <c r="BT290" s="166"/>
      <c r="BU290" s="166"/>
      <c r="BV290" s="166"/>
      <c r="BW290" s="166"/>
      <c r="BX290" s="166"/>
      <c r="BY290" s="166"/>
      <c r="BZ290" s="166"/>
      <c r="CA290" s="166"/>
      <c r="CB290" s="166"/>
      <c r="CC290" s="166"/>
      <c r="CD290" s="166"/>
      <c r="CE290" s="166"/>
      <c r="CF290" s="166"/>
      <c r="CG290" s="166"/>
      <c r="CH290" s="166"/>
      <c r="CI290" s="166"/>
      <c r="CJ290" s="166"/>
      <c r="CK290" s="166"/>
      <c r="CL290" s="166"/>
      <c r="CM290" s="167"/>
      <c r="CN290" s="167"/>
      <c r="CO290" s="167"/>
      <c r="CP290" s="167"/>
      <c r="CQ290" s="167"/>
      <c r="CR290" s="167"/>
      <c r="CS290" s="167"/>
      <c r="CT290" s="167"/>
      <c r="CU290" s="167"/>
      <c r="CV290" s="167"/>
      <c r="CW290" s="167"/>
      <c r="CX290" s="167"/>
      <c r="CY290" s="167"/>
      <c r="CZ290" s="174"/>
      <c r="DA290" s="166"/>
      <c r="DC290" s="19"/>
      <c r="DD290" s="19"/>
      <c r="DE290" s="19"/>
      <c r="DF290" s="19"/>
      <c r="DG290" s="19"/>
      <c r="DH290" s="19"/>
      <c r="DI290" s="19"/>
    </row>
    <row r="291" spans="1:113" s="24" customFormat="1" ht="12" hidden="1" outlineLevel="2">
      <c r="A291" s="1" t="s">
        <v>67</v>
      </c>
      <c r="B291" s="24" t="s">
        <v>581</v>
      </c>
      <c r="C291" s="584"/>
      <c r="D291" s="584"/>
      <c r="E291" s="584"/>
      <c r="F291" s="584"/>
      <c r="G291" s="584"/>
      <c r="H291" s="584"/>
      <c r="I291" s="584"/>
      <c r="J291" s="584"/>
      <c r="K291" s="584"/>
      <c r="L291" s="584"/>
      <c r="M291" s="584"/>
      <c r="N291" s="584"/>
      <c r="O291" s="584"/>
      <c r="P291" s="584"/>
      <c r="Q291" s="584"/>
      <c r="R291" s="584"/>
      <c r="S291" s="584"/>
      <c r="T291" s="584"/>
      <c r="U291" s="584"/>
      <c r="V291" s="584"/>
      <c r="W291" s="584"/>
      <c r="X291" s="584"/>
      <c r="Y291" s="515"/>
      <c r="Z291" s="515"/>
      <c r="AA291" s="515"/>
      <c r="AB291" s="515"/>
      <c r="AC291" s="515"/>
      <c r="AD291" s="515"/>
      <c r="AE291" s="515"/>
      <c r="AF291" s="515"/>
      <c r="AG291" s="515"/>
      <c r="AH291" s="515"/>
      <c r="AI291" s="515"/>
      <c r="AJ291" s="515"/>
      <c r="AK291" s="515"/>
      <c r="AL291" s="515"/>
      <c r="AM291" s="515"/>
      <c r="AN291" s="515"/>
      <c r="AO291" s="515"/>
      <c r="AP291" s="514"/>
      <c r="AQ291" s="514"/>
      <c r="AR291" s="514"/>
      <c r="AS291" s="514"/>
      <c r="AT291" s="514"/>
      <c r="AU291" s="514"/>
      <c r="AV291" s="514"/>
      <c r="AW291" s="514"/>
      <c r="AX291" s="514"/>
      <c r="AY291" s="514"/>
      <c r="AZ291" s="581"/>
      <c r="BA291" s="415"/>
      <c r="BB291" s="415"/>
      <c r="BC291" s="415"/>
      <c r="BD291" s="415"/>
      <c r="BE291" s="415"/>
      <c r="BF291" s="415"/>
      <c r="BG291" s="415"/>
      <c r="BH291" s="415"/>
      <c r="BI291" s="415"/>
      <c r="BJ291" s="415"/>
      <c r="BK291" s="415"/>
      <c r="BL291" s="415"/>
      <c r="BM291" s="415"/>
      <c r="BN291" s="415"/>
      <c r="BO291" s="415"/>
      <c r="BP291" s="415"/>
      <c r="BQ291" s="415"/>
      <c r="BR291" s="415"/>
      <c r="BS291" s="415"/>
      <c r="BT291" s="415"/>
      <c r="BU291" s="415"/>
      <c r="BV291" s="415"/>
      <c r="BW291" s="415"/>
      <c r="BX291" s="415"/>
      <c r="BY291" s="415"/>
      <c r="BZ291" s="415"/>
      <c r="CA291" s="415"/>
      <c r="CB291" s="415"/>
      <c r="CC291" s="415"/>
      <c r="CD291" s="415"/>
      <c r="CE291" s="415"/>
      <c r="CF291" s="415"/>
      <c r="CG291" s="415"/>
      <c r="CH291" s="415"/>
      <c r="CI291" s="415"/>
      <c r="CJ291" s="415"/>
      <c r="CK291" s="415"/>
      <c r="CL291" s="415"/>
      <c r="CM291" s="514"/>
      <c r="CN291" s="514"/>
      <c r="CO291" s="514"/>
      <c r="CP291" s="514"/>
      <c r="CQ291" s="514"/>
      <c r="CR291" s="514"/>
      <c r="CS291" s="514"/>
      <c r="CT291" s="514"/>
      <c r="CU291" s="514"/>
      <c r="CV291" s="514"/>
      <c r="CW291" s="514"/>
      <c r="CX291" s="514"/>
      <c r="CY291" s="514"/>
      <c r="CZ291" s="581"/>
      <c r="DA291" s="415"/>
      <c r="DB291" s="415"/>
      <c r="DC291" s="415"/>
      <c r="DD291" s="415"/>
      <c r="DE291" s="415"/>
      <c r="DF291" s="415"/>
      <c r="DG291" s="415"/>
      <c r="DH291" s="415"/>
      <c r="DI291" s="415"/>
    </row>
    <row r="292" spans="1:113" ht="12" hidden="1" outlineLevel="2">
      <c r="A292" s="1" t="s">
        <v>68</v>
      </c>
      <c r="B292" s="19" t="s">
        <v>342</v>
      </c>
      <c r="C292" s="601"/>
      <c r="D292" s="601"/>
      <c r="E292" s="601"/>
      <c r="F292" s="601"/>
      <c r="G292" s="601"/>
      <c r="H292" s="601"/>
      <c r="I292" s="601"/>
      <c r="J292" s="601"/>
      <c r="K292" s="601"/>
      <c r="L292" s="601"/>
      <c r="M292" s="601"/>
      <c r="N292" s="601"/>
      <c r="O292" s="601"/>
      <c r="P292" s="601"/>
      <c r="Q292" s="601"/>
      <c r="R292" s="601"/>
      <c r="S292" s="601"/>
      <c r="T292" s="601"/>
      <c r="U292" s="601"/>
      <c r="V292" s="601"/>
      <c r="W292" s="601"/>
      <c r="X292" s="601"/>
      <c r="Y292" s="416"/>
      <c r="Z292" s="416"/>
      <c r="AA292" s="416"/>
      <c r="AB292" s="416"/>
      <c r="AC292" s="416"/>
      <c r="AD292" s="416"/>
      <c r="AE292" s="416"/>
      <c r="AF292" s="416"/>
      <c r="AG292" s="416"/>
      <c r="AH292" s="416"/>
      <c r="AI292" s="416"/>
      <c r="AJ292" s="416"/>
      <c r="AK292" s="416"/>
      <c r="AL292" s="416"/>
      <c r="AM292" s="416"/>
      <c r="AN292" s="416"/>
      <c r="AO292" s="416"/>
      <c r="AP292" s="509"/>
      <c r="AQ292" s="509"/>
      <c r="AR292" s="509"/>
      <c r="AS292" s="509"/>
      <c r="AT292" s="509"/>
      <c r="AU292" s="509"/>
      <c r="AV292" s="509"/>
      <c r="AW292" s="509"/>
      <c r="AX292" s="509"/>
      <c r="AY292" s="783"/>
      <c r="AZ292" s="558"/>
      <c r="BA292" s="499"/>
      <c r="BB292" s="499"/>
      <c r="BC292" s="499"/>
      <c r="BD292" s="499"/>
      <c r="BE292" s="499"/>
      <c r="BF292" s="499"/>
      <c r="BG292" s="499"/>
      <c r="BH292" s="499"/>
      <c r="BI292" s="499"/>
      <c r="BJ292" s="499"/>
      <c r="BK292" s="499"/>
      <c r="BL292" s="499"/>
      <c r="BM292" s="499"/>
      <c r="BN292" s="499"/>
      <c r="BO292" s="499"/>
      <c r="BP292" s="499"/>
      <c r="BQ292" s="499"/>
      <c r="BR292" s="166"/>
      <c r="BS292" s="417"/>
      <c r="BT292" s="417"/>
      <c r="BU292" s="417"/>
      <c r="BV292" s="417"/>
      <c r="BW292" s="417"/>
      <c r="BX292" s="417"/>
      <c r="BY292" s="417"/>
      <c r="BZ292" s="417"/>
      <c r="CA292" s="417"/>
      <c r="CB292" s="417"/>
      <c r="CC292" s="166"/>
      <c r="CD292" s="166"/>
      <c r="CE292" s="166"/>
      <c r="CF292" s="166"/>
      <c r="CG292" s="166"/>
      <c r="CH292" s="166"/>
      <c r="CI292" s="166"/>
      <c r="CJ292" s="166"/>
      <c r="CK292" s="166"/>
      <c r="CL292" s="166"/>
      <c r="CM292" s="167"/>
      <c r="CN292" s="167"/>
      <c r="CO292" s="167"/>
      <c r="CP292" s="167"/>
      <c r="CQ292" s="167"/>
      <c r="CR292" s="167"/>
      <c r="CS292" s="167"/>
      <c r="CT292" s="509"/>
      <c r="CU292" s="509"/>
      <c r="CV292" s="167"/>
      <c r="CW292" s="167"/>
      <c r="CX292" s="167"/>
      <c r="CY292" s="167"/>
      <c r="CZ292" s="174"/>
      <c r="DA292" s="166"/>
      <c r="DB292" s="166"/>
      <c r="DC292" s="166"/>
      <c r="DD292" s="166"/>
      <c r="DE292" s="166"/>
      <c r="DF292" s="166"/>
      <c r="DG292" s="166"/>
      <c r="DH292" s="166"/>
      <c r="DI292" s="166"/>
    </row>
    <row r="293" spans="1:113" ht="12" hidden="1" outlineLevel="2">
      <c r="A293" s="1" t="s">
        <v>69</v>
      </c>
      <c r="B293" s="19" t="s">
        <v>586</v>
      </c>
      <c r="C293" s="601"/>
      <c r="D293" s="601"/>
      <c r="E293" s="601"/>
      <c r="F293" s="601"/>
      <c r="G293" s="601"/>
      <c r="H293" s="601"/>
      <c r="I293" s="601"/>
      <c r="J293" s="601"/>
      <c r="K293" s="601"/>
      <c r="L293" s="601"/>
      <c r="M293" s="601"/>
      <c r="N293" s="601"/>
      <c r="O293" s="601"/>
      <c r="P293" s="601"/>
      <c r="Q293" s="601"/>
      <c r="R293" s="601"/>
      <c r="S293" s="601"/>
      <c r="T293" s="601"/>
      <c r="U293" s="601"/>
      <c r="V293" s="601"/>
      <c r="W293" s="601"/>
      <c r="X293" s="601"/>
      <c r="Y293" s="416"/>
      <c r="Z293" s="416"/>
      <c r="AA293" s="416"/>
      <c r="AB293" s="416"/>
      <c r="AC293" s="416"/>
      <c r="AD293" s="416"/>
      <c r="AE293" s="416"/>
      <c r="AF293" s="416"/>
      <c r="AG293" s="416"/>
      <c r="AH293" s="416"/>
      <c r="AI293" s="416"/>
      <c r="AJ293" s="416"/>
      <c r="AK293" s="416"/>
      <c r="AL293" s="416"/>
      <c r="AM293" s="416"/>
      <c r="AN293" s="416"/>
      <c r="AO293" s="416"/>
      <c r="AP293" s="509"/>
      <c r="AQ293" s="509"/>
      <c r="AR293" s="509"/>
      <c r="AS293" s="509"/>
      <c r="AT293" s="509"/>
      <c r="AU293" s="509"/>
      <c r="AV293" s="509"/>
      <c r="AW293" s="509"/>
      <c r="AX293" s="509"/>
      <c r="AY293" s="783"/>
      <c r="AZ293" s="558"/>
      <c r="BA293" s="499"/>
      <c r="BB293" s="499"/>
      <c r="BC293" s="499"/>
      <c r="BD293" s="499"/>
      <c r="BE293" s="499"/>
      <c r="BF293" s="499"/>
      <c r="BG293" s="499"/>
      <c r="BH293" s="499"/>
      <c r="BI293" s="499"/>
      <c r="BJ293" s="499"/>
      <c r="BK293" s="499"/>
      <c r="BL293" s="499"/>
      <c r="BM293" s="499"/>
      <c r="BN293" s="499"/>
      <c r="BO293" s="499"/>
      <c r="BP293" s="499"/>
      <c r="BQ293" s="499"/>
      <c r="BR293" s="166"/>
      <c r="BS293" s="417"/>
      <c r="BT293" s="417"/>
      <c r="BU293" s="417"/>
      <c r="BV293" s="417"/>
      <c r="BW293" s="417"/>
      <c r="BX293" s="417"/>
      <c r="BY293" s="417"/>
      <c r="BZ293" s="417"/>
      <c r="CA293" s="417"/>
      <c r="CB293" s="417"/>
      <c r="CC293" s="166"/>
      <c r="CD293" s="166"/>
      <c r="CE293" s="166"/>
      <c r="CF293" s="166"/>
      <c r="CG293" s="166"/>
      <c r="CH293" s="166"/>
      <c r="CI293" s="166"/>
      <c r="CJ293" s="166"/>
      <c r="CK293" s="166"/>
      <c r="CL293" s="166"/>
      <c r="CM293" s="167"/>
      <c r="CN293" s="167"/>
      <c r="CO293" s="167"/>
      <c r="CP293" s="167"/>
      <c r="CQ293" s="167"/>
      <c r="CR293" s="167"/>
      <c r="CS293" s="167"/>
      <c r="CT293" s="509"/>
      <c r="CU293" s="509"/>
      <c r="CV293" s="167"/>
      <c r="CW293" s="167"/>
      <c r="CX293" s="167"/>
      <c r="CY293" s="167"/>
      <c r="CZ293" s="174"/>
      <c r="DA293" s="166"/>
      <c r="DB293" s="166"/>
      <c r="DC293" s="166"/>
      <c r="DD293" s="166"/>
      <c r="DE293" s="166"/>
      <c r="DF293" s="166"/>
      <c r="DG293" s="166"/>
      <c r="DH293" s="166"/>
      <c r="DI293" s="166"/>
    </row>
    <row r="294" spans="1:113" s="24" customFormat="1" ht="12" hidden="1" outlineLevel="2">
      <c r="A294" s="1" t="s">
        <v>70</v>
      </c>
      <c r="B294" s="24" t="s">
        <v>587</v>
      </c>
      <c r="C294" s="584"/>
      <c r="D294" s="584"/>
      <c r="E294" s="584"/>
      <c r="F294" s="584"/>
      <c r="G294" s="584"/>
      <c r="H294" s="584"/>
      <c r="I294" s="584"/>
      <c r="J294" s="584"/>
      <c r="K294" s="584"/>
      <c r="L294" s="584"/>
      <c r="M294" s="584"/>
      <c r="N294" s="584"/>
      <c r="O294" s="584"/>
      <c r="P294" s="584"/>
      <c r="Q294" s="584"/>
      <c r="R294" s="584"/>
      <c r="S294" s="584"/>
      <c r="T294" s="584"/>
      <c r="U294" s="584"/>
      <c r="V294" s="584"/>
      <c r="W294" s="584"/>
      <c r="X294" s="584"/>
      <c r="Y294" s="515"/>
      <c r="Z294" s="515"/>
      <c r="AA294" s="515"/>
      <c r="AB294" s="515"/>
      <c r="AC294" s="515"/>
      <c r="AD294" s="515"/>
      <c r="AE294" s="515"/>
      <c r="AF294" s="515"/>
      <c r="AG294" s="515"/>
      <c r="AH294" s="515"/>
      <c r="AI294" s="515"/>
      <c r="AJ294" s="515"/>
      <c r="AK294" s="515"/>
      <c r="AL294" s="515"/>
      <c r="AM294" s="515"/>
      <c r="AN294" s="515"/>
      <c r="AO294" s="515"/>
      <c r="AP294" s="514"/>
      <c r="AQ294" s="514"/>
      <c r="AR294" s="514"/>
      <c r="AS294" s="514"/>
      <c r="AT294" s="514"/>
      <c r="AU294" s="514"/>
      <c r="AV294" s="514"/>
      <c r="AW294" s="514"/>
      <c r="AX294" s="514"/>
      <c r="AY294" s="514"/>
      <c r="AZ294" s="581"/>
      <c r="BA294" s="415"/>
      <c r="BB294" s="415"/>
      <c r="BC294" s="415"/>
      <c r="BD294" s="415"/>
      <c r="BE294" s="415"/>
      <c r="BF294" s="415"/>
      <c r="BG294" s="415"/>
      <c r="BH294" s="415"/>
      <c r="BI294" s="415"/>
      <c r="BJ294" s="415"/>
      <c r="BK294" s="415"/>
      <c r="BL294" s="415"/>
      <c r="BM294" s="415"/>
      <c r="BN294" s="415"/>
      <c r="BO294" s="415"/>
      <c r="BP294" s="415"/>
      <c r="BQ294" s="415"/>
      <c r="BR294" s="415"/>
      <c r="BS294" s="415"/>
      <c r="BT294" s="415"/>
      <c r="BU294" s="415"/>
      <c r="BV294" s="415"/>
      <c r="BW294" s="415"/>
      <c r="BX294" s="415"/>
      <c r="BY294" s="415"/>
      <c r="BZ294" s="415"/>
      <c r="CA294" s="415"/>
      <c r="CB294" s="415"/>
      <c r="CC294" s="415"/>
      <c r="CD294" s="415"/>
      <c r="CE294" s="415"/>
      <c r="CF294" s="415"/>
      <c r="CG294" s="415"/>
      <c r="CH294" s="415"/>
      <c r="CI294" s="415"/>
      <c r="CJ294" s="415"/>
      <c r="CK294" s="415"/>
      <c r="CL294" s="415"/>
      <c r="CM294" s="514"/>
      <c r="CN294" s="514"/>
      <c r="CO294" s="514"/>
      <c r="CP294" s="514"/>
      <c r="CQ294" s="514"/>
      <c r="CR294" s="514"/>
      <c r="CS294" s="514"/>
      <c r="CT294" s="514"/>
      <c r="CU294" s="514"/>
      <c r="CV294" s="514"/>
      <c r="CW294" s="514"/>
      <c r="CX294" s="514"/>
      <c r="CY294" s="514"/>
      <c r="CZ294" s="581"/>
      <c r="DA294" s="415"/>
      <c r="DB294" s="415"/>
      <c r="DC294" s="415"/>
      <c r="DD294" s="415"/>
      <c r="DE294" s="415"/>
      <c r="DF294" s="415"/>
      <c r="DG294" s="415"/>
      <c r="DH294" s="415"/>
      <c r="DI294" s="415"/>
    </row>
    <row r="295" spans="1:113" ht="12" hidden="1" outlineLevel="2">
      <c r="A295" s="1" t="s">
        <v>71</v>
      </c>
      <c r="B295" s="19" t="s">
        <v>386</v>
      </c>
      <c r="C295" s="601"/>
      <c r="D295" s="601"/>
      <c r="E295" s="601"/>
      <c r="F295" s="601"/>
      <c r="G295" s="601"/>
      <c r="H295" s="601"/>
      <c r="I295" s="601"/>
      <c r="J295" s="601"/>
      <c r="K295" s="601"/>
      <c r="L295" s="601"/>
      <c r="M295" s="601"/>
      <c r="N295" s="601"/>
      <c r="O295" s="601"/>
      <c r="P295" s="601"/>
      <c r="Q295" s="601"/>
      <c r="R295" s="601"/>
      <c r="S295" s="601"/>
      <c r="T295" s="601"/>
      <c r="U295" s="601"/>
      <c r="V295" s="601"/>
      <c r="W295" s="601"/>
      <c r="X295" s="601"/>
      <c r="Y295" s="416"/>
      <c r="Z295" s="416"/>
      <c r="AA295" s="416"/>
      <c r="AB295" s="416"/>
      <c r="AC295" s="416"/>
      <c r="AD295" s="416"/>
      <c r="AE295" s="416"/>
      <c r="AF295" s="416"/>
      <c r="AG295" s="416"/>
      <c r="AH295" s="416"/>
      <c r="AI295" s="416"/>
      <c r="AJ295" s="416"/>
      <c r="AK295" s="416"/>
      <c r="AL295" s="416"/>
      <c r="AM295" s="416"/>
      <c r="AN295" s="416"/>
      <c r="AO295" s="416"/>
      <c r="AP295" s="416"/>
      <c r="AQ295" s="416"/>
      <c r="AR295" s="416"/>
      <c r="AS295" s="416"/>
      <c r="AT295" s="416"/>
      <c r="AU295" s="416"/>
      <c r="AV295" s="416"/>
      <c r="AW295" s="416"/>
      <c r="AX295" s="416"/>
      <c r="AY295" s="783"/>
      <c r="AZ295" s="435"/>
      <c r="BA295" s="499"/>
      <c r="BB295" s="499"/>
      <c r="BC295" s="499"/>
      <c r="BD295" s="499"/>
      <c r="BE295" s="499"/>
      <c r="BF295" s="499"/>
      <c r="BG295" s="499"/>
      <c r="BH295" s="499"/>
      <c r="BI295" s="499"/>
      <c r="BJ295" s="499"/>
      <c r="BK295" s="499"/>
      <c r="BL295" s="499"/>
      <c r="BM295" s="499"/>
      <c r="BN295" s="499"/>
      <c r="BO295" s="499"/>
      <c r="BP295" s="499"/>
      <c r="BQ295" s="499"/>
      <c r="BR295" s="166"/>
      <c r="BS295" s="166"/>
      <c r="BT295" s="166"/>
      <c r="BU295" s="166"/>
      <c r="BV295" s="166"/>
      <c r="BW295" s="166"/>
      <c r="BX295" s="166"/>
      <c r="BY295" s="166"/>
      <c r="BZ295" s="166"/>
      <c r="CA295" s="166"/>
      <c r="CB295" s="166"/>
      <c r="CC295" s="166"/>
      <c r="CD295" s="166"/>
      <c r="CE295" s="166"/>
      <c r="CF295" s="166"/>
      <c r="CG295" s="166"/>
      <c r="CH295" s="166"/>
      <c r="CI295" s="166"/>
      <c r="CJ295" s="166"/>
      <c r="CK295" s="166"/>
      <c r="CL295" s="166"/>
      <c r="CM295" s="167"/>
      <c r="CN295" s="167"/>
      <c r="CO295" s="167"/>
      <c r="CP295" s="167"/>
      <c r="CQ295" s="167"/>
      <c r="CR295" s="167"/>
      <c r="CS295" s="167"/>
      <c r="CT295" s="416"/>
      <c r="CU295" s="416"/>
      <c r="CV295" s="167"/>
      <c r="CW295" s="167"/>
      <c r="CX295" s="167"/>
      <c r="CY295" s="167"/>
      <c r="CZ295" s="174"/>
      <c r="DA295" s="166"/>
      <c r="DB295" s="166"/>
      <c r="DC295" s="166"/>
      <c r="DD295" s="166"/>
      <c r="DE295" s="166"/>
      <c r="DF295" s="166"/>
      <c r="DG295" s="166"/>
      <c r="DH295" s="166"/>
      <c r="DI295" s="166"/>
    </row>
    <row r="296" spans="1:113" s="24" customFormat="1" ht="12" hidden="1" outlineLevel="1" collapsed="1">
      <c r="A296" s="1" t="s">
        <v>72</v>
      </c>
      <c r="B296" s="24" t="s">
        <v>469</v>
      </c>
      <c r="C296" s="515"/>
      <c r="D296" s="515"/>
      <c r="E296" s="515"/>
      <c r="F296" s="515"/>
      <c r="G296" s="515"/>
      <c r="H296" s="515"/>
      <c r="I296" s="515"/>
      <c r="J296" s="515"/>
      <c r="K296" s="515"/>
      <c r="L296" s="515"/>
      <c r="M296" s="515"/>
      <c r="N296" s="515"/>
      <c r="O296" s="515"/>
      <c r="P296" s="515"/>
      <c r="Q296" s="515"/>
      <c r="R296" s="515"/>
      <c r="S296" s="515"/>
      <c r="T296" s="515"/>
      <c r="U296" s="515"/>
      <c r="V296" s="515"/>
      <c r="W296" s="515"/>
      <c r="X296" s="515"/>
      <c r="Y296" s="515"/>
      <c r="Z296" s="515"/>
      <c r="AA296" s="515"/>
      <c r="AB296" s="515"/>
      <c r="AC296" s="515"/>
      <c r="AD296" s="515"/>
      <c r="AE296" s="515"/>
      <c r="AF296" s="515"/>
      <c r="AG296" s="515"/>
      <c r="AH296" s="515"/>
      <c r="AI296" s="515"/>
      <c r="AJ296" s="515"/>
      <c r="AK296" s="515"/>
      <c r="AL296" s="515"/>
      <c r="AM296" s="515"/>
      <c r="AN296" s="515"/>
      <c r="AO296" s="515"/>
      <c r="AP296" s="598">
        <f>((55.5)*AP$5/AP239)-AP$80</f>
        <v>3.5479135188899058E-2</v>
      </c>
      <c r="AQ296" s="598">
        <f>((70.9)*AQ$5/AQ239)-AQ$80</f>
        <v>2.8693702590734893E-2</v>
      </c>
      <c r="AR296" s="598">
        <f>((99)*AR$5/AR239)-AR$80</f>
        <v>2.5327145736144807E-2</v>
      </c>
      <c r="AS296" s="598">
        <f>((221.9-99)*AS$5/AS239)-AS$80</f>
        <v>2.6041794772679591E-2</v>
      </c>
      <c r="AT296" s="598">
        <f>((241.8)*AT$5/AT239)-AT$80</f>
        <v>2.5451375456928139E-2</v>
      </c>
      <c r="AU296" s="598">
        <f>((332.4)*AU$5/AU239)-AU$80</f>
        <v>2.5409233114631578E-2</v>
      </c>
      <c r="AV296" s="598">
        <f>((432.2)*AV$5/AV239)-AV$80</f>
        <v>2.5050868889039159E-2</v>
      </c>
      <c r="AW296" s="598">
        <f>((478.1)*AW$5/AW239)-AW$80</f>
        <v>2.7935756456931887E-2</v>
      </c>
      <c r="AX296" s="598">
        <f>((525)*AX$5/AX239)-AX$80</f>
        <v>3.2774319257209167E-2</v>
      </c>
      <c r="AY296" s="598">
        <f>((534.9)*AY$5/AY239)-AY$80</f>
        <v>3.4535638567853126E-2</v>
      </c>
      <c r="AZ296" s="624">
        <f>((558.5)*AZ$5/AZ239)-AZ$80</f>
        <v>3.5409187695211342E-2</v>
      </c>
      <c r="BA296" s="673">
        <f>AZ296+[3]JDO!N$15</f>
        <v>3.5325455159984934E-2</v>
      </c>
      <c r="BB296" s="673">
        <f>BA296+[3]JDO!O$15</f>
        <v>3.5562135274170799E-2</v>
      </c>
      <c r="BC296" s="673">
        <f>BB296+[3]JDO!P$15</f>
        <v>3.5669590417504164E-2</v>
      </c>
      <c r="BD296" s="673">
        <f>BC296+[3]JDO!Q$15</f>
        <v>3.5669590417504164E-2</v>
      </c>
      <c r="BE296" s="673">
        <f>BD296+[3]JDO!R$15</f>
        <v>3.5563359182124624E-2</v>
      </c>
      <c r="BF296" s="673">
        <f>BE296+[3]JDO!S$15</f>
        <v>3.537288168600377E-2</v>
      </c>
      <c r="BG296" s="673">
        <f>BF296+[3]JDO!T$15</f>
        <v>3.5198503849999063E-2</v>
      </c>
      <c r="BH296" s="673">
        <f>BG296+[3]JDO!U$15</f>
        <v>3.5009920206118705E-2</v>
      </c>
      <c r="BI296" s="673">
        <f>BH296+[3]JDO!V$15</f>
        <v>3.4840905703802959E-2</v>
      </c>
      <c r="BJ296" s="673">
        <f>BI296+[3]JDO!W$15</f>
        <v>3.4657377278358853E-2</v>
      </c>
      <c r="BK296" s="673">
        <f>BJ296+[3]JDO!X$15</f>
        <v>3.4494117818890363E-2</v>
      </c>
      <c r="BL296" s="673">
        <f>BK296+[3]JDO!Y$15</f>
        <v>3.4315859347100471E-2</v>
      </c>
      <c r="BM296" s="673">
        <f>BL296+[3]JDO!Z$15</f>
        <v>3.4158493617898356E-2</v>
      </c>
      <c r="BN296" s="673">
        <f>BM296+[3]JDO!AA$15</f>
        <v>3.3986560510311722E-2</v>
      </c>
      <c r="BO296" s="673">
        <f>BN296+[3]JDO!AB$15</f>
        <v>3.3832337366236323E-2</v>
      </c>
      <c r="BP296" s="673">
        <f>BO296+[3]JDO!AC$15</f>
        <v>3.3664116129014404E-2</v>
      </c>
      <c r="BQ296" s="673">
        <f>BP296+[3]JDO!AD$15</f>
        <v>3.3509592552459111E-2</v>
      </c>
      <c r="BR296" s="415"/>
      <c r="BS296" s="425"/>
      <c r="BT296" s="425"/>
      <c r="BU296" s="425"/>
      <c r="BV296" s="425"/>
      <c r="BW296" s="425"/>
      <c r="BX296" s="425"/>
      <c r="BY296" s="425"/>
      <c r="BZ296" s="425"/>
      <c r="CA296" s="425"/>
      <c r="CB296" s="425"/>
      <c r="CC296" s="415"/>
      <c r="CD296" s="415"/>
      <c r="CE296" s="415"/>
      <c r="CF296" s="415"/>
      <c r="CG296" s="415"/>
      <c r="CH296" s="415"/>
      <c r="CI296" s="415"/>
      <c r="CJ296" s="415"/>
      <c r="CK296" s="415"/>
      <c r="CL296" s="415"/>
      <c r="CM296" s="514"/>
      <c r="CN296" s="514"/>
      <c r="CO296" s="514"/>
      <c r="CP296" s="514"/>
      <c r="CQ296" s="514"/>
      <c r="CR296" s="514"/>
      <c r="CS296" s="514"/>
      <c r="CT296" s="513">
        <f>(6.262*CT$5/CT239)-CT$318</f>
        <v>3.8681351981351982E-2</v>
      </c>
      <c r="CU296" s="513">
        <f>(52.389*CU$5/CU239)-CU$80</f>
        <v>3.0589592655962096E-2</v>
      </c>
      <c r="CV296" s="514">
        <f>AVERAGE(AP296:AQ296)</f>
        <v>3.2086418889816976E-2</v>
      </c>
      <c r="CW296" s="514">
        <f>AVERAGE(AR296:AS296)</f>
        <v>2.5684470254412201E-2</v>
      </c>
      <c r="CX296" s="514">
        <f>AVERAGE(AT296:AU296)</f>
        <v>2.5430304285779859E-2</v>
      </c>
      <c r="CY296" s="514">
        <f>AVERAGE(AV296:AW296)</f>
        <v>2.6493312672985523E-2</v>
      </c>
      <c r="CZ296" s="581">
        <f>AVERAGE(AX296:AY296)</f>
        <v>3.365497891253115E-2</v>
      </c>
      <c r="DA296" s="415">
        <f>AVERAGE(AZ296:BA296)</f>
        <v>3.5367321427598138E-2</v>
      </c>
      <c r="DB296" s="415">
        <f>AVERAGE(BB296:BC296)</f>
        <v>3.5615862845837482E-2</v>
      </c>
      <c r="DC296" s="415">
        <f>AVERAGE(BD296:BE296)</f>
        <v>3.561647479981439E-2</v>
      </c>
      <c r="DD296" s="415">
        <f>AVERAGE(BF296:BG296)</f>
        <v>3.528569276800142E-2</v>
      </c>
      <c r="DE296" s="415">
        <f>AVERAGE(BH296:BI296)</f>
        <v>3.4925412954960836E-2</v>
      </c>
      <c r="DF296" s="415">
        <f>AVERAGE(BJ296:BK296)</f>
        <v>3.4575747548624608E-2</v>
      </c>
      <c r="DG296" s="415">
        <f>AVERAGE(BL296:BM296)</f>
        <v>3.423717648249941E-2</v>
      </c>
      <c r="DH296" s="415">
        <f>AVERAGE(BN296:BO296)</f>
        <v>3.3909448938274023E-2</v>
      </c>
      <c r="DI296" s="415">
        <f>AVERAGE(BP296:BQ296)</f>
        <v>3.3586854340736758E-2</v>
      </c>
    </row>
    <row r="297" spans="1:113" ht="12" hidden="1" outlineLevel="1">
      <c r="C297" s="601"/>
      <c r="D297" s="601"/>
      <c r="E297" s="601"/>
      <c r="F297" s="601"/>
      <c r="G297" s="601"/>
      <c r="H297" s="601"/>
      <c r="I297" s="601"/>
      <c r="J297" s="601"/>
      <c r="K297" s="601"/>
      <c r="L297" s="601"/>
      <c r="M297" s="601"/>
      <c r="N297" s="601"/>
      <c r="O297" s="601"/>
      <c r="P297" s="601"/>
      <c r="Q297" s="601"/>
      <c r="R297" s="601"/>
      <c r="S297" s="601"/>
      <c r="T297" s="601"/>
      <c r="U297" s="601"/>
      <c r="V297" s="601"/>
      <c r="W297" s="601"/>
      <c r="X297" s="601"/>
      <c r="Y297" s="416"/>
      <c r="Z297" s="416"/>
      <c r="AA297" s="416"/>
      <c r="AB297" s="416"/>
      <c r="AC297" s="416"/>
      <c r="AD297" s="416"/>
      <c r="AE297" s="604"/>
      <c r="AF297" s="604"/>
      <c r="AG297" s="604"/>
      <c r="AH297" s="604"/>
      <c r="AI297" s="604"/>
      <c r="AJ297" s="416"/>
      <c r="AK297" s="416"/>
      <c r="AL297" s="416"/>
      <c r="AM297" s="416"/>
      <c r="AN297" s="416"/>
      <c r="AO297" s="416"/>
      <c r="AP297" s="167"/>
      <c r="AQ297" s="167"/>
      <c r="AR297" s="167"/>
      <c r="AS297" s="167"/>
      <c r="AT297" s="167"/>
      <c r="AU297" s="167"/>
      <c r="AV297" s="167"/>
      <c r="AW297" s="167"/>
      <c r="AX297" s="167"/>
      <c r="AY297" s="167"/>
      <c r="AZ297" s="174"/>
      <c r="BA297" s="167"/>
      <c r="BB297" s="167"/>
      <c r="BC297" s="167"/>
      <c r="BD297" s="166"/>
      <c r="BE297" s="166"/>
      <c r="BF297" s="166"/>
      <c r="BG297" s="166"/>
      <c r="BH297" s="166"/>
      <c r="BI297" s="166"/>
      <c r="BJ297" s="166"/>
      <c r="BK297" s="166"/>
      <c r="BL297" s="166"/>
      <c r="BM297" s="166"/>
      <c r="BN297" s="166"/>
      <c r="BO297" s="166"/>
      <c r="BP297" s="166"/>
      <c r="BQ297" s="166"/>
      <c r="BR297" s="166"/>
      <c r="BS297" s="166"/>
      <c r="BT297" s="166"/>
      <c r="BU297" s="166"/>
      <c r="BV297" s="166"/>
      <c r="BW297" s="166"/>
      <c r="BX297" s="166"/>
      <c r="BY297" s="166"/>
      <c r="BZ297" s="166"/>
      <c r="CA297" s="166"/>
      <c r="CB297" s="166"/>
      <c r="CC297" s="166"/>
      <c r="CD297" s="166"/>
      <c r="CE297" s="166"/>
      <c r="CF297" s="166"/>
      <c r="CG297" s="166"/>
      <c r="CH297" s="166"/>
      <c r="CI297" s="166"/>
      <c r="CJ297" s="166"/>
      <c r="CK297" s="166"/>
      <c r="CL297" s="166"/>
      <c r="CM297" s="167"/>
      <c r="CN297" s="167"/>
      <c r="CO297" s="167"/>
      <c r="CP297" s="167"/>
      <c r="CQ297" s="167"/>
      <c r="CR297" s="167"/>
      <c r="CS297" s="167"/>
      <c r="CT297" s="167"/>
      <c r="CU297" s="167"/>
      <c r="CV297" s="167"/>
      <c r="CW297" s="167"/>
      <c r="CX297" s="167"/>
      <c r="CY297" s="167"/>
      <c r="CZ297" s="174"/>
      <c r="DA297" s="166"/>
      <c r="DC297" s="19"/>
      <c r="DD297" s="19"/>
      <c r="DE297" s="19"/>
      <c r="DF297" s="19"/>
      <c r="DG297" s="19"/>
      <c r="DH297" s="19"/>
      <c r="DI297" s="19"/>
    </row>
    <row r="298" spans="1:113" s="24" customFormat="1" ht="12" hidden="1" outlineLevel="2">
      <c r="A298" s="19"/>
      <c r="B298" s="24" t="s">
        <v>588</v>
      </c>
      <c r="C298" s="584"/>
      <c r="D298" s="584"/>
      <c r="E298" s="584"/>
      <c r="F298" s="584"/>
      <c r="G298" s="584"/>
      <c r="H298" s="584"/>
      <c r="I298" s="584"/>
      <c r="J298" s="584"/>
      <c r="K298" s="584"/>
      <c r="L298" s="584"/>
      <c r="M298" s="584"/>
      <c r="N298" s="584"/>
      <c r="O298" s="584"/>
      <c r="P298" s="584"/>
      <c r="Q298" s="584"/>
      <c r="R298" s="584"/>
      <c r="S298" s="584"/>
      <c r="T298" s="584"/>
      <c r="U298" s="584"/>
      <c r="V298" s="584"/>
      <c r="W298" s="584"/>
      <c r="X298" s="584"/>
      <c r="Y298" s="515"/>
      <c r="Z298" s="515"/>
      <c r="AA298" s="515"/>
      <c r="AB298" s="515"/>
      <c r="AC298" s="515"/>
      <c r="AD298" s="515"/>
      <c r="AE298" s="515"/>
      <c r="AF298" s="515"/>
      <c r="AG298" s="515"/>
      <c r="AH298" s="515"/>
      <c r="AI298" s="515"/>
      <c r="AJ298" s="515"/>
      <c r="AK298" s="515"/>
      <c r="AL298" s="515"/>
      <c r="AM298" s="515"/>
      <c r="AN298" s="515"/>
      <c r="AO298" s="515"/>
      <c r="AP298" s="514"/>
      <c r="AQ298" s="514"/>
      <c r="AR298" s="514"/>
      <c r="AS298" s="514"/>
      <c r="AT298" s="514"/>
      <c r="AU298" s="514"/>
      <c r="AV298" s="514"/>
      <c r="AW298" s="514"/>
      <c r="AX298" s="514"/>
      <c r="AY298" s="514"/>
      <c r="AZ298" s="581"/>
      <c r="BA298" s="415"/>
      <c r="BB298" s="415"/>
      <c r="BC298" s="415"/>
      <c r="BD298" s="415"/>
      <c r="BE298" s="415"/>
      <c r="BF298" s="415"/>
      <c r="BG298" s="415"/>
      <c r="BH298" s="415"/>
      <c r="BI298" s="415"/>
      <c r="BJ298" s="415"/>
      <c r="BK298" s="415"/>
      <c r="BL298" s="415"/>
      <c r="BM298" s="415"/>
      <c r="BN298" s="415"/>
      <c r="BO298" s="415"/>
      <c r="BP298" s="415"/>
      <c r="BQ298" s="415"/>
      <c r="BR298" s="415"/>
      <c r="BS298" s="415"/>
      <c r="BT298" s="415"/>
      <c r="BU298" s="415"/>
      <c r="BV298" s="415"/>
      <c r="BW298" s="415"/>
      <c r="BX298" s="415"/>
      <c r="BY298" s="415"/>
      <c r="BZ298" s="415"/>
      <c r="CA298" s="415"/>
      <c r="CB298" s="415"/>
      <c r="CC298" s="415"/>
      <c r="CD298" s="415"/>
      <c r="CE298" s="415"/>
      <c r="CF298" s="415"/>
      <c r="CG298" s="415"/>
      <c r="CH298" s="415"/>
      <c r="CI298" s="415"/>
      <c r="CJ298" s="415"/>
      <c r="CK298" s="415"/>
      <c r="CL298" s="415"/>
      <c r="CM298" s="514"/>
      <c r="CN298" s="514"/>
      <c r="CO298" s="514"/>
      <c r="CP298" s="514"/>
      <c r="CQ298" s="514"/>
      <c r="CR298" s="514"/>
      <c r="CS298" s="514"/>
      <c r="CT298" s="514"/>
      <c r="CU298" s="514"/>
      <c r="CV298" s="514"/>
      <c r="CW298" s="514"/>
      <c r="CX298" s="514"/>
      <c r="CY298" s="514"/>
      <c r="CZ298" s="581"/>
      <c r="DA298" s="415"/>
      <c r="DB298" s="13"/>
    </row>
    <row r="299" spans="1:113" ht="12" hidden="1" outlineLevel="2">
      <c r="A299" s="1" t="s">
        <v>73</v>
      </c>
      <c r="B299" s="19" t="s">
        <v>589</v>
      </c>
      <c r="C299" s="416"/>
      <c r="D299" s="416"/>
      <c r="E299" s="416"/>
      <c r="F299" s="416"/>
      <c r="G299" s="416"/>
      <c r="H299" s="416"/>
      <c r="I299" s="416"/>
      <c r="J299" s="416"/>
      <c r="K299" s="416"/>
      <c r="L299" s="416"/>
      <c r="M299" s="416"/>
      <c r="N299" s="416"/>
      <c r="O299" s="416"/>
      <c r="P299" s="416"/>
      <c r="Q299" s="416"/>
      <c r="R299" s="416"/>
      <c r="S299" s="416"/>
      <c r="T299" s="416"/>
      <c r="U299" s="416"/>
      <c r="V299" s="416"/>
      <c r="W299" s="416"/>
      <c r="X299" s="416"/>
      <c r="Y299" s="416"/>
      <c r="Z299" s="416"/>
      <c r="AA299" s="416"/>
      <c r="AB299" s="416"/>
      <c r="AC299" s="416"/>
      <c r="AD299" s="416"/>
      <c r="AE299" s="416"/>
      <c r="AF299" s="416"/>
      <c r="AG299" s="416"/>
      <c r="AH299" s="416"/>
      <c r="AI299" s="416"/>
      <c r="AJ299" s="416"/>
      <c r="AK299" s="416"/>
      <c r="AL299" s="416"/>
      <c r="AM299" s="416"/>
      <c r="AN299" s="416"/>
      <c r="AO299" s="416"/>
      <c r="AP299" s="509"/>
      <c r="AQ299" s="509"/>
      <c r="AR299" s="509"/>
      <c r="AS299" s="509"/>
      <c r="AT299" s="509"/>
      <c r="AU299" s="509"/>
      <c r="AV299" s="509"/>
      <c r="AW299" s="509"/>
      <c r="AX299" s="509"/>
      <c r="AY299" s="167"/>
      <c r="AZ299" s="558"/>
      <c r="BA299" s="166"/>
      <c r="BB299" s="166"/>
      <c r="BC299" s="166"/>
      <c r="BD299" s="166"/>
      <c r="BE299" s="166"/>
      <c r="BF299" s="166"/>
      <c r="BG299" s="166"/>
      <c r="BH299" s="166"/>
      <c r="BI299" s="166"/>
      <c r="BJ299" s="166"/>
      <c r="BK299" s="166"/>
      <c r="BL299" s="166"/>
      <c r="BM299" s="166"/>
      <c r="BN299" s="166"/>
      <c r="BO299" s="166"/>
      <c r="BP299" s="166"/>
      <c r="BQ299" s="166"/>
      <c r="BR299" s="166"/>
      <c r="BS299" s="166"/>
      <c r="BT299" s="166"/>
      <c r="BU299" s="166"/>
      <c r="BV299" s="166"/>
      <c r="BW299" s="166"/>
      <c r="BX299" s="166"/>
      <c r="BY299" s="166"/>
      <c r="BZ299" s="166"/>
      <c r="CA299" s="166"/>
      <c r="CB299" s="166"/>
      <c r="CC299" s="166"/>
      <c r="CD299" s="166"/>
      <c r="CE299" s="166"/>
      <c r="CF299" s="166"/>
      <c r="CG299" s="166"/>
      <c r="CH299" s="166"/>
      <c r="CI299" s="166"/>
      <c r="CJ299" s="166"/>
      <c r="CK299" s="166"/>
      <c r="CL299" s="166"/>
      <c r="CM299" s="167"/>
      <c r="CN299" s="167"/>
      <c r="CO299" s="167"/>
      <c r="CP299" s="167"/>
      <c r="CQ299" s="167"/>
      <c r="CR299" s="167"/>
      <c r="CS299" s="167"/>
      <c r="CT299" s="509"/>
      <c r="CU299" s="509"/>
      <c r="CV299" s="167"/>
      <c r="CW299" s="167"/>
      <c r="CX299" s="167"/>
      <c r="CY299" s="167"/>
      <c r="CZ299" s="174"/>
      <c r="DA299" s="166"/>
      <c r="DC299" s="19"/>
      <c r="DD299" s="19"/>
      <c r="DE299" s="19"/>
      <c r="DF299" s="19"/>
      <c r="DG299" s="19"/>
      <c r="DH299" s="19"/>
      <c r="DI299" s="19"/>
    </row>
    <row r="300" spans="1:113" ht="12" hidden="1" outlineLevel="2">
      <c r="A300" s="1" t="s">
        <v>38</v>
      </c>
      <c r="B300" s="19" t="s">
        <v>470</v>
      </c>
      <c r="C300" s="416"/>
      <c r="D300" s="416"/>
      <c r="E300" s="416"/>
      <c r="F300" s="416"/>
      <c r="G300" s="416"/>
      <c r="H300" s="416"/>
      <c r="I300" s="416"/>
      <c r="J300" s="416"/>
      <c r="K300" s="416"/>
      <c r="L300" s="416"/>
      <c r="M300" s="416"/>
      <c r="N300" s="416"/>
      <c r="O300" s="416"/>
      <c r="P300" s="416"/>
      <c r="Q300" s="416"/>
      <c r="R300" s="416"/>
      <c r="S300" s="416"/>
      <c r="T300" s="416"/>
      <c r="U300" s="416"/>
      <c r="V300" s="416"/>
      <c r="W300" s="416"/>
      <c r="X300" s="416"/>
      <c r="Y300" s="416"/>
      <c r="Z300" s="416"/>
      <c r="AA300" s="416"/>
      <c r="AB300" s="416"/>
      <c r="AC300" s="416"/>
      <c r="AD300" s="416"/>
      <c r="AE300" s="416"/>
      <c r="AF300" s="416"/>
      <c r="AG300" s="416"/>
      <c r="AH300" s="416"/>
      <c r="AI300" s="416"/>
      <c r="AJ300" s="416"/>
      <c r="AK300" s="416"/>
      <c r="AL300" s="416"/>
      <c r="AM300" s="416"/>
      <c r="AN300" s="416"/>
      <c r="AO300" s="416"/>
      <c r="AP300" s="509"/>
      <c r="AQ300" s="509"/>
      <c r="AR300" s="509"/>
      <c r="AS300" s="509"/>
      <c r="AT300" s="509"/>
      <c r="AU300" s="509"/>
      <c r="AV300" s="509"/>
      <c r="AW300" s="509"/>
      <c r="AX300" s="509"/>
      <c r="AY300" s="167"/>
      <c r="AZ300" s="558"/>
      <c r="BA300" s="166"/>
      <c r="BB300" s="166"/>
      <c r="BC300" s="166"/>
      <c r="BD300" s="166"/>
      <c r="BE300" s="166"/>
      <c r="BF300" s="166"/>
      <c r="BG300" s="166"/>
      <c r="BH300" s="166"/>
      <c r="BI300" s="166"/>
      <c r="BJ300" s="166"/>
      <c r="BK300" s="166"/>
      <c r="BL300" s="166"/>
      <c r="BM300" s="166"/>
      <c r="BN300" s="166"/>
      <c r="BO300" s="166"/>
      <c r="BP300" s="166"/>
      <c r="BQ300" s="166"/>
      <c r="BR300" s="166"/>
      <c r="BS300" s="166"/>
      <c r="BT300" s="166"/>
      <c r="BU300" s="166"/>
      <c r="BV300" s="166"/>
      <c r="BW300" s="166"/>
      <c r="BX300" s="166"/>
      <c r="BY300" s="166"/>
      <c r="BZ300" s="166"/>
      <c r="CA300" s="166"/>
      <c r="CB300" s="166"/>
      <c r="CC300" s="166"/>
      <c r="CD300" s="166"/>
      <c r="CE300" s="166"/>
      <c r="CF300" s="166"/>
      <c r="CG300" s="166"/>
      <c r="CH300" s="166"/>
      <c r="CI300" s="166"/>
      <c r="CJ300" s="166"/>
      <c r="CK300" s="166"/>
      <c r="CL300" s="166"/>
      <c r="CM300" s="167"/>
      <c r="CN300" s="167"/>
      <c r="CO300" s="167"/>
      <c r="CP300" s="167"/>
      <c r="CQ300" s="167"/>
      <c r="CR300" s="167"/>
      <c r="CS300" s="167"/>
      <c r="CT300" s="509"/>
      <c r="CU300" s="509"/>
      <c r="CV300" s="167"/>
      <c r="CW300" s="167"/>
      <c r="CX300" s="167"/>
      <c r="CY300" s="167"/>
      <c r="CZ300" s="174"/>
      <c r="DA300" s="166"/>
      <c r="DC300" s="19"/>
      <c r="DD300" s="19"/>
      <c r="DE300" s="19"/>
      <c r="DF300" s="19"/>
      <c r="DG300" s="19"/>
      <c r="DH300" s="19"/>
      <c r="DI300" s="19"/>
    </row>
    <row r="301" spans="1:113" s="24" customFormat="1" ht="12" hidden="1" outlineLevel="2">
      <c r="A301" s="1" t="s">
        <v>39</v>
      </c>
      <c r="B301" s="24" t="s">
        <v>166</v>
      </c>
      <c r="C301" s="584"/>
      <c r="D301" s="584"/>
      <c r="E301" s="584"/>
      <c r="F301" s="584"/>
      <c r="G301" s="584"/>
      <c r="H301" s="584"/>
      <c r="I301" s="584"/>
      <c r="J301" s="584"/>
      <c r="K301" s="584"/>
      <c r="L301" s="584"/>
      <c r="M301" s="584"/>
      <c r="N301" s="584"/>
      <c r="O301" s="584"/>
      <c r="P301" s="584"/>
      <c r="Q301" s="584"/>
      <c r="R301" s="584"/>
      <c r="S301" s="584"/>
      <c r="T301" s="584"/>
      <c r="U301" s="584"/>
      <c r="V301" s="584"/>
      <c r="W301" s="584"/>
      <c r="X301" s="584"/>
      <c r="Y301" s="515"/>
      <c r="Z301" s="515"/>
      <c r="AA301" s="515"/>
      <c r="AB301" s="515"/>
      <c r="AC301" s="515"/>
      <c r="AD301" s="515"/>
      <c r="AE301" s="515"/>
      <c r="AF301" s="515"/>
      <c r="AG301" s="515"/>
      <c r="AH301" s="515"/>
      <c r="AI301" s="515"/>
      <c r="AJ301" s="515"/>
      <c r="AK301" s="515"/>
      <c r="AL301" s="515"/>
      <c r="AM301" s="515"/>
      <c r="AN301" s="515"/>
      <c r="AO301" s="515"/>
      <c r="AP301" s="514"/>
      <c r="AQ301" s="514"/>
      <c r="AR301" s="514"/>
      <c r="AS301" s="514"/>
      <c r="AT301" s="514"/>
      <c r="AU301" s="514"/>
      <c r="AV301" s="514"/>
      <c r="AW301" s="514"/>
      <c r="AX301" s="514"/>
      <c r="AY301" s="514"/>
      <c r="AZ301" s="581"/>
      <c r="BA301" s="415"/>
      <c r="BB301" s="415"/>
      <c r="BC301" s="415"/>
      <c r="BD301" s="415"/>
      <c r="BE301" s="415"/>
      <c r="BF301" s="415"/>
      <c r="BG301" s="415"/>
      <c r="BH301" s="415"/>
      <c r="BI301" s="415"/>
      <c r="BJ301" s="415"/>
      <c r="BK301" s="415"/>
      <c r="BL301" s="415"/>
      <c r="BM301" s="415"/>
      <c r="BN301" s="415"/>
      <c r="BO301" s="415"/>
      <c r="BP301" s="415"/>
      <c r="BQ301" s="415"/>
      <c r="BR301" s="415"/>
      <c r="BS301" s="425"/>
      <c r="BT301" s="425"/>
      <c r="BU301" s="425"/>
      <c r="BV301" s="425"/>
      <c r="BW301" s="425"/>
      <c r="BX301" s="425"/>
      <c r="BY301" s="425"/>
      <c r="BZ301" s="425"/>
      <c r="CA301" s="425"/>
      <c r="CB301" s="425"/>
      <c r="CC301" s="415"/>
      <c r="CD301" s="415"/>
      <c r="CE301" s="415"/>
      <c r="CF301" s="415"/>
      <c r="CG301" s="415"/>
      <c r="CH301" s="415"/>
      <c r="CI301" s="415"/>
      <c r="CJ301" s="415"/>
      <c r="CK301" s="415"/>
      <c r="CL301" s="415"/>
      <c r="CM301" s="514"/>
      <c r="CN301" s="514"/>
      <c r="CO301" s="514"/>
      <c r="CP301" s="514"/>
      <c r="CQ301" s="514"/>
      <c r="CR301" s="514"/>
      <c r="CS301" s="514"/>
      <c r="CT301" s="514"/>
      <c r="CU301" s="514"/>
      <c r="CV301" s="514"/>
      <c r="CW301" s="514"/>
      <c r="CX301" s="514"/>
      <c r="CY301" s="514"/>
      <c r="CZ301" s="581"/>
      <c r="DA301" s="415"/>
      <c r="DB301" s="415"/>
      <c r="DC301" s="415"/>
      <c r="DD301" s="415"/>
      <c r="DE301" s="415"/>
      <c r="DF301" s="415"/>
      <c r="DG301" s="415"/>
      <c r="DH301" s="415"/>
      <c r="DI301" s="415"/>
    </row>
    <row r="302" spans="1:113" ht="12" hidden="1" outlineLevel="2">
      <c r="C302" s="601"/>
      <c r="D302" s="601"/>
      <c r="E302" s="601"/>
      <c r="F302" s="601"/>
      <c r="G302" s="601"/>
      <c r="H302" s="601"/>
      <c r="I302" s="601"/>
      <c r="J302" s="601"/>
      <c r="K302" s="601"/>
      <c r="L302" s="601"/>
      <c r="M302" s="601"/>
      <c r="N302" s="601"/>
      <c r="O302" s="601"/>
      <c r="P302" s="601"/>
      <c r="Q302" s="601"/>
      <c r="R302" s="601"/>
      <c r="S302" s="601"/>
      <c r="T302" s="601"/>
      <c r="U302" s="601"/>
      <c r="V302" s="601"/>
      <c r="W302" s="601"/>
      <c r="X302" s="601"/>
      <c r="Y302" s="416"/>
      <c r="Z302" s="416"/>
      <c r="AA302" s="416"/>
      <c r="AB302" s="416"/>
      <c r="AC302" s="416"/>
      <c r="AD302" s="416"/>
      <c r="AE302" s="416"/>
      <c r="AF302" s="416"/>
      <c r="AG302" s="416"/>
      <c r="AH302" s="416"/>
      <c r="AI302" s="416"/>
      <c r="AJ302" s="416"/>
      <c r="AK302" s="416"/>
      <c r="AL302" s="416"/>
      <c r="AM302" s="416"/>
      <c r="AN302" s="416"/>
      <c r="AO302" s="416"/>
      <c r="AP302" s="167"/>
      <c r="AQ302" s="167"/>
      <c r="AR302" s="167"/>
      <c r="AS302" s="167"/>
      <c r="AT302" s="167"/>
      <c r="AU302" s="167"/>
      <c r="AV302" s="167"/>
      <c r="AW302" s="167"/>
      <c r="AX302" s="167"/>
      <c r="AY302" s="167"/>
      <c r="AZ302" s="174"/>
      <c r="BA302" s="166"/>
      <c r="BB302" s="166"/>
      <c r="BC302" s="166"/>
      <c r="BD302" s="166"/>
      <c r="BE302" s="166"/>
      <c r="BF302" s="166"/>
      <c r="BG302" s="166"/>
      <c r="BH302" s="166"/>
      <c r="BI302" s="166"/>
      <c r="BJ302" s="166"/>
      <c r="BK302" s="166"/>
      <c r="BL302" s="166"/>
      <c r="BM302" s="166"/>
      <c r="BN302" s="166"/>
      <c r="BO302" s="166"/>
      <c r="BP302" s="166"/>
      <c r="BQ302" s="166"/>
      <c r="BR302" s="166"/>
      <c r="BS302" s="166"/>
      <c r="BT302" s="166"/>
      <c r="BU302" s="166"/>
      <c r="BV302" s="166"/>
      <c r="BW302" s="166"/>
      <c r="BX302" s="166"/>
      <c r="BY302" s="166"/>
      <c r="BZ302" s="166"/>
      <c r="CA302" s="166"/>
      <c r="CB302" s="166"/>
      <c r="CC302" s="166"/>
      <c r="CD302" s="166"/>
      <c r="CE302" s="166"/>
      <c r="CF302" s="166"/>
      <c r="CG302" s="166"/>
      <c r="CH302" s="166"/>
      <c r="CI302" s="166"/>
      <c r="CJ302" s="166"/>
      <c r="CK302" s="166"/>
      <c r="CL302" s="166"/>
      <c r="CM302" s="167"/>
      <c r="CN302" s="167"/>
      <c r="CO302" s="167"/>
      <c r="CP302" s="167"/>
      <c r="CQ302" s="167"/>
      <c r="CR302" s="167"/>
      <c r="CS302" s="167"/>
      <c r="CT302" s="167"/>
      <c r="CU302" s="167"/>
      <c r="CV302" s="167"/>
      <c r="CW302" s="167"/>
      <c r="CX302" s="167"/>
      <c r="CY302" s="167"/>
      <c r="CZ302" s="174"/>
      <c r="DA302" s="166"/>
      <c r="DC302" s="19"/>
      <c r="DD302" s="19"/>
      <c r="DE302" s="19"/>
      <c r="DF302" s="19"/>
      <c r="DG302" s="19"/>
      <c r="DH302" s="19"/>
      <c r="DI302" s="19"/>
    </row>
    <row r="303" spans="1:113" s="24" customFormat="1" ht="12" hidden="1" outlineLevel="2">
      <c r="A303" s="19"/>
      <c r="B303" s="24" t="s">
        <v>591</v>
      </c>
      <c r="C303" s="584"/>
      <c r="D303" s="584"/>
      <c r="E303" s="584"/>
      <c r="F303" s="584"/>
      <c r="G303" s="584"/>
      <c r="H303" s="584"/>
      <c r="I303" s="584"/>
      <c r="J303" s="584"/>
      <c r="K303" s="584"/>
      <c r="L303" s="584"/>
      <c r="M303" s="584"/>
      <c r="N303" s="584"/>
      <c r="O303" s="584"/>
      <c r="P303" s="584"/>
      <c r="Q303" s="584"/>
      <c r="R303" s="584"/>
      <c r="S303" s="584"/>
      <c r="T303" s="584"/>
      <c r="U303" s="584"/>
      <c r="V303" s="584"/>
      <c r="W303" s="584"/>
      <c r="X303" s="515"/>
      <c r="Y303" s="515"/>
      <c r="Z303" s="515"/>
      <c r="AA303" s="515"/>
      <c r="AB303" s="515"/>
      <c r="AC303" s="515"/>
      <c r="AD303" s="515"/>
      <c r="AE303" s="515"/>
      <c r="AF303" s="515"/>
      <c r="AG303" s="515"/>
      <c r="AH303" s="515"/>
      <c r="AI303" s="515"/>
      <c r="AJ303" s="515"/>
      <c r="AK303" s="515"/>
      <c r="AL303" s="515"/>
      <c r="AM303" s="515"/>
      <c r="AN303" s="515"/>
      <c r="AO303" s="515"/>
      <c r="AP303" s="514"/>
      <c r="AQ303" s="514"/>
      <c r="AR303" s="514"/>
      <c r="AS303" s="514"/>
      <c r="AT303" s="514"/>
      <c r="AU303" s="514"/>
      <c r="AV303" s="514"/>
      <c r="AW303" s="514"/>
      <c r="AX303" s="514"/>
      <c r="AY303" s="514"/>
      <c r="AZ303" s="581"/>
      <c r="BA303" s="415"/>
      <c r="BB303" s="415"/>
      <c r="BC303" s="415"/>
      <c r="BD303" s="415"/>
      <c r="BE303" s="415"/>
      <c r="BF303" s="415"/>
      <c r="BG303" s="415"/>
      <c r="BH303" s="415"/>
      <c r="BI303" s="415"/>
      <c r="BJ303" s="415"/>
      <c r="BK303" s="415"/>
      <c r="BL303" s="415"/>
      <c r="BM303" s="415"/>
      <c r="BN303" s="415"/>
      <c r="BO303" s="415"/>
      <c r="BP303" s="415"/>
      <c r="BQ303" s="415"/>
      <c r="BR303" s="415"/>
      <c r="BS303" s="415"/>
      <c r="BT303" s="415"/>
      <c r="BU303" s="415"/>
      <c r="BV303" s="415"/>
      <c r="BW303" s="415"/>
      <c r="BX303" s="415"/>
      <c r="BY303" s="415"/>
      <c r="BZ303" s="415"/>
      <c r="CA303" s="415"/>
      <c r="CB303" s="415"/>
      <c r="CC303" s="415"/>
      <c r="CD303" s="415"/>
      <c r="CE303" s="415"/>
      <c r="CF303" s="415"/>
      <c r="CG303" s="415"/>
      <c r="CH303" s="415"/>
      <c r="CI303" s="415"/>
      <c r="CJ303" s="415"/>
      <c r="CK303" s="415"/>
      <c r="CL303" s="415"/>
      <c r="CM303" s="514"/>
      <c r="CN303" s="514"/>
      <c r="CO303" s="514"/>
      <c r="CP303" s="514"/>
      <c r="CQ303" s="514"/>
      <c r="CR303" s="514"/>
      <c r="CS303" s="514"/>
      <c r="CT303" s="514"/>
      <c r="CU303" s="514"/>
      <c r="CV303" s="514"/>
      <c r="CW303" s="514"/>
      <c r="CX303" s="514"/>
      <c r="CY303" s="514"/>
      <c r="CZ303" s="581"/>
      <c r="DA303" s="415"/>
      <c r="DB303" s="13"/>
    </row>
    <row r="304" spans="1:113" ht="12" hidden="1" outlineLevel="2">
      <c r="A304" s="1" t="s">
        <v>76</v>
      </c>
      <c r="B304" s="19" t="s">
        <v>589</v>
      </c>
      <c r="C304" s="416"/>
      <c r="D304" s="416"/>
      <c r="E304" s="416"/>
      <c r="F304" s="416"/>
      <c r="G304" s="416"/>
      <c r="H304" s="416"/>
      <c r="I304" s="416"/>
      <c r="J304" s="416"/>
      <c r="K304" s="416"/>
      <c r="L304" s="416"/>
      <c r="M304" s="416"/>
      <c r="N304" s="416"/>
      <c r="O304" s="416"/>
      <c r="P304" s="416"/>
      <c r="Q304" s="416"/>
      <c r="R304" s="416"/>
      <c r="S304" s="416"/>
      <c r="T304" s="416"/>
      <c r="U304" s="416"/>
      <c r="V304" s="416"/>
      <c r="W304" s="416"/>
      <c r="X304" s="416"/>
      <c r="Y304" s="416"/>
      <c r="Z304" s="416"/>
      <c r="AA304" s="416"/>
      <c r="AB304" s="416"/>
      <c r="AC304" s="416"/>
      <c r="AD304" s="416"/>
      <c r="AE304" s="416"/>
      <c r="AF304" s="416"/>
      <c r="AG304" s="416"/>
      <c r="AH304" s="416"/>
      <c r="AI304" s="416"/>
      <c r="AJ304" s="416"/>
      <c r="AK304" s="416"/>
      <c r="AL304" s="416"/>
      <c r="AM304" s="416"/>
      <c r="AN304" s="416"/>
      <c r="AO304" s="416"/>
      <c r="AP304" s="509"/>
      <c r="AQ304" s="509"/>
      <c r="AR304" s="509"/>
      <c r="AS304" s="509"/>
      <c r="AT304" s="509"/>
      <c r="AU304" s="509"/>
      <c r="AV304" s="509"/>
      <c r="AW304" s="509"/>
      <c r="AX304" s="509"/>
      <c r="AY304" s="167"/>
      <c r="AZ304" s="558"/>
      <c r="BA304" s="166"/>
      <c r="BB304" s="166"/>
      <c r="BC304" s="166"/>
      <c r="BD304" s="166"/>
      <c r="BE304" s="166"/>
      <c r="BF304" s="166"/>
      <c r="BG304" s="166"/>
      <c r="BH304" s="166"/>
      <c r="BI304" s="166"/>
      <c r="BJ304" s="166"/>
      <c r="BK304" s="166"/>
      <c r="BL304" s="166"/>
      <c r="BM304" s="166"/>
      <c r="BN304" s="166"/>
      <c r="BO304" s="166"/>
      <c r="BP304" s="166"/>
      <c r="BQ304" s="166"/>
      <c r="BR304" s="166"/>
      <c r="BS304" s="166"/>
      <c r="BT304" s="166"/>
      <c r="BU304" s="166"/>
      <c r="BV304" s="166"/>
      <c r="BW304" s="166"/>
      <c r="BX304" s="166"/>
      <c r="BY304" s="166"/>
      <c r="BZ304" s="166"/>
      <c r="CA304" s="166"/>
      <c r="CB304" s="166"/>
      <c r="CC304" s="166"/>
      <c r="CD304" s="166"/>
      <c r="CE304" s="166"/>
      <c r="CF304" s="166"/>
      <c r="CG304" s="166"/>
      <c r="CH304" s="166"/>
      <c r="CI304" s="166"/>
      <c r="CJ304" s="166"/>
      <c r="CK304" s="166"/>
      <c r="CL304" s="166"/>
      <c r="CM304" s="167"/>
      <c r="CN304" s="167"/>
      <c r="CO304" s="167"/>
      <c r="CP304" s="167"/>
      <c r="CQ304" s="167"/>
      <c r="CR304" s="167"/>
      <c r="CS304" s="167"/>
      <c r="CT304" s="509"/>
      <c r="CU304" s="509"/>
      <c r="CV304" s="167"/>
      <c r="CW304" s="167"/>
      <c r="CX304" s="167"/>
      <c r="CY304" s="167"/>
      <c r="CZ304" s="174"/>
      <c r="DA304" s="166"/>
      <c r="DC304" s="19"/>
      <c r="DD304" s="19"/>
      <c r="DE304" s="19"/>
      <c r="DF304" s="19"/>
      <c r="DG304" s="19"/>
      <c r="DH304" s="19"/>
      <c r="DI304" s="19"/>
    </row>
    <row r="305" spans="1:113" ht="12" hidden="1" outlineLevel="2">
      <c r="A305" s="1" t="s">
        <v>77</v>
      </c>
      <c r="B305" s="19" t="s">
        <v>470</v>
      </c>
      <c r="C305" s="416"/>
      <c r="D305" s="416"/>
      <c r="E305" s="416"/>
      <c r="F305" s="416"/>
      <c r="G305" s="416"/>
      <c r="H305" s="416"/>
      <c r="I305" s="416"/>
      <c r="J305" s="416"/>
      <c r="K305" s="416"/>
      <c r="L305" s="416"/>
      <c r="M305" s="416"/>
      <c r="N305" s="416"/>
      <c r="O305" s="416"/>
      <c r="P305" s="416"/>
      <c r="Q305" s="416"/>
      <c r="R305" s="416"/>
      <c r="S305" s="416"/>
      <c r="T305" s="416"/>
      <c r="U305" s="416"/>
      <c r="V305" s="416"/>
      <c r="W305" s="416"/>
      <c r="X305" s="416"/>
      <c r="Y305" s="416"/>
      <c r="Z305" s="416"/>
      <c r="AA305" s="416"/>
      <c r="AB305" s="416"/>
      <c r="AC305" s="416"/>
      <c r="AD305" s="416"/>
      <c r="AE305" s="416"/>
      <c r="AF305" s="416"/>
      <c r="AG305" s="416"/>
      <c r="AH305" s="416"/>
      <c r="AI305" s="416"/>
      <c r="AJ305" s="416"/>
      <c r="AK305" s="416"/>
      <c r="AL305" s="416"/>
      <c r="AM305" s="416"/>
      <c r="AN305" s="416"/>
      <c r="AO305" s="416"/>
      <c r="AP305" s="509"/>
      <c r="AQ305" s="509"/>
      <c r="AR305" s="509"/>
      <c r="AS305" s="509"/>
      <c r="AT305" s="509"/>
      <c r="AU305" s="509"/>
      <c r="AV305" s="509"/>
      <c r="AW305" s="509"/>
      <c r="AX305" s="509"/>
      <c r="AY305" s="167"/>
      <c r="AZ305" s="558"/>
      <c r="BA305" s="166"/>
      <c r="BB305" s="166"/>
      <c r="BC305" s="166"/>
      <c r="BD305" s="166"/>
      <c r="BE305" s="166"/>
      <c r="BF305" s="166"/>
      <c r="BG305" s="166"/>
      <c r="BH305" s="166"/>
      <c r="BI305" s="166"/>
      <c r="BJ305" s="166"/>
      <c r="BK305" s="166"/>
      <c r="BL305" s="166"/>
      <c r="BM305" s="166"/>
      <c r="BN305" s="166"/>
      <c r="BO305" s="166"/>
      <c r="BP305" s="166"/>
      <c r="BQ305" s="166"/>
      <c r="BR305" s="166"/>
      <c r="BS305" s="166"/>
      <c r="BT305" s="166"/>
      <c r="BU305" s="166"/>
      <c r="BV305" s="166"/>
      <c r="BW305" s="166"/>
      <c r="BX305" s="166"/>
      <c r="BY305" s="166"/>
      <c r="BZ305" s="166"/>
      <c r="CA305" s="166"/>
      <c r="CB305" s="166"/>
      <c r="CC305" s="166"/>
      <c r="CD305" s="166"/>
      <c r="CE305" s="166"/>
      <c r="CF305" s="166"/>
      <c r="CG305" s="166"/>
      <c r="CH305" s="166"/>
      <c r="CI305" s="166"/>
      <c r="CJ305" s="166"/>
      <c r="CK305" s="166"/>
      <c r="CL305" s="166"/>
      <c r="CM305" s="167"/>
      <c r="CN305" s="167"/>
      <c r="CO305" s="167"/>
      <c r="CP305" s="167"/>
      <c r="CQ305" s="167"/>
      <c r="CR305" s="167"/>
      <c r="CS305" s="167"/>
      <c r="CT305" s="509"/>
      <c r="CU305" s="509"/>
      <c r="CV305" s="167"/>
      <c r="CW305" s="167"/>
      <c r="CX305" s="167"/>
      <c r="CY305" s="167"/>
      <c r="CZ305" s="174"/>
      <c r="DA305" s="166"/>
      <c r="DC305" s="19"/>
      <c r="DD305" s="19"/>
      <c r="DE305" s="19"/>
      <c r="DF305" s="19"/>
      <c r="DG305" s="19"/>
      <c r="DH305" s="19"/>
      <c r="DI305" s="19"/>
    </row>
    <row r="306" spans="1:113" s="24" customFormat="1" ht="12" hidden="1" outlineLevel="2">
      <c r="A306" s="1" t="s">
        <v>78</v>
      </c>
      <c r="B306" s="24" t="s">
        <v>166</v>
      </c>
      <c r="C306" s="584"/>
      <c r="D306" s="584"/>
      <c r="E306" s="584"/>
      <c r="F306" s="584"/>
      <c r="G306" s="584"/>
      <c r="H306" s="584"/>
      <c r="I306" s="584"/>
      <c r="J306" s="584"/>
      <c r="K306" s="584"/>
      <c r="L306" s="584"/>
      <c r="M306" s="584"/>
      <c r="N306" s="584"/>
      <c r="O306" s="584"/>
      <c r="P306" s="584"/>
      <c r="Q306" s="584"/>
      <c r="R306" s="584"/>
      <c r="S306" s="584"/>
      <c r="T306" s="584"/>
      <c r="U306" s="584"/>
      <c r="V306" s="584"/>
      <c r="W306" s="584"/>
      <c r="X306" s="584"/>
      <c r="Y306" s="515"/>
      <c r="Z306" s="515"/>
      <c r="AA306" s="515"/>
      <c r="AB306" s="515"/>
      <c r="AC306" s="515"/>
      <c r="AD306" s="515"/>
      <c r="AE306" s="515"/>
      <c r="AF306" s="515"/>
      <c r="AG306" s="515"/>
      <c r="AH306" s="515"/>
      <c r="AI306" s="515"/>
      <c r="AJ306" s="515"/>
      <c r="AK306" s="515"/>
      <c r="AL306" s="515"/>
      <c r="AM306" s="515"/>
      <c r="AN306" s="515"/>
      <c r="AO306" s="515"/>
      <c r="AP306" s="514"/>
      <c r="AQ306" s="514"/>
      <c r="AR306" s="514"/>
      <c r="AS306" s="514"/>
      <c r="AT306" s="514"/>
      <c r="AU306" s="514"/>
      <c r="AV306" s="514"/>
      <c r="AW306" s="514"/>
      <c r="AX306" s="514"/>
      <c r="AY306" s="514"/>
      <c r="AZ306" s="581"/>
      <c r="BA306" s="415"/>
      <c r="BB306" s="415"/>
      <c r="BC306" s="415"/>
      <c r="BD306" s="415"/>
      <c r="BE306" s="415"/>
      <c r="BF306" s="415"/>
      <c r="BG306" s="415"/>
      <c r="BH306" s="415"/>
      <c r="BI306" s="415"/>
      <c r="BJ306" s="415"/>
      <c r="BK306" s="415"/>
      <c r="BL306" s="415"/>
      <c r="BM306" s="415"/>
      <c r="BN306" s="415"/>
      <c r="BO306" s="415"/>
      <c r="BP306" s="415"/>
      <c r="BQ306" s="415"/>
      <c r="BR306" s="415"/>
      <c r="BS306" s="415"/>
      <c r="BT306" s="415"/>
      <c r="BU306" s="415"/>
      <c r="BV306" s="415"/>
      <c r="BW306" s="415"/>
      <c r="BX306" s="415"/>
      <c r="BY306" s="415"/>
      <c r="BZ306" s="415"/>
      <c r="CA306" s="415"/>
      <c r="CB306" s="415"/>
      <c r="CC306" s="415"/>
      <c r="CD306" s="415"/>
      <c r="CE306" s="415"/>
      <c r="CF306" s="415"/>
      <c r="CG306" s="415"/>
      <c r="CH306" s="415"/>
      <c r="CI306" s="415"/>
      <c r="CJ306" s="415"/>
      <c r="CK306" s="415"/>
      <c r="CL306" s="415"/>
      <c r="CM306" s="514"/>
      <c r="CN306" s="514"/>
      <c r="CO306" s="514"/>
      <c r="CP306" s="514"/>
      <c r="CQ306" s="514"/>
      <c r="CR306" s="514"/>
      <c r="CS306" s="514"/>
      <c r="CT306" s="514"/>
      <c r="CU306" s="514"/>
      <c r="CV306" s="514"/>
      <c r="CW306" s="514"/>
      <c r="CX306" s="514"/>
      <c r="CY306" s="514"/>
      <c r="CZ306" s="630"/>
      <c r="DA306" s="626"/>
      <c r="DB306" s="626"/>
      <c r="DC306" s="626"/>
      <c r="DD306" s="626"/>
      <c r="DE306" s="626"/>
      <c r="DF306" s="626"/>
      <c r="DG306" s="626"/>
      <c r="DH306" s="626"/>
      <c r="DI306" s="626"/>
    </row>
    <row r="307" spans="1:113" ht="12" hidden="1" outlineLevel="2">
      <c r="C307" s="601"/>
      <c r="D307" s="601"/>
      <c r="E307" s="601"/>
      <c r="F307" s="601"/>
      <c r="G307" s="601"/>
      <c r="H307" s="601"/>
      <c r="I307" s="601"/>
      <c r="J307" s="601"/>
      <c r="K307" s="601"/>
      <c r="L307" s="601"/>
      <c r="M307" s="601"/>
      <c r="N307" s="601"/>
      <c r="O307" s="601"/>
      <c r="P307" s="601"/>
      <c r="Q307" s="601"/>
      <c r="R307" s="601"/>
      <c r="S307" s="601"/>
      <c r="T307" s="601"/>
      <c r="U307" s="601"/>
      <c r="V307" s="601"/>
      <c r="W307" s="601"/>
      <c r="X307" s="601"/>
      <c r="Y307" s="416"/>
      <c r="Z307" s="416"/>
      <c r="AA307" s="416"/>
      <c r="AB307" s="416"/>
      <c r="AC307" s="416"/>
      <c r="AD307" s="416"/>
      <c r="AE307" s="416"/>
      <c r="AF307" s="416"/>
      <c r="AG307" s="416"/>
      <c r="AH307" s="416"/>
      <c r="AI307" s="416"/>
      <c r="AJ307" s="416"/>
      <c r="AK307" s="416"/>
      <c r="AL307" s="416"/>
      <c r="AM307" s="416"/>
      <c r="AN307" s="416"/>
      <c r="AO307" s="416"/>
      <c r="AP307" s="167"/>
      <c r="AQ307" s="167"/>
      <c r="AR307" s="167"/>
      <c r="AS307" s="167"/>
      <c r="AT307" s="167"/>
      <c r="AU307" s="167"/>
      <c r="AV307" s="167"/>
      <c r="AW307" s="167"/>
      <c r="AX307" s="167"/>
      <c r="AY307" s="167"/>
      <c r="AZ307" s="174"/>
      <c r="BA307" s="166"/>
      <c r="BB307" s="166"/>
      <c r="BC307" s="166"/>
      <c r="BD307" s="166"/>
      <c r="BE307" s="166"/>
      <c r="BF307" s="166"/>
      <c r="BG307" s="166"/>
      <c r="BH307" s="166"/>
      <c r="BI307" s="166"/>
      <c r="BJ307" s="166"/>
      <c r="BK307" s="166"/>
      <c r="BL307" s="166"/>
      <c r="BM307" s="166"/>
      <c r="BN307" s="166"/>
      <c r="BO307" s="166"/>
      <c r="BP307" s="166"/>
      <c r="BQ307" s="166"/>
      <c r="BR307" s="166"/>
      <c r="BS307" s="166"/>
      <c r="BT307" s="166"/>
      <c r="BU307" s="166"/>
      <c r="BV307" s="166"/>
      <c r="BW307" s="166"/>
      <c r="BX307" s="166"/>
      <c r="BY307" s="166"/>
      <c r="BZ307" s="166"/>
      <c r="CA307" s="166"/>
      <c r="CB307" s="166"/>
      <c r="CC307" s="166"/>
      <c r="CD307" s="166"/>
      <c r="CE307" s="166"/>
      <c r="CF307" s="166"/>
      <c r="CG307" s="166"/>
      <c r="CH307" s="166"/>
      <c r="CI307" s="166"/>
      <c r="CJ307" s="166"/>
      <c r="CK307" s="166"/>
      <c r="CL307" s="166"/>
      <c r="CM307" s="167"/>
      <c r="CN307" s="167"/>
      <c r="CO307" s="167"/>
      <c r="CP307" s="167"/>
      <c r="CQ307" s="167"/>
      <c r="CR307" s="167"/>
      <c r="CS307" s="167"/>
      <c r="CT307" s="167"/>
      <c r="CU307" s="167"/>
      <c r="CV307" s="167"/>
      <c r="CW307" s="167"/>
      <c r="CX307" s="167"/>
      <c r="CY307" s="167"/>
      <c r="CZ307" s="174"/>
      <c r="DA307" s="166"/>
      <c r="DC307" s="19"/>
      <c r="DD307" s="19"/>
      <c r="DE307" s="19"/>
      <c r="DF307" s="19"/>
      <c r="DG307" s="19"/>
      <c r="DH307" s="19"/>
      <c r="DI307" s="19"/>
    </row>
    <row r="308" spans="1:113" s="24" customFormat="1" ht="12" hidden="1" outlineLevel="2">
      <c r="A308" s="1"/>
      <c r="B308" s="24" t="s">
        <v>491</v>
      </c>
      <c r="C308" s="584"/>
      <c r="D308" s="584"/>
      <c r="E308" s="584"/>
      <c r="F308" s="584"/>
      <c r="G308" s="584"/>
      <c r="H308" s="584"/>
      <c r="I308" s="584"/>
      <c r="J308" s="584"/>
      <c r="K308" s="584"/>
      <c r="L308" s="584"/>
      <c r="M308" s="584"/>
      <c r="N308" s="584"/>
      <c r="O308" s="584"/>
      <c r="P308" s="584"/>
      <c r="Q308" s="584"/>
      <c r="R308" s="584"/>
      <c r="S308" s="584"/>
      <c r="T308" s="584"/>
      <c r="U308" s="584"/>
      <c r="V308" s="584"/>
      <c r="W308" s="584"/>
      <c r="X308" s="584"/>
      <c r="Y308" s="515"/>
      <c r="Z308" s="515"/>
      <c r="AA308" s="515"/>
      <c r="AB308" s="515"/>
      <c r="AC308" s="515"/>
      <c r="AD308" s="515"/>
      <c r="AE308" s="515"/>
      <c r="AF308" s="515"/>
      <c r="AG308" s="515"/>
      <c r="AH308" s="515"/>
      <c r="AI308" s="515"/>
      <c r="AJ308" s="515"/>
      <c r="AK308" s="515"/>
      <c r="AL308" s="515"/>
      <c r="AM308" s="515"/>
      <c r="AN308" s="515"/>
      <c r="AO308" s="515"/>
      <c r="AP308" s="514"/>
      <c r="AQ308" s="514"/>
      <c r="AR308" s="514"/>
      <c r="AS308" s="514"/>
      <c r="AT308" s="514"/>
      <c r="AU308" s="514"/>
      <c r="AV308" s="514"/>
      <c r="AW308" s="514"/>
      <c r="AX308" s="514"/>
      <c r="AY308" s="514"/>
      <c r="AZ308" s="581"/>
      <c r="BA308" s="415"/>
      <c r="BB308" s="415"/>
      <c r="BC308" s="415"/>
      <c r="BD308" s="415"/>
      <c r="BE308" s="415"/>
      <c r="BF308" s="415"/>
      <c r="BG308" s="415"/>
      <c r="BH308" s="415"/>
      <c r="BI308" s="415"/>
      <c r="BJ308" s="415"/>
      <c r="BK308" s="415"/>
      <c r="BL308" s="415"/>
      <c r="BM308" s="415"/>
      <c r="BN308" s="415"/>
      <c r="BO308" s="415"/>
      <c r="BP308" s="415"/>
      <c r="BQ308" s="415"/>
      <c r="BR308" s="415"/>
      <c r="BS308" s="415"/>
      <c r="BT308" s="415"/>
      <c r="BU308" s="415"/>
      <c r="BV308" s="415"/>
      <c r="BW308" s="415"/>
      <c r="BX308" s="415"/>
      <c r="BY308" s="415"/>
      <c r="BZ308" s="415"/>
      <c r="CA308" s="415"/>
      <c r="CB308" s="415"/>
      <c r="CC308" s="415"/>
      <c r="CD308" s="415"/>
      <c r="CE308" s="415"/>
      <c r="CF308" s="415"/>
      <c r="CG308" s="415"/>
      <c r="CH308" s="415"/>
      <c r="CI308" s="415"/>
      <c r="CJ308" s="415"/>
      <c r="CK308" s="415"/>
      <c r="CL308" s="415"/>
      <c r="CM308" s="514"/>
      <c r="CN308" s="514"/>
      <c r="CO308" s="514"/>
      <c r="CP308" s="514"/>
      <c r="CQ308" s="514"/>
      <c r="CR308" s="514"/>
      <c r="CS308" s="514"/>
      <c r="CT308" s="514"/>
      <c r="CU308" s="514"/>
      <c r="CV308" s="514"/>
      <c r="CW308" s="514"/>
      <c r="CX308" s="514"/>
      <c r="CY308" s="514"/>
      <c r="CZ308" s="581"/>
      <c r="DA308" s="415"/>
      <c r="DB308" s="13"/>
    </row>
    <row r="309" spans="1:113" ht="12" hidden="1" outlineLevel="2">
      <c r="A309" s="1" t="s">
        <v>79</v>
      </c>
      <c r="B309" s="19" t="s">
        <v>589</v>
      </c>
      <c r="C309" s="416"/>
      <c r="D309" s="416"/>
      <c r="E309" s="416"/>
      <c r="F309" s="416"/>
      <c r="G309" s="416"/>
      <c r="H309" s="416"/>
      <c r="I309" s="416"/>
      <c r="J309" s="416"/>
      <c r="K309" s="416"/>
      <c r="L309" s="416"/>
      <c r="M309" s="416"/>
      <c r="N309" s="416"/>
      <c r="O309" s="416"/>
      <c r="P309" s="416"/>
      <c r="Q309" s="416"/>
      <c r="R309" s="416"/>
      <c r="S309" s="416"/>
      <c r="T309" s="416"/>
      <c r="U309" s="416"/>
      <c r="V309" s="416"/>
      <c r="W309" s="416"/>
      <c r="X309" s="416"/>
      <c r="Y309" s="416"/>
      <c r="Z309" s="416"/>
      <c r="AA309" s="416"/>
      <c r="AB309" s="416"/>
      <c r="AC309" s="416"/>
      <c r="AD309" s="416"/>
      <c r="AE309" s="416"/>
      <c r="AF309" s="416"/>
      <c r="AG309" s="416"/>
      <c r="AH309" s="416"/>
      <c r="AI309" s="416"/>
      <c r="AJ309" s="416"/>
      <c r="AK309" s="416"/>
      <c r="AL309" s="416"/>
      <c r="AM309" s="416"/>
      <c r="AN309" s="416"/>
      <c r="AO309" s="416"/>
      <c r="AP309" s="379"/>
      <c r="AQ309" s="379"/>
      <c r="AR309" s="379"/>
      <c r="AS309" s="379"/>
      <c r="AT309" s="379"/>
      <c r="AU309" s="379"/>
      <c r="AV309" s="379"/>
      <c r="AW309" s="379"/>
      <c r="AX309" s="379"/>
      <c r="AY309" s="167"/>
      <c r="AZ309" s="502"/>
      <c r="BA309" s="166"/>
      <c r="BB309" s="166"/>
      <c r="BC309" s="166"/>
      <c r="BD309" s="166"/>
      <c r="BE309" s="166"/>
      <c r="BF309" s="166"/>
      <c r="BG309" s="166"/>
      <c r="BH309" s="166"/>
      <c r="BI309" s="166"/>
      <c r="BJ309" s="166"/>
      <c r="BK309" s="166"/>
      <c r="BL309" s="166"/>
      <c r="BM309" s="166"/>
      <c r="BN309" s="166"/>
      <c r="BO309" s="166"/>
      <c r="BP309" s="166"/>
      <c r="BQ309" s="166"/>
      <c r="BR309" s="166"/>
      <c r="BS309" s="166"/>
      <c r="BT309" s="166"/>
      <c r="BU309" s="166"/>
      <c r="BV309" s="166"/>
      <c r="BW309" s="166"/>
      <c r="BX309" s="166"/>
      <c r="BY309" s="166"/>
      <c r="BZ309" s="166"/>
      <c r="CA309" s="166"/>
      <c r="CB309" s="166"/>
      <c r="CC309" s="166"/>
      <c r="CD309" s="166"/>
      <c r="CE309" s="166"/>
      <c r="CF309" s="166"/>
      <c r="CG309" s="166"/>
      <c r="CH309" s="166"/>
      <c r="CI309" s="166"/>
      <c r="CJ309" s="166"/>
      <c r="CK309" s="166"/>
      <c r="CL309" s="166"/>
      <c r="CM309" s="167"/>
      <c r="CN309" s="167"/>
      <c r="CO309" s="167"/>
      <c r="CP309" s="167"/>
      <c r="CQ309" s="167"/>
      <c r="CR309" s="167"/>
      <c r="CS309" s="167"/>
      <c r="CT309" s="379"/>
      <c r="CU309" s="379"/>
      <c r="CV309" s="167"/>
      <c r="CW309" s="167"/>
      <c r="CX309" s="167"/>
      <c r="CY309" s="167"/>
      <c r="CZ309" s="174"/>
      <c r="DA309" s="166"/>
      <c r="DC309" s="19"/>
      <c r="DD309" s="19"/>
      <c r="DE309" s="19"/>
      <c r="DF309" s="19"/>
      <c r="DG309" s="19"/>
      <c r="DH309" s="19"/>
      <c r="DI309" s="19"/>
    </row>
    <row r="310" spans="1:113" ht="12" hidden="1" outlineLevel="2">
      <c r="A310" s="1" t="s">
        <v>80</v>
      </c>
      <c r="B310" s="19" t="s">
        <v>470</v>
      </c>
      <c r="C310" s="416"/>
      <c r="D310" s="416"/>
      <c r="E310" s="416"/>
      <c r="F310" s="416"/>
      <c r="G310" s="416"/>
      <c r="H310" s="416"/>
      <c r="I310" s="416"/>
      <c r="J310" s="416"/>
      <c r="K310" s="416"/>
      <c r="L310" s="416"/>
      <c r="M310" s="416"/>
      <c r="N310" s="416"/>
      <c r="O310" s="416"/>
      <c r="P310" s="416"/>
      <c r="Q310" s="416"/>
      <c r="R310" s="416"/>
      <c r="S310" s="416"/>
      <c r="T310" s="416"/>
      <c r="U310" s="416"/>
      <c r="V310" s="416"/>
      <c r="W310" s="416"/>
      <c r="X310" s="416"/>
      <c r="Y310" s="416"/>
      <c r="Z310" s="416"/>
      <c r="AA310" s="416"/>
      <c r="AB310" s="416"/>
      <c r="AC310" s="416"/>
      <c r="AD310" s="416"/>
      <c r="AE310" s="416"/>
      <c r="AF310" s="416"/>
      <c r="AG310" s="416"/>
      <c r="AH310" s="416"/>
      <c r="AI310" s="416"/>
      <c r="AJ310" s="416"/>
      <c r="AK310" s="416"/>
      <c r="AL310" s="416"/>
      <c r="AM310" s="416"/>
      <c r="AN310" s="416"/>
      <c r="AO310" s="416"/>
      <c r="AP310" s="379"/>
      <c r="AQ310" s="379"/>
      <c r="AR310" s="379"/>
      <c r="AS310" s="379"/>
      <c r="AT310" s="379"/>
      <c r="AU310" s="379"/>
      <c r="AV310" s="379"/>
      <c r="AW310" s="379"/>
      <c r="AX310" s="379"/>
      <c r="AY310" s="167"/>
      <c r="AZ310" s="502"/>
      <c r="BA310" s="166"/>
      <c r="BB310" s="166"/>
      <c r="BC310" s="166"/>
      <c r="BD310" s="166"/>
      <c r="BE310" s="166"/>
      <c r="BF310" s="166"/>
      <c r="BG310" s="166"/>
      <c r="BH310" s="166"/>
      <c r="BI310" s="166"/>
      <c r="BJ310" s="166"/>
      <c r="BK310" s="166"/>
      <c r="BL310" s="166"/>
      <c r="BM310" s="166"/>
      <c r="BN310" s="166"/>
      <c r="BO310" s="166"/>
      <c r="BP310" s="166"/>
      <c r="BQ310" s="166"/>
      <c r="BR310" s="166"/>
      <c r="BS310" s="166"/>
      <c r="BT310" s="166"/>
      <c r="BU310" s="166"/>
      <c r="BV310" s="166"/>
      <c r="BW310" s="166"/>
      <c r="BX310" s="166"/>
      <c r="BY310" s="166"/>
      <c r="BZ310" s="166"/>
      <c r="CA310" s="166"/>
      <c r="CB310" s="166"/>
      <c r="CC310" s="166"/>
      <c r="CD310" s="166"/>
      <c r="CE310" s="166"/>
      <c r="CF310" s="166"/>
      <c r="CG310" s="166"/>
      <c r="CH310" s="166"/>
      <c r="CI310" s="166"/>
      <c r="CJ310" s="166"/>
      <c r="CK310" s="166"/>
      <c r="CL310" s="166"/>
      <c r="CM310" s="167"/>
      <c r="CN310" s="167"/>
      <c r="CO310" s="167"/>
      <c r="CP310" s="167"/>
      <c r="CQ310" s="167"/>
      <c r="CR310" s="167"/>
      <c r="CS310" s="167"/>
      <c r="CT310" s="379"/>
      <c r="CU310" s="379"/>
      <c r="CV310" s="167"/>
      <c r="CW310" s="167"/>
      <c r="CX310" s="167"/>
      <c r="CY310" s="167"/>
      <c r="CZ310" s="174"/>
      <c r="DA310" s="166"/>
      <c r="DC310" s="19"/>
      <c r="DD310" s="19"/>
      <c r="DE310" s="19"/>
      <c r="DF310" s="19"/>
      <c r="DG310" s="19"/>
      <c r="DH310" s="19"/>
      <c r="DI310" s="19"/>
    </row>
    <row r="311" spans="1:113" s="24" customFormat="1" ht="12" hidden="1" outlineLevel="2">
      <c r="A311" s="1" t="s">
        <v>81</v>
      </c>
      <c r="B311" s="24" t="s">
        <v>166</v>
      </c>
      <c r="C311" s="584"/>
      <c r="D311" s="584"/>
      <c r="E311" s="584"/>
      <c r="F311" s="584"/>
      <c r="G311" s="584"/>
      <c r="H311" s="584"/>
      <c r="I311" s="584"/>
      <c r="J311" s="584"/>
      <c r="K311" s="584"/>
      <c r="L311" s="584"/>
      <c r="M311" s="584"/>
      <c r="N311" s="584"/>
      <c r="O311" s="584"/>
      <c r="P311" s="584"/>
      <c r="Q311" s="584"/>
      <c r="R311" s="584"/>
      <c r="S311" s="584"/>
      <c r="T311" s="584"/>
      <c r="U311" s="584"/>
      <c r="V311" s="584"/>
      <c r="W311" s="584"/>
      <c r="X311" s="584"/>
      <c r="Y311" s="515"/>
      <c r="Z311" s="515"/>
      <c r="AA311" s="515"/>
      <c r="AB311" s="515"/>
      <c r="AC311" s="515"/>
      <c r="AD311" s="515"/>
      <c r="AE311" s="515"/>
      <c r="AF311" s="515"/>
      <c r="AG311" s="515"/>
      <c r="AH311" s="515"/>
      <c r="AI311" s="515"/>
      <c r="AJ311" s="515"/>
      <c r="AK311" s="515"/>
      <c r="AL311" s="515"/>
      <c r="AM311" s="515"/>
      <c r="AN311" s="515"/>
      <c r="AO311" s="515"/>
      <c r="AP311" s="515"/>
      <c r="AQ311" s="515"/>
      <c r="AR311" s="515"/>
      <c r="AS311" s="515"/>
      <c r="AT311" s="515"/>
      <c r="AU311" s="515"/>
      <c r="AV311" s="515"/>
      <c r="AW311" s="515"/>
      <c r="AX311" s="515"/>
      <c r="AY311" s="514"/>
      <c r="AZ311" s="582"/>
      <c r="BA311" s="415"/>
      <c r="BB311" s="415"/>
      <c r="BC311" s="415"/>
      <c r="BD311" s="415"/>
      <c r="BE311" s="415"/>
      <c r="BF311" s="415"/>
      <c r="BG311" s="415"/>
      <c r="BH311" s="415"/>
      <c r="BI311" s="415"/>
      <c r="BJ311" s="415"/>
      <c r="BK311" s="415"/>
      <c r="BL311" s="415"/>
      <c r="BM311" s="415"/>
      <c r="BN311" s="415"/>
      <c r="BO311" s="415"/>
      <c r="BP311" s="415"/>
      <c r="BQ311" s="415"/>
      <c r="BR311" s="415"/>
      <c r="BS311" s="415"/>
      <c r="BT311" s="415"/>
      <c r="BU311" s="415"/>
      <c r="BV311" s="415"/>
      <c r="BW311" s="415"/>
      <c r="BX311" s="415"/>
      <c r="BY311" s="415"/>
      <c r="BZ311" s="415"/>
      <c r="CA311" s="415"/>
      <c r="CB311" s="415"/>
      <c r="CC311" s="415"/>
      <c r="CD311" s="415"/>
      <c r="CE311" s="415"/>
      <c r="CF311" s="415"/>
      <c r="CG311" s="415"/>
      <c r="CH311" s="415"/>
      <c r="CI311" s="415"/>
      <c r="CJ311" s="415"/>
      <c r="CK311" s="415"/>
      <c r="CL311" s="415"/>
      <c r="CM311" s="514"/>
      <c r="CN311" s="514"/>
      <c r="CO311" s="514"/>
      <c r="CP311" s="514"/>
      <c r="CQ311" s="514"/>
      <c r="CR311" s="514"/>
      <c r="CS311" s="514"/>
      <c r="CT311" s="515"/>
      <c r="CU311" s="515"/>
      <c r="CV311" s="514"/>
      <c r="CW311" s="514"/>
      <c r="CX311" s="514"/>
      <c r="CY311" s="514"/>
      <c r="CZ311" s="630"/>
      <c r="DA311" s="626"/>
      <c r="DB311" s="626"/>
      <c r="DC311" s="626"/>
      <c r="DD311" s="626"/>
      <c r="DE311" s="626"/>
      <c r="DF311" s="626"/>
      <c r="DG311" s="626"/>
      <c r="DH311" s="626"/>
      <c r="DI311" s="626"/>
    </row>
    <row r="312" spans="1:113" ht="12" hidden="1" outlineLevel="2">
      <c r="C312" s="601"/>
      <c r="D312" s="601"/>
      <c r="E312" s="601"/>
      <c r="F312" s="601"/>
      <c r="G312" s="601"/>
      <c r="H312" s="601"/>
      <c r="I312" s="601"/>
      <c r="J312" s="601"/>
      <c r="K312" s="601"/>
      <c r="L312" s="601"/>
      <c r="M312" s="601"/>
      <c r="N312" s="601"/>
      <c r="O312" s="601"/>
      <c r="P312" s="601"/>
      <c r="Q312" s="601"/>
      <c r="R312" s="601"/>
      <c r="S312" s="601"/>
      <c r="T312" s="601"/>
      <c r="U312" s="601"/>
      <c r="V312" s="601"/>
      <c r="W312" s="601"/>
      <c r="X312" s="601"/>
      <c r="Y312" s="416"/>
      <c r="Z312" s="416"/>
      <c r="AA312" s="416"/>
      <c r="AB312" s="416"/>
      <c r="AC312" s="416"/>
      <c r="AD312" s="416"/>
      <c r="AE312" s="416"/>
      <c r="AF312" s="416"/>
      <c r="AG312" s="416"/>
      <c r="AH312" s="416"/>
      <c r="AI312" s="416"/>
      <c r="AJ312" s="416"/>
      <c r="AK312" s="416"/>
      <c r="AL312" s="416"/>
      <c r="AM312" s="416"/>
      <c r="AN312" s="416"/>
      <c r="AO312" s="416"/>
      <c r="AP312" s="167"/>
      <c r="AQ312" s="167"/>
      <c r="AR312" s="167"/>
      <c r="AS312" s="167"/>
      <c r="AT312" s="167"/>
      <c r="AU312" s="167"/>
      <c r="AV312" s="167"/>
      <c r="AW312" s="167"/>
      <c r="AX312" s="167"/>
      <c r="AY312" s="167"/>
      <c r="AZ312" s="174"/>
      <c r="BA312" s="166"/>
      <c r="BB312" s="166"/>
      <c r="BC312" s="166"/>
      <c r="BD312" s="166"/>
      <c r="BE312" s="166"/>
      <c r="BF312" s="166"/>
      <c r="BG312" s="166"/>
      <c r="BH312" s="166"/>
      <c r="BI312" s="166"/>
      <c r="BJ312" s="166"/>
      <c r="BK312" s="166"/>
      <c r="BL312" s="166"/>
      <c r="BM312" s="166"/>
      <c r="BN312" s="166"/>
      <c r="BO312" s="166"/>
      <c r="BP312" s="166"/>
      <c r="BQ312" s="166"/>
      <c r="BR312" s="166"/>
      <c r="BS312" s="166"/>
      <c r="BT312" s="166"/>
      <c r="BU312" s="166"/>
      <c r="BV312" s="166"/>
      <c r="BW312" s="166"/>
      <c r="BX312" s="166"/>
      <c r="BY312" s="166"/>
      <c r="BZ312" s="166"/>
      <c r="CA312" s="166"/>
      <c r="CB312" s="166"/>
      <c r="CC312" s="166"/>
      <c r="CD312" s="166"/>
      <c r="CE312" s="166"/>
      <c r="CF312" s="166"/>
      <c r="CG312" s="166"/>
      <c r="CH312" s="166"/>
      <c r="CI312" s="166"/>
      <c r="CJ312" s="166"/>
      <c r="CK312" s="166"/>
      <c r="CL312" s="166"/>
      <c r="CM312" s="167"/>
      <c r="CN312" s="167"/>
      <c r="CO312" s="167"/>
      <c r="CP312" s="167"/>
      <c r="CQ312" s="167"/>
      <c r="CR312" s="167"/>
      <c r="CS312" s="167"/>
      <c r="CT312" s="167"/>
      <c r="CU312" s="167"/>
      <c r="CV312" s="167"/>
      <c r="CW312" s="167"/>
      <c r="CX312" s="167"/>
      <c r="CY312" s="167"/>
      <c r="CZ312" s="174"/>
      <c r="DA312" s="166"/>
      <c r="DC312" s="19"/>
      <c r="DD312" s="19"/>
      <c r="DE312" s="19"/>
      <c r="DF312" s="19"/>
      <c r="DG312" s="19"/>
      <c r="DH312" s="19"/>
      <c r="DI312" s="19"/>
    </row>
    <row r="313" spans="1:113" s="24" customFormat="1" ht="12" hidden="1" outlineLevel="2">
      <c r="A313" s="19"/>
      <c r="B313" s="24" t="s">
        <v>496</v>
      </c>
      <c r="C313" s="584"/>
      <c r="D313" s="584"/>
      <c r="E313" s="584"/>
      <c r="F313" s="584"/>
      <c r="G313" s="584"/>
      <c r="H313" s="584"/>
      <c r="I313" s="584"/>
      <c r="J313" s="584"/>
      <c r="K313" s="584"/>
      <c r="L313" s="584"/>
      <c r="M313" s="584"/>
      <c r="N313" s="584"/>
      <c r="O313" s="584"/>
      <c r="P313" s="584"/>
      <c r="Q313" s="584"/>
      <c r="R313" s="584"/>
      <c r="S313" s="584"/>
      <c r="T313" s="584"/>
      <c r="U313" s="584"/>
      <c r="V313" s="584"/>
      <c r="W313" s="584"/>
      <c r="X313" s="584"/>
      <c r="Y313" s="515"/>
      <c r="Z313" s="515"/>
      <c r="AA313" s="515"/>
      <c r="AB313" s="515"/>
      <c r="AC313" s="515"/>
      <c r="AD313" s="515"/>
      <c r="AE313" s="515"/>
      <c r="AF313" s="515"/>
      <c r="AG313" s="515"/>
      <c r="AH313" s="515"/>
      <c r="AI313" s="515"/>
      <c r="AJ313" s="515"/>
      <c r="AK313" s="515"/>
      <c r="AL313" s="515"/>
      <c r="AM313" s="515"/>
      <c r="AN313" s="515"/>
      <c r="AO313" s="515"/>
      <c r="AP313" s="514"/>
      <c r="AQ313" s="514"/>
      <c r="AR313" s="514"/>
      <c r="AS313" s="514"/>
      <c r="AT313" s="514"/>
      <c r="AU313" s="514"/>
      <c r="AV313" s="514"/>
      <c r="AW313" s="514"/>
      <c r="AX313" s="514"/>
      <c r="AY313" s="514"/>
      <c r="AZ313" s="581"/>
      <c r="BA313" s="415"/>
      <c r="BB313" s="415"/>
      <c r="BC313" s="415"/>
      <c r="BD313" s="415"/>
      <c r="BE313" s="415"/>
      <c r="BF313" s="415"/>
      <c r="BG313" s="415"/>
      <c r="BH313" s="415"/>
      <c r="BI313" s="415"/>
      <c r="BJ313" s="415"/>
      <c r="BK313" s="415"/>
      <c r="BL313" s="415"/>
      <c r="BM313" s="415"/>
      <c r="BN313" s="415"/>
      <c r="BO313" s="415"/>
      <c r="BP313" s="415"/>
      <c r="BQ313" s="415"/>
      <c r="BR313" s="415"/>
      <c r="BS313" s="415"/>
      <c r="BT313" s="415"/>
      <c r="BU313" s="415"/>
      <c r="BV313" s="415"/>
      <c r="BW313" s="415"/>
      <c r="BX313" s="415"/>
      <c r="BY313" s="415"/>
      <c r="BZ313" s="415"/>
      <c r="CA313" s="415"/>
      <c r="CB313" s="415"/>
      <c r="CC313" s="415"/>
      <c r="CD313" s="415"/>
      <c r="CE313" s="415"/>
      <c r="CF313" s="415"/>
      <c r="CG313" s="415"/>
      <c r="CH313" s="415"/>
      <c r="CI313" s="415"/>
      <c r="CJ313" s="415"/>
      <c r="CK313" s="415"/>
      <c r="CL313" s="415"/>
      <c r="CM313" s="514"/>
      <c r="CN313" s="514"/>
      <c r="CO313" s="514"/>
      <c r="CP313" s="514"/>
      <c r="CQ313" s="514"/>
      <c r="CR313" s="514"/>
      <c r="CS313" s="514"/>
      <c r="CT313" s="514"/>
      <c r="CU313" s="514"/>
      <c r="CV313" s="514"/>
      <c r="CW313" s="514"/>
      <c r="CX313" s="514"/>
      <c r="CY313" s="514"/>
      <c r="CZ313" s="581"/>
      <c r="DA313" s="415"/>
      <c r="DB313" s="13"/>
    </row>
    <row r="314" spans="1:113" ht="12" hidden="1" outlineLevel="2">
      <c r="A314" s="1" t="s">
        <v>167</v>
      </c>
      <c r="B314" s="19" t="str">
        <f>B$184</f>
        <v>Core deposits</v>
      </c>
      <c r="C314" s="601"/>
      <c r="D314" s="601"/>
      <c r="E314" s="601"/>
      <c r="F314" s="601"/>
      <c r="G314" s="601"/>
      <c r="H314" s="601"/>
      <c r="I314" s="601"/>
      <c r="J314" s="601"/>
      <c r="K314" s="601"/>
      <c r="L314" s="601"/>
      <c r="M314" s="601"/>
      <c r="N314" s="601"/>
      <c r="O314" s="601"/>
      <c r="P314" s="601"/>
      <c r="Q314" s="601"/>
      <c r="R314" s="601"/>
      <c r="S314" s="601"/>
      <c r="T314" s="601"/>
      <c r="U314" s="601"/>
      <c r="V314" s="601"/>
      <c r="W314" s="601"/>
      <c r="X314" s="601"/>
      <c r="Y314" s="416"/>
      <c r="Z314" s="416"/>
      <c r="AA314" s="416"/>
      <c r="AB314" s="416"/>
      <c r="AC314" s="416"/>
      <c r="AD314" s="416"/>
      <c r="AE314" s="416"/>
      <c r="AF314" s="416"/>
      <c r="AG314" s="416"/>
      <c r="AH314" s="416"/>
      <c r="AI314" s="416"/>
      <c r="AJ314" s="416"/>
      <c r="AK314" s="416"/>
      <c r="AL314" s="416"/>
      <c r="AM314" s="416"/>
      <c r="AN314" s="416"/>
      <c r="AO314" s="416"/>
      <c r="AP314" s="167"/>
      <c r="AQ314" s="167"/>
      <c r="AR314" s="167"/>
      <c r="AS314" s="167"/>
      <c r="AT314" s="167"/>
      <c r="AU314" s="167"/>
      <c r="AV314" s="167"/>
      <c r="AW314" s="167"/>
      <c r="AX314" s="167"/>
      <c r="AY314" s="167"/>
      <c r="AZ314" s="174"/>
      <c r="BA314" s="166"/>
      <c r="BB314" s="166"/>
      <c r="BC314" s="166"/>
      <c r="BD314" s="166"/>
      <c r="BE314" s="166"/>
      <c r="BF314" s="166"/>
      <c r="BG314" s="166"/>
      <c r="BH314" s="166"/>
      <c r="BI314" s="166"/>
      <c r="BJ314" s="166"/>
      <c r="BK314" s="166"/>
      <c r="BL314" s="166"/>
      <c r="BM314" s="166"/>
      <c r="BN314" s="166"/>
      <c r="BO314" s="166"/>
      <c r="BP314" s="166"/>
      <c r="BQ314" s="166"/>
      <c r="BR314" s="166"/>
      <c r="BS314" s="166"/>
      <c r="BT314" s="166"/>
      <c r="BU314" s="166"/>
      <c r="BV314" s="166"/>
      <c r="BW314" s="166"/>
      <c r="BX314" s="166"/>
      <c r="BY314" s="166"/>
      <c r="BZ314" s="166"/>
      <c r="CA314" s="166"/>
      <c r="CB314" s="166"/>
      <c r="CC314" s="166"/>
      <c r="CD314" s="166"/>
      <c r="CE314" s="166"/>
      <c r="CF314" s="166"/>
      <c r="CG314" s="166"/>
      <c r="CH314" s="166"/>
      <c r="CI314" s="166"/>
      <c r="CJ314" s="166"/>
      <c r="CK314" s="166"/>
      <c r="CL314" s="166"/>
      <c r="CM314" s="167"/>
      <c r="CN314" s="167"/>
      <c r="CO314" s="167"/>
      <c r="CP314" s="167"/>
      <c r="CQ314" s="167"/>
      <c r="CR314" s="167"/>
      <c r="CS314" s="167"/>
      <c r="CT314" s="167"/>
      <c r="CU314" s="167"/>
      <c r="CV314" s="167"/>
      <c r="CW314" s="167"/>
      <c r="CX314" s="167"/>
      <c r="CY314" s="167"/>
      <c r="CZ314" s="174"/>
      <c r="DA314" s="166"/>
      <c r="DC314" s="19"/>
      <c r="DD314" s="19"/>
      <c r="DE314" s="19"/>
      <c r="DF314" s="19"/>
      <c r="DG314" s="19"/>
      <c r="DH314" s="19"/>
      <c r="DI314" s="19"/>
    </row>
    <row r="315" spans="1:113" ht="12" hidden="1" outlineLevel="2">
      <c r="A315" s="1" t="s">
        <v>168</v>
      </c>
      <c r="B315" s="19" t="str">
        <f>B$185</f>
        <v>Time deposits (includes CDs)</v>
      </c>
      <c r="C315" s="601"/>
      <c r="D315" s="601"/>
      <c r="E315" s="601"/>
      <c r="F315" s="601"/>
      <c r="G315" s="601"/>
      <c r="H315" s="601"/>
      <c r="I315" s="601"/>
      <c r="J315" s="601"/>
      <c r="K315" s="601"/>
      <c r="L315" s="601"/>
      <c r="M315" s="601"/>
      <c r="N315" s="601"/>
      <c r="O315" s="601"/>
      <c r="P315" s="601"/>
      <c r="Q315" s="601"/>
      <c r="R315" s="601"/>
      <c r="S315" s="601"/>
      <c r="T315" s="601"/>
      <c r="U315" s="601"/>
      <c r="V315" s="601"/>
      <c r="W315" s="601"/>
      <c r="X315" s="601"/>
      <c r="Y315" s="416"/>
      <c r="Z315" s="416"/>
      <c r="AA315" s="416"/>
      <c r="AB315" s="416"/>
      <c r="AC315" s="416"/>
      <c r="AD315" s="416"/>
      <c r="AE315" s="416"/>
      <c r="AF315" s="416"/>
      <c r="AG315" s="416"/>
      <c r="AH315" s="416"/>
      <c r="AI315" s="416"/>
      <c r="AJ315" s="416"/>
      <c r="AK315" s="416"/>
      <c r="AL315" s="416"/>
      <c r="AM315" s="416"/>
      <c r="AN315" s="416"/>
      <c r="AO315" s="416"/>
      <c r="AP315" s="167"/>
      <c r="AQ315" s="167"/>
      <c r="AR315" s="167"/>
      <c r="AS315" s="167"/>
      <c r="AT315" s="167"/>
      <c r="AU315" s="167"/>
      <c r="AV315" s="167"/>
      <c r="AW315" s="167"/>
      <c r="AX315" s="167"/>
      <c r="AY315" s="167"/>
      <c r="AZ315" s="174"/>
      <c r="BA315" s="166"/>
      <c r="BB315" s="166"/>
      <c r="BC315" s="166"/>
      <c r="BD315" s="166"/>
      <c r="BE315" s="166"/>
      <c r="BF315" s="166"/>
      <c r="BG315" s="166"/>
      <c r="BH315" s="166"/>
      <c r="BI315" s="166"/>
      <c r="BJ315" s="166"/>
      <c r="BK315" s="166"/>
      <c r="BL315" s="166"/>
      <c r="BM315" s="166"/>
      <c r="BN315" s="166"/>
      <c r="BO315" s="166"/>
      <c r="BP315" s="166"/>
      <c r="BQ315" s="166"/>
      <c r="BR315" s="166"/>
      <c r="BS315" s="166"/>
      <c r="BT315" s="166"/>
      <c r="BU315" s="166"/>
      <c r="BV315" s="166"/>
      <c r="BW315" s="166"/>
      <c r="BX315" s="166"/>
      <c r="BY315" s="166"/>
      <c r="BZ315" s="166"/>
      <c r="CA315" s="166"/>
      <c r="CB315" s="166"/>
      <c r="CC315" s="166"/>
      <c r="CD315" s="166"/>
      <c r="CE315" s="166"/>
      <c r="CF315" s="166"/>
      <c r="CG315" s="166"/>
      <c r="CH315" s="166"/>
      <c r="CI315" s="166"/>
      <c r="CJ315" s="166"/>
      <c r="CK315" s="166"/>
      <c r="CL315" s="166"/>
      <c r="CM315" s="167"/>
      <c r="CN315" s="167"/>
      <c r="CO315" s="167"/>
      <c r="CP315" s="167"/>
      <c r="CQ315" s="167"/>
      <c r="CR315" s="167"/>
      <c r="CS315" s="167"/>
      <c r="CT315" s="167"/>
      <c r="CU315" s="167"/>
      <c r="CV315" s="167"/>
      <c r="CW315" s="167"/>
      <c r="CX315" s="167"/>
      <c r="CY315" s="167"/>
      <c r="CZ315" s="174"/>
      <c r="DA315" s="166"/>
      <c r="DC315" s="19"/>
      <c r="DD315" s="19"/>
      <c r="DE315" s="19"/>
      <c r="DF315" s="19"/>
      <c r="DG315" s="19"/>
      <c r="DH315" s="19"/>
      <c r="DI315" s="19"/>
    </row>
    <row r="316" spans="1:113" s="24" customFormat="1" ht="12" hidden="1" outlineLevel="2">
      <c r="A316" s="1" t="s">
        <v>169</v>
      </c>
      <c r="B316" s="24" t="s">
        <v>166</v>
      </c>
      <c r="C316" s="584"/>
      <c r="D316" s="584"/>
      <c r="E316" s="584"/>
      <c r="F316" s="584"/>
      <c r="G316" s="584"/>
      <c r="H316" s="584"/>
      <c r="I316" s="584"/>
      <c r="J316" s="584"/>
      <c r="K316" s="584"/>
      <c r="L316" s="584"/>
      <c r="M316" s="584"/>
      <c r="N316" s="584"/>
      <c r="O316" s="584"/>
      <c r="P316" s="584"/>
      <c r="Q316" s="584"/>
      <c r="R316" s="584"/>
      <c r="S316" s="584"/>
      <c r="T316" s="584"/>
      <c r="U316" s="584"/>
      <c r="V316" s="584"/>
      <c r="W316" s="584"/>
      <c r="X316" s="584"/>
      <c r="Y316" s="515"/>
      <c r="Z316" s="515"/>
      <c r="AA316" s="515"/>
      <c r="AB316" s="515"/>
      <c r="AC316" s="515"/>
      <c r="AD316" s="515"/>
      <c r="AE316" s="515"/>
      <c r="AF316" s="515"/>
      <c r="AG316" s="515"/>
      <c r="AH316" s="515"/>
      <c r="AI316" s="515"/>
      <c r="AJ316" s="515"/>
      <c r="AK316" s="515"/>
      <c r="AL316" s="515"/>
      <c r="AM316" s="515"/>
      <c r="AN316" s="515"/>
      <c r="AO316" s="515"/>
      <c r="AP316" s="514"/>
      <c r="AQ316" s="514"/>
      <c r="AR316" s="514"/>
      <c r="AS316" s="514"/>
      <c r="AT316" s="514"/>
      <c r="AU316" s="514"/>
      <c r="AV316" s="514"/>
      <c r="AW316" s="514"/>
      <c r="AX316" s="514"/>
      <c r="AY316" s="514"/>
      <c r="AZ316" s="581"/>
      <c r="BA316" s="415"/>
      <c r="BB316" s="415"/>
      <c r="BC316" s="415"/>
      <c r="BD316" s="415"/>
      <c r="BE316" s="415"/>
      <c r="BF316" s="415"/>
      <c r="BG316" s="415"/>
      <c r="BH316" s="415"/>
      <c r="BI316" s="415"/>
      <c r="BJ316" s="415"/>
      <c r="BK316" s="415"/>
      <c r="BL316" s="415"/>
      <c r="BM316" s="415"/>
      <c r="BN316" s="415"/>
      <c r="BO316" s="415"/>
      <c r="BP316" s="415"/>
      <c r="BQ316" s="415"/>
      <c r="BR316" s="415"/>
      <c r="BS316" s="415"/>
      <c r="BT316" s="415"/>
      <c r="BU316" s="415"/>
      <c r="BV316" s="415"/>
      <c r="BW316" s="415"/>
      <c r="BX316" s="415"/>
      <c r="BY316" s="415"/>
      <c r="BZ316" s="415"/>
      <c r="CA316" s="415"/>
      <c r="CB316" s="415"/>
      <c r="CC316" s="415"/>
      <c r="CD316" s="415"/>
      <c r="CE316" s="415"/>
      <c r="CF316" s="415"/>
      <c r="CG316" s="415"/>
      <c r="CH316" s="415"/>
      <c r="CI316" s="415"/>
      <c r="CJ316" s="415"/>
      <c r="CK316" s="415"/>
      <c r="CL316" s="415"/>
      <c r="CM316" s="514"/>
      <c r="CN316" s="514"/>
      <c r="CO316" s="514"/>
      <c r="CP316" s="514"/>
      <c r="CQ316" s="514"/>
      <c r="CR316" s="514"/>
      <c r="CS316" s="514"/>
      <c r="CT316" s="514"/>
      <c r="CU316" s="514"/>
      <c r="CV316" s="514"/>
      <c r="CW316" s="514"/>
      <c r="CX316" s="514"/>
      <c r="CY316" s="514"/>
      <c r="CZ316" s="581"/>
      <c r="DA316" s="415"/>
      <c r="DB316" s="415"/>
      <c r="DC316" s="415"/>
      <c r="DD316" s="415"/>
      <c r="DE316" s="415"/>
      <c r="DF316" s="415"/>
      <c r="DG316" s="415"/>
      <c r="DH316" s="415"/>
      <c r="DI316" s="415"/>
    </row>
    <row r="317" spans="1:113" ht="12" hidden="1" outlineLevel="2">
      <c r="A317" s="1" t="s">
        <v>170</v>
      </c>
      <c r="B317" s="19" t="s">
        <v>275</v>
      </c>
      <c r="C317" s="601"/>
      <c r="D317" s="601"/>
      <c r="E317" s="601"/>
      <c r="F317" s="601"/>
      <c r="G317" s="601"/>
      <c r="H317" s="601"/>
      <c r="I317" s="601"/>
      <c r="J317" s="601"/>
      <c r="K317" s="601"/>
      <c r="L317" s="601"/>
      <c r="M317" s="601"/>
      <c r="N317" s="601"/>
      <c r="O317" s="601"/>
      <c r="P317" s="601"/>
      <c r="Q317" s="601"/>
      <c r="R317" s="601"/>
      <c r="S317" s="601"/>
      <c r="T317" s="601"/>
      <c r="U317" s="601"/>
      <c r="V317" s="601"/>
      <c r="W317" s="601"/>
      <c r="X317" s="601"/>
      <c r="Y317" s="416"/>
      <c r="Z317" s="416"/>
      <c r="AA317" s="416"/>
      <c r="AB317" s="416"/>
      <c r="AC317" s="416"/>
      <c r="AD317" s="416"/>
      <c r="AE317" s="416"/>
      <c r="AF317" s="416"/>
      <c r="AG317" s="416"/>
      <c r="AH317" s="416"/>
      <c r="AI317" s="416"/>
      <c r="AJ317" s="416"/>
      <c r="AK317" s="416"/>
      <c r="AL317" s="416"/>
      <c r="AM317" s="416"/>
      <c r="AN317" s="416"/>
      <c r="AO317" s="416"/>
      <c r="AP317" s="167"/>
      <c r="AQ317" s="167"/>
      <c r="AR317" s="167"/>
      <c r="AS317" s="167"/>
      <c r="AT317" s="167"/>
      <c r="AU317" s="167"/>
      <c r="AV317" s="167"/>
      <c r="AW317" s="167"/>
      <c r="AX317" s="167"/>
      <c r="AY317" s="167"/>
      <c r="AZ317" s="174"/>
      <c r="BA317" s="166"/>
      <c r="BB317" s="166"/>
      <c r="BC317" s="166"/>
      <c r="BD317" s="166"/>
      <c r="BE317" s="166"/>
      <c r="BF317" s="166"/>
      <c r="BG317" s="166"/>
      <c r="BH317" s="166"/>
      <c r="BI317" s="166"/>
      <c r="BJ317" s="166"/>
      <c r="BK317" s="166"/>
      <c r="BL317" s="166"/>
      <c r="BM317" s="166"/>
      <c r="BN317" s="166"/>
      <c r="BO317" s="166"/>
      <c r="BP317" s="166"/>
      <c r="BQ317" s="166"/>
      <c r="BR317" s="166"/>
      <c r="BS317" s="166"/>
      <c r="BT317" s="166"/>
      <c r="BU317" s="166"/>
      <c r="BV317" s="166"/>
      <c r="BW317" s="166"/>
      <c r="BX317" s="166"/>
      <c r="BY317" s="166"/>
      <c r="BZ317" s="166"/>
      <c r="CA317" s="166"/>
      <c r="CB317" s="166"/>
      <c r="CC317" s="166"/>
      <c r="CD317" s="166"/>
      <c r="CE317" s="166"/>
      <c r="CF317" s="166"/>
      <c r="CG317" s="166"/>
      <c r="CH317" s="166"/>
      <c r="CI317" s="166"/>
      <c r="CJ317" s="166"/>
      <c r="CK317" s="166"/>
      <c r="CL317" s="166"/>
      <c r="CM317" s="167"/>
      <c r="CN317" s="167"/>
      <c r="CO317" s="167"/>
      <c r="CP317" s="167"/>
      <c r="CQ317" s="167"/>
      <c r="CR317" s="167"/>
      <c r="CS317" s="167"/>
      <c r="CT317" s="167"/>
      <c r="CU317" s="167"/>
      <c r="CV317" s="167"/>
      <c r="CW317" s="167"/>
      <c r="CX317" s="167"/>
      <c r="CY317" s="167"/>
      <c r="CZ317" s="174"/>
      <c r="DA317" s="166"/>
      <c r="DB317" s="166"/>
      <c r="DC317" s="166"/>
      <c r="DD317" s="166"/>
      <c r="DE317" s="166"/>
      <c r="DF317" s="166"/>
      <c r="DG317" s="166"/>
      <c r="DH317" s="166"/>
      <c r="DI317" s="166"/>
    </row>
    <row r="318" spans="1:113" ht="12" hidden="1" outlineLevel="2">
      <c r="A318" s="1" t="s">
        <v>171</v>
      </c>
      <c r="B318" s="19" t="s">
        <v>276</v>
      </c>
      <c r="C318" s="601"/>
      <c r="D318" s="601"/>
      <c r="E318" s="601"/>
      <c r="F318" s="601"/>
      <c r="G318" s="601"/>
      <c r="H318" s="601"/>
      <c r="I318" s="601"/>
      <c r="J318" s="601"/>
      <c r="K318" s="601"/>
      <c r="L318" s="601"/>
      <c r="M318" s="601"/>
      <c r="N318" s="601"/>
      <c r="O318" s="601"/>
      <c r="P318" s="601"/>
      <c r="Q318" s="601"/>
      <c r="R318" s="601"/>
      <c r="S318" s="601"/>
      <c r="T318" s="601"/>
      <c r="U318" s="601"/>
      <c r="V318" s="601"/>
      <c r="W318" s="601"/>
      <c r="X318" s="601"/>
      <c r="Y318" s="416"/>
      <c r="Z318" s="416"/>
      <c r="AA318" s="416"/>
      <c r="AB318" s="416"/>
      <c r="AC318" s="416"/>
      <c r="AD318" s="416"/>
      <c r="AE318" s="416"/>
      <c r="AF318" s="416"/>
      <c r="AG318" s="416"/>
      <c r="AH318" s="416"/>
      <c r="AI318" s="416"/>
      <c r="AJ318" s="416"/>
      <c r="AK318" s="416"/>
      <c r="AL318" s="416"/>
      <c r="AM318" s="416"/>
      <c r="AN318" s="416"/>
      <c r="AO318" s="416"/>
      <c r="AP318" s="167"/>
      <c r="AQ318" s="167"/>
      <c r="AR318" s="167"/>
      <c r="AS318" s="167"/>
      <c r="AT318" s="167"/>
      <c r="AU318" s="167"/>
      <c r="AV318" s="167"/>
      <c r="AW318" s="167"/>
      <c r="AX318" s="167"/>
      <c r="AY318" s="167"/>
      <c r="AZ318" s="174"/>
      <c r="BA318" s="166"/>
      <c r="BB318" s="166"/>
      <c r="BC318" s="166"/>
      <c r="BD318" s="166"/>
      <c r="BE318" s="166"/>
      <c r="BF318" s="166"/>
      <c r="BG318" s="166"/>
      <c r="BH318" s="166"/>
      <c r="BI318" s="166"/>
      <c r="BJ318" s="166"/>
      <c r="BK318" s="166"/>
      <c r="BL318" s="166"/>
      <c r="BM318" s="166"/>
      <c r="BN318" s="166"/>
      <c r="BO318" s="166"/>
      <c r="BP318" s="166"/>
      <c r="BQ318" s="166"/>
      <c r="BR318" s="166"/>
      <c r="BS318" s="166"/>
      <c r="BT318" s="166"/>
      <c r="BU318" s="166"/>
      <c r="BV318" s="166"/>
      <c r="BW318" s="166"/>
      <c r="BX318" s="166"/>
      <c r="BY318" s="166"/>
      <c r="BZ318" s="166"/>
      <c r="CA318" s="166"/>
      <c r="CB318" s="166"/>
      <c r="CC318" s="166"/>
      <c r="CD318" s="166"/>
      <c r="CE318" s="166"/>
      <c r="CF318" s="166"/>
      <c r="CG318" s="166"/>
      <c r="CH318" s="166"/>
      <c r="CI318" s="166"/>
      <c r="CJ318" s="166"/>
      <c r="CK318" s="166"/>
      <c r="CL318" s="166"/>
      <c r="CM318" s="167"/>
      <c r="CN318" s="167"/>
      <c r="CO318" s="167"/>
      <c r="CP318" s="167"/>
      <c r="CQ318" s="167"/>
      <c r="CR318" s="167"/>
      <c r="CS318" s="167"/>
      <c r="CT318" s="167"/>
      <c r="CU318" s="167"/>
      <c r="CV318" s="167"/>
      <c r="CW318" s="167"/>
      <c r="CX318" s="167"/>
      <c r="CY318" s="167"/>
      <c r="CZ318" s="174"/>
      <c r="DA318" s="166"/>
      <c r="DB318" s="166"/>
      <c r="DC318" s="166"/>
      <c r="DD318" s="166"/>
      <c r="DE318" s="166"/>
      <c r="DF318" s="166"/>
      <c r="DG318" s="166"/>
      <c r="DH318" s="166"/>
      <c r="DI318" s="166"/>
    </row>
    <row r="319" spans="1:113" s="24" customFormat="1" ht="12" hidden="1" outlineLevel="1" collapsed="1">
      <c r="A319" s="1" t="s">
        <v>172</v>
      </c>
      <c r="B319" s="24" t="s">
        <v>579</v>
      </c>
      <c r="C319" s="584"/>
      <c r="D319" s="584"/>
      <c r="E319" s="584"/>
      <c r="F319" s="584"/>
      <c r="G319" s="584"/>
      <c r="H319" s="584"/>
      <c r="I319" s="584"/>
      <c r="J319" s="584"/>
      <c r="K319" s="584"/>
      <c r="L319" s="584"/>
      <c r="M319" s="584"/>
      <c r="N319" s="584"/>
      <c r="O319" s="584"/>
      <c r="P319" s="584"/>
      <c r="Q319" s="584"/>
      <c r="R319" s="584"/>
      <c r="S319" s="584"/>
      <c r="T319" s="584"/>
      <c r="U319" s="584"/>
      <c r="V319" s="584"/>
      <c r="W319" s="584"/>
      <c r="X319" s="584"/>
      <c r="Y319" s="515"/>
      <c r="Z319" s="515"/>
      <c r="AA319" s="515"/>
      <c r="AB319" s="515"/>
      <c r="AC319" s="515"/>
      <c r="AD319" s="515"/>
      <c r="AE319" s="515"/>
      <c r="AF319" s="515"/>
      <c r="AG319" s="515"/>
      <c r="AH319" s="515"/>
      <c r="AI319" s="515"/>
      <c r="AJ319" s="515"/>
      <c r="AK319" s="515"/>
      <c r="AL319" s="515"/>
      <c r="AM319" s="515"/>
      <c r="AN319" s="515"/>
      <c r="AO319" s="515"/>
      <c r="AP319" s="415">
        <f t="shared" ref="AP319:AX319" si="1443">AP323-AP296</f>
        <v>-1.2678035738624194E-2</v>
      </c>
      <c r="AQ319" s="415">
        <f t="shared" si="1443"/>
        <v>-8.5238820231555226E-3</v>
      </c>
      <c r="AR319" s="415">
        <f t="shared" si="1443"/>
        <v>-6.3647799623403369E-3</v>
      </c>
      <c r="AS319" s="415">
        <f t="shared" si="1443"/>
        <v>-3.6947139215075461E-3</v>
      </c>
      <c r="AT319" s="415">
        <f t="shared" si="1443"/>
        <v>6.8731663109762656E-3</v>
      </c>
      <c r="AU319" s="415">
        <f t="shared" si="1443"/>
        <v>8.028265179474886E-3</v>
      </c>
      <c r="AV319" s="415">
        <f t="shared" si="1443"/>
        <v>5.14184190952734E-3</v>
      </c>
      <c r="AW319" s="415">
        <f t="shared" si="1443"/>
        <v>5.7280311634275161E-4</v>
      </c>
      <c r="AX319" s="514">
        <f t="shared" si="1443"/>
        <v>-4.6976647493208422E-3</v>
      </c>
      <c r="AY319" s="514">
        <f>AY323-AY296</f>
        <v>-4.1131159559800144E-3</v>
      </c>
      <c r="AZ319" s="581">
        <f t="shared" ref="AZ319" si="1444">AZ323-AZ296</f>
        <v>-5.1114818720738829E-3</v>
      </c>
      <c r="BA319" s="415">
        <f t="shared" ref="BA319:BQ319" si="1445">BA323-BA296</f>
        <v>-3.8276490957544762E-3</v>
      </c>
      <c r="BB319" s="415">
        <f t="shared" si="1445"/>
        <v>-3.7555475366456009E-3</v>
      </c>
      <c r="BC319" s="415">
        <f t="shared" si="1445"/>
        <v>-3.8163680527889959E-3</v>
      </c>
      <c r="BD319" s="415">
        <f t="shared" si="1445"/>
        <v>-3.6188806451872349E-3</v>
      </c>
      <c r="BE319" s="415">
        <f t="shared" si="1445"/>
        <v>-3.4661414052310699E-3</v>
      </c>
      <c r="BF319" s="415">
        <f t="shared" si="1445"/>
        <v>-3.3606805245040561E-3</v>
      </c>
      <c r="BG319" s="415">
        <f t="shared" si="1445"/>
        <v>-3.2820116767639587E-3</v>
      </c>
      <c r="BH319" s="415">
        <f t="shared" si="1445"/>
        <v>-3.2108452768443707E-3</v>
      </c>
      <c r="BI319" s="415">
        <f t="shared" si="1445"/>
        <v>-3.14863049573752E-3</v>
      </c>
      <c r="BJ319" s="415">
        <f t="shared" si="1445"/>
        <v>-3.0970372265272106E-3</v>
      </c>
      <c r="BK319" s="415">
        <f t="shared" si="1445"/>
        <v>-3.0420994690594505E-3</v>
      </c>
      <c r="BL319" s="415">
        <f t="shared" si="1445"/>
        <v>-2.9952435352215909E-3</v>
      </c>
      <c r="BM319" s="415">
        <f t="shared" si="1445"/>
        <v>-2.9507942428757573E-3</v>
      </c>
      <c r="BN319" s="415">
        <f t="shared" si="1445"/>
        <v>-2.9108439108257583E-3</v>
      </c>
      <c r="BO319" s="415">
        <f t="shared" si="1445"/>
        <v>-2.8740079368714255E-3</v>
      </c>
      <c r="BP319" s="415">
        <f t="shared" si="1445"/>
        <v>-2.8367844215768066E-3</v>
      </c>
      <c r="BQ319" s="415">
        <f t="shared" si="1445"/>
        <v>-2.8024314524017005E-3</v>
      </c>
      <c r="BR319" s="415"/>
      <c r="BS319" s="415"/>
      <c r="BT319" s="415"/>
      <c r="BU319" s="415"/>
      <c r="BV319" s="415"/>
      <c r="BW319" s="415"/>
      <c r="BX319" s="415"/>
      <c r="BY319" s="415"/>
      <c r="BZ319" s="415"/>
      <c r="CA319" s="415"/>
      <c r="CB319" s="415"/>
      <c r="CC319" s="415"/>
      <c r="CD319" s="415"/>
      <c r="CE319" s="415"/>
      <c r="CF319" s="415"/>
      <c r="CG319" s="415"/>
      <c r="CH319" s="415"/>
      <c r="CI319" s="415"/>
      <c r="CJ319" s="415"/>
      <c r="CK319" s="415"/>
      <c r="CL319" s="415"/>
      <c r="CM319" s="514"/>
      <c r="CN319" s="514"/>
      <c r="CO319" s="514"/>
      <c r="CP319" s="514"/>
      <c r="CQ319" s="514"/>
      <c r="CR319" s="514"/>
      <c r="CS319" s="514"/>
      <c r="CT319" s="514">
        <f t="shared" ref="CT319" si="1446">CT$318-((CT379-CT381)*CT$5/CT262)</f>
        <v>-3.3381351981351982E-2</v>
      </c>
      <c r="CU319" s="415">
        <f t="shared" ref="CU319:CY319" si="1447">CU323-CU296</f>
        <v>-1.0589592655962096E-2</v>
      </c>
      <c r="CV319" s="415">
        <f t="shared" si="1447"/>
        <v>-1.1139467972613209E-2</v>
      </c>
      <c r="CW319" s="415">
        <f t="shared" si="1447"/>
        <v>-4.9506037179936138E-3</v>
      </c>
      <c r="CX319" s="415">
        <f t="shared" si="1447"/>
        <v>7.4614443894661722E-3</v>
      </c>
      <c r="CY319" s="514">
        <f t="shared" si="1447"/>
        <v>2.8391087715982366E-3</v>
      </c>
      <c r="CZ319" s="581">
        <f>CZ323-CZ296</f>
        <v>-4.3959724113278864E-3</v>
      </c>
      <c r="DA319" s="415">
        <f t="shared" ref="DA319:DI319" si="1448">DA323-DA296</f>
        <v>-4.4604882810218467E-3</v>
      </c>
      <c r="DB319" s="415">
        <f t="shared" si="1448"/>
        <v>-3.7949018926908967E-3</v>
      </c>
      <c r="DC319" s="415">
        <f t="shared" si="1448"/>
        <v>-3.5479271620127775E-3</v>
      </c>
      <c r="DD319" s="415">
        <f t="shared" si="1448"/>
        <v>-3.3311458506404684E-3</v>
      </c>
      <c r="DE319" s="415">
        <f t="shared" si="1448"/>
        <v>-3.1880960013599691E-3</v>
      </c>
      <c r="DF319" s="415">
        <f t="shared" si="1448"/>
        <v>-3.0766432168320493E-3</v>
      </c>
      <c r="DG319" s="415">
        <f t="shared" si="1448"/>
        <v>-2.9772487059208652E-3</v>
      </c>
      <c r="DH319" s="415">
        <f t="shared" si="1448"/>
        <v>-2.8975237228980287E-3</v>
      </c>
      <c r="DI319" s="415">
        <f t="shared" si="1448"/>
        <v>-2.8246903503643672E-3</v>
      </c>
    </row>
    <row r="320" spans="1:113" ht="12" hidden="1" outlineLevel="1">
      <c r="C320" s="601"/>
      <c r="D320" s="601"/>
      <c r="E320" s="601"/>
      <c r="F320" s="601"/>
      <c r="G320" s="601"/>
      <c r="H320" s="601"/>
      <c r="I320" s="601"/>
      <c r="J320" s="601"/>
      <c r="K320" s="601"/>
      <c r="L320" s="601"/>
      <c r="M320" s="601"/>
      <c r="N320" s="601"/>
      <c r="O320" s="601"/>
      <c r="P320" s="601"/>
      <c r="Q320" s="601"/>
      <c r="R320" s="601"/>
      <c r="S320" s="601"/>
      <c r="T320" s="601"/>
      <c r="U320" s="601"/>
      <c r="V320" s="601"/>
      <c r="W320" s="601"/>
      <c r="X320" s="601"/>
      <c r="Y320" s="416"/>
      <c r="Z320" s="416"/>
      <c r="AA320" s="416"/>
      <c r="AB320" s="416"/>
      <c r="AC320" s="416"/>
      <c r="AD320" s="416"/>
      <c r="AE320" s="416"/>
      <c r="AF320" s="416"/>
      <c r="AG320" s="416"/>
      <c r="AH320" s="416"/>
      <c r="AI320" s="416"/>
      <c r="AJ320" s="416"/>
      <c r="AK320" s="416"/>
      <c r="AL320" s="416"/>
      <c r="AM320" s="416"/>
      <c r="AN320" s="416"/>
      <c r="AO320" s="416"/>
      <c r="AP320" s="167"/>
      <c r="AQ320" s="167"/>
      <c r="AR320" s="167"/>
      <c r="AS320" s="167"/>
      <c r="AT320" s="167"/>
      <c r="AU320" s="167"/>
      <c r="AV320" s="167"/>
      <c r="AW320" s="167"/>
      <c r="AX320" s="167"/>
      <c r="AY320" s="167"/>
      <c r="AZ320" s="174"/>
      <c r="BA320" s="166"/>
      <c r="BB320" s="166"/>
      <c r="BC320" s="166"/>
      <c r="BD320" s="166"/>
      <c r="BE320" s="166"/>
      <c r="BF320" s="166"/>
      <c r="BG320" s="166"/>
      <c r="BH320" s="166"/>
      <c r="BI320" s="166"/>
      <c r="BJ320" s="166"/>
      <c r="BK320" s="166"/>
      <c r="BL320" s="166"/>
      <c r="BM320" s="166"/>
      <c r="BN320" s="166"/>
      <c r="BO320" s="166"/>
      <c r="BP320" s="166"/>
      <c r="BQ320" s="166"/>
      <c r="BR320" s="166"/>
      <c r="BS320" s="166"/>
      <c r="BT320" s="166"/>
      <c r="BU320" s="166"/>
      <c r="BV320" s="166"/>
      <c r="BW320" s="166"/>
      <c r="BX320" s="166"/>
      <c r="BY320" s="166"/>
      <c r="BZ320" s="166"/>
      <c r="CA320" s="166"/>
      <c r="CB320" s="166"/>
      <c r="CC320" s="166"/>
      <c r="CD320" s="166"/>
      <c r="CE320" s="166"/>
      <c r="CF320" s="166"/>
      <c r="CG320" s="166"/>
      <c r="CH320" s="166"/>
      <c r="CI320" s="166"/>
      <c r="CJ320" s="166"/>
      <c r="CK320" s="166"/>
      <c r="CL320" s="166"/>
      <c r="CM320" s="167"/>
      <c r="CN320" s="167"/>
      <c r="CO320" s="167"/>
      <c r="CP320" s="167"/>
      <c r="CQ320" s="167"/>
      <c r="CR320" s="167"/>
      <c r="CS320" s="167"/>
      <c r="CT320" s="167"/>
      <c r="CU320" s="167"/>
      <c r="CV320" s="167"/>
      <c r="CW320" s="167"/>
      <c r="CX320" s="167"/>
      <c r="CY320" s="167"/>
      <c r="CZ320" s="174"/>
      <c r="DA320" s="166"/>
      <c r="DG320" s="21"/>
      <c r="DH320" s="21"/>
      <c r="DI320" s="21"/>
    </row>
    <row r="321" spans="1:113" ht="12" hidden="1" outlineLevel="1">
      <c r="A321" s="1" t="s">
        <v>925</v>
      </c>
      <c r="B321" s="19" t="s">
        <v>582</v>
      </c>
      <c r="C321" s="601"/>
      <c r="D321" s="601"/>
      <c r="E321" s="601"/>
      <c r="F321" s="601"/>
      <c r="G321" s="601"/>
      <c r="H321" s="601"/>
      <c r="I321" s="601"/>
      <c r="J321" s="601"/>
      <c r="K321" s="601"/>
      <c r="L321" s="601"/>
      <c r="M321" s="601"/>
      <c r="N321" s="601"/>
      <c r="O321" s="601"/>
      <c r="P321" s="601"/>
      <c r="Q321" s="601"/>
      <c r="R321" s="601"/>
      <c r="S321" s="601"/>
      <c r="T321" s="601"/>
      <c r="U321" s="601"/>
      <c r="V321" s="601"/>
      <c r="W321" s="601"/>
      <c r="X321" s="601"/>
      <c r="Y321" s="416"/>
      <c r="Z321" s="416"/>
      <c r="AA321" s="416"/>
      <c r="AB321" s="416"/>
      <c r="AC321" s="416"/>
      <c r="AD321" s="416"/>
      <c r="AE321" s="416"/>
      <c r="AF321" s="416"/>
      <c r="AG321" s="416"/>
      <c r="AH321" s="416"/>
      <c r="AI321" s="416"/>
      <c r="AJ321" s="416"/>
      <c r="AK321" s="416"/>
      <c r="AL321" s="416"/>
      <c r="AM321" s="416"/>
      <c r="AN321" s="416"/>
      <c r="AO321" s="416"/>
      <c r="AP321" s="167">
        <f t="shared" ref="AP321:AW321" si="1449">(AP296+AP80)</f>
        <v>3.6156029128292994E-2</v>
      </c>
      <c r="AQ321" s="167">
        <f t="shared" si="1449"/>
        <v>2.8889702590734895E-2</v>
      </c>
      <c r="AR321" s="167">
        <f t="shared" si="1449"/>
        <v>2.5541145736144806E-2</v>
      </c>
      <c r="AS321" s="167">
        <f t="shared" si="1449"/>
        <v>2.8519794772679592E-2</v>
      </c>
      <c r="AT321" s="167">
        <f t="shared" si="1449"/>
        <v>4.7951375456928139E-2</v>
      </c>
      <c r="AU321" s="167">
        <f t="shared" si="1449"/>
        <v>6.0209233114631576E-2</v>
      </c>
      <c r="AV321" s="167">
        <f t="shared" si="1449"/>
        <v>6.6850868889039156E-2</v>
      </c>
      <c r="AW321" s="167">
        <f t="shared" si="1449"/>
        <v>7.1435756456931884E-2</v>
      </c>
      <c r="AX321" s="167">
        <f>(AX296+AX80)</f>
        <v>7.6374319257209167E-2</v>
      </c>
      <c r="AY321" s="167">
        <f>AX321+(AY80-AX80)+(AY296-AX296)</f>
        <v>7.5935638567853125E-2</v>
      </c>
      <c r="AZ321" s="174">
        <f>(AZ296+AZ80)</f>
        <v>7.1852521028544683E-2</v>
      </c>
      <c r="BA321" s="166">
        <f t="shared" ref="BA321:BQ321" si="1450">AZ321+(BA80-AZ80)+(BA296-AZ296)</f>
        <v>7.6325455159984928E-2</v>
      </c>
      <c r="BB321" s="166">
        <f t="shared" si="1450"/>
        <v>7.8812135274170803E-2</v>
      </c>
      <c r="BC321" s="166">
        <f t="shared" si="1450"/>
        <v>7.5419590417504179E-2</v>
      </c>
      <c r="BD321" s="166">
        <f t="shared" si="1450"/>
        <v>7.4169590417504178E-2</v>
      </c>
      <c r="BE321" s="166">
        <f t="shared" si="1450"/>
        <v>7.4063359182124644E-2</v>
      </c>
      <c r="BF321" s="166">
        <f t="shared" si="1450"/>
        <v>7.3872881686003783E-2</v>
      </c>
      <c r="BG321" s="166">
        <f t="shared" si="1450"/>
        <v>7.369850384999907E-2</v>
      </c>
      <c r="BH321" s="166">
        <f t="shared" si="1450"/>
        <v>7.3509920206118712E-2</v>
      </c>
      <c r="BI321" s="166">
        <f t="shared" si="1450"/>
        <v>7.3340905703802972E-2</v>
      </c>
      <c r="BJ321" s="166">
        <f t="shared" si="1450"/>
        <v>7.3157377278358859E-2</v>
      </c>
      <c r="BK321" s="166">
        <f t="shared" si="1450"/>
        <v>7.2994117818890369E-2</v>
      </c>
      <c r="BL321" s="166">
        <f t="shared" si="1450"/>
        <v>7.281585934710047E-2</v>
      </c>
      <c r="BM321" s="166">
        <f t="shared" si="1450"/>
        <v>7.2658493617898362E-2</v>
      </c>
      <c r="BN321" s="166">
        <f t="shared" si="1450"/>
        <v>7.2486560510311729E-2</v>
      </c>
      <c r="BO321" s="166">
        <f t="shared" si="1450"/>
        <v>7.2332337366236329E-2</v>
      </c>
      <c r="BP321" s="166">
        <f t="shared" si="1450"/>
        <v>7.2164116129014411E-2</v>
      </c>
      <c r="BQ321" s="166">
        <f t="shared" si="1450"/>
        <v>7.2009592552459117E-2</v>
      </c>
      <c r="BR321" s="166"/>
      <c r="BS321" s="166"/>
      <c r="BT321" s="166"/>
      <c r="BU321" s="166"/>
      <c r="BV321" s="166"/>
      <c r="BW321" s="166"/>
      <c r="BX321" s="166"/>
      <c r="BY321" s="166"/>
      <c r="BZ321" s="166"/>
      <c r="CA321" s="166"/>
      <c r="CB321" s="166"/>
      <c r="CC321" s="166"/>
      <c r="CD321" s="166"/>
      <c r="CE321" s="166"/>
      <c r="CF321" s="166"/>
      <c r="CG321" s="166"/>
      <c r="CH321" s="166"/>
      <c r="CI321" s="166"/>
      <c r="CJ321" s="166"/>
      <c r="CK321" s="166"/>
      <c r="CL321" s="166"/>
      <c r="CM321" s="167"/>
      <c r="CN321" s="167"/>
      <c r="CO321" s="167"/>
      <c r="CP321" s="167"/>
      <c r="CQ321" s="167"/>
      <c r="CR321" s="167"/>
      <c r="CS321" s="167"/>
      <c r="CT321" s="167">
        <f t="shared" ref="CT321:CX321" si="1451">(CT296+CT318)</f>
        <v>3.8681351981351982E-2</v>
      </c>
      <c r="CU321" s="167">
        <f t="shared" si="1451"/>
        <v>3.0589592655962096E-2</v>
      </c>
      <c r="CV321" s="167">
        <f t="shared" ref="CV321" si="1452">(CV296+CV318)</f>
        <v>3.2086418889816976E-2</v>
      </c>
      <c r="CW321" s="167">
        <f t="shared" si="1451"/>
        <v>2.5684470254412201E-2</v>
      </c>
      <c r="CX321" s="167">
        <f t="shared" si="1451"/>
        <v>2.5430304285779859E-2</v>
      </c>
      <c r="CY321" s="167">
        <f>(CY296+CY80)</f>
        <v>6.9676314534748388E-2</v>
      </c>
      <c r="CZ321" s="174">
        <f>AVERAGE(AX321:AY321)</f>
        <v>7.6154978912531146E-2</v>
      </c>
      <c r="DA321" s="166">
        <f t="shared" ref="DA321:DI321" si="1453">AVERAGE(AY321:AZ321)</f>
        <v>7.3894079798198897E-2</v>
      </c>
      <c r="DB321" s="166">
        <f t="shared" si="1453"/>
        <v>7.4088988094264813E-2</v>
      </c>
      <c r="DC321" s="166">
        <f t="shared" si="1453"/>
        <v>7.7568795217077866E-2</v>
      </c>
      <c r="DD321" s="166">
        <f t="shared" si="1453"/>
        <v>7.7115862845837491E-2</v>
      </c>
      <c r="DE321" s="166">
        <f t="shared" si="1453"/>
        <v>7.4794590417504178E-2</v>
      </c>
      <c r="DF321" s="166">
        <f t="shared" si="1453"/>
        <v>7.4116474799814411E-2</v>
      </c>
      <c r="DG321" s="166">
        <f t="shared" si="1453"/>
        <v>7.3968120434064213E-2</v>
      </c>
      <c r="DH321" s="166">
        <f t="shared" si="1453"/>
        <v>7.3785692768001426E-2</v>
      </c>
      <c r="DI321" s="166">
        <f t="shared" si="1453"/>
        <v>7.3604212028058891E-2</v>
      </c>
    </row>
    <row r="322" spans="1:113" ht="12" hidden="1" outlineLevel="1">
      <c r="A322" s="1" t="s">
        <v>926</v>
      </c>
      <c r="B322" s="19" t="s">
        <v>481</v>
      </c>
      <c r="C322" s="601"/>
      <c r="D322" s="601"/>
      <c r="E322" s="601"/>
      <c r="F322" s="601"/>
      <c r="G322" s="601"/>
      <c r="H322" s="601"/>
      <c r="I322" s="601"/>
      <c r="J322" s="601"/>
      <c r="K322" s="601"/>
      <c r="L322" s="601"/>
      <c r="M322" s="601"/>
      <c r="N322" s="601"/>
      <c r="O322" s="601"/>
      <c r="P322" s="601"/>
      <c r="Q322" s="601"/>
      <c r="R322" s="601"/>
      <c r="S322" s="601"/>
      <c r="T322" s="601"/>
      <c r="U322" s="601"/>
      <c r="V322" s="601"/>
      <c r="W322" s="601"/>
      <c r="X322" s="601"/>
      <c r="Y322" s="416"/>
      <c r="Z322" s="416"/>
      <c r="AA322" s="416"/>
      <c r="AB322" s="416"/>
      <c r="AC322" s="416"/>
      <c r="AD322" s="416"/>
      <c r="AE322" s="416"/>
      <c r="AF322" s="416"/>
      <c r="AG322" s="416"/>
      <c r="AH322" s="416"/>
      <c r="AI322" s="416"/>
      <c r="AJ322" s="416"/>
      <c r="AK322" s="416"/>
      <c r="AL322" s="416"/>
      <c r="AM322" s="416"/>
      <c r="AN322" s="416"/>
      <c r="AO322" s="416"/>
      <c r="AP322" s="167">
        <f t="shared" ref="AP322:AW322" si="1454">-(AP80-AP319)</f>
        <v>-1.3354929678018133E-2</v>
      </c>
      <c r="AQ322" s="167">
        <f t="shared" si="1454"/>
        <v>-8.7198820231555226E-3</v>
      </c>
      <c r="AR322" s="167">
        <f t="shared" si="1454"/>
        <v>-6.5787799623403366E-3</v>
      </c>
      <c r="AS322" s="167">
        <f t="shared" si="1454"/>
        <v>-6.1727139215075463E-3</v>
      </c>
      <c r="AT322" s="167">
        <f t="shared" si="1454"/>
        <v>-1.5626833689023734E-2</v>
      </c>
      <c r="AU322" s="167">
        <f t="shared" si="1454"/>
        <v>-2.6771734820525112E-2</v>
      </c>
      <c r="AV322" s="167">
        <f t="shared" si="1454"/>
        <v>-3.6658158090472653E-2</v>
      </c>
      <c r="AW322" s="167">
        <f t="shared" si="1454"/>
        <v>-4.2927196883657245E-2</v>
      </c>
      <c r="AX322" s="167">
        <f>-(AX80-AX319)</f>
        <v>-4.8297664749320846E-2</v>
      </c>
      <c r="AY322" s="167">
        <f>AY323-AY321</f>
        <v>-4.551311595598001E-2</v>
      </c>
      <c r="AZ322" s="174">
        <f>-(AZ80-AZ319)</f>
        <v>-4.1554815205407228E-2</v>
      </c>
      <c r="BA322" s="166">
        <f t="shared" ref="BA322:BQ322" si="1455">BA323-BA321</f>
        <v>-4.4827649095754471E-2</v>
      </c>
      <c r="BB322" s="166">
        <f t="shared" si="1455"/>
        <v>-4.7005547536645605E-2</v>
      </c>
      <c r="BC322" s="166">
        <f t="shared" si="1455"/>
        <v>-4.356636805278901E-2</v>
      </c>
      <c r="BD322" s="166">
        <f t="shared" si="1455"/>
        <v>-4.2118880645187248E-2</v>
      </c>
      <c r="BE322" s="166">
        <f t="shared" si="1455"/>
        <v>-4.196614140523109E-2</v>
      </c>
      <c r="BF322" s="166">
        <f t="shared" si="1455"/>
        <v>-4.1860680524504069E-2</v>
      </c>
      <c r="BG322" s="166">
        <f t="shared" si="1455"/>
        <v>-4.1782011676763965E-2</v>
      </c>
      <c r="BH322" s="166">
        <f t="shared" si="1455"/>
        <v>-4.1710845276844377E-2</v>
      </c>
      <c r="BI322" s="166">
        <f t="shared" si="1455"/>
        <v>-4.1648630495737533E-2</v>
      </c>
      <c r="BJ322" s="166">
        <f t="shared" si="1455"/>
        <v>-4.1597037226527217E-2</v>
      </c>
      <c r="BK322" s="166">
        <f t="shared" si="1455"/>
        <v>-4.1542099469059457E-2</v>
      </c>
      <c r="BL322" s="166">
        <f t="shared" si="1455"/>
        <v>-4.149524353522159E-2</v>
      </c>
      <c r="BM322" s="166">
        <f t="shared" si="1455"/>
        <v>-4.145079424287576E-2</v>
      </c>
      <c r="BN322" s="166">
        <f t="shared" si="1455"/>
        <v>-4.1410843910825765E-2</v>
      </c>
      <c r="BO322" s="166">
        <f t="shared" si="1455"/>
        <v>-4.1374007936871432E-2</v>
      </c>
      <c r="BP322" s="166">
        <f t="shared" si="1455"/>
        <v>-4.1336784421576817E-2</v>
      </c>
      <c r="BQ322" s="166">
        <f t="shared" si="1455"/>
        <v>-4.1302431452401707E-2</v>
      </c>
      <c r="BR322" s="166"/>
      <c r="BS322" s="166"/>
      <c r="BT322" s="166"/>
      <c r="BU322" s="166"/>
      <c r="BV322" s="166"/>
      <c r="BW322" s="166"/>
      <c r="BX322" s="166"/>
      <c r="BY322" s="166"/>
      <c r="BZ322" s="166"/>
      <c r="CA322" s="166"/>
      <c r="CB322" s="166"/>
      <c r="CC322" s="166"/>
      <c r="CD322" s="166"/>
      <c r="CE322" s="166"/>
      <c r="CF322" s="166"/>
      <c r="CG322" s="166"/>
      <c r="CH322" s="166"/>
      <c r="CI322" s="166"/>
      <c r="CJ322" s="166"/>
      <c r="CK322" s="166"/>
      <c r="CL322" s="166"/>
      <c r="CM322" s="167"/>
      <c r="CN322" s="167"/>
      <c r="CO322" s="167"/>
      <c r="CP322" s="167"/>
      <c r="CQ322" s="167"/>
      <c r="CR322" s="167"/>
      <c r="CS322" s="167"/>
      <c r="CT322" s="167">
        <f t="shared" ref="CT322:CX322" si="1456">-(CT318-CT319)</f>
        <v>-3.3381351981351982E-2</v>
      </c>
      <c r="CU322" s="167">
        <f t="shared" si="1456"/>
        <v>-1.0589592655962096E-2</v>
      </c>
      <c r="CV322" s="167">
        <f t="shared" ref="CV322" si="1457">-(CV318-CV319)</f>
        <v>-1.1139467972613209E-2</v>
      </c>
      <c r="CW322" s="167">
        <f t="shared" si="1456"/>
        <v>-4.9506037179936138E-3</v>
      </c>
      <c r="CX322" s="167">
        <f t="shared" si="1456"/>
        <v>7.4614443894661722E-3</v>
      </c>
      <c r="CY322" s="167">
        <f>-(CY80-CY319)</f>
        <v>-4.0343893090164624E-2</v>
      </c>
      <c r="CZ322" s="174">
        <f>CZ323-CZ321</f>
        <v>-4.6895972411327883E-2</v>
      </c>
      <c r="DA322" s="166">
        <f t="shared" ref="DA322:DI322" si="1458">DA323-DA321</f>
        <v>-4.298724665162261E-2</v>
      </c>
      <c r="DB322" s="166">
        <f t="shared" si="1458"/>
        <v>-4.2268027141118228E-2</v>
      </c>
      <c r="DC322" s="166">
        <f t="shared" si="1458"/>
        <v>-4.5500247579276253E-2</v>
      </c>
      <c r="DD322" s="166">
        <f t="shared" si="1458"/>
        <v>-4.5161315928476539E-2</v>
      </c>
      <c r="DE322" s="166">
        <f t="shared" si="1458"/>
        <v>-4.3057273463903312E-2</v>
      </c>
      <c r="DF322" s="166">
        <f t="shared" si="1458"/>
        <v>-4.2617370468021852E-2</v>
      </c>
      <c r="DG322" s="166">
        <f t="shared" si="1458"/>
        <v>-4.2708192657485669E-2</v>
      </c>
      <c r="DH322" s="166">
        <f t="shared" si="1458"/>
        <v>-4.2773767552625436E-2</v>
      </c>
      <c r="DI322" s="166">
        <f t="shared" si="1458"/>
        <v>-4.28420480376865E-2</v>
      </c>
    </row>
    <row r="323" spans="1:113" s="24" customFormat="1" ht="12" hidden="1" outlineLevel="1">
      <c r="A323" s="1" t="s">
        <v>927</v>
      </c>
      <c r="B323" s="24" t="s">
        <v>482</v>
      </c>
      <c r="C323" s="584"/>
      <c r="D323" s="584"/>
      <c r="E323" s="584"/>
      <c r="F323" s="584"/>
      <c r="G323" s="584"/>
      <c r="H323" s="584"/>
      <c r="I323" s="584"/>
      <c r="J323" s="584"/>
      <c r="K323" s="584"/>
      <c r="L323" s="584"/>
      <c r="M323" s="584"/>
      <c r="N323" s="584"/>
      <c r="O323" s="584"/>
      <c r="P323" s="584"/>
      <c r="Q323" s="584"/>
      <c r="R323" s="584"/>
      <c r="S323" s="584"/>
      <c r="T323" s="584"/>
      <c r="U323" s="584"/>
      <c r="V323" s="584"/>
      <c r="W323" s="584"/>
      <c r="X323" s="584"/>
      <c r="Y323" s="515"/>
      <c r="Z323" s="515"/>
      <c r="AA323" s="515"/>
      <c r="AB323" s="515"/>
      <c r="AC323" s="515"/>
      <c r="AD323" s="515"/>
      <c r="AE323" s="515"/>
      <c r="AF323" s="515"/>
      <c r="AG323" s="515"/>
      <c r="AH323" s="515"/>
      <c r="AI323" s="515"/>
      <c r="AJ323" s="515"/>
      <c r="AK323" s="515"/>
      <c r="AL323" s="515"/>
      <c r="AM323" s="515"/>
      <c r="AN323" s="515"/>
      <c r="AO323" s="515"/>
      <c r="AP323" s="514">
        <f>(55.5-20.5)/AP239*AP5</f>
        <v>2.2801099450274864E-2</v>
      </c>
      <c r="AQ323" s="514">
        <f>(70.9-21.4)/AQ239*AQ5</f>
        <v>2.016982056757937E-2</v>
      </c>
      <c r="AR323" s="673">
        <f>[3]JDO!E$9</f>
        <v>1.896236577380447E-2</v>
      </c>
      <c r="AS323" s="673">
        <f>[3]JDO!F$9</f>
        <v>2.2347080851172044E-2</v>
      </c>
      <c r="AT323" s="673">
        <f>[3]JDO!G$9</f>
        <v>3.2324541767904405E-2</v>
      </c>
      <c r="AU323" s="673">
        <f>[3]JDO!H$9</f>
        <v>3.3437498294106464E-2</v>
      </c>
      <c r="AV323" s="673">
        <f>[3]JDO!I$9</f>
        <v>3.0192710798566499E-2</v>
      </c>
      <c r="AW323" s="673">
        <f>[3]JDO!J$9</f>
        <v>2.8508559573274639E-2</v>
      </c>
      <c r="AX323" s="686">
        <f>[3]JDO!K$9</f>
        <v>2.8076654507888325E-2</v>
      </c>
      <c r="AY323" s="686">
        <f>[3]JDO!L$9</f>
        <v>3.0422522611873112E-2</v>
      </c>
      <c r="AZ323" s="674">
        <f>[3]JDO!M$9</f>
        <v>3.0297705823137459E-2</v>
      </c>
      <c r="BA323" s="673">
        <f>[3]JDO!N$9</f>
        <v>3.1497806064230457E-2</v>
      </c>
      <c r="BB323" s="673">
        <f>[3]JDO!O$9</f>
        <v>3.1806587737525198E-2</v>
      </c>
      <c r="BC323" s="673">
        <f>[3]JDO!P$9</f>
        <v>3.1853222364715168E-2</v>
      </c>
      <c r="BD323" s="673">
        <f>[3]JDO!Q$9</f>
        <v>3.2050709772316929E-2</v>
      </c>
      <c r="BE323" s="673">
        <f>[3]JDO!R$9</f>
        <v>3.2097217776893554E-2</v>
      </c>
      <c r="BF323" s="673">
        <f>[3]JDO!S$9</f>
        <v>3.2012201161499713E-2</v>
      </c>
      <c r="BG323" s="673">
        <f>[3]JDO!T$9</f>
        <v>3.1916492173235105E-2</v>
      </c>
      <c r="BH323" s="673">
        <f>[3]JDO!U$9</f>
        <v>3.1799074929274335E-2</v>
      </c>
      <c r="BI323" s="673">
        <f>[3]JDO!V$9</f>
        <v>3.1692275208065439E-2</v>
      </c>
      <c r="BJ323" s="673">
        <f>[3]JDO!W$9</f>
        <v>3.1560340051831642E-2</v>
      </c>
      <c r="BK323" s="673">
        <f>[3]JDO!X$9</f>
        <v>3.1452018349830912E-2</v>
      </c>
      <c r="BL323" s="673">
        <f>[3]JDO!Y$9</f>
        <v>3.132061581187888E-2</v>
      </c>
      <c r="BM323" s="673">
        <f>[3]JDO!Z$9</f>
        <v>3.1207699375022598E-2</v>
      </c>
      <c r="BN323" s="673">
        <f>[3]JDO!AA$9</f>
        <v>3.1075716599485964E-2</v>
      </c>
      <c r="BO323" s="673">
        <f>[3]JDO!AB$9</f>
        <v>3.0958329429364898E-2</v>
      </c>
      <c r="BP323" s="673">
        <f>[3]JDO!AC$9</f>
        <v>3.0827331707437598E-2</v>
      </c>
      <c r="BQ323" s="673">
        <f>[3]JDO!AD$9</f>
        <v>3.070716110005741E-2</v>
      </c>
      <c r="BR323" s="415"/>
      <c r="BS323" s="415"/>
      <c r="BT323" s="415"/>
      <c r="BU323" s="415"/>
      <c r="BV323" s="415"/>
      <c r="BW323" s="415"/>
      <c r="BX323" s="415"/>
      <c r="BY323" s="415"/>
      <c r="BZ323" s="415"/>
      <c r="CA323" s="415"/>
      <c r="CB323" s="415"/>
      <c r="CC323" s="415"/>
      <c r="CD323" s="415"/>
      <c r="CE323" s="415"/>
      <c r="CF323" s="415"/>
      <c r="CG323" s="415"/>
      <c r="CH323" s="415"/>
      <c r="CI323" s="415"/>
      <c r="CJ323" s="415"/>
      <c r="CK323" s="415"/>
      <c r="CL323" s="415"/>
      <c r="CM323" s="514"/>
      <c r="CN323" s="514"/>
      <c r="CO323" s="514"/>
      <c r="CP323" s="514"/>
      <c r="CQ323" s="514"/>
      <c r="CR323" s="514"/>
      <c r="CS323" s="514"/>
      <c r="CT323" s="514">
        <f t="shared" ref="CT323" si="1459">CT321+CT322</f>
        <v>5.2999999999999992E-3</v>
      </c>
      <c r="CU323" s="514">
        <f>27.84/CU239</f>
        <v>0.02</v>
      </c>
      <c r="CV323" s="514">
        <f>84.5/CV239</f>
        <v>2.0946950917203767E-2</v>
      </c>
      <c r="CW323" s="673">
        <f>[3]JDO!AH$9</f>
        <v>2.0733866536418587E-2</v>
      </c>
      <c r="CX323" s="673">
        <f>[3]JDO!AI$9</f>
        <v>3.2891748675246031E-2</v>
      </c>
      <c r="CY323" s="686">
        <f>[3]JDO!AJ$9</f>
        <v>2.933242144458376E-2</v>
      </c>
      <c r="CZ323" s="674">
        <f>[3]JDO!AK$9</f>
        <v>2.9259006501203264E-2</v>
      </c>
      <c r="DA323" s="673">
        <f>[3]JDO!AL$9</f>
        <v>3.0906833146576291E-2</v>
      </c>
      <c r="DB323" s="673">
        <f>[3]JDO!AM$9</f>
        <v>3.1820960953146585E-2</v>
      </c>
      <c r="DC323" s="673">
        <f>[3]JDO!AN$9</f>
        <v>3.2068547637801613E-2</v>
      </c>
      <c r="DD323" s="673">
        <f>[3]JDO!AO$9</f>
        <v>3.1954546917360951E-2</v>
      </c>
      <c r="DE323" s="673">
        <f>[3]JDO!AP$9</f>
        <v>3.1737316953600866E-2</v>
      </c>
      <c r="DF323" s="673">
        <f>[3]JDO!AQ$9</f>
        <v>3.1499104331792559E-2</v>
      </c>
      <c r="DG323" s="673">
        <f>[3]JDO!AR$9</f>
        <v>3.1259927776578544E-2</v>
      </c>
      <c r="DH323" s="673">
        <f>[3]JDO!AS$9</f>
        <v>3.1011925215375994E-2</v>
      </c>
      <c r="DI323" s="673">
        <f>[3]JDO!AT$9</f>
        <v>3.076216399037239E-2</v>
      </c>
    </row>
    <row r="324" spans="1:113" ht="12" hidden="1" outlineLevel="1">
      <c r="DG324" s="21"/>
      <c r="DH324" s="21"/>
      <c r="DI324" s="21"/>
    </row>
    <row r="325" spans="1:113" s="5" customFormat="1" ht="12.95" hidden="1" customHeight="1" outlineLevel="1">
      <c r="A325" s="60"/>
      <c r="B325" s="6" t="s">
        <v>483</v>
      </c>
      <c r="C325" s="584"/>
      <c r="D325" s="584"/>
      <c r="E325" s="584"/>
      <c r="F325" s="584"/>
      <c r="G325" s="584"/>
      <c r="H325" s="584"/>
      <c r="I325" s="584"/>
      <c r="J325" s="584"/>
      <c r="K325" s="584"/>
      <c r="L325" s="584"/>
      <c r="M325" s="584"/>
      <c r="N325" s="584"/>
      <c r="O325" s="584"/>
      <c r="P325" s="584"/>
      <c r="Q325" s="584"/>
      <c r="R325" s="584"/>
      <c r="S325" s="584"/>
      <c r="T325" s="584"/>
      <c r="U325" s="584"/>
      <c r="V325" s="584"/>
      <c r="W325" s="584"/>
      <c r="X325" s="584"/>
      <c r="Y325" s="515"/>
      <c r="Z325" s="515"/>
      <c r="AA325" s="515"/>
      <c r="AB325" s="515"/>
      <c r="AC325" s="515"/>
      <c r="AD325" s="515"/>
      <c r="AE325" s="515"/>
      <c r="AF325" s="515"/>
      <c r="AG325" s="515"/>
      <c r="AH325" s="515"/>
      <c r="AI325" s="515"/>
      <c r="AJ325" s="515"/>
      <c r="AK325" s="515"/>
      <c r="AL325" s="515"/>
      <c r="AM325" s="515"/>
      <c r="AN325" s="515"/>
      <c r="AO325" s="515"/>
      <c r="AP325" s="516" t="str">
        <f t="shared" ref="AP325:AR325" si="1460">IF(ROUND(AP323,5)=ROUND(AP319+AP296,5),"Ok","Error")</f>
        <v>Ok</v>
      </c>
      <c r="AQ325" s="516" t="str">
        <f t="shared" si="1460"/>
        <v>Ok</v>
      </c>
      <c r="AR325" s="516" t="str">
        <f t="shared" si="1460"/>
        <v>Ok</v>
      </c>
      <c r="AS325" s="516" t="str">
        <f t="shared" ref="AS325:AT325" si="1461">IF(ROUND(AS323,5)=ROUND(AS319+AS296,5),"Ok","Error")</f>
        <v>Ok</v>
      </c>
      <c r="AT325" s="516" t="str">
        <f t="shared" si="1461"/>
        <v>Ok</v>
      </c>
      <c r="AU325" s="516" t="str">
        <f t="shared" ref="AU325:AV325" si="1462">IF(ROUND(AU323,5)=ROUND(AU319+AU296,5),"Ok","Error")</f>
        <v>Ok</v>
      </c>
      <c r="AV325" s="516" t="str">
        <f t="shared" si="1462"/>
        <v>Ok</v>
      </c>
      <c r="AW325" s="516" t="str">
        <f t="shared" ref="AW325:AX325" si="1463">IF(ROUND(AW323,5)=ROUND(AW319+AW296,5),"Ok","Error")</f>
        <v>Ok</v>
      </c>
      <c r="AX325" s="516" t="str">
        <f t="shared" si="1463"/>
        <v>Ok</v>
      </c>
      <c r="AY325" s="516" t="str">
        <f t="shared" ref="AY325:BI325" si="1464">IF(ROUND(AY323,5)=ROUND(AY319+AY296,5),"Ok","Error")</f>
        <v>Ok</v>
      </c>
      <c r="AZ325" s="583" t="str">
        <f t="shared" si="1464"/>
        <v>Ok</v>
      </c>
      <c r="BA325" s="418" t="str">
        <f t="shared" si="1464"/>
        <v>Ok</v>
      </c>
      <c r="BB325" s="418" t="str">
        <f t="shared" si="1464"/>
        <v>Ok</v>
      </c>
      <c r="BC325" s="418" t="str">
        <f t="shared" si="1464"/>
        <v>Ok</v>
      </c>
      <c r="BD325" s="418" t="str">
        <f t="shared" si="1464"/>
        <v>Ok</v>
      </c>
      <c r="BE325" s="418" t="str">
        <f t="shared" si="1464"/>
        <v>Ok</v>
      </c>
      <c r="BF325" s="418" t="str">
        <f t="shared" si="1464"/>
        <v>Ok</v>
      </c>
      <c r="BG325" s="418" t="str">
        <f t="shared" si="1464"/>
        <v>Ok</v>
      </c>
      <c r="BH325" s="418" t="str">
        <f t="shared" si="1464"/>
        <v>Ok</v>
      </c>
      <c r="BI325" s="418" t="str">
        <f t="shared" si="1464"/>
        <v>Ok</v>
      </c>
      <c r="BJ325" s="418" t="str">
        <f t="shared" ref="BJ325:BK325" si="1465">IF(ROUND(BJ323,5)=ROUND(BJ319+BJ296,5),"Ok","Error")</f>
        <v>Ok</v>
      </c>
      <c r="BK325" s="418" t="str">
        <f t="shared" si="1465"/>
        <v>Ok</v>
      </c>
      <c r="BL325" s="418" t="str">
        <f t="shared" ref="BL325:BM325" si="1466">IF(ROUND(BL323,5)=ROUND(BL319+BL296,5),"Ok","Error")</f>
        <v>Ok</v>
      </c>
      <c r="BM325" s="418" t="str">
        <f t="shared" si="1466"/>
        <v>Ok</v>
      </c>
      <c r="BN325" s="418" t="str">
        <f t="shared" ref="BN325:BO325" si="1467">IF(ROUND(BN323,5)=ROUND(BN319+BN296,5),"Ok","Error")</f>
        <v>Ok</v>
      </c>
      <c r="BO325" s="418" t="str">
        <f t="shared" si="1467"/>
        <v>Ok</v>
      </c>
      <c r="BP325" s="418" t="str">
        <f t="shared" ref="BP325:BQ325" si="1468">IF(ROUND(BP323,5)=ROUND(BP319+BP296,5),"Ok","Error")</f>
        <v>Ok</v>
      </c>
      <c r="BQ325" s="418" t="str">
        <f t="shared" si="1468"/>
        <v>Ok</v>
      </c>
      <c r="BR325" s="584"/>
      <c r="BS325" s="418"/>
      <c r="BT325" s="418"/>
      <c r="BU325" s="418"/>
      <c r="BV325" s="418"/>
      <c r="BW325" s="418"/>
      <c r="BX325" s="418"/>
      <c r="BY325" s="418"/>
      <c r="BZ325" s="418"/>
      <c r="CA325" s="418"/>
      <c r="CB325" s="418"/>
      <c r="CC325" s="418"/>
      <c r="CD325" s="418"/>
      <c r="CE325" s="418"/>
      <c r="CF325" s="418"/>
      <c r="CG325" s="418"/>
      <c r="CH325" s="418"/>
      <c r="CI325" s="418"/>
      <c r="CJ325" s="418"/>
      <c r="CK325" s="418"/>
      <c r="CL325" s="418"/>
      <c r="CM325" s="516"/>
      <c r="CN325" s="516"/>
      <c r="CO325" s="516"/>
      <c r="CP325" s="516"/>
      <c r="CQ325" s="516"/>
      <c r="CR325" s="516"/>
      <c r="CS325" s="516"/>
      <c r="CT325" s="516" t="str">
        <f t="shared" ref="CT325:DF325" si="1469">IF(ROUND(CT323,5)=ROUND(CT319+CT296,5),"Ok","Error")</f>
        <v>Ok</v>
      </c>
      <c r="CU325" s="516" t="str">
        <f t="shared" si="1469"/>
        <v>Ok</v>
      </c>
      <c r="CV325" s="516" t="str">
        <f t="shared" si="1469"/>
        <v>Ok</v>
      </c>
      <c r="CW325" s="516" t="str">
        <f t="shared" si="1469"/>
        <v>Ok</v>
      </c>
      <c r="CX325" s="516" t="str">
        <f t="shared" si="1469"/>
        <v>Ok</v>
      </c>
      <c r="CY325" s="516" t="str">
        <f t="shared" ref="CY325" si="1470">IF(ROUND(CY323,5)=ROUND(CY319+CY296,5),"Ok","Error")</f>
        <v>Ok</v>
      </c>
      <c r="CZ325" s="583" t="str">
        <f t="shared" si="1469"/>
        <v>Ok</v>
      </c>
      <c r="DA325" s="418" t="str">
        <f t="shared" si="1469"/>
        <v>Ok</v>
      </c>
      <c r="DB325" s="418" t="str">
        <f t="shared" si="1469"/>
        <v>Ok</v>
      </c>
      <c r="DC325" s="418" t="str">
        <f t="shared" si="1469"/>
        <v>Ok</v>
      </c>
      <c r="DD325" s="418" t="str">
        <f t="shared" si="1469"/>
        <v>Ok</v>
      </c>
      <c r="DE325" s="418" t="str">
        <f t="shared" si="1469"/>
        <v>Ok</v>
      </c>
      <c r="DF325" s="418" t="str">
        <f t="shared" si="1469"/>
        <v>Ok</v>
      </c>
      <c r="DG325" s="418" t="str">
        <f t="shared" ref="DG325:DH325" si="1471">IF(ROUND(DG323,5)=ROUND(DG319+DG296,5),"Ok","Error")</f>
        <v>Ok</v>
      </c>
      <c r="DH325" s="418" t="str">
        <f t="shared" si="1471"/>
        <v>Ok</v>
      </c>
      <c r="DI325" s="418" t="str">
        <f t="shared" ref="DI325" si="1472">IF(ROUND(DI323,5)=ROUND(DI319+DI296,5),"Ok","Error")</f>
        <v>Ok</v>
      </c>
    </row>
    <row r="326" spans="1:113" ht="12" collapsed="1">
      <c r="H326" s="601"/>
      <c r="AP326" s="44"/>
      <c r="AQ326" s="44"/>
      <c r="AR326" s="44"/>
      <c r="AS326" s="44"/>
      <c r="AT326" s="44"/>
      <c r="AU326" s="44"/>
      <c r="AV326" s="44"/>
      <c r="AW326" s="44"/>
      <c r="AX326" s="44"/>
      <c r="CT326" s="44"/>
      <c r="CU326" s="44"/>
      <c r="CV326" s="44"/>
      <c r="CW326" s="44"/>
      <c r="CX326" s="44"/>
      <c r="CY326" s="44"/>
      <c r="DC326" s="19"/>
      <c r="DD326" s="19"/>
      <c r="DE326" s="19"/>
      <c r="DF326" s="19"/>
      <c r="DG326" s="19"/>
      <c r="DH326" s="19"/>
      <c r="DI326" s="19"/>
    </row>
    <row r="327" spans="1:113" s="36" customFormat="1" ht="12" collapsed="1">
      <c r="A327" s="1" t="s">
        <v>239</v>
      </c>
      <c r="B327" s="2" t="s">
        <v>484</v>
      </c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  <c r="AJ327" s="55"/>
      <c r="AK327" s="55"/>
      <c r="AL327" s="55"/>
      <c r="AM327" s="55"/>
      <c r="AN327" s="55"/>
      <c r="AO327" s="55"/>
      <c r="AP327" s="527">
        <f t="shared" ref="AP327:AR327" si="1473">AP381</f>
        <v>35</v>
      </c>
      <c r="AQ327" s="527">
        <f t="shared" si="1473"/>
        <v>49.5</v>
      </c>
      <c r="AR327" s="527">
        <f t="shared" si="1473"/>
        <v>73.5</v>
      </c>
      <c r="AS327" s="527">
        <f t="shared" ref="AS327:AT327" si="1474">AS381</f>
        <v>96.3</v>
      </c>
      <c r="AT327" s="527">
        <f t="shared" si="1474"/>
        <v>163</v>
      </c>
      <c r="AU327" s="527">
        <f t="shared" ref="AU327:AV327" si="1475">AU381</f>
        <v>184.6</v>
      </c>
      <c r="AV327" s="527">
        <f t="shared" si="1475"/>
        <v>195.2</v>
      </c>
      <c r="AW327" s="527">
        <f t="shared" ref="AW327:AX327" si="1476">AW381</f>
        <v>190.8</v>
      </c>
      <c r="AX327" s="527">
        <f t="shared" si="1476"/>
        <v>193</v>
      </c>
      <c r="AY327" s="527">
        <f t="shared" ref="AY327:BI327" si="1477">AY381</f>
        <v>214.30000000000004</v>
      </c>
      <c r="AZ327" s="528">
        <f t="shared" si="1477"/>
        <v>235.49999999999997</v>
      </c>
      <c r="BA327" s="527">
        <f t="shared" si="1477"/>
        <v>261.15588082654779</v>
      </c>
      <c r="BB327" s="527">
        <f t="shared" si="1477"/>
        <v>285.68511339748289</v>
      </c>
      <c r="BC327" s="527">
        <f t="shared" si="1477"/>
        <v>302.90146718208632</v>
      </c>
      <c r="BD327" s="527">
        <f t="shared" si="1477"/>
        <v>327.97696527638948</v>
      </c>
      <c r="BE327" s="527">
        <f t="shared" si="1477"/>
        <v>348.30523061444808</v>
      </c>
      <c r="BF327" s="527">
        <f t="shared" si="1477"/>
        <v>372.27063545708097</v>
      </c>
      <c r="BG327" s="527">
        <f t="shared" si="1477"/>
        <v>389.88495374884923</v>
      </c>
      <c r="BH327" s="527">
        <f t="shared" si="1477"/>
        <v>413.76685310335176</v>
      </c>
      <c r="BI327" s="527">
        <f t="shared" si="1477"/>
        <v>429.01361966090548</v>
      </c>
      <c r="BJ327" s="527">
        <f t="shared" ref="BJ327:BK327" si="1478">BJ381</f>
        <v>450.9798731577124</v>
      </c>
      <c r="BK327" s="527">
        <f t="shared" si="1478"/>
        <v>463.86271535223307</v>
      </c>
      <c r="BL327" s="527">
        <f t="shared" ref="BL327:BM327" si="1479">BL381</f>
        <v>482.29466512159991</v>
      </c>
      <c r="BM327" s="527">
        <f t="shared" si="1479"/>
        <v>494.70035176752748</v>
      </c>
      <c r="BN327" s="527">
        <f t="shared" ref="BN327:BO327" si="1480">BN381</f>
        <v>511.9115465984645</v>
      </c>
      <c r="BO327" s="527">
        <f t="shared" si="1480"/>
        <v>519.83797550108784</v>
      </c>
      <c r="BP327" s="527">
        <f t="shared" ref="BP327:BQ327" si="1481">BP381</f>
        <v>539.26519432584416</v>
      </c>
      <c r="BQ327" s="527">
        <f t="shared" si="1481"/>
        <v>547.57616969081505</v>
      </c>
      <c r="BR327" s="527"/>
      <c r="BS327" s="52"/>
      <c r="BT327" s="52"/>
      <c r="BU327" s="52"/>
      <c r="BV327" s="52"/>
      <c r="BW327" s="52"/>
      <c r="BX327" s="52"/>
      <c r="BY327" s="52"/>
      <c r="BZ327" s="52"/>
      <c r="CA327" s="52"/>
      <c r="CB327" s="52"/>
      <c r="CC327" s="52"/>
      <c r="CD327" s="52"/>
      <c r="CE327" s="52"/>
      <c r="CF327" s="52"/>
      <c r="CG327" s="52"/>
      <c r="CH327" s="52"/>
      <c r="CI327" s="52"/>
      <c r="CJ327" s="52"/>
      <c r="CK327" s="52"/>
      <c r="CL327" s="52"/>
      <c r="CM327" s="52"/>
      <c r="CN327" s="52"/>
      <c r="CO327" s="52"/>
      <c r="CP327" s="52"/>
      <c r="CQ327" s="52"/>
      <c r="CR327" s="52"/>
      <c r="CS327" s="52"/>
      <c r="CT327" s="527">
        <f t="shared" ref="CT327:DF327" si="1482">CT381</f>
        <v>0.85799999999999998</v>
      </c>
      <c r="CU327" s="527">
        <f t="shared" si="1482"/>
        <v>27.84</v>
      </c>
      <c r="CV327" s="527">
        <f t="shared" si="1482"/>
        <v>84.5</v>
      </c>
      <c r="CW327" s="527">
        <f t="shared" si="1482"/>
        <v>169.8</v>
      </c>
      <c r="CX327" s="527">
        <f t="shared" si="1482"/>
        <v>347.6</v>
      </c>
      <c r="CY327" s="527">
        <f t="shared" ref="CY327" si="1483">CY381</f>
        <v>386</v>
      </c>
      <c r="CZ327" s="528">
        <f t="shared" si="1482"/>
        <v>407.30000000000007</v>
      </c>
      <c r="DA327" s="527">
        <f t="shared" si="1482"/>
        <v>496.65588082654779</v>
      </c>
      <c r="DB327" s="527">
        <f t="shared" si="1482"/>
        <v>588.58658057956927</v>
      </c>
      <c r="DC327" s="527">
        <f t="shared" si="1482"/>
        <v>676.28219589083756</v>
      </c>
      <c r="DD327" s="527">
        <f t="shared" si="1482"/>
        <v>762.15558920593026</v>
      </c>
      <c r="DE327" s="527">
        <f t="shared" si="1482"/>
        <v>842.78047276425718</v>
      </c>
      <c r="DF327" s="527">
        <f t="shared" si="1482"/>
        <v>914.84258850994547</v>
      </c>
      <c r="DG327" s="527">
        <f t="shared" ref="DG327:DH327" si="1484">DG381</f>
        <v>976.99501688912733</v>
      </c>
      <c r="DH327" s="527">
        <f t="shared" si="1484"/>
        <v>1031.7495220995525</v>
      </c>
      <c r="DI327" s="527">
        <f t="shared" ref="DI327" si="1485">DI381</f>
        <v>1086.8413640166591</v>
      </c>
    </row>
    <row r="328" spans="1:113" ht="12" hidden="1" outlineLevel="1">
      <c r="Z328" s="394"/>
      <c r="AP328" s="44"/>
      <c r="AQ328" s="44"/>
      <c r="AR328" s="44"/>
      <c r="AS328" s="44"/>
      <c r="AT328" s="44"/>
      <c r="AU328" s="44"/>
      <c r="AV328" s="44"/>
      <c r="AW328" s="44"/>
      <c r="AX328" s="44"/>
      <c r="AY328" s="44"/>
      <c r="AZ328" s="45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  <c r="BL328" s="44"/>
      <c r="BM328" s="44"/>
      <c r="BN328" s="44"/>
      <c r="BO328" s="44"/>
      <c r="BP328" s="44"/>
      <c r="BQ328" s="44"/>
      <c r="BR328" s="44"/>
      <c r="CT328" s="44"/>
      <c r="CU328" s="44"/>
      <c r="CV328" s="44"/>
      <c r="CW328" s="44"/>
      <c r="CX328" s="44"/>
      <c r="CY328" s="44"/>
      <c r="CZ328" s="45"/>
      <c r="DB328" s="44"/>
      <c r="DC328" s="529"/>
      <c r="DD328" s="529"/>
      <c r="DE328" s="529"/>
      <c r="DF328" s="529"/>
      <c r="DG328" s="529"/>
      <c r="DH328" s="529"/>
      <c r="DI328" s="529"/>
    </row>
    <row r="329" spans="1:113" s="24" customFormat="1" ht="12" hidden="1" outlineLevel="2">
      <c r="A329" s="1"/>
      <c r="B329" s="24" t="s">
        <v>439</v>
      </c>
      <c r="C329" s="55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4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13"/>
      <c r="CI329" s="13"/>
      <c r="CJ329" s="13"/>
      <c r="CK329" s="13"/>
      <c r="CL329" s="13"/>
      <c r="CM329" s="13"/>
      <c r="CN329" s="13"/>
      <c r="CO329" s="13"/>
      <c r="CP329" s="13"/>
      <c r="CQ329" s="13"/>
      <c r="CR329" s="13"/>
      <c r="CS329" s="13"/>
      <c r="CT329" s="526"/>
      <c r="CU329" s="526"/>
      <c r="CV329" s="526"/>
      <c r="CW329" s="526"/>
      <c r="CX329" s="526"/>
      <c r="CY329" s="526"/>
      <c r="CZ329" s="524"/>
      <c r="DA329" s="526"/>
      <c r="DB329" s="526"/>
      <c r="DC329" s="541"/>
      <c r="DD329" s="541"/>
      <c r="DE329" s="541"/>
      <c r="DF329" s="541"/>
      <c r="DG329" s="541"/>
      <c r="DH329" s="541"/>
      <c r="DI329" s="541"/>
    </row>
    <row r="330" spans="1:113" ht="12" hidden="1" outlineLevel="2">
      <c r="A330" s="1" t="s">
        <v>225</v>
      </c>
      <c r="B330" s="19" t="s">
        <v>162</v>
      </c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4"/>
      <c r="AQ330" s="44"/>
      <c r="AR330" s="44"/>
      <c r="AS330" s="44"/>
      <c r="AT330" s="44"/>
      <c r="AU330" s="44"/>
      <c r="AV330" s="44"/>
      <c r="AW330" s="44"/>
      <c r="AX330" s="44"/>
      <c r="AY330" s="44"/>
      <c r="AZ330" s="45"/>
      <c r="BA330" s="44"/>
      <c r="BB330" s="44"/>
      <c r="BC330" s="44"/>
      <c r="BD330" s="44"/>
      <c r="BE330" s="44"/>
      <c r="BF330" s="44"/>
      <c r="BG330" s="44"/>
      <c r="BH330" s="44"/>
      <c r="BI330" s="44"/>
      <c r="BJ330" s="44"/>
      <c r="BK330" s="44"/>
      <c r="BL330" s="44"/>
      <c r="BM330" s="44"/>
      <c r="BN330" s="44"/>
      <c r="BO330" s="44"/>
      <c r="BP330" s="44"/>
      <c r="BQ330" s="44"/>
      <c r="BR330" s="44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4"/>
      <c r="CU330" s="44"/>
      <c r="CV330" s="44"/>
      <c r="CW330" s="44"/>
      <c r="CX330" s="44"/>
      <c r="CY330" s="44"/>
      <c r="CZ330" s="45"/>
      <c r="DA330" s="44"/>
      <c r="DB330" s="44"/>
      <c r="DC330" s="44"/>
      <c r="DD330" s="44"/>
      <c r="DE330" s="44"/>
      <c r="DF330" s="44"/>
      <c r="DG330" s="44"/>
      <c r="DH330" s="44"/>
      <c r="DI330" s="44"/>
    </row>
    <row r="331" spans="1:113" ht="12" hidden="1" outlineLevel="2">
      <c r="A331" s="1" t="s">
        <v>190</v>
      </c>
      <c r="B331" s="19" t="s">
        <v>163</v>
      </c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4"/>
      <c r="AQ331" s="44"/>
      <c r="AR331" s="44"/>
      <c r="AS331" s="44"/>
      <c r="AT331" s="44"/>
      <c r="AU331" s="44"/>
      <c r="AV331" s="44"/>
      <c r="AW331" s="44"/>
      <c r="AX331" s="44"/>
      <c r="AY331" s="44"/>
      <c r="AZ331" s="45"/>
      <c r="BA331" s="44"/>
      <c r="BB331" s="44"/>
      <c r="BC331" s="44"/>
      <c r="BD331" s="44"/>
      <c r="BE331" s="44"/>
      <c r="BF331" s="44"/>
      <c r="BG331" s="44"/>
      <c r="BH331" s="44"/>
      <c r="BI331" s="44"/>
      <c r="BJ331" s="44"/>
      <c r="BK331" s="44"/>
      <c r="BL331" s="44"/>
      <c r="BM331" s="44"/>
      <c r="BN331" s="44"/>
      <c r="BO331" s="44"/>
      <c r="BP331" s="44"/>
      <c r="BQ331" s="44"/>
      <c r="BR331" s="44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4"/>
      <c r="CU331" s="44"/>
      <c r="CV331" s="44"/>
      <c r="CW331" s="44"/>
      <c r="CX331" s="44"/>
      <c r="CY331" s="44"/>
      <c r="CZ331" s="45"/>
      <c r="DA331" s="44"/>
      <c r="DB331" s="44"/>
      <c r="DC331" s="44"/>
      <c r="DD331" s="44"/>
      <c r="DE331" s="44"/>
      <c r="DF331" s="44"/>
      <c r="DG331" s="44"/>
      <c r="DH331" s="44"/>
      <c r="DI331" s="44"/>
    </row>
    <row r="332" spans="1:113" ht="12" hidden="1" outlineLevel="2">
      <c r="A332" s="1" t="s">
        <v>191</v>
      </c>
      <c r="B332" s="19" t="s">
        <v>164</v>
      </c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4"/>
      <c r="AQ332" s="44"/>
      <c r="AR332" s="44"/>
      <c r="AS332" s="44"/>
      <c r="AT332" s="44"/>
      <c r="AU332" s="44"/>
      <c r="AV332" s="44"/>
      <c r="AW332" s="44"/>
      <c r="AX332" s="44"/>
      <c r="AY332" s="44"/>
      <c r="AZ332" s="45"/>
      <c r="BA332" s="44"/>
      <c r="BB332" s="44"/>
      <c r="BC332" s="44"/>
      <c r="BD332" s="44"/>
      <c r="BE332" s="44"/>
      <c r="BF332" s="44"/>
      <c r="BG332" s="44"/>
      <c r="BH332" s="44"/>
      <c r="BI332" s="44"/>
      <c r="BJ332" s="44"/>
      <c r="BK332" s="44"/>
      <c r="BL332" s="44"/>
      <c r="BM332" s="44"/>
      <c r="BN332" s="44"/>
      <c r="BO332" s="44"/>
      <c r="BP332" s="44"/>
      <c r="BQ332" s="44"/>
      <c r="BR332" s="44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4"/>
      <c r="CU332" s="44"/>
      <c r="CV332" s="44"/>
      <c r="CW332" s="44"/>
      <c r="CX332" s="44"/>
      <c r="CY332" s="44"/>
      <c r="CZ332" s="45"/>
      <c r="DA332" s="44"/>
      <c r="DB332" s="44"/>
      <c r="DC332" s="44"/>
      <c r="DD332" s="44"/>
      <c r="DE332" s="44"/>
      <c r="DF332" s="44"/>
      <c r="DG332" s="44"/>
      <c r="DH332" s="44"/>
      <c r="DI332" s="44"/>
    </row>
    <row r="333" spans="1:113" ht="12" hidden="1" outlineLevel="2">
      <c r="A333" s="1" t="s">
        <v>192</v>
      </c>
      <c r="B333" s="19" t="s">
        <v>165</v>
      </c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4"/>
      <c r="AQ333" s="44"/>
      <c r="AR333" s="44"/>
      <c r="AS333" s="44"/>
      <c r="AT333" s="44"/>
      <c r="AU333" s="44"/>
      <c r="AV333" s="44"/>
      <c r="AW333" s="44"/>
      <c r="AX333" s="44"/>
      <c r="AY333" s="44"/>
      <c r="AZ333" s="45"/>
      <c r="BA333" s="44"/>
      <c r="BB333" s="44"/>
      <c r="BC333" s="44"/>
      <c r="BD333" s="44"/>
      <c r="BE333" s="44"/>
      <c r="BF333" s="44"/>
      <c r="BG333" s="44"/>
      <c r="BH333" s="44"/>
      <c r="BI333" s="44"/>
      <c r="BJ333" s="44"/>
      <c r="BK333" s="44"/>
      <c r="BL333" s="44"/>
      <c r="BM333" s="44"/>
      <c r="BN333" s="44"/>
      <c r="BO333" s="44"/>
      <c r="BP333" s="44"/>
      <c r="BQ333" s="44"/>
      <c r="BR333" s="44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4"/>
      <c r="CU333" s="44"/>
      <c r="CV333" s="44"/>
      <c r="CW333" s="44"/>
      <c r="CX333" s="44"/>
      <c r="CY333" s="44"/>
      <c r="CZ333" s="45"/>
      <c r="DA333" s="44"/>
      <c r="DB333" s="44"/>
      <c r="DC333" s="44"/>
      <c r="DD333" s="44"/>
      <c r="DE333" s="44"/>
      <c r="DF333" s="44"/>
      <c r="DG333" s="44"/>
      <c r="DH333" s="44"/>
      <c r="DI333" s="44"/>
    </row>
    <row r="334" spans="1:113" s="24" customFormat="1" ht="12" hidden="1" outlineLevel="2">
      <c r="A334" s="1" t="s">
        <v>193</v>
      </c>
      <c r="B334" s="24" t="s">
        <v>166</v>
      </c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  <c r="AJ334" s="55"/>
      <c r="AK334" s="55"/>
      <c r="AL334" s="55"/>
      <c r="AM334" s="55"/>
      <c r="AN334" s="55"/>
      <c r="AO334" s="55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4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5"/>
      <c r="BT334" s="55"/>
      <c r="BU334" s="55"/>
      <c r="BV334" s="55"/>
      <c r="BW334" s="55"/>
      <c r="BX334" s="55"/>
      <c r="BY334" s="55"/>
      <c r="BZ334" s="55"/>
      <c r="CA334" s="55"/>
      <c r="CB334" s="55"/>
      <c r="CC334" s="55"/>
      <c r="CD334" s="55"/>
      <c r="CE334" s="55"/>
      <c r="CF334" s="55"/>
      <c r="CG334" s="55"/>
      <c r="CH334" s="55"/>
      <c r="CI334" s="55"/>
      <c r="CJ334" s="55"/>
      <c r="CK334" s="55"/>
      <c r="CL334" s="55"/>
      <c r="CM334" s="55"/>
      <c r="CN334" s="55"/>
      <c r="CO334" s="55"/>
      <c r="CP334" s="55"/>
      <c r="CQ334" s="55"/>
      <c r="CR334" s="55"/>
      <c r="CS334" s="55"/>
      <c r="CT334" s="526"/>
      <c r="CU334" s="526"/>
      <c r="CV334" s="526"/>
      <c r="CW334" s="526"/>
      <c r="CX334" s="526"/>
      <c r="CY334" s="526"/>
      <c r="CZ334" s="524"/>
      <c r="DA334" s="526"/>
      <c r="DB334" s="526"/>
      <c r="DC334" s="526"/>
      <c r="DD334" s="526"/>
      <c r="DE334" s="526"/>
      <c r="DF334" s="526"/>
      <c r="DG334" s="526"/>
      <c r="DH334" s="526"/>
      <c r="DI334" s="526"/>
    </row>
    <row r="335" spans="1:113" ht="12" hidden="1" outlineLevel="2"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4"/>
      <c r="AQ335" s="44"/>
      <c r="AR335" s="44"/>
      <c r="AS335" s="44"/>
      <c r="AT335" s="44"/>
      <c r="AU335" s="44"/>
      <c r="AV335" s="44"/>
      <c r="AW335" s="44"/>
      <c r="AX335" s="44"/>
      <c r="AY335" s="44"/>
      <c r="AZ335" s="45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  <c r="BL335" s="44"/>
      <c r="BM335" s="44"/>
      <c r="BN335" s="44"/>
      <c r="BO335" s="44"/>
      <c r="BP335" s="44"/>
      <c r="BQ335" s="44"/>
      <c r="BR335" s="44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4"/>
      <c r="CU335" s="44"/>
      <c r="CV335" s="44"/>
      <c r="CW335" s="44"/>
      <c r="CX335" s="44"/>
      <c r="CY335" s="44"/>
      <c r="CZ335" s="45"/>
      <c r="DA335" s="44"/>
      <c r="DB335" s="44"/>
      <c r="DC335" s="529"/>
      <c r="DD335" s="529"/>
      <c r="DE335" s="529"/>
      <c r="DF335" s="529"/>
      <c r="DG335" s="529"/>
      <c r="DH335" s="529"/>
      <c r="DI335" s="529"/>
    </row>
    <row r="336" spans="1:113" s="24" customFormat="1" ht="12" hidden="1" outlineLevel="2">
      <c r="A336" s="1"/>
      <c r="B336" s="24" t="s">
        <v>405</v>
      </c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  <c r="AJ336" s="55"/>
      <c r="AK336" s="55"/>
      <c r="AL336" s="55"/>
      <c r="AM336" s="55"/>
      <c r="AN336" s="55"/>
      <c r="AO336" s="55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4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5"/>
      <c r="BT336" s="55"/>
      <c r="BU336" s="55"/>
      <c r="BV336" s="55"/>
      <c r="BW336" s="55"/>
      <c r="BX336" s="55"/>
      <c r="BY336" s="55"/>
      <c r="BZ336" s="55"/>
      <c r="CA336" s="55"/>
      <c r="CB336" s="55"/>
      <c r="CC336" s="55"/>
      <c r="CD336" s="55"/>
      <c r="CE336" s="55"/>
      <c r="CF336" s="55"/>
      <c r="CG336" s="55"/>
      <c r="CH336" s="55"/>
      <c r="CI336" s="55"/>
      <c r="CJ336" s="55"/>
      <c r="CK336" s="55"/>
      <c r="CL336" s="55"/>
      <c r="CM336" s="55"/>
      <c r="CN336" s="55"/>
      <c r="CO336" s="55"/>
      <c r="CP336" s="55"/>
      <c r="CQ336" s="55"/>
      <c r="CR336" s="55"/>
      <c r="CS336" s="55"/>
      <c r="CT336" s="526"/>
      <c r="CU336" s="526"/>
      <c r="CV336" s="526"/>
      <c r="CW336" s="526"/>
      <c r="CX336" s="526"/>
      <c r="CY336" s="526"/>
      <c r="CZ336" s="524"/>
      <c r="DA336" s="526"/>
      <c r="DB336" s="526"/>
      <c r="DC336" s="541"/>
      <c r="DD336" s="541"/>
      <c r="DE336" s="541"/>
      <c r="DF336" s="541"/>
      <c r="DG336" s="541"/>
      <c r="DH336" s="541"/>
      <c r="DI336" s="541"/>
    </row>
    <row r="337" spans="1:113" ht="12" hidden="1" outlineLevel="2">
      <c r="A337" s="1" t="s">
        <v>194</v>
      </c>
      <c r="B337" s="19" t="s">
        <v>162</v>
      </c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5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4"/>
      <c r="CU337" s="44"/>
      <c r="CV337" s="44"/>
      <c r="CW337" s="44"/>
      <c r="CX337" s="44"/>
      <c r="CY337" s="44"/>
      <c r="CZ337" s="45"/>
      <c r="DA337" s="44"/>
      <c r="DB337" s="44"/>
      <c r="DC337" s="529"/>
      <c r="DD337" s="529"/>
      <c r="DE337" s="529"/>
      <c r="DF337" s="529"/>
      <c r="DG337" s="529"/>
      <c r="DH337" s="529"/>
      <c r="DI337" s="529"/>
    </row>
    <row r="338" spans="1:113" ht="12" hidden="1" outlineLevel="2">
      <c r="A338" s="1" t="s">
        <v>195</v>
      </c>
      <c r="B338" s="19" t="s">
        <v>341</v>
      </c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4"/>
      <c r="AQ338" s="44"/>
      <c r="AR338" s="44"/>
      <c r="AS338" s="44"/>
      <c r="AT338" s="44"/>
      <c r="AU338" s="44"/>
      <c r="AV338" s="44"/>
      <c r="AW338" s="44"/>
      <c r="AX338" s="44"/>
      <c r="AY338" s="44"/>
      <c r="AZ338" s="45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  <c r="BL338" s="44"/>
      <c r="BM338" s="44"/>
      <c r="BN338" s="44"/>
      <c r="BO338" s="44"/>
      <c r="BP338" s="44"/>
      <c r="BQ338" s="44"/>
      <c r="BR338" s="44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4"/>
      <c r="CU338" s="44"/>
      <c r="CV338" s="44"/>
      <c r="CW338" s="44"/>
      <c r="CX338" s="44"/>
      <c r="CY338" s="44"/>
      <c r="CZ338" s="45"/>
      <c r="DA338" s="44"/>
      <c r="DB338" s="44"/>
      <c r="DC338" s="529"/>
      <c r="DD338" s="529"/>
      <c r="DE338" s="529"/>
      <c r="DF338" s="529"/>
      <c r="DG338" s="529"/>
      <c r="DH338" s="529"/>
      <c r="DI338" s="529"/>
    </row>
    <row r="339" spans="1:113" s="24" customFormat="1" ht="12" hidden="1" outlineLevel="2">
      <c r="A339" s="1" t="s">
        <v>196</v>
      </c>
      <c r="B339" s="24" t="s">
        <v>166</v>
      </c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  <c r="AJ339" s="55"/>
      <c r="AK339" s="55"/>
      <c r="AL339" s="55"/>
      <c r="AM339" s="55"/>
      <c r="AN339" s="55"/>
      <c r="AO339" s="55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4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117"/>
      <c r="BT339" s="117"/>
      <c r="BU339" s="117"/>
      <c r="BV339" s="117"/>
      <c r="BW339" s="117"/>
      <c r="BX339" s="117"/>
      <c r="BY339" s="117"/>
      <c r="BZ339" s="117"/>
      <c r="CA339" s="117"/>
      <c r="CB339" s="117"/>
      <c r="CC339" s="55"/>
      <c r="CD339" s="55"/>
      <c r="CE339" s="55"/>
      <c r="CF339" s="55"/>
      <c r="CG339" s="55"/>
      <c r="CH339" s="55"/>
      <c r="CI339" s="55"/>
      <c r="CJ339" s="55"/>
      <c r="CK339" s="55"/>
      <c r="CL339" s="55"/>
      <c r="CM339" s="55"/>
      <c r="CN339" s="55"/>
      <c r="CO339" s="55"/>
      <c r="CP339" s="55"/>
      <c r="CQ339" s="55"/>
      <c r="CR339" s="55"/>
      <c r="CS339" s="55"/>
      <c r="CT339" s="526"/>
      <c r="CU339" s="526"/>
      <c r="CV339" s="526"/>
      <c r="CW339" s="526"/>
      <c r="CX339" s="526"/>
      <c r="CY339" s="526"/>
      <c r="CZ339" s="524"/>
      <c r="DA339" s="526"/>
      <c r="DB339" s="526"/>
      <c r="DC339" s="526"/>
      <c r="DD339" s="526"/>
      <c r="DE339" s="526"/>
      <c r="DF339" s="526"/>
      <c r="DG339" s="526"/>
      <c r="DH339" s="526"/>
      <c r="DI339" s="526"/>
    </row>
    <row r="340" spans="1:113" ht="12" hidden="1" outlineLevel="2"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4"/>
      <c r="AQ340" s="44"/>
      <c r="AR340" s="44"/>
      <c r="AS340" s="44"/>
      <c r="AT340" s="44"/>
      <c r="AU340" s="44"/>
      <c r="AV340" s="44"/>
      <c r="AW340" s="44"/>
      <c r="AX340" s="44"/>
      <c r="AY340" s="44"/>
      <c r="AZ340" s="45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  <c r="BL340" s="44"/>
      <c r="BM340" s="44"/>
      <c r="BN340" s="44"/>
      <c r="BO340" s="44"/>
      <c r="BP340" s="44"/>
      <c r="BQ340" s="44"/>
      <c r="BR340" s="44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4"/>
      <c r="CU340" s="44"/>
      <c r="CV340" s="44"/>
      <c r="CW340" s="44"/>
      <c r="CX340" s="44"/>
      <c r="CY340" s="44"/>
      <c r="CZ340" s="45"/>
      <c r="DA340" s="44"/>
      <c r="DB340" s="44"/>
      <c r="DC340" s="44"/>
      <c r="DD340" s="44"/>
      <c r="DE340" s="44"/>
      <c r="DF340" s="44"/>
      <c r="DG340" s="44"/>
      <c r="DH340" s="44"/>
      <c r="DI340" s="44"/>
    </row>
    <row r="341" spans="1:113" s="24" customFormat="1" ht="12" hidden="1" outlineLevel="2">
      <c r="A341" s="1"/>
      <c r="B341" s="24" t="s">
        <v>339</v>
      </c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  <c r="AJ341" s="55"/>
      <c r="AK341" s="55"/>
      <c r="AL341" s="55"/>
      <c r="AM341" s="55"/>
      <c r="AN341" s="55"/>
      <c r="AO341" s="55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4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5"/>
      <c r="BT341" s="55"/>
      <c r="BU341" s="55"/>
      <c r="BV341" s="55"/>
      <c r="BW341" s="55"/>
      <c r="BX341" s="55"/>
      <c r="BY341" s="55"/>
      <c r="BZ341" s="55"/>
      <c r="CA341" s="55"/>
      <c r="CB341" s="55"/>
      <c r="CC341" s="55"/>
      <c r="CD341" s="55"/>
      <c r="CE341" s="55"/>
      <c r="CF341" s="55"/>
      <c r="CG341" s="55"/>
      <c r="CH341" s="55"/>
      <c r="CI341" s="55"/>
      <c r="CJ341" s="55"/>
      <c r="CK341" s="55"/>
      <c r="CL341" s="55"/>
      <c r="CM341" s="55"/>
      <c r="CN341" s="55"/>
      <c r="CO341" s="55"/>
      <c r="CP341" s="55"/>
      <c r="CQ341" s="55"/>
      <c r="CR341" s="55"/>
      <c r="CS341" s="55"/>
      <c r="CT341" s="526"/>
      <c r="CU341" s="526"/>
      <c r="CV341" s="526"/>
      <c r="CW341" s="526"/>
      <c r="CX341" s="526"/>
      <c r="CY341" s="526"/>
      <c r="CZ341" s="524"/>
      <c r="DA341" s="526"/>
      <c r="DB341" s="526"/>
      <c r="DC341" s="526"/>
      <c r="DD341" s="526"/>
      <c r="DE341" s="526"/>
      <c r="DF341" s="526"/>
      <c r="DG341" s="526"/>
      <c r="DH341" s="526"/>
      <c r="DI341" s="526"/>
    </row>
    <row r="342" spans="1:113" ht="12" hidden="1" outlineLevel="2">
      <c r="A342" s="1" t="s">
        <v>197</v>
      </c>
      <c r="B342" s="19" t="s">
        <v>162</v>
      </c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4"/>
      <c r="AQ342" s="44"/>
      <c r="AR342" s="44"/>
      <c r="AS342" s="44"/>
      <c r="AT342" s="44"/>
      <c r="AU342" s="44"/>
      <c r="AV342" s="44"/>
      <c r="AW342" s="44"/>
      <c r="AX342" s="44"/>
      <c r="AY342" s="44"/>
      <c r="AZ342" s="45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  <c r="BL342" s="44"/>
      <c r="BM342" s="44"/>
      <c r="BN342" s="44"/>
      <c r="BO342" s="44"/>
      <c r="BP342" s="44"/>
      <c r="BQ342" s="44"/>
      <c r="BR342" s="44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4"/>
      <c r="CU342" s="44"/>
      <c r="CV342" s="44"/>
      <c r="CW342" s="44"/>
      <c r="CX342" s="44"/>
      <c r="CY342" s="44"/>
      <c r="CZ342" s="45"/>
      <c r="DA342" s="44"/>
      <c r="DB342" s="44"/>
      <c r="DC342" s="44"/>
      <c r="DD342" s="44"/>
      <c r="DE342" s="44"/>
      <c r="DF342" s="44"/>
      <c r="DG342" s="44"/>
      <c r="DH342" s="44"/>
      <c r="DI342" s="44"/>
    </row>
    <row r="343" spans="1:113" ht="12" hidden="1" outlineLevel="2">
      <c r="A343" s="1" t="s">
        <v>119</v>
      </c>
      <c r="B343" s="19" t="s">
        <v>341</v>
      </c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4"/>
      <c r="AQ343" s="44"/>
      <c r="AR343" s="44"/>
      <c r="AS343" s="44"/>
      <c r="AT343" s="44"/>
      <c r="AU343" s="44"/>
      <c r="AV343" s="44"/>
      <c r="AW343" s="44"/>
      <c r="AX343" s="44"/>
      <c r="AY343" s="44"/>
      <c r="AZ343" s="45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  <c r="BL343" s="44"/>
      <c r="BM343" s="44"/>
      <c r="BN343" s="44"/>
      <c r="BO343" s="44"/>
      <c r="BP343" s="44"/>
      <c r="BQ343" s="44"/>
      <c r="BR343" s="44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4"/>
      <c r="CU343" s="44"/>
      <c r="CV343" s="44"/>
      <c r="CW343" s="44"/>
      <c r="CX343" s="44"/>
      <c r="CY343" s="44"/>
      <c r="CZ343" s="45"/>
      <c r="DA343" s="44"/>
      <c r="DB343" s="44"/>
      <c r="DC343" s="44"/>
      <c r="DD343" s="44"/>
      <c r="DE343" s="44"/>
      <c r="DF343" s="44"/>
      <c r="DG343" s="44"/>
      <c r="DH343" s="44"/>
      <c r="DI343" s="44"/>
    </row>
    <row r="344" spans="1:113" s="24" customFormat="1" ht="12" hidden="1" outlineLevel="2">
      <c r="A344" s="1" t="s">
        <v>120</v>
      </c>
      <c r="B344" s="24" t="s">
        <v>166</v>
      </c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  <c r="AJ344" s="55"/>
      <c r="AK344" s="55"/>
      <c r="AL344" s="55"/>
      <c r="AM344" s="55"/>
      <c r="AN344" s="55"/>
      <c r="AO344" s="55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4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117"/>
      <c r="BT344" s="117"/>
      <c r="BU344" s="117"/>
      <c r="BV344" s="117"/>
      <c r="BW344" s="117"/>
      <c r="BX344" s="117"/>
      <c r="BY344" s="117"/>
      <c r="BZ344" s="117"/>
      <c r="CA344" s="117"/>
      <c r="CB344" s="117"/>
      <c r="CC344" s="55"/>
      <c r="CD344" s="55"/>
      <c r="CE344" s="55"/>
      <c r="CF344" s="55"/>
      <c r="CG344" s="55"/>
      <c r="CH344" s="55"/>
      <c r="CI344" s="55"/>
      <c r="CJ344" s="55"/>
      <c r="CK344" s="55"/>
      <c r="CL344" s="55"/>
      <c r="CM344" s="55"/>
      <c r="CN344" s="55"/>
      <c r="CO344" s="55"/>
      <c r="CP344" s="55"/>
      <c r="CQ344" s="55"/>
      <c r="CR344" s="55"/>
      <c r="CS344" s="55"/>
      <c r="CT344" s="526"/>
      <c r="CU344" s="526"/>
      <c r="CV344" s="526"/>
      <c r="CW344" s="526"/>
      <c r="CX344" s="526"/>
      <c r="CY344" s="526"/>
      <c r="CZ344" s="524"/>
      <c r="DA344" s="526"/>
      <c r="DB344" s="526"/>
      <c r="DC344" s="526"/>
      <c r="DD344" s="526"/>
      <c r="DE344" s="526"/>
      <c r="DF344" s="526"/>
      <c r="DG344" s="526"/>
      <c r="DH344" s="526"/>
      <c r="DI344" s="526"/>
    </row>
    <row r="345" spans="1:113" ht="12" hidden="1" outlineLevel="2"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4"/>
      <c r="AQ345" s="44"/>
      <c r="AR345" s="44"/>
      <c r="AS345" s="44"/>
      <c r="AT345" s="44"/>
      <c r="AU345" s="44"/>
      <c r="AV345" s="44"/>
      <c r="AW345" s="44"/>
      <c r="AX345" s="44"/>
      <c r="AY345" s="44"/>
      <c r="AZ345" s="45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  <c r="BL345" s="44"/>
      <c r="BM345" s="44"/>
      <c r="BN345" s="44"/>
      <c r="BO345" s="44"/>
      <c r="BP345" s="44"/>
      <c r="BQ345" s="44"/>
      <c r="BR345" s="44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4"/>
      <c r="CU345" s="44"/>
      <c r="CV345" s="44"/>
      <c r="CW345" s="44"/>
      <c r="CX345" s="44"/>
      <c r="CY345" s="44"/>
      <c r="CZ345" s="45"/>
      <c r="DA345" s="44"/>
      <c r="DB345" s="44"/>
      <c r="DC345" s="44"/>
      <c r="DD345" s="44"/>
      <c r="DE345" s="44"/>
      <c r="DF345" s="44"/>
      <c r="DG345" s="44"/>
      <c r="DH345" s="44"/>
      <c r="DI345" s="44"/>
    </row>
    <row r="346" spans="1:113" s="24" customFormat="1" ht="12" hidden="1" outlineLevel="2">
      <c r="A346" s="1"/>
      <c r="B346" s="24" t="s">
        <v>340</v>
      </c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  <c r="AJ346" s="55"/>
      <c r="AK346" s="55"/>
      <c r="AL346" s="55"/>
      <c r="AM346" s="55"/>
      <c r="AN346" s="55"/>
      <c r="AO346" s="55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4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5"/>
      <c r="BT346" s="55"/>
      <c r="BU346" s="55"/>
      <c r="BV346" s="55"/>
      <c r="BW346" s="55"/>
      <c r="BX346" s="55"/>
      <c r="BY346" s="55"/>
      <c r="BZ346" s="55"/>
      <c r="CA346" s="55"/>
      <c r="CB346" s="55"/>
      <c r="CC346" s="55"/>
      <c r="CD346" s="55"/>
      <c r="CE346" s="55"/>
      <c r="CF346" s="55"/>
      <c r="CG346" s="55"/>
      <c r="CH346" s="55"/>
      <c r="CI346" s="55"/>
      <c r="CJ346" s="55"/>
      <c r="CK346" s="55"/>
      <c r="CL346" s="55"/>
      <c r="CM346" s="55"/>
      <c r="CN346" s="55"/>
      <c r="CO346" s="55"/>
      <c r="CP346" s="55"/>
      <c r="CQ346" s="55"/>
      <c r="CR346" s="55"/>
      <c r="CS346" s="55"/>
      <c r="CT346" s="526"/>
      <c r="CU346" s="526"/>
      <c r="CV346" s="526"/>
      <c r="CW346" s="526"/>
      <c r="CX346" s="526"/>
      <c r="CY346" s="526"/>
      <c r="CZ346" s="524"/>
      <c r="DA346" s="526"/>
      <c r="DB346" s="526"/>
      <c r="DC346" s="526"/>
      <c r="DD346" s="526"/>
      <c r="DE346" s="526"/>
      <c r="DF346" s="526"/>
      <c r="DG346" s="526"/>
      <c r="DH346" s="526"/>
      <c r="DI346" s="526"/>
    </row>
    <row r="347" spans="1:113" ht="12" hidden="1" outlineLevel="2">
      <c r="A347" s="1" t="s">
        <v>121</v>
      </c>
      <c r="B347" s="19" t="s">
        <v>162</v>
      </c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4"/>
      <c r="AQ347" s="44"/>
      <c r="AR347" s="44"/>
      <c r="AS347" s="44"/>
      <c r="AT347" s="44"/>
      <c r="AU347" s="44"/>
      <c r="AV347" s="44"/>
      <c r="AW347" s="44"/>
      <c r="AX347" s="44"/>
      <c r="AY347" s="44"/>
      <c r="AZ347" s="45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  <c r="BL347" s="44"/>
      <c r="BM347" s="44"/>
      <c r="BN347" s="44"/>
      <c r="BO347" s="44"/>
      <c r="BP347" s="44"/>
      <c r="BQ347" s="44"/>
      <c r="BR347" s="44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4"/>
      <c r="CU347" s="44"/>
      <c r="CV347" s="44"/>
      <c r="CW347" s="44"/>
      <c r="CX347" s="44"/>
      <c r="CY347" s="44"/>
      <c r="CZ347" s="45"/>
      <c r="DA347" s="44"/>
      <c r="DB347" s="44"/>
      <c r="DC347" s="44"/>
      <c r="DD347" s="44"/>
      <c r="DE347" s="44"/>
      <c r="DF347" s="44"/>
      <c r="DG347" s="44"/>
      <c r="DH347" s="44"/>
      <c r="DI347" s="44"/>
    </row>
    <row r="348" spans="1:113" ht="12" hidden="1" outlineLevel="2">
      <c r="A348" s="1" t="s">
        <v>122</v>
      </c>
      <c r="B348" s="19" t="s">
        <v>341</v>
      </c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4"/>
      <c r="AQ348" s="44"/>
      <c r="AR348" s="44"/>
      <c r="AS348" s="44"/>
      <c r="AT348" s="44"/>
      <c r="AU348" s="44"/>
      <c r="AV348" s="44"/>
      <c r="AW348" s="44"/>
      <c r="AX348" s="44"/>
      <c r="AY348" s="44"/>
      <c r="AZ348" s="45"/>
      <c r="BA348" s="44"/>
      <c r="BB348" s="44"/>
      <c r="BC348" s="44"/>
      <c r="BD348" s="44"/>
      <c r="BE348" s="44"/>
      <c r="BF348" s="44"/>
      <c r="BG348" s="44"/>
      <c r="BH348" s="44"/>
      <c r="BI348" s="44"/>
      <c r="BJ348" s="44"/>
      <c r="BK348" s="44"/>
      <c r="BL348" s="44"/>
      <c r="BM348" s="44"/>
      <c r="BN348" s="44"/>
      <c r="BO348" s="44"/>
      <c r="BP348" s="44"/>
      <c r="BQ348" s="44"/>
      <c r="BR348" s="44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4"/>
      <c r="CU348" s="44"/>
      <c r="CV348" s="44"/>
      <c r="CW348" s="44"/>
      <c r="CX348" s="44"/>
      <c r="CY348" s="44"/>
      <c r="CZ348" s="45"/>
      <c r="DA348" s="44"/>
      <c r="DB348" s="44"/>
      <c r="DC348" s="44"/>
      <c r="DD348" s="44"/>
      <c r="DE348" s="44"/>
      <c r="DF348" s="44"/>
      <c r="DG348" s="44"/>
      <c r="DH348" s="44"/>
      <c r="DI348" s="44"/>
    </row>
    <row r="349" spans="1:113" s="24" customFormat="1" ht="12" hidden="1" outlineLevel="2">
      <c r="A349" s="1" t="s">
        <v>123</v>
      </c>
      <c r="B349" s="24" t="s">
        <v>581</v>
      </c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  <c r="AJ349" s="55"/>
      <c r="AK349" s="55"/>
      <c r="AL349" s="55"/>
      <c r="AM349" s="55"/>
      <c r="AN349" s="55"/>
      <c r="AO349" s="55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4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5"/>
      <c r="BT349" s="55"/>
      <c r="BU349" s="55"/>
      <c r="BV349" s="55"/>
      <c r="BW349" s="55"/>
      <c r="BX349" s="55"/>
      <c r="BY349" s="55"/>
      <c r="BZ349" s="55"/>
      <c r="CA349" s="55"/>
      <c r="CB349" s="55"/>
      <c r="CC349" s="55"/>
      <c r="CD349" s="55"/>
      <c r="CE349" s="55"/>
      <c r="CF349" s="55"/>
      <c r="CG349" s="55"/>
      <c r="CH349" s="55"/>
      <c r="CI349" s="55"/>
      <c r="CJ349" s="55"/>
      <c r="CK349" s="55"/>
      <c r="CL349" s="55"/>
      <c r="CM349" s="55"/>
      <c r="CN349" s="55"/>
      <c r="CO349" s="55"/>
      <c r="CP349" s="55"/>
      <c r="CQ349" s="55"/>
      <c r="CR349" s="55"/>
      <c r="CS349" s="55"/>
      <c r="CT349" s="526"/>
      <c r="CU349" s="526"/>
      <c r="CV349" s="526"/>
      <c r="CW349" s="526"/>
      <c r="CX349" s="526"/>
      <c r="CY349" s="526"/>
      <c r="CZ349" s="524"/>
      <c r="DA349" s="526"/>
      <c r="DB349" s="526"/>
      <c r="DC349" s="526"/>
      <c r="DD349" s="526"/>
      <c r="DE349" s="526"/>
      <c r="DF349" s="526"/>
      <c r="DG349" s="526"/>
      <c r="DH349" s="526"/>
      <c r="DI349" s="526"/>
    </row>
    <row r="350" spans="1:113" ht="12" hidden="1" outlineLevel="2">
      <c r="A350" s="1" t="s">
        <v>124</v>
      </c>
      <c r="B350" s="19" t="s">
        <v>342</v>
      </c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4"/>
      <c r="AQ350" s="44"/>
      <c r="AR350" s="44"/>
      <c r="AS350" s="44"/>
      <c r="AT350" s="44"/>
      <c r="AU350" s="44"/>
      <c r="AV350" s="44"/>
      <c r="AW350" s="44"/>
      <c r="AX350" s="44"/>
      <c r="AY350" s="44"/>
      <c r="AZ350" s="45"/>
      <c r="BA350" s="44"/>
      <c r="BB350" s="44"/>
      <c r="BC350" s="44"/>
      <c r="BD350" s="44"/>
      <c r="BE350" s="44"/>
      <c r="BF350" s="44"/>
      <c r="BG350" s="44"/>
      <c r="BH350" s="44"/>
      <c r="BI350" s="44"/>
      <c r="BJ350" s="44"/>
      <c r="BK350" s="44"/>
      <c r="BL350" s="44"/>
      <c r="BM350" s="44"/>
      <c r="BN350" s="44"/>
      <c r="BO350" s="44"/>
      <c r="BP350" s="44"/>
      <c r="BQ350" s="44"/>
      <c r="BR350" s="44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4"/>
      <c r="CU350" s="44"/>
      <c r="CV350" s="44"/>
      <c r="CW350" s="44"/>
      <c r="CX350" s="44"/>
      <c r="CY350" s="44"/>
      <c r="CZ350" s="45"/>
      <c r="DA350" s="44"/>
      <c r="DB350" s="44"/>
      <c r="DC350" s="44"/>
      <c r="DD350" s="44"/>
      <c r="DE350" s="44"/>
      <c r="DF350" s="44"/>
      <c r="DG350" s="44"/>
      <c r="DH350" s="44"/>
      <c r="DI350" s="44"/>
    </row>
    <row r="351" spans="1:113" ht="12" hidden="1" outlineLevel="2">
      <c r="A351" s="1" t="s">
        <v>125</v>
      </c>
      <c r="B351" s="19" t="s">
        <v>586</v>
      </c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5"/>
      <c r="BA351" s="44"/>
      <c r="BB351" s="44"/>
      <c r="BC351" s="44"/>
      <c r="BD351" s="44"/>
      <c r="BE351" s="44"/>
      <c r="BF351" s="44"/>
      <c r="BG351" s="44"/>
      <c r="BH351" s="44"/>
      <c r="BI351" s="44"/>
      <c r="BJ351" s="44"/>
      <c r="BK351" s="44"/>
      <c r="BL351" s="44"/>
      <c r="BM351" s="44"/>
      <c r="BN351" s="44"/>
      <c r="BO351" s="44"/>
      <c r="BP351" s="44"/>
      <c r="BQ351" s="44"/>
      <c r="BR351" s="44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4"/>
      <c r="CU351" s="44"/>
      <c r="CV351" s="44"/>
      <c r="CW351" s="44"/>
      <c r="CX351" s="44"/>
      <c r="CY351" s="44"/>
      <c r="CZ351" s="45"/>
      <c r="DA351" s="44"/>
      <c r="DB351" s="44"/>
      <c r="DC351" s="44"/>
      <c r="DD351" s="44"/>
      <c r="DE351" s="44"/>
      <c r="DF351" s="44"/>
      <c r="DG351" s="44"/>
      <c r="DH351" s="44"/>
      <c r="DI351" s="44"/>
    </row>
    <row r="352" spans="1:113" s="24" customFormat="1" ht="12" hidden="1" outlineLevel="2">
      <c r="A352" s="1" t="s">
        <v>126</v>
      </c>
      <c r="B352" s="24" t="s">
        <v>587</v>
      </c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  <c r="AJ352" s="55"/>
      <c r="AK352" s="55"/>
      <c r="AL352" s="55"/>
      <c r="AM352" s="55"/>
      <c r="AN352" s="55"/>
      <c r="AO352" s="55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4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5"/>
      <c r="BT352" s="55"/>
      <c r="BU352" s="55"/>
      <c r="BV352" s="55"/>
      <c r="BW352" s="55"/>
      <c r="BX352" s="55"/>
      <c r="BY352" s="55"/>
      <c r="BZ352" s="55"/>
      <c r="CA352" s="55"/>
      <c r="CB352" s="55"/>
      <c r="CC352" s="55"/>
      <c r="CD352" s="55"/>
      <c r="CE352" s="55"/>
      <c r="CF352" s="55"/>
      <c r="CG352" s="55"/>
      <c r="CH352" s="55"/>
      <c r="CI352" s="55"/>
      <c r="CJ352" s="55"/>
      <c r="CK352" s="55"/>
      <c r="CL352" s="55"/>
      <c r="CM352" s="55"/>
      <c r="CN352" s="55"/>
      <c r="CO352" s="55"/>
      <c r="CP352" s="55"/>
      <c r="CQ352" s="55"/>
      <c r="CR352" s="55"/>
      <c r="CS352" s="55"/>
      <c r="CT352" s="526"/>
      <c r="CU352" s="526"/>
      <c r="CV352" s="526"/>
      <c r="CW352" s="526"/>
      <c r="CX352" s="526"/>
      <c r="CY352" s="526"/>
      <c r="CZ352" s="524"/>
      <c r="DA352" s="526"/>
      <c r="DB352" s="526"/>
      <c r="DC352" s="526"/>
      <c r="DD352" s="526"/>
      <c r="DE352" s="526"/>
      <c r="DF352" s="526"/>
      <c r="DG352" s="526"/>
      <c r="DH352" s="526"/>
      <c r="DI352" s="526"/>
    </row>
    <row r="353" spans="1:113" ht="12" hidden="1" outlineLevel="2">
      <c r="A353" s="1" t="s">
        <v>51</v>
      </c>
      <c r="B353" s="19" t="s">
        <v>386</v>
      </c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4"/>
      <c r="AQ353" s="44"/>
      <c r="AR353" s="44"/>
      <c r="AS353" s="44"/>
      <c r="AT353" s="44"/>
      <c r="AU353" s="44"/>
      <c r="AV353" s="44"/>
      <c r="AW353" s="44"/>
      <c r="AX353" s="44"/>
      <c r="AY353" s="44"/>
      <c r="AZ353" s="45"/>
      <c r="BA353" s="44"/>
      <c r="BB353" s="44"/>
      <c r="BC353" s="44"/>
      <c r="BD353" s="44"/>
      <c r="BE353" s="44"/>
      <c r="BF353" s="44"/>
      <c r="BG353" s="44"/>
      <c r="BH353" s="44"/>
      <c r="BI353" s="44"/>
      <c r="BJ353" s="44"/>
      <c r="BK353" s="44"/>
      <c r="BL353" s="44"/>
      <c r="BM353" s="44"/>
      <c r="BN353" s="44"/>
      <c r="BO353" s="44"/>
      <c r="BP353" s="44"/>
      <c r="BQ353" s="44"/>
      <c r="BR353" s="44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4"/>
      <c r="CU353" s="44"/>
      <c r="CV353" s="44"/>
      <c r="CW353" s="44"/>
      <c r="CX353" s="44"/>
      <c r="CY353" s="44"/>
      <c r="CZ353" s="45"/>
      <c r="DA353" s="44"/>
      <c r="DB353" s="44"/>
      <c r="DC353" s="44"/>
      <c r="DD353" s="44"/>
      <c r="DE353" s="44"/>
      <c r="DF353" s="44"/>
      <c r="DG353" s="44"/>
      <c r="DH353" s="44"/>
      <c r="DI353" s="44"/>
    </row>
    <row r="354" spans="1:113" s="24" customFormat="1" ht="12" hidden="1" outlineLevel="1" collapsed="1">
      <c r="A354" s="1" t="s">
        <v>132</v>
      </c>
      <c r="B354" s="24" t="s">
        <v>469</v>
      </c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  <c r="AJ354" s="55"/>
      <c r="AK354" s="55"/>
      <c r="AL354" s="55"/>
      <c r="AM354" s="55"/>
      <c r="AN354" s="55"/>
      <c r="AO354" s="55"/>
      <c r="AP354" s="526">
        <f>AP296*AP239/AP5</f>
        <v>54.460958530510581</v>
      </c>
      <c r="AQ354" s="526">
        <f t="shared" ref="AQ354:BQ354" si="1486">AQ296*AQ239/AQ5</f>
        <v>70.418984317808224</v>
      </c>
      <c r="AR354" s="526">
        <f t="shared" si="1486"/>
        <v>98.170514893150695</v>
      </c>
      <c r="AS354" s="526">
        <f t="shared" si="1486"/>
        <v>112.22158515068494</v>
      </c>
      <c r="AT354" s="526">
        <f t="shared" si="1486"/>
        <v>128.34131506849315</v>
      </c>
      <c r="AU354" s="526">
        <f t="shared" si="1486"/>
        <v>140.2779715068493</v>
      </c>
      <c r="AV354" s="526">
        <f t="shared" si="1486"/>
        <v>161.9572896174864</v>
      </c>
      <c r="AW354" s="526">
        <f t="shared" si="1486"/>
        <v>186.96638524590171</v>
      </c>
      <c r="AX354" s="526">
        <f t="shared" si="1486"/>
        <v>225.2919276712328</v>
      </c>
      <c r="AY354" s="526">
        <f t="shared" si="1486"/>
        <v>243.27329589041096</v>
      </c>
      <c r="AZ354" s="524">
        <f t="shared" si="1486"/>
        <v>275.23086239269401</v>
      </c>
      <c r="BA354" s="526">
        <f t="shared" si="1486"/>
        <v>292.89183948532815</v>
      </c>
      <c r="BB354" s="526">
        <f t="shared" si="1486"/>
        <v>319.41724564411277</v>
      </c>
      <c r="BC354" s="526">
        <f t="shared" si="1486"/>
        <v>339.19241034823671</v>
      </c>
      <c r="BD354" s="526">
        <f t="shared" si="1486"/>
        <v>365.0092026320545</v>
      </c>
      <c r="BE354" s="526">
        <f t="shared" si="1486"/>
        <v>385.91830941408159</v>
      </c>
      <c r="BF354" s="526">
        <f t="shared" si="1486"/>
        <v>411.35206781825229</v>
      </c>
      <c r="BG354" s="526">
        <f t="shared" si="1486"/>
        <v>429.97729735142616</v>
      </c>
      <c r="BH354" s="526">
        <f t="shared" si="1486"/>
        <v>455.54609822153594</v>
      </c>
      <c r="BI354" s="526">
        <f t="shared" si="1486"/>
        <v>471.63616275958759</v>
      </c>
      <c r="BJ354" s="526">
        <f t="shared" si="1486"/>
        <v>495.23482900705204</v>
      </c>
      <c r="BK354" s="526">
        <f t="shared" si="1486"/>
        <v>508.72840582697773</v>
      </c>
      <c r="BL354" s="526">
        <f t="shared" si="1486"/>
        <v>528.41732076968742</v>
      </c>
      <c r="BM354" s="526">
        <f t="shared" si="1486"/>
        <v>541.47595455715725</v>
      </c>
      <c r="BN354" s="526">
        <f t="shared" si="1486"/>
        <v>559.8619970257987</v>
      </c>
      <c r="BO354" s="526">
        <f t="shared" si="1486"/>
        <v>568.09698995747442</v>
      </c>
      <c r="BP354" s="526">
        <f t="shared" si="1486"/>
        <v>588.88931090136543</v>
      </c>
      <c r="BQ354" s="526">
        <f t="shared" si="1486"/>
        <v>597.54968158685028</v>
      </c>
      <c r="BR354" s="526"/>
      <c r="BS354" s="55"/>
      <c r="BT354" s="55"/>
      <c r="BU354" s="55"/>
      <c r="BV354" s="55"/>
      <c r="BW354" s="55"/>
      <c r="BX354" s="55"/>
      <c r="BY354" s="55"/>
      <c r="BZ354" s="55"/>
      <c r="CA354" s="55"/>
      <c r="CB354" s="55"/>
      <c r="CC354" s="55"/>
      <c r="CD354" s="55"/>
      <c r="CE354" s="55"/>
      <c r="CF354" s="55"/>
      <c r="CG354" s="55"/>
      <c r="CH354" s="55"/>
      <c r="CI354" s="55"/>
      <c r="CJ354" s="55"/>
      <c r="CK354" s="55"/>
      <c r="CL354" s="55"/>
      <c r="CM354" s="55"/>
      <c r="CN354" s="55"/>
      <c r="CO354" s="55"/>
      <c r="CP354" s="55"/>
      <c r="CQ354" s="55"/>
      <c r="CR354" s="55"/>
      <c r="CS354" s="55"/>
      <c r="CT354" s="526" t="str">
        <f t="shared" ref="CT354" si="1487">IF(ROUND(CT239*CT296/CT$5,5)=ROUND(CT352+CT353,5),CT239*CT296/CT$5,"Error")</f>
        <v>Error</v>
      </c>
      <c r="CU354" s="526">
        <f t="shared" ref="CU354" si="1488">CU296*CU239/CU5</f>
        <v>42.580712977099239</v>
      </c>
      <c r="CV354" s="526">
        <f t="shared" ref="CV354" si="1489">SUM(AP354:AQ354)</f>
        <v>124.87994284831881</v>
      </c>
      <c r="CW354" s="526">
        <f t="shared" ref="CW354" si="1490">SUM(AR354:AS354)</f>
        <v>210.39210004383563</v>
      </c>
      <c r="CX354" s="526">
        <f t="shared" ref="CX354" si="1491">SUM(AT354:AU354)</f>
        <v>268.61928657534247</v>
      </c>
      <c r="CY354" s="526">
        <f t="shared" ref="CY354" si="1492">SUM(AV354:AW354)</f>
        <v>348.9236748633881</v>
      </c>
      <c r="CZ354" s="524">
        <f t="shared" ref="CZ354" si="1493">SUM(AX354:AY354)</f>
        <v>468.56522356164373</v>
      </c>
      <c r="DA354" s="526">
        <f t="shared" ref="DA354" si="1494">SUM(AZ354:BA354)</f>
        <v>568.1227018780221</v>
      </c>
      <c r="DB354" s="526">
        <f t="shared" ref="DB354" si="1495">SUM(BB354:BC354)</f>
        <v>658.60965599234942</v>
      </c>
      <c r="DC354" s="526">
        <f t="shared" ref="DC354" si="1496">SUM(BD354:BE354)</f>
        <v>750.92751204613614</v>
      </c>
      <c r="DD354" s="526">
        <f t="shared" ref="DD354" si="1497">SUM(BF354:BG354)</f>
        <v>841.32936516967845</v>
      </c>
      <c r="DE354" s="526">
        <f t="shared" ref="DE354" si="1498">SUM(BH354:BI354)</f>
        <v>927.18226098112359</v>
      </c>
      <c r="DF354" s="526">
        <f t="shared" ref="DF354" si="1499">SUM(BJ354:BK354)</f>
        <v>1003.9632348340298</v>
      </c>
      <c r="DG354" s="526">
        <f t="shared" ref="DG354" si="1500">SUM(BL354:BM354)</f>
        <v>1069.8932753268446</v>
      </c>
      <c r="DH354" s="526">
        <f t="shared" ref="DH354" si="1501">SUM(BN354:BO354)</f>
        <v>1127.958986983273</v>
      </c>
      <c r="DI354" s="526">
        <f t="shared" ref="DI354" si="1502">SUM(BP354:BQ354)</f>
        <v>1186.4389924882157</v>
      </c>
    </row>
    <row r="355" spans="1:113" ht="12" hidden="1" outlineLevel="1"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4"/>
      <c r="AQ355" s="44"/>
      <c r="AR355" s="44"/>
      <c r="AS355" s="44"/>
      <c r="AT355" s="44"/>
      <c r="AU355" s="44"/>
      <c r="AV355" s="44"/>
      <c r="AW355" s="44"/>
      <c r="AX355" s="44"/>
      <c r="AY355" s="44"/>
      <c r="AZ355" s="45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  <c r="BL355" s="44"/>
      <c r="BM355" s="44"/>
      <c r="BN355" s="44"/>
      <c r="BO355" s="44"/>
      <c r="BP355" s="44"/>
      <c r="BQ355" s="44"/>
      <c r="BR355" s="44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4"/>
      <c r="CU355" s="44"/>
      <c r="CV355" s="44"/>
      <c r="CW355" s="44"/>
      <c r="CX355" s="44"/>
      <c r="CY355" s="44"/>
      <c r="CZ355" s="45"/>
      <c r="DA355" s="44"/>
      <c r="DB355" s="44"/>
      <c r="DC355" s="529"/>
      <c r="DD355" s="529"/>
      <c r="DE355" s="529"/>
      <c r="DF355" s="529"/>
      <c r="DG355" s="529"/>
      <c r="DH355" s="529"/>
      <c r="DI355" s="529"/>
    </row>
    <row r="356" spans="1:113" s="24" customFormat="1" ht="12" hidden="1" outlineLevel="2">
      <c r="A356" s="19"/>
      <c r="B356" s="24" t="s">
        <v>588</v>
      </c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  <c r="AJ356" s="55"/>
      <c r="AK356" s="55"/>
      <c r="AL356" s="55"/>
      <c r="AM356" s="55"/>
      <c r="AN356" s="55"/>
      <c r="AO356" s="55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4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5"/>
      <c r="BT356" s="55"/>
      <c r="BU356" s="55"/>
      <c r="BV356" s="55"/>
      <c r="BW356" s="55"/>
      <c r="BX356" s="55"/>
      <c r="BY356" s="55"/>
      <c r="BZ356" s="55"/>
      <c r="CA356" s="55"/>
      <c r="CB356" s="55"/>
      <c r="CC356" s="55"/>
      <c r="CD356" s="55"/>
      <c r="CE356" s="55"/>
      <c r="CF356" s="55"/>
      <c r="CG356" s="55"/>
      <c r="CH356" s="55"/>
      <c r="CI356" s="55"/>
      <c r="CJ356" s="55"/>
      <c r="CK356" s="55"/>
      <c r="CL356" s="55"/>
      <c r="CM356" s="55"/>
      <c r="CN356" s="55"/>
      <c r="CO356" s="55"/>
      <c r="CP356" s="55"/>
      <c r="CQ356" s="55"/>
      <c r="CR356" s="55"/>
      <c r="CS356" s="55"/>
      <c r="CT356" s="526"/>
      <c r="CU356" s="526"/>
      <c r="CV356" s="526"/>
      <c r="CW356" s="526"/>
      <c r="CX356" s="526"/>
      <c r="CY356" s="526"/>
      <c r="CZ356" s="524"/>
      <c r="DA356" s="526"/>
      <c r="DB356" s="526"/>
      <c r="DC356" s="541"/>
      <c r="DD356" s="541"/>
      <c r="DE356" s="541"/>
      <c r="DF356" s="541"/>
      <c r="DG356" s="541"/>
      <c r="DH356" s="541"/>
      <c r="DI356" s="541"/>
    </row>
    <row r="357" spans="1:113" ht="12" hidden="1" outlineLevel="2">
      <c r="A357" s="1" t="s">
        <v>133</v>
      </c>
      <c r="B357" s="19" t="s">
        <v>589</v>
      </c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4"/>
      <c r="AQ357" s="44"/>
      <c r="AR357" s="44"/>
      <c r="AS357" s="44"/>
      <c r="AT357" s="44"/>
      <c r="AU357" s="44"/>
      <c r="AV357" s="44"/>
      <c r="AW357" s="44"/>
      <c r="AX357" s="44"/>
      <c r="AY357" s="44"/>
      <c r="AZ357" s="45"/>
      <c r="BA357" s="44"/>
      <c r="BB357" s="44"/>
      <c r="BC357" s="44"/>
      <c r="BD357" s="44"/>
      <c r="BE357" s="44"/>
      <c r="BF357" s="44"/>
      <c r="BG357" s="44"/>
      <c r="BH357" s="44"/>
      <c r="BI357" s="44"/>
      <c r="BJ357" s="44"/>
      <c r="BK357" s="44"/>
      <c r="BL357" s="44"/>
      <c r="BM357" s="44"/>
      <c r="BN357" s="44"/>
      <c r="BO357" s="44"/>
      <c r="BP357" s="44"/>
      <c r="BQ357" s="44"/>
      <c r="BR357" s="44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4">
        <f t="shared" ref="CT357:CU358" si="1503">CT242*CT299/CT$5</f>
        <v>0</v>
      </c>
      <c r="CU357" s="44">
        <f t="shared" si="1503"/>
        <v>0</v>
      </c>
      <c r="CV357" s="44">
        <f t="shared" ref="CV357:CV359" si="1504">SUM(AP357:AQ357)</f>
        <v>0</v>
      </c>
      <c r="CW357" s="44">
        <f>SUM(AR357:AS357)</f>
        <v>0</v>
      </c>
      <c r="CX357" s="44">
        <f>SUM(AT357:AU357)</f>
        <v>0</v>
      </c>
      <c r="CY357" s="44">
        <f>SUM(AV357:AW357)</f>
        <v>0</v>
      </c>
      <c r="CZ357" s="45">
        <f>SUM(AX357:AY357)</f>
        <v>0</v>
      </c>
      <c r="DA357" s="44">
        <f t="shared" ref="DA357:DA359" si="1505">SUM(AZ357:BA357)</f>
        <v>0</v>
      </c>
      <c r="DB357" s="44">
        <f>SUM(BB357:BC357)</f>
        <v>0</v>
      </c>
      <c r="DC357" s="44">
        <f>SUM(BD357:BE357)</f>
        <v>0</v>
      </c>
      <c r="DD357" s="44">
        <f>SUM(BF357:BG357)</f>
        <v>0</v>
      </c>
      <c r="DE357" s="44">
        <f>SUM(BH357:BI357)</f>
        <v>0</v>
      </c>
      <c r="DF357" s="44">
        <f>SUM(BJ357:BK357)</f>
        <v>0</v>
      </c>
      <c r="DG357" s="44">
        <f>SUM(BL357:BM357)</f>
        <v>0</v>
      </c>
      <c r="DH357" s="44">
        <f>SUM(BN357:BO357)</f>
        <v>0</v>
      </c>
      <c r="DI357" s="44">
        <f>SUM(BP357:BQ357)</f>
        <v>0</v>
      </c>
    </row>
    <row r="358" spans="1:113" ht="12" hidden="1" outlineLevel="2">
      <c r="A358" s="1" t="s">
        <v>134</v>
      </c>
      <c r="B358" s="19" t="s">
        <v>470</v>
      </c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4"/>
      <c r="AQ358" s="44"/>
      <c r="AR358" s="44"/>
      <c r="AS358" s="44"/>
      <c r="AT358" s="44"/>
      <c r="AU358" s="44"/>
      <c r="AV358" s="44"/>
      <c r="AW358" s="44"/>
      <c r="AX358" s="44"/>
      <c r="AY358" s="44"/>
      <c r="AZ358" s="45"/>
      <c r="BA358" s="44"/>
      <c r="BB358" s="44"/>
      <c r="BC358" s="44"/>
      <c r="BD358" s="44"/>
      <c r="BE358" s="44"/>
      <c r="BF358" s="44"/>
      <c r="BG358" s="44"/>
      <c r="BH358" s="44"/>
      <c r="BI358" s="44"/>
      <c r="BJ358" s="44"/>
      <c r="BK358" s="44"/>
      <c r="BL358" s="44"/>
      <c r="BM358" s="44"/>
      <c r="BN358" s="44"/>
      <c r="BO358" s="44"/>
      <c r="BP358" s="44"/>
      <c r="BQ358" s="44"/>
      <c r="BR358" s="44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4">
        <f t="shared" si="1503"/>
        <v>0</v>
      </c>
      <c r="CU358" s="44">
        <f t="shared" si="1503"/>
        <v>0</v>
      </c>
      <c r="CV358" s="44">
        <f t="shared" si="1504"/>
        <v>0</v>
      </c>
      <c r="CW358" s="44">
        <f>SUM(AR358:AS358)</f>
        <v>0</v>
      </c>
      <c r="CX358" s="44">
        <f>SUM(AT358:AU358)</f>
        <v>0</v>
      </c>
      <c r="CY358" s="44">
        <f>SUM(AV358:AW358)</f>
        <v>0</v>
      </c>
      <c r="CZ358" s="45">
        <f>SUM(AX358:AY358)</f>
        <v>0</v>
      </c>
      <c r="DA358" s="44">
        <f t="shared" si="1505"/>
        <v>0</v>
      </c>
      <c r="DB358" s="44">
        <f>SUM(BB358:BC358)</f>
        <v>0</v>
      </c>
      <c r="DC358" s="44">
        <f>SUM(BD358:BE358)</f>
        <v>0</v>
      </c>
      <c r="DD358" s="44">
        <f>SUM(BF358:BG358)</f>
        <v>0</v>
      </c>
      <c r="DE358" s="44">
        <f>SUM(BH358:BI358)</f>
        <v>0</v>
      </c>
      <c r="DF358" s="44">
        <f>SUM(BJ358:BK358)</f>
        <v>0</v>
      </c>
      <c r="DG358" s="44">
        <f>SUM(BL358:BM358)</f>
        <v>0</v>
      </c>
      <c r="DH358" s="44">
        <f>SUM(BN358:BO358)</f>
        <v>0</v>
      </c>
      <c r="DI358" s="44">
        <f>SUM(BP358:BQ358)</f>
        <v>0</v>
      </c>
    </row>
    <row r="359" spans="1:113" s="24" customFormat="1" ht="12" hidden="1" outlineLevel="2">
      <c r="A359" s="1" t="s">
        <v>135</v>
      </c>
      <c r="B359" s="24" t="s">
        <v>166</v>
      </c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  <c r="AJ359" s="55"/>
      <c r="AK359" s="55"/>
      <c r="AL359" s="55"/>
      <c r="AM359" s="55"/>
      <c r="AN359" s="55"/>
      <c r="AO359" s="55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4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5"/>
      <c r="BT359" s="55"/>
      <c r="BU359" s="55"/>
      <c r="BV359" s="55"/>
      <c r="BW359" s="55"/>
      <c r="BX359" s="55"/>
      <c r="BY359" s="55"/>
      <c r="BZ359" s="55"/>
      <c r="CA359" s="55"/>
      <c r="CB359" s="55"/>
      <c r="CC359" s="55"/>
      <c r="CD359" s="55"/>
      <c r="CE359" s="55"/>
      <c r="CF359" s="55"/>
      <c r="CG359" s="55"/>
      <c r="CH359" s="55"/>
      <c r="CI359" s="55"/>
      <c r="CJ359" s="55"/>
      <c r="CK359" s="55"/>
      <c r="CL359" s="55"/>
      <c r="CM359" s="55"/>
      <c r="CN359" s="55"/>
      <c r="CO359" s="55"/>
      <c r="CP359" s="55"/>
      <c r="CQ359" s="55"/>
      <c r="CR359" s="55"/>
      <c r="CS359" s="55"/>
      <c r="CT359" s="526">
        <f t="shared" ref="CT359:CU359" si="1506">IF(ABS(CT244*CT301/CT$5-(CT357+CT358))&lt;0.1,CT244*CT301/CT$5,"Error")</f>
        <v>0</v>
      </c>
      <c r="CU359" s="526">
        <f t="shared" si="1506"/>
        <v>0</v>
      </c>
      <c r="CV359" s="526">
        <f t="shared" si="1504"/>
        <v>0</v>
      </c>
      <c r="CW359" s="526">
        <f>SUM(AR359:AS359)</f>
        <v>0</v>
      </c>
      <c r="CX359" s="526">
        <f>SUM(AT359:AU359)</f>
        <v>0</v>
      </c>
      <c r="CY359" s="526">
        <f>SUM(AV359:AW359)</f>
        <v>0</v>
      </c>
      <c r="CZ359" s="524">
        <f>SUM(AX359:AY359)</f>
        <v>0</v>
      </c>
      <c r="DA359" s="526">
        <f t="shared" si="1505"/>
        <v>0</v>
      </c>
      <c r="DB359" s="526">
        <f>SUM(BB359:BC359)</f>
        <v>0</v>
      </c>
      <c r="DC359" s="526">
        <f>SUM(BD359:BE359)</f>
        <v>0</v>
      </c>
      <c r="DD359" s="526">
        <f>SUM(BF359:BG359)</f>
        <v>0</v>
      </c>
      <c r="DE359" s="526">
        <f>SUM(BH359:BI359)</f>
        <v>0</v>
      </c>
      <c r="DF359" s="526">
        <f>SUM(BJ359:BK359)</f>
        <v>0</v>
      </c>
      <c r="DG359" s="526">
        <f>SUM(BL359:BM359)</f>
        <v>0</v>
      </c>
      <c r="DH359" s="526">
        <f>SUM(BN359:BO359)</f>
        <v>0</v>
      </c>
      <c r="DI359" s="526">
        <f>SUM(BP359:BQ359)</f>
        <v>0</v>
      </c>
    </row>
    <row r="360" spans="1:113" ht="12" hidden="1" outlineLevel="2"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4"/>
      <c r="AQ360" s="44"/>
      <c r="AR360" s="44"/>
      <c r="AS360" s="44"/>
      <c r="AT360" s="44"/>
      <c r="AU360" s="44"/>
      <c r="AV360" s="44"/>
      <c r="AW360" s="44"/>
      <c r="AX360" s="44"/>
      <c r="AY360" s="44"/>
      <c r="AZ360" s="45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  <c r="BL360" s="44"/>
      <c r="BM360" s="44"/>
      <c r="BN360" s="44"/>
      <c r="BO360" s="44"/>
      <c r="BP360" s="44"/>
      <c r="BQ360" s="44"/>
      <c r="BR360" s="44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4"/>
      <c r="CU360" s="44"/>
      <c r="CV360" s="44"/>
      <c r="CW360" s="44"/>
      <c r="CX360" s="44"/>
      <c r="CY360" s="44"/>
      <c r="CZ360" s="45"/>
      <c r="DA360" s="44"/>
      <c r="DB360" s="44"/>
      <c r="DC360" s="44"/>
      <c r="DD360" s="44"/>
      <c r="DE360" s="44"/>
      <c r="DF360" s="44"/>
      <c r="DG360" s="44"/>
      <c r="DH360" s="44"/>
      <c r="DI360" s="44"/>
    </row>
    <row r="361" spans="1:113" s="24" customFormat="1" ht="12" hidden="1" outlineLevel="2">
      <c r="A361" s="19"/>
      <c r="B361" s="24" t="s">
        <v>591</v>
      </c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  <c r="AJ361" s="55"/>
      <c r="AK361" s="55"/>
      <c r="AL361" s="55"/>
      <c r="AM361" s="55"/>
      <c r="AN361" s="55"/>
      <c r="AO361" s="55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4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5"/>
      <c r="BT361" s="55"/>
      <c r="BU361" s="55"/>
      <c r="BV361" s="55"/>
      <c r="BW361" s="55"/>
      <c r="BX361" s="55"/>
      <c r="BY361" s="55"/>
      <c r="BZ361" s="55"/>
      <c r="CA361" s="55"/>
      <c r="CB361" s="55"/>
      <c r="CC361" s="55"/>
      <c r="CD361" s="55"/>
      <c r="CE361" s="55"/>
      <c r="CF361" s="55"/>
      <c r="CG361" s="55"/>
      <c r="CH361" s="55"/>
      <c r="CI361" s="55"/>
      <c r="CJ361" s="55"/>
      <c r="CK361" s="55"/>
      <c r="CL361" s="55"/>
      <c r="CM361" s="55"/>
      <c r="CN361" s="55"/>
      <c r="CO361" s="55"/>
      <c r="CP361" s="55"/>
      <c r="CQ361" s="55"/>
      <c r="CR361" s="55"/>
      <c r="CS361" s="55"/>
      <c r="CT361" s="526"/>
      <c r="CU361" s="526"/>
      <c r="CV361" s="526"/>
      <c r="CW361" s="526"/>
      <c r="CX361" s="526"/>
      <c r="CY361" s="526"/>
      <c r="CZ361" s="524"/>
      <c r="DA361" s="526"/>
      <c r="DB361" s="526"/>
      <c r="DC361" s="526"/>
      <c r="DD361" s="526"/>
      <c r="DE361" s="526"/>
      <c r="DF361" s="526"/>
      <c r="DG361" s="526"/>
      <c r="DH361" s="526"/>
      <c r="DI361" s="526"/>
    </row>
    <row r="362" spans="1:113" ht="12" hidden="1" outlineLevel="2">
      <c r="A362" s="1" t="s">
        <v>136</v>
      </c>
      <c r="B362" s="19" t="s">
        <v>589</v>
      </c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4"/>
      <c r="AQ362" s="44"/>
      <c r="AR362" s="44"/>
      <c r="AS362" s="44"/>
      <c r="AT362" s="44"/>
      <c r="AU362" s="44"/>
      <c r="AV362" s="44"/>
      <c r="AW362" s="44"/>
      <c r="AX362" s="44"/>
      <c r="AY362" s="44"/>
      <c r="AZ362" s="45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  <c r="BL362" s="44"/>
      <c r="BM362" s="44"/>
      <c r="BN362" s="44"/>
      <c r="BO362" s="44"/>
      <c r="BP362" s="44"/>
      <c r="BQ362" s="44"/>
      <c r="BR362" s="44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4">
        <f t="shared" ref="CT362:CU363" si="1507">CT247*CT304/CT$5</f>
        <v>0</v>
      </c>
      <c r="CU362" s="44">
        <f t="shared" si="1507"/>
        <v>0</v>
      </c>
      <c r="CV362" s="44">
        <f t="shared" ref="CV362:CV364" si="1508">SUM(AP362:AQ362)</f>
        <v>0</v>
      </c>
      <c r="CW362" s="44">
        <f>SUM(AR362:AS362)</f>
        <v>0</v>
      </c>
      <c r="CX362" s="44">
        <f>SUM(AT362:AU362)</f>
        <v>0</v>
      </c>
      <c r="CY362" s="44">
        <f>SUM(AV362:AW362)</f>
        <v>0</v>
      </c>
      <c r="CZ362" s="45">
        <f>SUM(AX362:AY362)</f>
        <v>0</v>
      </c>
      <c r="DA362" s="44">
        <f t="shared" ref="DA362:DA364" si="1509">SUM(AZ362:BA362)</f>
        <v>0</v>
      </c>
      <c r="DB362" s="44">
        <f>SUM(BB362:BC362)</f>
        <v>0</v>
      </c>
      <c r="DC362" s="44">
        <f>SUM(BD362:BE362)</f>
        <v>0</v>
      </c>
      <c r="DD362" s="44">
        <f>SUM(BF362:BG362)</f>
        <v>0</v>
      </c>
      <c r="DE362" s="44">
        <f>SUM(BH362:BI362)</f>
        <v>0</v>
      </c>
      <c r="DF362" s="44">
        <f>SUM(BJ362:BK362)</f>
        <v>0</v>
      </c>
      <c r="DG362" s="44">
        <f>SUM(BL362:BM362)</f>
        <v>0</v>
      </c>
      <c r="DH362" s="44">
        <f>SUM(BN362:BO362)</f>
        <v>0</v>
      </c>
      <c r="DI362" s="44">
        <f>SUM(BP362:BQ362)</f>
        <v>0</v>
      </c>
    </row>
    <row r="363" spans="1:113" ht="12" hidden="1" outlineLevel="2">
      <c r="A363" s="1" t="s">
        <v>137</v>
      </c>
      <c r="B363" s="19" t="s">
        <v>470</v>
      </c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4"/>
      <c r="AQ363" s="44"/>
      <c r="AR363" s="44"/>
      <c r="AS363" s="44"/>
      <c r="AT363" s="44"/>
      <c r="AU363" s="44"/>
      <c r="AV363" s="44"/>
      <c r="AW363" s="44"/>
      <c r="AX363" s="44"/>
      <c r="AY363" s="44"/>
      <c r="AZ363" s="45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  <c r="BL363" s="44"/>
      <c r="BM363" s="44"/>
      <c r="BN363" s="44"/>
      <c r="BO363" s="44"/>
      <c r="BP363" s="44"/>
      <c r="BQ363" s="44"/>
      <c r="BR363" s="44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4">
        <f t="shared" si="1507"/>
        <v>0</v>
      </c>
      <c r="CU363" s="44">
        <f t="shared" si="1507"/>
        <v>0</v>
      </c>
      <c r="CV363" s="44">
        <f t="shared" si="1508"/>
        <v>0</v>
      </c>
      <c r="CW363" s="44">
        <f>SUM(AR363:AS363)</f>
        <v>0</v>
      </c>
      <c r="CX363" s="44">
        <f>SUM(AT363:AU363)</f>
        <v>0</v>
      </c>
      <c r="CY363" s="44">
        <f>SUM(AV363:AW363)</f>
        <v>0</v>
      </c>
      <c r="CZ363" s="45">
        <f>SUM(AX363:AY363)</f>
        <v>0</v>
      </c>
      <c r="DA363" s="44">
        <f t="shared" si="1509"/>
        <v>0</v>
      </c>
      <c r="DB363" s="44">
        <f>SUM(BB363:BC363)</f>
        <v>0</v>
      </c>
      <c r="DC363" s="44">
        <f>SUM(BD363:BE363)</f>
        <v>0</v>
      </c>
      <c r="DD363" s="44">
        <f>SUM(BF363:BG363)</f>
        <v>0</v>
      </c>
      <c r="DE363" s="44">
        <f>SUM(BH363:BI363)</f>
        <v>0</v>
      </c>
      <c r="DF363" s="44">
        <f>SUM(BJ363:BK363)</f>
        <v>0</v>
      </c>
      <c r="DG363" s="44">
        <f>SUM(BL363:BM363)</f>
        <v>0</v>
      </c>
      <c r="DH363" s="44">
        <f>SUM(BN363:BO363)</f>
        <v>0</v>
      </c>
      <c r="DI363" s="44">
        <f>SUM(BP363:BQ363)</f>
        <v>0</v>
      </c>
    </row>
    <row r="364" spans="1:113" s="24" customFormat="1" ht="12" hidden="1" outlineLevel="2">
      <c r="A364" s="1" t="s">
        <v>138</v>
      </c>
      <c r="B364" s="24" t="s">
        <v>166</v>
      </c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  <c r="AJ364" s="55"/>
      <c r="AK364" s="55"/>
      <c r="AL364" s="55"/>
      <c r="AM364" s="55"/>
      <c r="AN364" s="55"/>
      <c r="AO364" s="55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4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117"/>
      <c r="BT364" s="117"/>
      <c r="BU364" s="117"/>
      <c r="BV364" s="117"/>
      <c r="BW364" s="117"/>
      <c r="BX364" s="117"/>
      <c r="BY364" s="117"/>
      <c r="BZ364" s="117"/>
      <c r="CA364" s="117"/>
      <c r="CB364" s="117"/>
      <c r="CC364" s="55"/>
      <c r="CD364" s="55"/>
      <c r="CE364" s="55"/>
      <c r="CF364" s="55"/>
      <c r="CG364" s="55"/>
      <c r="CH364" s="55"/>
      <c r="CI364" s="55"/>
      <c r="CJ364" s="55"/>
      <c r="CK364" s="55"/>
      <c r="CL364" s="55"/>
      <c r="CM364" s="55"/>
      <c r="CN364" s="55"/>
      <c r="CO364" s="55"/>
      <c r="CP364" s="55"/>
      <c r="CQ364" s="55"/>
      <c r="CR364" s="55"/>
      <c r="CS364" s="55"/>
      <c r="CT364" s="526">
        <f t="shared" ref="CT364:CU364" si="1510">IF(ABS(CT249*CT306/CT$5-(CT362+CT363))&lt;0.1,CT249*CT306/CT$5,"Error")</f>
        <v>0</v>
      </c>
      <c r="CU364" s="526">
        <f t="shared" si="1510"/>
        <v>0</v>
      </c>
      <c r="CV364" s="526">
        <f t="shared" si="1508"/>
        <v>0</v>
      </c>
      <c r="CW364" s="526">
        <f>SUM(AR364:AS364)</f>
        <v>0</v>
      </c>
      <c r="CX364" s="526">
        <f>SUM(AT364:AU364)</f>
        <v>0</v>
      </c>
      <c r="CY364" s="526">
        <f>SUM(AV364:AW364)</f>
        <v>0</v>
      </c>
      <c r="CZ364" s="524">
        <f>SUM(AX364:AY364)</f>
        <v>0</v>
      </c>
      <c r="DA364" s="526">
        <f t="shared" si="1509"/>
        <v>0</v>
      </c>
      <c r="DB364" s="526">
        <f>SUM(BB364:BC364)</f>
        <v>0</v>
      </c>
      <c r="DC364" s="526">
        <f>SUM(BD364:BE364)</f>
        <v>0</v>
      </c>
      <c r="DD364" s="526">
        <f>SUM(BF364:BG364)</f>
        <v>0</v>
      </c>
      <c r="DE364" s="526">
        <f>SUM(BH364:BI364)</f>
        <v>0</v>
      </c>
      <c r="DF364" s="526">
        <f>SUM(BJ364:BK364)</f>
        <v>0</v>
      </c>
      <c r="DG364" s="526">
        <f>SUM(BL364:BM364)</f>
        <v>0</v>
      </c>
      <c r="DH364" s="526">
        <f>SUM(BN364:BO364)</f>
        <v>0</v>
      </c>
      <c r="DI364" s="526">
        <f>SUM(BP364:BQ364)</f>
        <v>0</v>
      </c>
    </row>
    <row r="365" spans="1:113" ht="12" hidden="1" outlineLevel="2"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4"/>
      <c r="AQ365" s="44"/>
      <c r="AR365" s="44"/>
      <c r="AS365" s="44"/>
      <c r="AT365" s="44"/>
      <c r="AU365" s="44"/>
      <c r="AV365" s="44"/>
      <c r="AW365" s="44"/>
      <c r="AX365" s="44"/>
      <c r="AY365" s="44"/>
      <c r="AZ365" s="45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  <c r="BL365" s="44"/>
      <c r="BM365" s="44"/>
      <c r="BN365" s="44"/>
      <c r="BO365" s="44"/>
      <c r="BP365" s="44"/>
      <c r="BQ365" s="44"/>
      <c r="BR365" s="44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4"/>
      <c r="CU365" s="44"/>
      <c r="CV365" s="44"/>
      <c r="CW365" s="44"/>
      <c r="CX365" s="44"/>
      <c r="CY365" s="44"/>
      <c r="CZ365" s="45"/>
      <c r="DA365" s="44"/>
      <c r="DB365" s="44"/>
      <c r="DC365" s="44"/>
      <c r="DD365" s="44"/>
      <c r="DE365" s="44"/>
      <c r="DF365" s="44"/>
      <c r="DG365" s="44"/>
      <c r="DH365" s="44"/>
      <c r="DI365" s="44"/>
    </row>
    <row r="366" spans="1:113" s="24" customFormat="1" ht="12" hidden="1" outlineLevel="2">
      <c r="A366" s="1"/>
      <c r="B366" s="24" t="s">
        <v>491</v>
      </c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  <c r="AJ366" s="55"/>
      <c r="AK366" s="55"/>
      <c r="AL366" s="55"/>
      <c r="AM366" s="55"/>
      <c r="AN366" s="55"/>
      <c r="AO366" s="55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4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5"/>
      <c r="BT366" s="55"/>
      <c r="BU366" s="55"/>
      <c r="BV366" s="55"/>
      <c r="BW366" s="55"/>
      <c r="BX366" s="55"/>
      <c r="BY366" s="55"/>
      <c r="BZ366" s="55"/>
      <c r="CA366" s="55"/>
      <c r="CB366" s="55"/>
      <c r="CC366" s="55"/>
      <c r="CD366" s="55"/>
      <c r="CE366" s="55"/>
      <c r="CF366" s="55"/>
      <c r="CG366" s="55"/>
      <c r="CH366" s="55"/>
      <c r="CI366" s="55"/>
      <c r="CJ366" s="55"/>
      <c r="CK366" s="55"/>
      <c r="CL366" s="55"/>
      <c r="CM366" s="55"/>
      <c r="CN366" s="55"/>
      <c r="CO366" s="55"/>
      <c r="CP366" s="55"/>
      <c r="CQ366" s="55"/>
      <c r="CR366" s="55"/>
      <c r="CS366" s="55"/>
      <c r="CT366" s="526"/>
      <c r="CU366" s="526"/>
      <c r="CV366" s="526"/>
      <c r="CW366" s="526"/>
      <c r="CX366" s="526"/>
      <c r="CY366" s="526"/>
      <c r="CZ366" s="524"/>
      <c r="DA366" s="526"/>
      <c r="DB366" s="526"/>
      <c r="DC366" s="526"/>
      <c r="DD366" s="526"/>
      <c r="DE366" s="526"/>
      <c r="DF366" s="526"/>
      <c r="DG366" s="526"/>
      <c r="DH366" s="526"/>
      <c r="DI366" s="526"/>
    </row>
    <row r="367" spans="1:113" ht="12" hidden="1" outlineLevel="2">
      <c r="A367" s="1" t="s">
        <v>220</v>
      </c>
      <c r="B367" s="19" t="s">
        <v>589</v>
      </c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4"/>
      <c r="AQ367" s="44"/>
      <c r="AR367" s="44"/>
      <c r="AS367" s="44"/>
      <c r="AT367" s="44"/>
      <c r="AU367" s="44"/>
      <c r="AV367" s="44"/>
      <c r="AW367" s="44"/>
      <c r="AX367" s="44"/>
      <c r="AY367" s="44"/>
      <c r="AZ367" s="45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  <c r="BL367" s="44"/>
      <c r="BM367" s="44"/>
      <c r="BN367" s="44"/>
      <c r="BO367" s="44"/>
      <c r="BP367" s="44"/>
      <c r="BQ367" s="44"/>
      <c r="BR367" s="44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4">
        <f t="shared" ref="CT367:CU368" si="1511">CT252*CT309/CT$5</f>
        <v>0</v>
      </c>
      <c r="CU367" s="44">
        <f t="shared" si="1511"/>
        <v>0</v>
      </c>
      <c r="CV367" s="44">
        <f t="shared" ref="CV367:CV369" si="1512">SUM(AP367:AQ367)</f>
        <v>0</v>
      </c>
      <c r="CW367" s="44">
        <f>SUM(AR367:AS367)</f>
        <v>0</v>
      </c>
      <c r="CX367" s="44">
        <f>SUM(AT367:AU367)</f>
        <v>0</v>
      </c>
      <c r="CY367" s="44">
        <f>SUM(AV367:AW367)</f>
        <v>0</v>
      </c>
      <c r="CZ367" s="45">
        <f>SUM(AX367:AY367)</f>
        <v>0</v>
      </c>
      <c r="DA367" s="44">
        <f t="shared" ref="DA367:DA369" si="1513">SUM(AZ367:BA367)</f>
        <v>0</v>
      </c>
      <c r="DB367" s="44">
        <f>SUM(BB367:BC367)</f>
        <v>0</v>
      </c>
      <c r="DC367" s="44">
        <f>SUM(BD367:BE367)</f>
        <v>0</v>
      </c>
      <c r="DD367" s="44">
        <f>SUM(BF367:BG367)</f>
        <v>0</v>
      </c>
      <c r="DE367" s="44">
        <f>SUM(BH367:BI367)</f>
        <v>0</v>
      </c>
      <c r="DF367" s="44">
        <f>SUM(BJ367:BK367)</f>
        <v>0</v>
      </c>
      <c r="DG367" s="44">
        <f>SUM(BL367:BM367)</f>
        <v>0</v>
      </c>
      <c r="DH367" s="44">
        <f>SUM(BN367:BO367)</f>
        <v>0</v>
      </c>
      <c r="DI367" s="44">
        <f>SUM(BP367:BQ367)</f>
        <v>0</v>
      </c>
    </row>
    <row r="368" spans="1:113" ht="12" hidden="1" outlineLevel="2">
      <c r="A368" s="1" t="s">
        <v>221</v>
      </c>
      <c r="B368" s="19" t="s">
        <v>470</v>
      </c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4"/>
      <c r="AQ368" s="44"/>
      <c r="AR368" s="44"/>
      <c r="AS368" s="44"/>
      <c r="AT368" s="44"/>
      <c r="AU368" s="44"/>
      <c r="AV368" s="44"/>
      <c r="AW368" s="44"/>
      <c r="AX368" s="44"/>
      <c r="AY368" s="44"/>
      <c r="AZ368" s="45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  <c r="BL368" s="44"/>
      <c r="BM368" s="44"/>
      <c r="BN368" s="44"/>
      <c r="BO368" s="44"/>
      <c r="BP368" s="44"/>
      <c r="BQ368" s="44"/>
      <c r="BR368" s="44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4">
        <f t="shared" si="1511"/>
        <v>0</v>
      </c>
      <c r="CU368" s="44">
        <f t="shared" si="1511"/>
        <v>0</v>
      </c>
      <c r="CV368" s="44">
        <f t="shared" si="1512"/>
        <v>0</v>
      </c>
      <c r="CW368" s="44">
        <f>SUM(AR368:AS368)</f>
        <v>0</v>
      </c>
      <c r="CX368" s="44">
        <f>SUM(AT368:AU368)</f>
        <v>0</v>
      </c>
      <c r="CY368" s="44">
        <f>SUM(AV368:AW368)</f>
        <v>0</v>
      </c>
      <c r="CZ368" s="45">
        <f>SUM(AX368:AY368)</f>
        <v>0</v>
      </c>
      <c r="DA368" s="44">
        <f t="shared" si="1513"/>
        <v>0</v>
      </c>
      <c r="DB368" s="44">
        <f>SUM(BB368:BC368)</f>
        <v>0</v>
      </c>
      <c r="DC368" s="44">
        <f>SUM(BD368:BE368)</f>
        <v>0</v>
      </c>
      <c r="DD368" s="44">
        <f>SUM(BF368:BG368)</f>
        <v>0</v>
      </c>
      <c r="DE368" s="44">
        <f>SUM(BH368:BI368)</f>
        <v>0</v>
      </c>
      <c r="DF368" s="44">
        <f>SUM(BJ368:BK368)</f>
        <v>0</v>
      </c>
      <c r="DG368" s="44">
        <f>SUM(BL368:BM368)</f>
        <v>0</v>
      </c>
      <c r="DH368" s="44">
        <f>SUM(BN368:BO368)</f>
        <v>0</v>
      </c>
      <c r="DI368" s="44">
        <f>SUM(BP368:BQ368)</f>
        <v>0</v>
      </c>
    </row>
    <row r="369" spans="1:113" s="24" customFormat="1" ht="12" hidden="1" outlineLevel="2">
      <c r="A369" s="1" t="s">
        <v>222</v>
      </c>
      <c r="B369" s="24" t="s">
        <v>166</v>
      </c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  <c r="AJ369" s="55"/>
      <c r="AK369" s="55"/>
      <c r="AL369" s="55"/>
      <c r="AM369" s="55"/>
      <c r="AN369" s="55"/>
      <c r="AO369" s="55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4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117"/>
      <c r="BT369" s="117"/>
      <c r="BU369" s="117"/>
      <c r="BV369" s="117"/>
      <c r="BW369" s="117"/>
      <c r="BX369" s="117"/>
      <c r="BY369" s="117"/>
      <c r="BZ369" s="117"/>
      <c r="CA369" s="117"/>
      <c r="CB369" s="117"/>
      <c r="CC369" s="55"/>
      <c r="CD369" s="55"/>
      <c r="CE369" s="55"/>
      <c r="CF369" s="55"/>
      <c r="CG369" s="55"/>
      <c r="CH369" s="55"/>
      <c r="CI369" s="55"/>
      <c r="CJ369" s="55"/>
      <c r="CK369" s="55"/>
      <c r="CL369" s="55"/>
      <c r="CM369" s="55"/>
      <c r="CN369" s="55"/>
      <c r="CO369" s="55"/>
      <c r="CP369" s="55"/>
      <c r="CQ369" s="55"/>
      <c r="CR369" s="55"/>
      <c r="CS369" s="55"/>
      <c r="CT369" s="526">
        <f t="shared" ref="CT369:CU369" si="1514">IF(ABS(CT254*CT311/CT$5-(CT367+CT368))&lt;0.1,CT254*CT311/CT$5,"Error")</f>
        <v>0</v>
      </c>
      <c r="CU369" s="526">
        <f t="shared" si="1514"/>
        <v>0</v>
      </c>
      <c r="CV369" s="526">
        <f t="shared" si="1512"/>
        <v>0</v>
      </c>
      <c r="CW369" s="526">
        <f>SUM(AR369:AS369)</f>
        <v>0</v>
      </c>
      <c r="CX369" s="526">
        <f>SUM(AT369:AU369)</f>
        <v>0</v>
      </c>
      <c r="CY369" s="526">
        <f>SUM(AV369:AW369)</f>
        <v>0</v>
      </c>
      <c r="CZ369" s="524">
        <f>SUM(AX369:AY369)</f>
        <v>0</v>
      </c>
      <c r="DA369" s="526">
        <f t="shared" si="1513"/>
        <v>0</v>
      </c>
      <c r="DB369" s="526">
        <f>SUM(BB369:BC369)</f>
        <v>0</v>
      </c>
      <c r="DC369" s="526">
        <f>SUM(BD369:BE369)</f>
        <v>0</v>
      </c>
      <c r="DD369" s="526">
        <f>SUM(BF369:BG369)</f>
        <v>0</v>
      </c>
      <c r="DE369" s="526">
        <f>SUM(BH369:BI369)</f>
        <v>0</v>
      </c>
      <c r="DF369" s="526">
        <f>SUM(BJ369:BK369)</f>
        <v>0</v>
      </c>
      <c r="DG369" s="526">
        <f>SUM(BL369:BM369)</f>
        <v>0</v>
      </c>
      <c r="DH369" s="526">
        <f>SUM(BN369:BO369)</f>
        <v>0</v>
      </c>
      <c r="DI369" s="526">
        <f>SUM(BP369:BQ369)</f>
        <v>0</v>
      </c>
    </row>
    <row r="370" spans="1:113" ht="12" hidden="1" outlineLevel="2"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4"/>
      <c r="AQ370" s="44"/>
      <c r="AR370" s="44"/>
      <c r="AS370" s="44"/>
      <c r="AT370" s="44"/>
      <c r="AU370" s="44"/>
      <c r="AV370" s="44"/>
      <c r="AW370" s="44"/>
      <c r="AX370" s="44"/>
      <c r="AY370" s="44"/>
      <c r="AZ370" s="45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  <c r="BL370" s="44"/>
      <c r="BM370" s="44"/>
      <c r="BN370" s="44"/>
      <c r="BO370" s="44"/>
      <c r="BP370" s="44"/>
      <c r="BQ370" s="44"/>
      <c r="BR370" s="44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4"/>
      <c r="CU370" s="44"/>
      <c r="CV370" s="44"/>
      <c r="CW370" s="44"/>
      <c r="CX370" s="44"/>
      <c r="CY370" s="44"/>
      <c r="CZ370" s="45"/>
      <c r="DA370" s="44"/>
      <c r="DB370" s="44"/>
      <c r="DC370" s="529"/>
      <c r="DD370" s="529"/>
      <c r="DE370" s="529"/>
      <c r="DF370" s="529"/>
      <c r="DG370" s="529"/>
      <c r="DH370" s="529"/>
      <c r="DI370" s="529"/>
    </row>
    <row r="371" spans="1:113" s="24" customFormat="1" ht="12" hidden="1" outlineLevel="2">
      <c r="A371" s="19"/>
      <c r="B371" s="24" t="s">
        <v>496</v>
      </c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  <c r="AJ371" s="55"/>
      <c r="AK371" s="55"/>
      <c r="AL371" s="55"/>
      <c r="AM371" s="55"/>
      <c r="AN371" s="55"/>
      <c r="AO371" s="55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4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5"/>
      <c r="BT371" s="55"/>
      <c r="BU371" s="55"/>
      <c r="BV371" s="55"/>
      <c r="BW371" s="55"/>
      <c r="BX371" s="55"/>
      <c r="BY371" s="55"/>
      <c r="BZ371" s="55"/>
      <c r="CA371" s="55"/>
      <c r="CB371" s="55"/>
      <c r="CC371" s="55"/>
      <c r="CD371" s="55"/>
      <c r="CE371" s="55"/>
      <c r="CF371" s="55"/>
      <c r="CG371" s="55"/>
      <c r="CH371" s="55"/>
      <c r="CI371" s="55"/>
      <c r="CJ371" s="55"/>
      <c r="CK371" s="55"/>
      <c r="CL371" s="55"/>
      <c r="CM371" s="55"/>
      <c r="CN371" s="55"/>
      <c r="CO371" s="55"/>
      <c r="CP371" s="55"/>
      <c r="CQ371" s="55"/>
      <c r="CR371" s="55"/>
      <c r="CS371" s="55"/>
      <c r="CT371" s="526"/>
      <c r="CU371" s="526"/>
      <c r="CV371" s="526"/>
      <c r="CW371" s="526"/>
      <c r="CX371" s="526"/>
      <c r="CY371" s="526"/>
      <c r="CZ371" s="524"/>
      <c r="DA371" s="526"/>
      <c r="DB371" s="526"/>
      <c r="DC371" s="541"/>
      <c r="DD371" s="541"/>
      <c r="DE371" s="541"/>
      <c r="DF371" s="541"/>
      <c r="DG371" s="541"/>
      <c r="DH371" s="541"/>
      <c r="DI371" s="541"/>
    </row>
    <row r="372" spans="1:113" ht="12" hidden="1" outlineLevel="2">
      <c r="A372" s="1" t="s">
        <v>311</v>
      </c>
      <c r="B372" s="19" t="str">
        <f>B$184</f>
        <v>Core deposits</v>
      </c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4"/>
      <c r="AQ372" s="44"/>
      <c r="AR372" s="44"/>
      <c r="AS372" s="44"/>
      <c r="AT372" s="44"/>
      <c r="AU372" s="44"/>
      <c r="AV372" s="44"/>
      <c r="AW372" s="44"/>
      <c r="AX372" s="44"/>
      <c r="AY372" s="44"/>
      <c r="AZ372" s="45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4">
        <f t="shared" ref="CT372:CU374" si="1515">IF(ROUND(CT257*CT314/CT$5,5)=ROUND(CT357+CT362+CT367,5),CT257*CT314/CT$5,"Error")</f>
        <v>0</v>
      </c>
      <c r="CU372" s="44">
        <f t="shared" si="1515"/>
        <v>0</v>
      </c>
      <c r="CV372" s="44">
        <f t="shared" ref="CV372:CV377" si="1516">SUM(AP372:AQ372)</f>
        <v>0</v>
      </c>
      <c r="CW372" s="44">
        <f t="shared" ref="CW372:CW377" si="1517">SUM(AR372:AS372)</f>
        <v>0</v>
      </c>
      <c r="CX372" s="44">
        <f t="shared" ref="CX372:CX377" si="1518">SUM(AT372:AU372)</f>
        <v>0</v>
      </c>
      <c r="CY372" s="44">
        <f t="shared" ref="CY372:CY377" si="1519">SUM(AV372:AW372)</f>
        <v>0</v>
      </c>
      <c r="CZ372" s="45">
        <f t="shared" ref="CZ372:CZ377" si="1520">SUM(AX372:AY372)</f>
        <v>0</v>
      </c>
      <c r="DA372" s="44">
        <f t="shared" ref="DA372:DA377" si="1521">SUM(AZ372:BA372)</f>
        <v>0</v>
      </c>
      <c r="DB372" s="44">
        <f t="shared" ref="DB372:DB377" si="1522">SUM(BB372:BC372)</f>
        <v>0</v>
      </c>
      <c r="DC372" s="44">
        <f t="shared" ref="DC372:DC377" si="1523">SUM(BD372:BE372)</f>
        <v>0</v>
      </c>
      <c r="DD372" s="44">
        <f t="shared" ref="DD372:DD377" si="1524">SUM(BF372:BG372)</f>
        <v>0</v>
      </c>
      <c r="DE372" s="44">
        <f t="shared" ref="DE372:DE377" si="1525">SUM(BH372:BI372)</f>
        <v>0</v>
      </c>
      <c r="DF372" s="44">
        <f t="shared" ref="DF372:DF377" si="1526">SUM(BJ372:BK372)</f>
        <v>0</v>
      </c>
      <c r="DG372" s="44">
        <f t="shared" ref="DG372:DG377" si="1527">SUM(BL372:BM372)</f>
        <v>0</v>
      </c>
      <c r="DH372" s="44">
        <f t="shared" ref="DH372:DH377" si="1528">SUM(BN372:BO372)</f>
        <v>0</v>
      </c>
      <c r="DI372" s="44">
        <f t="shared" ref="DI372:DI377" si="1529">SUM(BP372:BQ372)</f>
        <v>0</v>
      </c>
    </row>
    <row r="373" spans="1:113" ht="12" hidden="1" outlineLevel="2">
      <c r="A373" s="1" t="s">
        <v>312</v>
      </c>
      <c r="B373" s="19" t="str">
        <f>B$185</f>
        <v>Time deposits (includes CDs)</v>
      </c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4"/>
      <c r="AQ373" s="44"/>
      <c r="AR373" s="44"/>
      <c r="AS373" s="44"/>
      <c r="AT373" s="44"/>
      <c r="AU373" s="44"/>
      <c r="AV373" s="44"/>
      <c r="AW373" s="44"/>
      <c r="AX373" s="44"/>
      <c r="AY373" s="44"/>
      <c r="AZ373" s="45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  <c r="BL373" s="44"/>
      <c r="BM373" s="44"/>
      <c r="BN373" s="44"/>
      <c r="BO373" s="44"/>
      <c r="BP373" s="44"/>
      <c r="BQ373" s="44"/>
      <c r="BR373" s="44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4">
        <f t="shared" si="1515"/>
        <v>0</v>
      </c>
      <c r="CU373" s="44">
        <f t="shared" si="1515"/>
        <v>0</v>
      </c>
      <c r="CV373" s="44">
        <f t="shared" si="1516"/>
        <v>0</v>
      </c>
      <c r="CW373" s="44">
        <f t="shared" si="1517"/>
        <v>0</v>
      </c>
      <c r="CX373" s="44">
        <f t="shared" si="1518"/>
        <v>0</v>
      </c>
      <c r="CY373" s="44">
        <f t="shared" si="1519"/>
        <v>0</v>
      </c>
      <c r="CZ373" s="45">
        <f t="shared" si="1520"/>
        <v>0</v>
      </c>
      <c r="DA373" s="44">
        <f t="shared" si="1521"/>
        <v>0</v>
      </c>
      <c r="DB373" s="44">
        <f t="shared" si="1522"/>
        <v>0</v>
      </c>
      <c r="DC373" s="44">
        <f t="shared" si="1523"/>
        <v>0</v>
      </c>
      <c r="DD373" s="44">
        <f t="shared" si="1524"/>
        <v>0</v>
      </c>
      <c r="DE373" s="44">
        <f t="shared" si="1525"/>
        <v>0</v>
      </c>
      <c r="DF373" s="44">
        <f t="shared" si="1526"/>
        <v>0</v>
      </c>
      <c r="DG373" s="44">
        <f t="shared" si="1527"/>
        <v>0</v>
      </c>
      <c r="DH373" s="44">
        <f t="shared" si="1528"/>
        <v>0</v>
      </c>
      <c r="DI373" s="44">
        <f t="shared" si="1529"/>
        <v>0</v>
      </c>
    </row>
    <row r="374" spans="1:113" s="24" customFormat="1" ht="12" hidden="1" outlineLevel="2">
      <c r="A374" s="1" t="s">
        <v>313</v>
      </c>
      <c r="B374" s="24" t="s">
        <v>166</v>
      </c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  <c r="AJ374" s="55"/>
      <c r="AK374" s="55"/>
      <c r="AL374" s="55"/>
      <c r="AM374" s="55"/>
      <c r="AN374" s="55"/>
      <c r="AO374" s="55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4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5"/>
      <c r="BT374" s="55"/>
      <c r="BU374" s="55"/>
      <c r="BV374" s="55"/>
      <c r="BW374" s="55"/>
      <c r="BX374" s="55"/>
      <c r="BY374" s="55"/>
      <c r="BZ374" s="55"/>
      <c r="CA374" s="55"/>
      <c r="CB374" s="55"/>
      <c r="CC374" s="55"/>
      <c r="CD374" s="55"/>
      <c r="CE374" s="55"/>
      <c r="CF374" s="55"/>
      <c r="CG374" s="55"/>
      <c r="CH374" s="55"/>
      <c r="CI374" s="55"/>
      <c r="CJ374" s="55"/>
      <c r="CK374" s="55"/>
      <c r="CL374" s="55"/>
      <c r="CM374" s="55"/>
      <c r="CN374" s="55"/>
      <c r="CO374" s="55"/>
      <c r="CP374" s="55"/>
      <c r="CQ374" s="55"/>
      <c r="CR374" s="55"/>
      <c r="CS374" s="55"/>
      <c r="CT374" s="526">
        <f t="shared" si="1515"/>
        <v>0</v>
      </c>
      <c r="CU374" s="526">
        <f t="shared" si="1515"/>
        <v>0</v>
      </c>
      <c r="CV374" s="526">
        <f t="shared" si="1516"/>
        <v>0</v>
      </c>
      <c r="CW374" s="526">
        <f t="shared" si="1517"/>
        <v>0</v>
      </c>
      <c r="CX374" s="526">
        <f t="shared" si="1518"/>
        <v>0</v>
      </c>
      <c r="CY374" s="526">
        <f t="shared" si="1519"/>
        <v>0</v>
      </c>
      <c r="CZ374" s="524">
        <f t="shared" si="1520"/>
        <v>0</v>
      </c>
      <c r="DA374" s="526">
        <f t="shared" si="1521"/>
        <v>0</v>
      </c>
      <c r="DB374" s="526">
        <f t="shared" si="1522"/>
        <v>0</v>
      </c>
      <c r="DC374" s="526">
        <f t="shared" si="1523"/>
        <v>0</v>
      </c>
      <c r="DD374" s="526">
        <f t="shared" si="1524"/>
        <v>0</v>
      </c>
      <c r="DE374" s="526">
        <f t="shared" si="1525"/>
        <v>0</v>
      </c>
      <c r="DF374" s="526">
        <f t="shared" si="1526"/>
        <v>0</v>
      </c>
      <c r="DG374" s="526">
        <f t="shared" si="1527"/>
        <v>0</v>
      </c>
      <c r="DH374" s="526">
        <f t="shared" si="1528"/>
        <v>0</v>
      </c>
      <c r="DI374" s="526">
        <f t="shared" si="1529"/>
        <v>0</v>
      </c>
    </row>
    <row r="375" spans="1:113" ht="12" hidden="1" outlineLevel="2">
      <c r="A375" s="1" t="s">
        <v>314</v>
      </c>
      <c r="B375" s="19" t="s">
        <v>275</v>
      </c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4"/>
      <c r="AQ375" s="44"/>
      <c r="AR375" s="44"/>
      <c r="AS375" s="44"/>
      <c r="AT375" s="44"/>
      <c r="AU375" s="44"/>
      <c r="AV375" s="44"/>
      <c r="AW375" s="44"/>
      <c r="AX375" s="44"/>
      <c r="AY375" s="44"/>
      <c r="AZ375" s="45"/>
      <c r="BA375" s="44"/>
      <c r="BB375" s="44"/>
      <c r="BC375" s="44"/>
      <c r="BD375" s="44"/>
      <c r="BE375" s="44"/>
      <c r="BF375" s="44"/>
      <c r="BG375" s="44"/>
      <c r="BH375" s="44"/>
      <c r="BI375" s="44"/>
      <c r="BJ375" s="44"/>
      <c r="BK375" s="44"/>
      <c r="BL375" s="44"/>
      <c r="BM375" s="44"/>
      <c r="BN375" s="44"/>
      <c r="BO375" s="44"/>
      <c r="BP375" s="44"/>
      <c r="BQ375" s="44"/>
      <c r="BR375" s="44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4">
        <f t="shared" ref="CT375:CU376" si="1530">CT260*CT317/CT$5</f>
        <v>0</v>
      </c>
      <c r="CU375" s="44">
        <f t="shared" si="1530"/>
        <v>0</v>
      </c>
      <c r="CV375" s="44">
        <f t="shared" si="1516"/>
        <v>0</v>
      </c>
      <c r="CW375" s="44">
        <f t="shared" si="1517"/>
        <v>0</v>
      </c>
      <c r="CX375" s="44">
        <f t="shared" si="1518"/>
        <v>0</v>
      </c>
      <c r="CY375" s="44">
        <f t="shared" si="1519"/>
        <v>0</v>
      </c>
      <c r="CZ375" s="45">
        <f t="shared" si="1520"/>
        <v>0</v>
      </c>
      <c r="DA375" s="44">
        <f t="shared" si="1521"/>
        <v>0</v>
      </c>
      <c r="DB375" s="44">
        <f t="shared" si="1522"/>
        <v>0</v>
      </c>
      <c r="DC375" s="44">
        <f t="shared" si="1523"/>
        <v>0</v>
      </c>
      <c r="DD375" s="44">
        <f t="shared" si="1524"/>
        <v>0</v>
      </c>
      <c r="DE375" s="44">
        <f t="shared" si="1525"/>
        <v>0</v>
      </c>
      <c r="DF375" s="44">
        <f t="shared" si="1526"/>
        <v>0</v>
      </c>
      <c r="DG375" s="44">
        <f t="shared" si="1527"/>
        <v>0</v>
      </c>
      <c r="DH375" s="44">
        <f t="shared" si="1528"/>
        <v>0</v>
      </c>
      <c r="DI375" s="44">
        <f t="shared" si="1529"/>
        <v>0</v>
      </c>
    </row>
    <row r="376" spans="1:113" ht="12" hidden="1" outlineLevel="2">
      <c r="A376" s="1" t="s">
        <v>223</v>
      </c>
      <c r="B376" s="19" t="s">
        <v>276</v>
      </c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4"/>
      <c r="AQ376" s="44"/>
      <c r="AR376" s="44"/>
      <c r="AS376" s="44"/>
      <c r="AT376" s="44"/>
      <c r="AU376" s="44"/>
      <c r="AV376" s="44"/>
      <c r="AW376" s="44"/>
      <c r="AX376" s="44"/>
      <c r="AY376" s="44"/>
      <c r="AZ376" s="45"/>
      <c r="BA376" s="44"/>
      <c r="BB376" s="44"/>
      <c r="BC376" s="44"/>
      <c r="BD376" s="44"/>
      <c r="BE376" s="44"/>
      <c r="BF376" s="44"/>
      <c r="BG376" s="44"/>
      <c r="BH376" s="44"/>
      <c r="BI376" s="44"/>
      <c r="BJ376" s="44"/>
      <c r="BK376" s="44"/>
      <c r="BL376" s="44"/>
      <c r="BM376" s="44"/>
      <c r="BN376" s="44"/>
      <c r="BO376" s="44"/>
      <c r="BP376" s="44"/>
      <c r="BQ376" s="44"/>
      <c r="BR376" s="44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4">
        <f t="shared" si="1530"/>
        <v>0</v>
      </c>
      <c r="CU376" s="44">
        <f t="shared" si="1530"/>
        <v>0</v>
      </c>
      <c r="CV376" s="44">
        <f t="shared" si="1516"/>
        <v>0</v>
      </c>
      <c r="CW376" s="44">
        <f t="shared" si="1517"/>
        <v>0</v>
      </c>
      <c r="CX376" s="44">
        <f t="shared" si="1518"/>
        <v>0</v>
      </c>
      <c r="CY376" s="44">
        <f t="shared" si="1519"/>
        <v>0</v>
      </c>
      <c r="CZ376" s="45">
        <f t="shared" si="1520"/>
        <v>0</v>
      </c>
      <c r="DA376" s="44">
        <f t="shared" si="1521"/>
        <v>0</v>
      </c>
      <c r="DB376" s="44">
        <f t="shared" si="1522"/>
        <v>0</v>
      </c>
      <c r="DC376" s="44">
        <f t="shared" si="1523"/>
        <v>0</v>
      </c>
      <c r="DD376" s="44">
        <f t="shared" si="1524"/>
        <v>0</v>
      </c>
      <c r="DE376" s="44">
        <f t="shared" si="1525"/>
        <v>0</v>
      </c>
      <c r="DF376" s="44">
        <f t="shared" si="1526"/>
        <v>0</v>
      </c>
      <c r="DG376" s="44">
        <f t="shared" si="1527"/>
        <v>0</v>
      </c>
      <c r="DH376" s="44">
        <f t="shared" si="1528"/>
        <v>0</v>
      </c>
      <c r="DI376" s="44">
        <f t="shared" si="1529"/>
        <v>0</v>
      </c>
    </row>
    <row r="377" spans="1:113" s="24" customFormat="1" ht="12" hidden="1" outlineLevel="1" collapsed="1">
      <c r="A377" s="1" t="s">
        <v>224</v>
      </c>
      <c r="B377" s="24" t="s">
        <v>579</v>
      </c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  <c r="AJ377" s="55"/>
      <c r="AK377" s="55"/>
      <c r="AL377" s="55"/>
      <c r="AM377" s="55"/>
      <c r="AN377" s="55"/>
      <c r="AO377" s="55"/>
      <c r="AP377" s="526">
        <f>AP319*AP239/AP5</f>
        <v>-19.460958530510585</v>
      </c>
      <c r="AQ377" s="526">
        <f t="shared" ref="AQ377:AY377" si="1531">AQ319*AQ239/AQ5</f>
        <v>-20.918984317808217</v>
      </c>
      <c r="AR377" s="526">
        <f t="shared" si="1531"/>
        <v>-24.67051489315072</v>
      </c>
      <c r="AS377" s="526">
        <f t="shared" si="1531"/>
        <v>-15.92158515068494</v>
      </c>
      <c r="AT377" s="526">
        <f t="shared" si="1531"/>
        <v>34.658684931506812</v>
      </c>
      <c r="AU377" s="526">
        <f t="shared" si="1531"/>
        <v>44.322028493150675</v>
      </c>
      <c r="AV377" s="526">
        <f t="shared" si="1531"/>
        <v>33.242710382513586</v>
      </c>
      <c r="AW377" s="526">
        <f t="shared" si="1531"/>
        <v>3.8336147540983365</v>
      </c>
      <c r="AX377" s="526">
        <f t="shared" si="1531"/>
        <v>-32.291927671232813</v>
      </c>
      <c r="AY377" s="526">
        <f t="shared" si="1531"/>
        <v>-28.973295890410945</v>
      </c>
      <c r="AZ377" s="524">
        <f t="shared" ref="AZ377:BQ377" si="1532">AZ319*AZ239/AZ5</f>
        <v>-39.730862392694043</v>
      </c>
      <c r="BA377" s="526">
        <f t="shared" si="1532"/>
        <v>-31.735958658780369</v>
      </c>
      <c r="BB377" s="526">
        <f t="shared" si="1532"/>
        <v>-33.732132246629874</v>
      </c>
      <c r="BC377" s="526">
        <f t="shared" si="1532"/>
        <v>-36.290943166150385</v>
      </c>
      <c r="BD377" s="526">
        <f t="shared" si="1532"/>
        <v>-37.032237355664982</v>
      </c>
      <c r="BE377" s="526">
        <f t="shared" si="1532"/>
        <v>-37.613078799633513</v>
      </c>
      <c r="BF377" s="526">
        <f t="shared" si="1532"/>
        <v>-39.081432361171323</v>
      </c>
      <c r="BG377" s="526">
        <f t="shared" si="1532"/>
        <v>-40.092343602576932</v>
      </c>
      <c r="BH377" s="526">
        <f t="shared" si="1532"/>
        <v>-41.779245118184114</v>
      </c>
      <c r="BI377" s="526">
        <f t="shared" si="1532"/>
        <v>-42.622543098682137</v>
      </c>
      <c r="BJ377" s="526">
        <f t="shared" si="1532"/>
        <v>-44.254955849339638</v>
      </c>
      <c r="BK377" s="526">
        <f t="shared" si="1532"/>
        <v>-44.865690474744667</v>
      </c>
      <c r="BL377" s="526">
        <f t="shared" si="1532"/>
        <v>-46.122655648087502</v>
      </c>
      <c r="BM377" s="526">
        <f t="shared" si="1532"/>
        <v>-46.775602789629701</v>
      </c>
      <c r="BN377" s="526">
        <f t="shared" si="1532"/>
        <v>-47.950450427334161</v>
      </c>
      <c r="BO377" s="526">
        <f t="shared" si="1532"/>
        <v>-48.259014456386623</v>
      </c>
      <c r="BP377" s="526">
        <f t="shared" si="1532"/>
        <v>-49.624116575521192</v>
      </c>
      <c r="BQ377" s="526">
        <f t="shared" si="1532"/>
        <v>-49.973511896035284</v>
      </c>
      <c r="BR377" s="526"/>
      <c r="BS377" s="55"/>
      <c r="BT377" s="55"/>
      <c r="BU377" s="55"/>
      <c r="BV377" s="55"/>
      <c r="BW377" s="55"/>
      <c r="BX377" s="55"/>
      <c r="BY377" s="55"/>
      <c r="BZ377" s="55"/>
      <c r="CA377" s="55"/>
      <c r="CB377" s="55"/>
      <c r="CC377" s="55"/>
      <c r="CD377" s="55"/>
      <c r="CE377" s="55"/>
      <c r="CF377" s="55"/>
      <c r="CG377" s="55"/>
      <c r="CH377" s="55"/>
      <c r="CI377" s="55"/>
      <c r="CJ377" s="55"/>
      <c r="CK377" s="55"/>
      <c r="CL377" s="55"/>
      <c r="CM377" s="55"/>
      <c r="CN377" s="55"/>
      <c r="CO377" s="55"/>
      <c r="CP377" s="55"/>
      <c r="CQ377" s="55"/>
      <c r="CR377" s="55"/>
      <c r="CS377" s="55"/>
      <c r="CT377" s="526">
        <f t="shared" ref="CT377:CU377" si="1533">IF(ABS(CT262*CT319/CT$5-CT374+CT375+CT376)&gt;0.1,CT262*CT319/CT$5,"Error")</f>
        <v>-5.4039999999999999</v>
      </c>
      <c r="CU377" s="526">
        <f t="shared" si="1533"/>
        <v>-14.740712977099237</v>
      </c>
      <c r="CV377" s="526">
        <f t="shared" si="1516"/>
        <v>-40.379942848318805</v>
      </c>
      <c r="CW377" s="526">
        <f t="shared" si="1517"/>
        <v>-40.592100043835657</v>
      </c>
      <c r="CX377" s="526">
        <f t="shared" si="1518"/>
        <v>78.980713424657495</v>
      </c>
      <c r="CY377" s="526">
        <f t="shared" si="1519"/>
        <v>37.076325136611921</v>
      </c>
      <c r="CZ377" s="524">
        <f t="shared" si="1520"/>
        <v>-61.265223561643758</v>
      </c>
      <c r="DA377" s="526">
        <f t="shared" si="1521"/>
        <v>-71.466821051474412</v>
      </c>
      <c r="DB377" s="526">
        <f t="shared" si="1522"/>
        <v>-70.023075412780258</v>
      </c>
      <c r="DC377" s="526">
        <f t="shared" si="1523"/>
        <v>-74.645316155298502</v>
      </c>
      <c r="DD377" s="526">
        <f t="shared" si="1524"/>
        <v>-79.173775963748255</v>
      </c>
      <c r="DE377" s="526">
        <f t="shared" si="1525"/>
        <v>-84.401788216866251</v>
      </c>
      <c r="DF377" s="526">
        <f t="shared" si="1526"/>
        <v>-89.120646324084305</v>
      </c>
      <c r="DG377" s="526">
        <f t="shared" si="1527"/>
        <v>-92.898258437717203</v>
      </c>
      <c r="DH377" s="526">
        <f t="shared" si="1528"/>
        <v>-96.209464883720784</v>
      </c>
      <c r="DI377" s="526">
        <f t="shared" si="1529"/>
        <v>-99.597628471556476</v>
      </c>
    </row>
    <row r="378" spans="1:113" ht="12" hidden="1" outlineLevel="1"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4"/>
      <c r="AQ378" s="44"/>
      <c r="AR378" s="44"/>
      <c r="AS378" s="44"/>
      <c r="AT378" s="44"/>
      <c r="AU378" s="44"/>
      <c r="AV378" s="44"/>
      <c r="AW378" s="44"/>
      <c r="AX378" s="44"/>
      <c r="AY378" s="44"/>
      <c r="AZ378" s="45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  <c r="BL378" s="44"/>
      <c r="BM378" s="44"/>
      <c r="BN378" s="44"/>
      <c r="BO378" s="44"/>
      <c r="BP378" s="44"/>
      <c r="BQ378" s="44"/>
      <c r="BR378" s="44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4"/>
      <c r="CK378" s="44"/>
      <c r="CL378" s="167"/>
      <c r="CM378" s="167"/>
      <c r="CN378" s="42"/>
      <c r="CO378" s="42"/>
      <c r="CP378" s="42"/>
      <c r="CQ378" s="42"/>
      <c r="CR378" s="42"/>
      <c r="CS378" s="42"/>
      <c r="CT378" s="44"/>
      <c r="CU378" s="44"/>
      <c r="CV378" s="44"/>
      <c r="CW378" s="44"/>
      <c r="CX378" s="44"/>
      <c r="CY378" s="44"/>
      <c r="CZ378" s="45"/>
      <c r="DA378" s="44"/>
      <c r="DB378" s="44"/>
      <c r="DC378" s="44"/>
      <c r="DD378" s="44"/>
      <c r="DE378" s="44"/>
      <c r="DF378" s="44"/>
      <c r="DG378" s="44"/>
      <c r="DH378" s="44"/>
      <c r="DI378" s="44"/>
    </row>
    <row r="379" spans="1:113" ht="12" hidden="1" outlineLevel="1">
      <c r="A379" s="1" t="s">
        <v>236</v>
      </c>
      <c r="B379" s="19" t="s">
        <v>582</v>
      </c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4">
        <f>(AP296+AP80)*AP239/AP$5</f>
        <v>55.5</v>
      </c>
      <c r="AQ379" s="44">
        <f t="shared" ref="AQ379:AX379" si="1534">(AQ296+AQ80)*AQ239/AQ$5</f>
        <v>70.900000000000006</v>
      </c>
      <c r="AR379" s="44">
        <f t="shared" si="1534"/>
        <v>99</v>
      </c>
      <c r="AS379" s="44">
        <f t="shared" si="1534"/>
        <v>122.9</v>
      </c>
      <c r="AT379" s="44">
        <f t="shared" si="1534"/>
        <v>241.8</v>
      </c>
      <c r="AU379" s="44">
        <f t="shared" si="1534"/>
        <v>332.4</v>
      </c>
      <c r="AV379" s="44">
        <f t="shared" si="1534"/>
        <v>432.20000000000005</v>
      </c>
      <c r="AW379" s="44">
        <f t="shared" si="1534"/>
        <v>478.10000000000008</v>
      </c>
      <c r="AX379" s="44">
        <f t="shared" si="1534"/>
        <v>525</v>
      </c>
      <c r="AY379" s="44">
        <f>(AY296+AY80)*AY239/AY$5</f>
        <v>534.9</v>
      </c>
      <c r="AZ379" s="45">
        <f t="shared" ref="AZ379:BQ379" si="1535">(AZ296+AZ80)*AZ239/AZ$5</f>
        <v>558.5</v>
      </c>
      <c r="BA379" s="44">
        <f t="shared" si="1535"/>
        <v>632.83269416117139</v>
      </c>
      <c r="BB379" s="44">
        <f t="shared" si="1535"/>
        <v>707.88649158789417</v>
      </c>
      <c r="BC379" s="44">
        <f t="shared" si="1535"/>
        <v>717.18661082904566</v>
      </c>
      <c r="BD379" s="44">
        <f t="shared" si="1535"/>
        <v>758.98216775020546</v>
      </c>
      <c r="BE379" s="44">
        <f t="shared" si="1535"/>
        <v>803.70378452494276</v>
      </c>
      <c r="BF379" s="44">
        <f t="shared" si="1535"/>
        <v>859.06946759315042</v>
      </c>
      <c r="BG379" s="44">
        <f t="shared" si="1535"/>
        <v>900.28495640922301</v>
      </c>
      <c r="BH379" s="44">
        <f t="shared" si="1535"/>
        <v>956.50481730093327</v>
      </c>
      <c r="BI379" s="44">
        <f t="shared" si="1535"/>
        <v>992.8049412239817</v>
      </c>
      <c r="BJ379" s="44">
        <f t="shared" si="1535"/>
        <v>1045.37861985522</v>
      </c>
      <c r="BK379" s="44">
        <f t="shared" si="1535"/>
        <v>1076.5366253957222</v>
      </c>
      <c r="BL379" s="44">
        <f t="shared" si="1535"/>
        <v>1121.2646874596883</v>
      </c>
      <c r="BM379" s="44">
        <f t="shared" si="1535"/>
        <v>1151.7728980830054</v>
      </c>
      <c r="BN379" s="44">
        <f t="shared" si="1535"/>
        <v>1194.0740667924183</v>
      </c>
      <c r="BO379" s="44">
        <f t="shared" si="1535"/>
        <v>1214.5712159797686</v>
      </c>
      <c r="BP379" s="44">
        <f t="shared" si="1535"/>
        <v>1262.3731588899313</v>
      </c>
      <c r="BQ379" s="44">
        <f t="shared" si="1535"/>
        <v>1284.0892957310236</v>
      </c>
      <c r="BR379" s="44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4">
        <f t="shared" ref="CT379:CV379" si="1536">(CT296+CT318)*CT239/CT$5</f>
        <v>6.2619999999999996</v>
      </c>
      <c r="CU379" s="44">
        <f t="shared" si="1536"/>
        <v>42.580712977099239</v>
      </c>
      <c r="CV379" s="44">
        <f t="shared" si="1536"/>
        <v>129.43661380152167</v>
      </c>
      <c r="CW379" s="44">
        <f t="shared" ref="CW379:CW388" si="1537">SUM(AR379:AS379)</f>
        <v>221.9</v>
      </c>
      <c r="CX379" s="44">
        <f t="shared" ref="CX379:CX388" si="1538">SUM(AT379:AU379)</f>
        <v>574.20000000000005</v>
      </c>
      <c r="CY379" s="44">
        <f t="shared" ref="CY379:CY388" si="1539">SUM(AV379:AW379)</f>
        <v>910.30000000000018</v>
      </c>
      <c r="CZ379" s="45">
        <f t="shared" ref="CZ379:CZ388" si="1540">SUM(AX379:AY379)</f>
        <v>1059.9000000000001</v>
      </c>
      <c r="DA379" s="44">
        <f t="shared" ref="DA379:DA388" si="1541">SUM(AZ379:BA379)</f>
        <v>1191.3326941611713</v>
      </c>
      <c r="DB379" s="44">
        <f t="shared" ref="DB379:DB388" si="1542">SUM(BB379:BC379)</f>
        <v>1425.0731024169399</v>
      </c>
      <c r="DC379" s="44">
        <f t="shared" ref="DC379:DC388" si="1543">SUM(BD379:BE379)</f>
        <v>1562.6859522751483</v>
      </c>
      <c r="DD379" s="44">
        <f t="shared" ref="DD379:DD388" si="1544">SUM(BF379:BG379)</f>
        <v>1759.3544240023734</v>
      </c>
      <c r="DE379" s="44">
        <f t="shared" ref="DE379:DE388" si="1545">SUM(BH379:BI379)</f>
        <v>1949.309758524915</v>
      </c>
      <c r="DF379" s="44">
        <f t="shared" ref="DF379:DF388" si="1546">SUM(BJ379:BK379)</f>
        <v>2121.9152452509425</v>
      </c>
      <c r="DG379" s="44">
        <f t="shared" ref="DG379:DG388" si="1547">SUM(BL379:BM379)</f>
        <v>2273.0375855426937</v>
      </c>
      <c r="DH379" s="44">
        <f t="shared" ref="DH379:DH388" si="1548">SUM(BN379:BO379)</f>
        <v>2408.6452827721869</v>
      </c>
      <c r="DI379" s="44">
        <f t="shared" ref="DI379:DI388" si="1549">SUM(BP379:BQ379)</f>
        <v>2546.4624546209552</v>
      </c>
    </row>
    <row r="380" spans="1:113" ht="12" hidden="1" outlineLevel="1">
      <c r="A380" s="1" t="s">
        <v>237</v>
      </c>
      <c r="B380" s="19" t="s">
        <v>481</v>
      </c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4">
        <f>AP381-AP379</f>
        <v>-20.5</v>
      </c>
      <c r="AQ380" s="44">
        <f t="shared" ref="AQ380:AX380" si="1550">AQ381-AQ379</f>
        <v>-21.400000000000006</v>
      </c>
      <c r="AR380" s="44">
        <f t="shared" si="1550"/>
        <v>-25.5</v>
      </c>
      <c r="AS380" s="44">
        <f t="shared" si="1550"/>
        <v>-26.600000000000009</v>
      </c>
      <c r="AT380" s="44">
        <f t="shared" si="1550"/>
        <v>-78.800000000000011</v>
      </c>
      <c r="AU380" s="44">
        <f t="shared" si="1550"/>
        <v>-147.79999999999998</v>
      </c>
      <c r="AV380" s="44">
        <f t="shared" si="1550"/>
        <v>-237.00000000000006</v>
      </c>
      <c r="AW380" s="44">
        <f t="shared" si="1550"/>
        <v>-287.30000000000007</v>
      </c>
      <c r="AX380" s="44">
        <f t="shared" si="1550"/>
        <v>-332</v>
      </c>
      <c r="AY380" s="44">
        <f>AY381-AY379</f>
        <v>-320.59999999999991</v>
      </c>
      <c r="AZ380" s="45">
        <f t="shared" ref="AZ380:BQ380" si="1551">AZ381-AZ379</f>
        <v>-323</v>
      </c>
      <c r="BA380" s="44">
        <f t="shared" si="1551"/>
        <v>-371.6768133346236</v>
      </c>
      <c r="BB380" s="44">
        <f t="shared" si="1551"/>
        <v>-422.20137819041128</v>
      </c>
      <c r="BC380" s="44">
        <f t="shared" si="1551"/>
        <v>-414.28514364695934</v>
      </c>
      <c r="BD380" s="44">
        <f t="shared" si="1551"/>
        <v>-431.00520247381598</v>
      </c>
      <c r="BE380" s="44">
        <f t="shared" si="1551"/>
        <v>-455.39855391049468</v>
      </c>
      <c r="BF380" s="44">
        <f t="shared" si="1551"/>
        <v>-486.79883213606945</v>
      </c>
      <c r="BG380" s="44">
        <f t="shared" si="1551"/>
        <v>-510.40000266037379</v>
      </c>
      <c r="BH380" s="44">
        <f t="shared" si="1551"/>
        <v>-542.7379641975815</v>
      </c>
      <c r="BI380" s="44">
        <f t="shared" si="1551"/>
        <v>-563.79132156307628</v>
      </c>
      <c r="BJ380" s="44">
        <f t="shared" si="1551"/>
        <v>-594.39874669750759</v>
      </c>
      <c r="BK380" s="44">
        <f t="shared" si="1551"/>
        <v>-612.67391004348917</v>
      </c>
      <c r="BL380" s="44">
        <f t="shared" si="1551"/>
        <v>-638.97002233808837</v>
      </c>
      <c r="BM380" s="44">
        <f t="shared" si="1551"/>
        <v>-657.07254631547789</v>
      </c>
      <c r="BN380" s="44">
        <f t="shared" si="1551"/>
        <v>-682.16252019395381</v>
      </c>
      <c r="BO380" s="44">
        <f t="shared" si="1551"/>
        <v>-694.73324047868073</v>
      </c>
      <c r="BP380" s="44">
        <f t="shared" si="1551"/>
        <v>-723.10796456408718</v>
      </c>
      <c r="BQ380" s="44">
        <f t="shared" si="1551"/>
        <v>-736.51312604020859</v>
      </c>
      <c r="BR380" s="44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4">
        <f t="shared" ref="CT380:CV380" si="1552">-(CT318-(CT316*CT259+CT317*CT260)/(CT259+CT260))*(CT259+CT260)/CT$5</f>
        <v>0</v>
      </c>
      <c r="CU380" s="44">
        <f t="shared" si="1552"/>
        <v>0</v>
      </c>
      <c r="CV380" s="44">
        <f t="shared" si="1552"/>
        <v>0</v>
      </c>
      <c r="CW380" s="44">
        <f t="shared" si="1537"/>
        <v>-52.100000000000009</v>
      </c>
      <c r="CX380" s="44">
        <f t="shared" si="1538"/>
        <v>-226.6</v>
      </c>
      <c r="CY380" s="44">
        <f t="shared" si="1539"/>
        <v>-524.30000000000018</v>
      </c>
      <c r="CZ380" s="45">
        <f t="shared" si="1540"/>
        <v>-652.59999999999991</v>
      </c>
      <c r="DA380" s="44">
        <f t="shared" si="1541"/>
        <v>-694.6768133346236</v>
      </c>
      <c r="DB380" s="44">
        <f t="shared" si="1542"/>
        <v>-836.48652183737067</v>
      </c>
      <c r="DC380" s="44">
        <f t="shared" si="1543"/>
        <v>-886.40375638431067</v>
      </c>
      <c r="DD380" s="44">
        <f t="shared" si="1544"/>
        <v>-997.19883479644318</v>
      </c>
      <c r="DE380" s="44">
        <f t="shared" si="1545"/>
        <v>-1106.5292857606578</v>
      </c>
      <c r="DF380" s="44">
        <f t="shared" si="1546"/>
        <v>-1207.0726567409968</v>
      </c>
      <c r="DG380" s="44">
        <f t="shared" si="1547"/>
        <v>-1296.0425686535664</v>
      </c>
      <c r="DH380" s="44">
        <f t="shared" si="1548"/>
        <v>-1376.8957606726344</v>
      </c>
      <c r="DI380" s="44">
        <f t="shared" si="1549"/>
        <v>-1459.6210906042957</v>
      </c>
    </row>
    <row r="381" spans="1:113" s="24" customFormat="1" ht="12" hidden="1" outlineLevel="1">
      <c r="A381" s="1" t="s">
        <v>238</v>
      </c>
      <c r="B381" s="24" t="s">
        <v>482</v>
      </c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  <c r="AJ381" s="55"/>
      <c r="AK381" s="55"/>
      <c r="AL381" s="55"/>
      <c r="AM381" s="55"/>
      <c r="AN381" s="55"/>
      <c r="AO381" s="55"/>
      <c r="AP381" s="526">
        <f t="shared" ref="AP381:AR381" si="1553">AP387-SUM(AP382:AP386)</f>
        <v>35</v>
      </c>
      <c r="AQ381" s="526">
        <f t="shared" si="1553"/>
        <v>49.5</v>
      </c>
      <c r="AR381" s="526">
        <f t="shared" si="1553"/>
        <v>73.5</v>
      </c>
      <c r="AS381" s="526">
        <f t="shared" ref="AS381:AT381" si="1554">AS387-SUM(AS382:AS386)</f>
        <v>96.3</v>
      </c>
      <c r="AT381" s="526">
        <f t="shared" si="1554"/>
        <v>163</v>
      </c>
      <c r="AU381" s="526">
        <f t="shared" ref="AU381:AV381" si="1555">AU387-SUM(AU382:AU386)</f>
        <v>184.6</v>
      </c>
      <c r="AV381" s="526">
        <f t="shared" si="1555"/>
        <v>195.2</v>
      </c>
      <c r="AW381" s="526">
        <f t="shared" ref="AW381:AX381" si="1556">AW387-SUM(AW382:AW386)</f>
        <v>190.8</v>
      </c>
      <c r="AX381" s="526">
        <f t="shared" si="1556"/>
        <v>193</v>
      </c>
      <c r="AY381" s="526">
        <f>AY$323*AY$239/AY$5</f>
        <v>214.30000000000004</v>
      </c>
      <c r="AZ381" s="524">
        <f t="shared" ref="AZ381:BQ381" si="1557">AZ$323*AZ$239/AZ$5</f>
        <v>235.49999999999997</v>
      </c>
      <c r="BA381" s="526">
        <f t="shared" si="1557"/>
        <v>261.15588082654779</v>
      </c>
      <c r="BB381" s="526">
        <f t="shared" si="1557"/>
        <v>285.68511339748289</v>
      </c>
      <c r="BC381" s="526">
        <f t="shared" si="1557"/>
        <v>302.90146718208632</v>
      </c>
      <c r="BD381" s="526">
        <f t="shared" si="1557"/>
        <v>327.97696527638948</v>
      </c>
      <c r="BE381" s="526">
        <f t="shared" si="1557"/>
        <v>348.30523061444808</v>
      </c>
      <c r="BF381" s="526">
        <f t="shared" si="1557"/>
        <v>372.27063545708097</v>
      </c>
      <c r="BG381" s="526">
        <f t="shared" si="1557"/>
        <v>389.88495374884923</v>
      </c>
      <c r="BH381" s="526">
        <f t="shared" si="1557"/>
        <v>413.76685310335176</v>
      </c>
      <c r="BI381" s="526">
        <f t="shared" si="1557"/>
        <v>429.01361966090548</v>
      </c>
      <c r="BJ381" s="526">
        <f t="shared" si="1557"/>
        <v>450.9798731577124</v>
      </c>
      <c r="BK381" s="526">
        <f t="shared" si="1557"/>
        <v>463.86271535223307</v>
      </c>
      <c r="BL381" s="526">
        <f t="shared" si="1557"/>
        <v>482.29466512159991</v>
      </c>
      <c r="BM381" s="526">
        <f t="shared" si="1557"/>
        <v>494.70035176752748</v>
      </c>
      <c r="BN381" s="526">
        <f t="shared" si="1557"/>
        <v>511.9115465984645</v>
      </c>
      <c r="BO381" s="526">
        <f t="shared" si="1557"/>
        <v>519.83797550108784</v>
      </c>
      <c r="BP381" s="526">
        <f t="shared" si="1557"/>
        <v>539.26519432584416</v>
      </c>
      <c r="BQ381" s="526">
        <f t="shared" si="1557"/>
        <v>547.57616969081505</v>
      </c>
      <c r="BR381" s="526"/>
      <c r="BS381" s="55"/>
      <c r="BT381" s="55"/>
      <c r="BU381" s="55"/>
      <c r="BV381" s="55"/>
      <c r="BW381" s="55"/>
      <c r="BX381" s="55"/>
      <c r="BY381" s="55"/>
      <c r="BZ381" s="55"/>
      <c r="CA381" s="55"/>
      <c r="CB381" s="55"/>
      <c r="CC381" s="55"/>
      <c r="CD381" s="55"/>
      <c r="CE381" s="55"/>
      <c r="CF381" s="55"/>
      <c r="CG381" s="55"/>
      <c r="CH381" s="55"/>
      <c r="CI381" s="55"/>
      <c r="CJ381" s="55"/>
      <c r="CK381" s="55"/>
      <c r="CL381" s="55"/>
      <c r="CM381" s="55"/>
      <c r="CN381" s="55"/>
      <c r="CO381" s="55"/>
      <c r="CP381" s="55"/>
      <c r="CQ381" s="55"/>
      <c r="CR381" s="55"/>
      <c r="CS381" s="55"/>
      <c r="CT381" s="526">
        <f t="shared" ref="CT381:CV381" si="1558">CT387-SUM(CT382:CT386)</f>
        <v>0.85799999999999998</v>
      </c>
      <c r="CU381" s="526">
        <f t="shared" si="1558"/>
        <v>27.84</v>
      </c>
      <c r="CV381" s="526">
        <f t="shared" si="1558"/>
        <v>84.5</v>
      </c>
      <c r="CW381" s="526">
        <f t="shared" si="1537"/>
        <v>169.8</v>
      </c>
      <c r="CX381" s="526">
        <f t="shared" si="1538"/>
        <v>347.6</v>
      </c>
      <c r="CY381" s="526">
        <f t="shared" si="1539"/>
        <v>386</v>
      </c>
      <c r="CZ381" s="524">
        <f t="shared" si="1540"/>
        <v>407.30000000000007</v>
      </c>
      <c r="DA381" s="526">
        <f t="shared" si="1541"/>
        <v>496.65588082654779</v>
      </c>
      <c r="DB381" s="526">
        <f t="shared" si="1542"/>
        <v>588.58658057956927</v>
      </c>
      <c r="DC381" s="526">
        <f t="shared" si="1543"/>
        <v>676.28219589083756</v>
      </c>
      <c r="DD381" s="526">
        <f t="shared" si="1544"/>
        <v>762.15558920593026</v>
      </c>
      <c r="DE381" s="526">
        <f t="shared" si="1545"/>
        <v>842.78047276425718</v>
      </c>
      <c r="DF381" s="526">
        <f t="shared" si="1546"/>
        <v>914.84258850994547</v>
      </c>
      <c r="DG381" s="526">
        <f t="shared" si="1547"/>
        <v>976.99501688912733</v>
      </c>
      <c r="DH381" s="526">
        <f t="shared" si="1548"/>
        <v>1031.7495220995525</v>
      </c>
      <c r="DI381" s="526">
        <f t="shared" si="1549"/>
        <v>1086.8413640166591</v>
      </c>
    </row>
    <row r="382" spans="1:113" ht="12" hidden="1" outlineLevel="2">
      <c r="A382" s="1" t="s">
        <v>928</v>
      </c>
      <c r="B382" s="19" t="s">
        <v>444</v>
      </c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525">
        <v>0</v>
      </c>
      <c r="AQ382" s="525">
        <v>0</v>
      </c>
      <c r="AR382" s="525">
        <v>0</v>
      </c>
      <c r="AS382" s="525">
        <v>0</v>
      </c>
      <c r="AT382" s="525">
        <v>0</v>
      </c>
      <c r="AU382" s="525">
        <v>0</v>
      </c>
      <c r="AV382" s="525">
        <v>0</v>
      </c>
      <c r="AW382" s="525">
        <v>0</v>
      </c>
      <c r="AX382" s="525">
        <v>0</v>
      </c>
      <c r="AY382" s="46">
        <v>0</v>
      </c>
      <c r="AZ382" s="531">
        <v>0</v>
      </c>
      <c r="BA382" s="46">
        <v>0</v>
      </c>
      <c r="BB382" s="46">
        <v>0</v>
      </c>
      <c r="BC382" s="46">
        <v>0</v>
      </c>
      <c r="BD382" s="46">
        <v>0</v>
      </c>
      <c r="BE382" s="46">
        <v>0</v>
      </c>
      <c r="BF382" s="46">
        <v>0</v>
      </c>
      <c r="BG382" s="46">
        <v>0</v>
      </c>
      <c r="BH382" s="46">
        <v>0</v>
      </c>
      <c r="BI382" s="46">
        <v>0</v>
      </c>
      <c r="BJ382" s="46">
        <v>0</v>
      </c>
      <c r="BK382" s="46">
        <v>0</v>
      </c>
      <c r="BL382" s="46">
        <v>0</v>
      </c>
      <c r="BM382" s="46">
        <v>0</v>
      </c>
      <c r="BN382" s="46">
        <v>0</v>
      </c>
      <c r="BO382" s="46">
        <v>0</v>
      </c>
      <c r="BP382" s="46">
        <v>0</v>
      </c>
      <c r="BQ382" s="46">
        <v>0</v>
      </c>
      <c r="BR382" s="44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525">
        <v>0</v>
      </c>
      <c r="CU382" s="525">
        <v>0</v>
      </c>
      <c r="CV382" s="44">
        <f>SUM(AP382:AQ382)</f>
        <v>0</v>
      </c>
      <c r="CW382" s="44">
        <f t="shared" si="1537"/>
        <v>0</v>
      </c>
      <c r="CX382" s="44">
        <f t="shared" si="1538"/>
        <v>0</v>
      </c>
      <c r="CY382" s="44">
        <f t="shared" si="1539"/>
        <v>0</v>
      </c>
      <c r="CZ382" s="45">
        <f t="shared" si="1540"/>
        <v>0</v>
      </c>
      <c r="DA382" s="44">
        <f t="shared" si="1541"/>
        <v>0</v>
      </c>
      <c r="DB382" s="44">
        <f t="shared" si="1542"/>
        <v>0</v>
      </c>
      <c r="DC382" s="44">
        <f t="shared" si="1543"/>
        <v>0</v>
      </c>
      <c r="DD382" s="44">
        <f t="shared" si="1544"/>
        <v>0</v>
      </c>
      <c r="DE382" s="44">
        <f t="shared" si="1545"/>
        <v>0</v>
      </c>
      <c r="DF382" s="44">
        <f t="shared" si="1546"/>
        <v>0</v>
      </c>
      <c r="DG382" s="44">
        <f t="shared" si="1547"/>
        <v>0</v>
      </c>
      <c r="DH382" s="44">
        <f t="shared" si="1548"/>
        <v>0</v>
      </c>
      <c r="DI382" s="44">
        <f t="shared" si="1549"/>
        <v>0</v>
      </c>
    </row>
    <row r="383" spans="1:113" ht="12" hidden="1" outlineLevel="2">
      <c r="A383" s="1" t="s">
        <v>929</v>
      </c>
      <c r="B383" s="19" t="s">
        <v>367</v>
      </c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525">
        <v>0</v>
      </c>
      <c r="AQ383" s="525">
        <v>0</v>
      </c>
      <c r="AR383" s="525">
        <v>0</v>
      </c>
      <c r="AS383" s="525">
        <v>0</v>
      </c>
      <c r="AT383" s="525">
        <v>0</v>
      </c>
      <c r="AU383" s="525">
        <v>0</v>
      </c>
      <c r="AV383" s="525">
        <v>0</v>
      </c>
      <c r="AW383" s="525">
        <v>0</v>
      </c>
      <c r="AX383" s="525">
        <v>0</v>
      </c>
      <c r="AY383" s="46">
        <v>0</v>
      </c>
      <c r="AZ383" s="531">
        <v>0</v>
      </c>
      <c r="BA383" s="46">
        <v>0</v>
      </c>
      <c r="BB383" s="46">
        <v>0</v>
      </c>
      <c r="BC383" s="46">
        <v>0</v>
      </c>
      <c r="BD383" s="46">
        <v>0</v>
      </c>
      <c r="BE383" s="46">
        <v>0</v>
      </c>
      <c r="BF383" s="46">
        <v>0</v>
      </c>
      <c r="BG383" s="46">
        <v>0</v>
      </c>
      <c r="BH383" s="46">
        <v>0</v>
      </c>
      <c r="BI383" s="46">
        <v>0</v>
      </c>
      <c r="BJ383" s="46">
        <v>0</v>
      </c>
      <c r="BK383" s="46">
        <v>0</v>
      </c>
      <c r="BL383" s="46">
        <v>0</v>
      </c>
      <c r="BM383" s="46">
        <v>0</v>
      </c>
      <c r="BN383" s="46">
        <v>0</v>
      </c>
      <c r="BO383" s="46">
        <v>0</v>
      </c>
      <c r="BP383" s="46">
        <v>0</v>
      </c>
      <c r="BQ383" s="46">
        <v>0</v>
      </c>
      <c r="BR383" s="44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525">
        <v>0</v>
      </c>
      <c r="CU383" s="525">
        <v>0</v>
      </c>
      <c r="CV383" s="44">
        <f t="shared" ref="CV383:CV389" si="1559">SUM(AP383:AQ383)</f>
        <v>0</v>
      </c>
      <c r="CW383" s="44">
        <f t="shared" si="1537"/>
        <v>0</v>
      </c>
      <c r="CX383" s="44">
        <f t="shared" si="1538"/>
        <v>0</v>
      </c>
      <c r="CY383" s="44">
        <f t="shared" si="1539"/>
        <v>0</v>
      </c>
      <c r="CZ383" s="45">
        <f t="shared" si="1540"/>
        <v>0</v>
      </c>
      <c r="DA383" s="44">
        <f t="shared" si="1541"/>
        <v>0</v>
      </c>
      <c r="DB383" s="44">
        <f t="shared" si="1542"/>
        <v>0</v>
      </c>
      <c r="DC383" s="44">
        <f t="shared" si="1543"/>
        <v>0</v>
      </c>
      <c r="DD383" s="44">
        <f t="shared" si="1544"/>
        <v>0</v>
      </c>
      <c r="DE383" s="44">
        <f t="shared" si="1545"/>
        <v>0</v>
      </c>
      <c r="DF383" s="44">
        <f t="shared" si="1546"/>
        <v>0</v>
      </c>
      <c r="DG383" s="44">
        <f t="shared" si="1547"/>
        <v>0</v>
      </c>
      <c r="DH383" s="44">
        <f t="shared" si="1548"/>
        <v>0</v>
      </c>
      <c r="DI383" s="44">
        <f t="shared" si="1549"/>
        <v>0</v>
      </c>
    </row>
    <row r="384" spans="1:113" ht="12" hidden="1" outlineLevel="2">
      <c r="A384" s="1" t="s">
        <v>930</v>
      </c>
      <c r="B384" s="19" t="s">
        <v>368</v>
      </c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525">
        <v>0</v>
      </c>
      <c r="AQ384" s="525">
        <v>0</v>
      </c>
      <c r="AR384" s="525">
        <v>0</v>
      </c>
      <c r="AS384" s="525">
        <v>0</v>
      </c>
      <c r="AT384" s="525">
        <v>0</v>
      </c>
      <c r="AU384" s="525">
        <v>0</v>
      </c>
      <c r="AV384" s="525">
        <v>0</v>
      </c>
      <c r="AW384" s="525">
        <v>0</v>
      </c>
      <c r="AX384" s="525">
        <v>0</v>
      </c>
      <c r="AY384" s="46">
        <v>0</v>
      </c>
      <c r="AZ384" s="531">
        <v>0</v>
      </c>
      <c r="BA384" s="46">
        <v>0</v>
      </c>
      <c r="BB384" s="46">
        <v>0</v>
      </c>
      <c r="BC384" s="46">
        <v>0</v>
      </c>
      <c r="BD384" s="46">
        <v>0</v>
      </c>
      <c r="BE384" s="46">
        <v>0</v>
      </c>
      <c r="BF384" s="46">
        <v>0</v>
      </c>
      <c r="BG384" s="46">
        <v>0</v>
      </c>
      <c r="BH384" s="46">
        <v>0</v>
      </c>
      <c r="BI384" s="46">
        <v>0</v>
      </c>
      <c r="BJ384" s="46">
        <v>0</v>
      </c>
      <c r="BK384" s="46">
        <v>0</v>
      </c>
      <c r="BL384" s="46">
        <v>0</v>
      </c>
      <c r="BM384" s="46">
        <v>0</v>
      </c>
      <c r="BN384" s="46">
        <v>0</v>
      </c>
      <c r="BO384" s="46">
        <v>0</v>
      </c>
      <c r="BP384" s="46">
        <v>0</v>
      </c>
      <c r="BQ384" s="46">
        <v>0</v>
      </c>
      <c r="BR384" s="44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525">
        <v>0</v>
      </c>
      <c r="CU384" s="525">
        <v>0</v>
      </c>
      <c r="CV384" s="44">
        <f t="shared" si="1559"/>
        <v>0</v>
      </c>
      <c r="CW384" s="44">
        <f t="shared" si="1537"/>
        <v>0</v>
      </c>
      <c r="CX384" s="44">
        <f t="shared" si="1538"/>
        <v>0</v>
      </c>
      <c r="CY384" s="44">
        <f t="shared" si="1539"/>
        <v>0</v>
      </c>
      <c r="CZ384" s="45">
        <f t="shared" si="1540"/>
        <v>0</v>
      </c>
      <c r="DA384" s="44">
        <f t="shared" si="1541"/>
        <v>0</v>
      </c>
      <c r="DB384" s="44">
        <f t="shared" si="1542"/>
        <v>0</v>
      </c>
      <c r="DC384" s="44">
        <f t="shared" si="1543"/>
        <v>0</v>
      </c>
      <c r="DD384" s="44">
        <f t="shared" si="1544"/>
        <v>0</v>
      </c>
      <c r="DE384" s="44">
        <f t="shared" si="1545"/>
        <v>0</v>
      </c>
      <c r="DF384" s="44">
        <f t="shared" si="1546"/>
        <v>0</v>
      </c>
      <c r="DG384" s="44">
        <f t="shared" si="1547"/>
        <v>0</v>
      </c>
      <c r="DH384" s="44">
        <f t="shared" si="1548"/>
        <v>0</v>
      </c>
      <c r="DI384" s="44">
        <f t="shared" si="1549"/>
        <v>0</v>
      </c>
    </row>
    <row r="385" spans="1:116" ht="12" hidden="1" outlineLevel="2">
      <c r="A385" s="1" t="s">
        <v>987</v>
      </c>
      <c r="B385" s="19" t="s">
        <v>358</v>
      </c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525">
        <v>0</v>
      </c>
      <c r="AQ385" s="525">
        <v>0</v>
      </c>
      <c r="AR385" s="525">
        <v>0</v>
      </c>
      <c r="AS385" s="525">
        <v>0</v>
      </c>
      <c r="AT385" s="525">
        <v>0</v>
      </c>
      <c r="AU385" s="525">
        <v>0</v>
      </c>
      <c r="AV385" s="525">
        <v>0</v>
      </c>
      <c r="AW385" s="525">
        <v>0</v>
      </c>
      <c r="AX385" s="525">
        <v>0</v>
      </c>
      <c r="AY385" s="46">
        <v>0</v>
      </c>
      <c r="AZ385" s="531">
        <v>0</v>
      </c>
      <c r="BA385" s="46">
        <v>0</v>
      </c>
      <c r="BB385" s="46">
        <v>0</v>
      </c>
      <c r="BC385" s="46">
        <v>0</v>
      </c>
      <c r="BD385" s="46">
        <v>0</v>
      </c>
      <c r="BE385" s="46">
        <v>0</v>
      </c>
      <c r="BF385" s="46">
        <v>0</v>
      </c>
      <c r="BG385" s="46">
        <v>0</v>
      </c>
      <c r="BH385" s="46">
        <v>0</v>
      </c>
      <c r="BI385" s="46">
        <v>0</v>
      </c>
      <c r="BJ385" s="46">
        <v>0</v>
      </c>
      <c r="BK385" s="46">
        <v>0</v>
      </c>
      <c r="BL385" s="46">
        <v>0</v>
      </c>
      <c r="BM385" s="46">
        <v>0</v>
      </c>
      <c r="BN385" s="46">
        <v>0</v>
      </c>
      <c r="BO385" s="46">
        <v>0</v>
      </c>
      <c r="BP385" s="46">
        <v>0</v>
      </c>
      <c r="BQ385" s="46">
        <v>0</v>
      </c>
      <c r="BR385" s="44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525">
        <v>0</v>
      </c>
      <c r="CU385" s="525">
        <v>0</v>
      </c>
      <c r="CV385" s="44">
        <f t="shared" si="1559"/>
        <v>0</v>
      </c>
      <c r="CW385" s="44">
        <f t="shared" si="1537"/>
        <v>0</v>
      </c>
      <c r="CX385" s="44">
        <f t="shared" si="1538"/>
        <v>0</v>
      </c>
      <c r="CY385" s="44">
        <f t="shared" si="1539"/>
        <v>0</v>
      </c>
      <c r="CZ385" s="45">
        <f t="shared" si="1540"/>
        <v>0</v>
      </c>
      <c r="DA385" s="44">
        <f t="shared" si="1541"/>
        <v>0</v>
      </c>
      <c r="DB385" s="44">
        <f t="shared" si="1542"/>
        <v>0</v>
      </c>
      <c r="DC385" s="44">
        <f t="shared" si="1543"/>
        <v>0</v>
      </c>
      <c r="DD385" s="44">
        <f t="shared" si="1544"/>
        <v>0</v>
      </c>
      <c r="DE385" s="44">
        <f t="shared" si="1545"/>
        <v>0</v>
      </c>
      <c r="DF385" s="44">
        <f t="shared" si="1546"/>
        <v>0</v>
      </c>
      <c r="DG385" s="44">
        <f t="shared" si="1547"/>
        <v>0</v>
      </c>
      <c r="DH385" s="44">
        <f t="shared" si="1548"/>
        <v>0</v>
      </c>
      <c r="DI385" s="44">
        <f t="shared" si="1549"/>
        <v>0</v>
      </c>
    </row>
    <row r="386" spans="1:116" ht="12" hidden="1" outlineLevel="2">
      <c r="A386" s="1" t="s">
        <v>988</v>
      </c>
      <c r="B386" s="19" t="s">
        <v>422</v>
      </c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525">
        <v>0</v>
      </c>
      <c r="AQ386" s="525">
        <v>0</v>
      </c>
      <c r="AR386" s="525">
        <v>0</v>
      </c>
      <c r="AS386" s="525">
        <v>0</v>
      </c>
      <c r="AT386" s="525">
        <v>0</v>
      </c>
      <c r="AU386" s="525">
        <v>0</v>
      </c>
      <c r="AV386" s="525">
        <v>0</v>
      </c>
      <c r="AW386" s="525">
        <v>0</v>
      </c>
      <c r="AX386" s="525">
        <v>0</v>
      </c>
      <c r="AY386" s="46">
        <v>0</v>
      </c>
      <c r="AZ386" s="531">
        <v>0</v>
      </c>
      <c r="BA386" s="46">
        <v>0</v>
      </c>
      <c r="BB386" s="46">
        <v>0</v>
      </c>
      <c r="BC386" s="46">
        <v>0</v>
      </c>
      <c r="BD386" s="46">
        <v>0</v>
      </c>
      <c r="BE386" s="46">
        <v>0</v>
      </c>
      <c r="BF386" s="46">
        <v>0</v>
      </c>
      <c r="BG386" s="46">
        <v>0</v>
      </c>
      <c r="BH386" s="46">
        <v>0</v>
      </c>
      <c r="BI386" s="46">
        <v>0</v>
      </c>
      <c r="BJ386" s="46">
        <v>0</v>
      </c>
      <c r="BK386" s="46">
        <v>0</v>
      </c>
      <c r="BL386" s="46">
        <v>0</v>
      </c>
      <c r="BM386" s="46">
        <v>0</v>
      </c>
      <c r="BN386" s="46">
        <v>0</v>
      </c>
      <c r="BO386" s="46">
        <v>0</v>
      </c>
      <c r="BP386" s="46">
        <v>0</v>
      </c>
      <c r="BQ386" s="46">
        <v>0</v>
      </c>
      <c r="BR386" s="44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525">
        <v>0</v>
      </c>
      <c r="CU386" s="525">
        <v>0</v>
      </c>
      <c r="CV386" s="44">
        <f t="shared" si="1559"/>
        <v>0</v>
      </c>
      <c r="CW386" s="44">
        <f t="shared" si="1537"/>
        <v>0</v>
      </c>
      <c r="CX386" s="44">
        <f t="shared" si="1538"/>
        <v>0</v>
      </c>
      <c r="CY386" s="44">
        <f t="shared" si="1539"/>
        <v>0</v>
      </c>
      <c r="CZ386" s="45">
        <f t="shared" si="1540"/>
        <v>0</v>
      </c>
      <c r="DA386" s="44">
        <f t="shared" si="1541"/>
        <v>0</v>
      </c>
      <c r="DB386" s="44">
        <f t="shared" si="1542"/>
        <v>0</v>
      </c>
      <c r="DC386" s="44">
        <f t="shared" si="1543"/>
        <v>0</v>
      </c>
      <c r="DD386" s="44">
        <f t="shared" si="1544"/>
        <v>0</v>
      </c>
      <c r="DE386" s="44">
        <f t="shared" si="1545"/>
        <v>0</v>
      </c>
      <c r="DF386" s="44">
        <f t="shared" si="1546"/>
        <v>0</v>
      </c>
      <c r="DG386" s="44">
        <f t="shared" si="1547"/>
        <v>0</v>
      </c>
      <c r="DH386" s="44">
        <f t="shared" si="1548"/>
        <v>0</v>
      </c>
      <c r="DI386" s="44">
        <f t="shared" si="1549"/>
        <v>0</v>
      </c>
    </row>
    <row r="387" spans="1:116" s="24" customFormat="1" ht="12" hidden="1" outlineLevel="2">
      <c r="A387" s="1" t="s">
        <v>989</v>
      </c>
      <c r="B387" s="24" t="s">
        <v>423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  <c r="AJ387" s="55"/>
      <c r="AK387" s="55"/>
      <c r="AL387" s="55"/>
      <c r="AM387" s="55"/>
      <c r="AN387" s="55"/>
      <c r="AO387" s="55"/>
      <c r="AP387" s="521">
        <v>35</v>
      </c>
      <c r="AQ387" s="521">
        <v>49.5</v>
      </c>
      <c r="AR387" s="521">
        <v>73.5</v>
      </c>
      <c r="AS387" s="521">
        <v>96.3</v>
      </c>
      <c r="AT387" s="521">
        <v>163</v>
      </c>
      <c r="AU387" s="521">
        <v>184.6</v>
      </c>
      <c r="AV387" s="521">
        <v>195.2</v>
      </c>
      <c r="AW387" s="521">
        <v>190.8</v>
      </c>
      <c r="AX387" s="521">
        <v>193</v>
      </c>
      <c r="AY387" s="526">
        <f t="shared" ref="AY387:BI387" si="1560">SUM(AY381:AY386)</f>
        <v>214.30000000000004</v>
      </c>
      <c r="AZ387" s="524">
        <f t="shared" si="1560"/>
        <v>235.49999999999997</v>
      </c>
      <c r="BA387" s="526">
        <f t="shared" si="1560"/>
        <v>261.15588082654779</v>
      </c>
      <c r="BB387" s="526">
        <f t="shared" si="1560"/>
        <v>285.68511339748289</v>
      </c>
      <c r="BC387" s="526">
        <f t="shared" si="1560"/>
        <v>302.90146718208632</v>
      </c>
      <c r="BD387" s="526">
        <f t="shared" si="1560"/>
        <v>327.97696527638948</v>
      </c>
      <c r="BE387" s="526">
        <f t="shared" si="1560"/>
        <v>348.30523061444808</v>
      </c>
      <c r="BF387" s="526">
        <f t="shared" si="1560"/>
        <v>372.27063545708097</v>
      </c>
      <c r="BG387" s="526">
        <f t="shared" si="1560"/>
        <v>389.88495374884923</v>
      </c>
      <c r="BH387" s="526">
        <f t="shared" si="1560"/>
        <v>413.76685310335176</v>
      </c>
      <c r="BI387" s="526">
        <f t="shared" si="1560"/>
        <v>429.01361966090548</v>
      </c>
      <c r="BJ387" s="526">
        <f t="shared" ref="BJ387:BK387" si="1561">SUM(BJ381:BJ386)</f>
        <v>450.9798731577124</v>
      </c>
      <c r="BK387" s="526">
        <f t="shared" si="1561"/>
        <v>463.86271535223307</v>
      </c>
      <c r="BL387" s="526">
        <f t="shared" ref="BL387:BM387" si="1562">SUM(BL381:BL386)</f>
        <v>482.29466512159991</v>
      </c>
      <c r="BM387" s="526">
        <f t="shared" si="1562"/>
        <v>494.70035176752748</v>
      </c>
      <c r="BN387" s="526">
        <f t="shared" ref="BN387:BO387" si="1563">SUM(BN381:BN386)</f>
        <v>511.9115465984645</v>
      </c>
      <c r="BO387" s="526">
        <f t="shared" si="1563"/>
        <v>519.83797550108784</v>
      </c>
      <c r="BP387" s="526">
        <f t="shared" ref="BP387:BQ387" si="1564">SUM(BP381:BP386)</f>
        <v>539.26519432584416</v>
      </c>
      <c r="BQ387" s="526">
        <f t="shared" si="1564"/>
        <v>547.57616969081505</v>
      </c>
      <c r="BR387" s="526"/>
      <c r="BS387" s="54"/>
      <c r="BT387" s="54"/>
      <c r="BU387" s="54"/>
      <c r="BV387" s="54"/>
      <c r="BW387" s="54"/>
      <c r="BX387" s="54"/>
      <c r="BY387" s="54"/>
      <c r="BZ387" s="54"/>
      <c r="CA387" s="54"/>
      <c r="CB387" s="54"/>
      <c r="CC387" s="55"/>
      <c r="CD387" s="55"/>
      <c r="CE387" s="55"/>
      <c r="CF387" s="55"/>
      <c r="CG387" s="55"/>
      <c r="CH387" s="55"/>
      <c r="CI387" s="55"/>
      <c r="CJ387" s="55"/>
      <c r="CK387" s="55"/>
      <c r="CL387" s="55"/>
      <c r="CM387" s="55"/>
      <c r="CN387" s="55"/>
      <c r="CO387" s="55"/>
      <c r="CP387" s="55"/>
      <c r="CQ387" s="55"/>
      <c r="CR387" s="55"/>
      <c r="CS387" s="55"/>
      <c r="CT387" s="521">
        <v>0.85799999999999998</v>
      </c>
      <c r="CU387" s="521">
        <v>27.84</v>
      </c>
      <c r="CV387" s="526">
        <f t="shared" si="1559"/>
        <v>84.5</v>
      </c>
      <c r="CW387" s="526">
        <f t="shared" si="1537"/>
        <v>169.8</v>
      </c>
      <c r="CX387" s="526">
        <f t="shared" si="1538"/>
        <v>347.6</v>
      </c>
      <c r="CY387" s="526">
        <f t="shared" si="1539"/>
        <v>386</v>
      </c>
      <c r="CZ387" s="524">
        <f t="shared" si="1540"/>
        <v>407.30000000000007</v>
      </c>
      <c r="DA387" s="526">
        <f t="shared" si="1541"/>
        <v>496.65588082654779</v>
      </c>
      <c r="DB387" s="526">
        <f t="shared" si="1542"/>
        <v>588.58658057956927</v>
      </c>
      <c r="DC387" s="526">
        <f t="shared" si="1543"/>
        <v>676.28219589083756</v>
      </c>
      <c r="DD387" s="526">
        <f t="shared" si="1544"/>
        <v>762.15558920593026</v>
      </c>
      <c r="DE387" s="526">
        <f t="shared" si="1545"/>
        <v>842.78047276425718</v>
      </c>
      <c r="DF387" s="526">
        <f t="shared" si="1546"/>
        <v>914.84258850994547</v>
      </c>
      <c r="DG387" s="526">
        <f t="shared" si="1547"/>
        <v>976.99501688912733</v>
      </c>
      <c r="DH387" s="526">
        <f t="shared" si="1548"/>
        <v>1031.7495220995525</v>
      </c>
      <c r="DI387" s="526">
        <f t="shared" si="1549"/>
        <v>1086.8413640166591</v>
      </c>
    </row>
    <row r="388" spans="1:116" ht="12" hidden="1" outlineLevel="2">
      <c r="A388" s="1" t="s">
        <v>990</v>
      </c>
      <c r="B388" s="19" t="s">
        <v>526</v>
      </c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4">
        <f t="shared" ref="AP388:AR388" si="1565">AP389-AP387</f>
        <v>0</v>
      </c>
      <c r="AQ388" s="44">
        <f t="shared" si="1565"/>
        <v>0</v>
      </c>
      <c r="AR388" s="44">
        <f t="shared" si="1565"/>
        <v>0</v>
      </c>
      <c r="AS388" s="44">
        <f t="shared" ref="AS388:AT388" si="1566">AS389-AS387</f>
        <v>0</v>
      </c>
      <c r="AT388" s="44">
        <f t="shared" si="1566"/>
        <v>0</v>
      </c>
      <c r="AU388" s="44">
        <f t="shared" ref="AU388:AV388" si="1567">AU389-AU387</f>
        <v>0</v>
      </c>
      <c r="AV388" s="44">
        <f t="shared" si="1567"/>
        <v>0</v>
      </c>
      <c r="AW388" s="44">
        <f t="shared" ref="AW388:AX388" si="1568">AW389-AW387</f>
        <v>0</v>
      </c>
      <c r="AX388" s="44">
        <f t="shared" si="1568"/>
        <v>0</v>
      </c>
      <c r="AY388" s="46">
        <v>0</v>
      </c>
      <c r="AZ388" s="531">
        <v>0</v>
      </c>
      <c r="BA388" s="46">
        <v>0</v>
      </c>
      <c r="BB388" s="46">
        <v>0</v>
      </c>
      <c r="BC388" s="46">
        <v>0</v>
      </c>
      <c r="BD388" s="46">
        <v>0</v>
      </c>
      <c r="BE388" s="46">
        <v>0</v>
      </c>
      <c r="BF388" s="46">
        <v>0</v>
      </c>
      <c r="BG388" s="46">
        <v>0</v>
      </c>
      <c r="BH388" s="46">
        <v>0</v>
      </c>
      <c r="BI388" s="46">
        <v>0</v>
      </c>
      <c r="BJ388" s="46">
        <v>0</v>
      </c>
      <c r="BK388" s="46">
        <v>0</v>
      </c>
      <c r="BL388" s="46">
        <v>0</v>
      </c>
      <c r="BM388" s="46">
        <v>0</v>
      </c>
      <c r="BN388" s="46">
        <v>0</v>
      </c>
      <c r="BO388" s="46">
        <v>0</v>
      </c>
      <c r="BP388" s="46">
        <v>0</v>
      </c>
      <c r="BQ388" s="46">
        <v>0</v>
      </c>
      <c r="BR388" s="44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4">
        <f t="shared" ref="CT388:CU388" si="1569">CT389-CT387</f>
        <v>0</v>
      </c>
      <c r="CU388" s="44">
        <f t="shared" si="1569"/>
        <v>0</v>
      </c>
      <c r="CV388" s="44">
        <f t="shared" si="1559"/>
        <v>0</v>
      </c>
      <c r="CW388" s="44">
        <f t="shared" si="1537"/>
        <v>0</v>
      </c>
      <c r="CX388" s="44">
        <f t="shared" si="1538"/>
        <v>0</v>
      </c>
      <c r="CY388" s="44">
        <f t="shared" si="1539"/>
        <v>0</v>
      </c>
      <c r="CZ388" s="45">
        <f t="shared" si="1540"/>
        <v>0</v>
      </c>
      <c r="DA388" s="44">
        <f t="shared" si="1541"/>
        <v>0</v>
      </c>
      <c r="DB388" s="44">
        <f t="shared" si="1542"/>
        <v>0</v>
      </c>
      <c r="DC388" s="44">
        <f t="shared" si="1543"/>
        <v>0</v>
      </c>
      <c r="DD388" s="44">
        <f t="shared" si="1544"/>
        <v>0</v>
      </c>
      <c r="DE388" s="44">
        <f t="shared" si="1545"/>
        <v>0</v>
      </c>
      <c r="DF388" s="44">
        <f t="shared" si="1546"/>
        <v>0</v>
      </c>
      <c r="DG388" s="44">
        <f t="shared" si="1547"/>
        <v>0</v>
      </c>
      <c r="DH388" s="44">
        <f t="shared" si="1548"/>
        <v>0</v>
      </c>
      <c r="DI388" s="44">
        <f t="shared" si="1549"/>
        <v>0</v>
      </c>
    </row>
    <row r="389" spans="1:116" s="24" customFormat="1" ht="12" hidden="1" outlineLevel="2">
      <c r="A389" s="1" t="s">
        <v>991</v>
      </c>
      <c r="B389" s="24" t="s">
        <v>527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21">
        <f>55.5-20.5</f>
        <v>35</v>
      </c>
      <c r="AQ389" s="521">
        <f>70.9-21.4</f>
        <v>49.500000000000007</v>
      </c>
      <c r="AR389" s="521">
        <f>99-25.5</f>
        <v>73.5</v>
      </c>
      <c r="AS389" s="521">
        <f>122.9-26.6</f>
        <v>96.300000000000011</v>
      </c>
      <c r="AT389" s="521">
        <f>241.8-78.8</f>
        <v>163</v>
      </c>
      <c r="AU389" s="521">
        <f>332.4-147.8</f>
        <v>184.59999999999997</v>
      </c>
      <c r="AV389" s="521">
        <f>432.2-237</f>
        <v>195.2</v>
      </c>
      <c r="AW389" s="521">
        <v>190.8</v>
      </c>
      <c r="AX389" s="521">
        <v>193</v>
      </c>
      <c r="AY389" s="526">
        <f t="shared" ref="AY389:BI389" si="1570">AY387+AY388</f>
        <v>214.30000000000004</v>
      </c>
      <c r="AZ389" s="524">
        <f t="shared" si="1570"/>
        <v>235.49999999999997</v>
      </c>
      <c r="BA389" s="526">
        <f t="shared" si="1570"/>
        <v>261.15588082654779</v>
      </c>
      <c r="BB389" s="526">
        <f t="shared" si="1570"/>
        <v>285.68511339748289</v>
      </c>
      <c r="BC389" s="526">
        <f t="shared" si="1570"/>
        <v>302.90146718208632</v>
      </c>
      <c r="BD389" s="526">
        <f t="shared" si="1570"/>
        <v>327.97696527638948</v>
      </c>
      <c r="BE389" s="526">
        <f t="shared" si="1570"/>
        <v>348.30523061444808</v>
      </c>
      <c r="BF389" s="526">
        <f t="shared" si="1570"/>
        <v>372.27063545708097</v>
      </c>
      <c r="BG389" s="526">
        <f t="shared" si="1570"/>
        <v>389.88495374884923</v>
      </c>
      <c r="BH389" s="526">
        <f t="shared" si="1570"/>
        <v>413.76685310335176</v>
      </c>
      <c r="BI389" s="526">
        <f t="shared" si="1570"/>
        <v>429.01361966090548</v>
      </c>
      <c r="BJ389" s="526">
        <f t="shared" ref="BJ389:BK389" si="1571">BJ387+BJ388</f>
        <v>450.9798731577124</v>
      </c>
      <c r="BK389" s="526">
        <f t="shared" si="1571"/>
        <v>463.86271535223307</v>
      </c>
      <c r="BL389" s="526">
        <f t="shared" ref="BL389:BM389" si="1572">BL387+BL388</f>
        <v>482.29466512159991</v>
      </c>
      <c r="BM389" s="526">
        <f t="shared" si="1572"/>
        <v>494.70035176752748</v>
      </c>
      <c r="BN389" s="526">
        <f t="shared" ref="BN389:BO389" si="1573">BN387+BN388</f>
        <v>511.9115465984645</v>
      </c>
      <c r="BO389" s="526">
        <f t="shared" si="1573"/>
        <v>519.83797550108784</v>
      </c>
      <c r="BP389" s="526">
        <f t="shared" ref="BP389:BQ389" si="1574">BP387+BP388</f>
        <v>539.26519432584416</v>
      </c>
      <c r="BQ389" s="526">
        <f t="shared" si="1574"/>
        <v>547.57616969081505</v>
      </c>
      <c r="BR389" s="526"/>
      <c r="BS389" s="54"/>
      <c r="BT389" s="54"/>
      <c r="BU389" s="54"/>
      <c r="BV389" s="54"/>
      <c r="BW389" s="54"/>
      <c r="BX389" s="54"/>
      <c r="BY389" s="54"/>
      <c r="BZ389" s="54"/>
      <c r="CA389" s="54"/>
      <c r="CB389" s="54"/>
      <c r="CC389" s="55"/>
      <c r="CD389" s="55"/>
      <c r="CE389" s="55"/>
      <c r="CF389" s="55"/>
      <c r="CG389" s="55"/>
      <c r="CH389" s="55"/>
      <c r="CI389" s="55"/>
      <c r="CJ389" s="55"/>
      <c r="CK389" s="55"/>
      <c r="CL389" s="55"/>
      <c r="CM389" s="55"/>
      <c r="CN389" s="55"/>
      <c r="CO389" s="55"/>
      <c r="CP389" s="55"/>
      <c r="CQ389" s="55"/>
      <c r="CR389" s="55"/>
      <c r="CS389" s="55"/>
      <c r="CT389" s="521">
        <v>0.85799999999999998</v>
      </c>
      <c r="CU389" s="521">
        <v>27.84</v>
      </c>
      <c r="CV389" s="526">
        <f t="shared" si="1559"/>
        <v>84.5</v>
      </c>
      <c r="CW389" s="526">
        <f t="shared" ref="CW389:DF389" si="1575">CW387+CW388</f>
        <v>169.8</v>
      </c>
      <c r="CX389" s="526">
        <f t="shared" si="1575"/>
        <v>347.6</v>
      </c>
      <c r="CY389" s="526">
        <f t="shared" si="1575"/>
        <v>386</v>
      </c>
      <c r="CZ389" s="524">
        <f t="shared" si="1575"/>
        <v>407.30000000000007</v>
      </c>
      <c r="DA389" s="526">
        <f t="shared" si="1575"/>
        <v>496.65588082654779</v>
      </c>
      <c r="DB389" s="526">
        <f t="shared" si="1575"/>
        <v>588.58658057956927</v>
      </c>
      <c r="DC389" s="526">
        <f t="shared" si="1575"/>
        <v>676.28219589083756</v>
      </c>
      <c r="DD389" s="526">
        <f t="shared" si="1575"/>
        <v>762.15558920593026</v>
      </c>
      <c r="DE389" s="526">
        <f t="shared" si="1575"/>
        <v>842.78047276425718</v>
      </c>
      <c r="DF389" s="526">
        <f t="shared" si="1575"/>
        <v>914.84258850994547</v>
      </c>
      <c r="DG389" s="526">
        <f t="shared" ref="DG389:DH389" si="1576">DG387+DG388</f>
        <v>976.99501688912733</v>
      </c>
      <c r="DH389" s="526">
        <f t="shared" si="1576"/>
        <v>1031.7495220995525</v>
      </c>
      <c r="DI389" s="526">
        <f t="shared" ref="DI389" si="1577">DI387+DI388</f>
        <v>1086.8413640166591</v>
      </c>
    </row>
    <row r="390" spans="1:116" ht="12" hidden="1" outlineLevel="1" collapsed="1"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675"/>
      <c r="AZ390" s="690">
        <f>AZ381-[3]JDO!M$10</f>
        <v>0</v>
      </c>
      <c r="BA390" s="675">
        <f>BA381-[3]JDO!N$10</f>
        <v>0</v>
      </c>
      <c r="BB390" s="675">
        <f>BB381-[3]JDO!O$10</f>
        <v>0</v>
      </c>
      <c r="BC390" s="675">
        <f>BC381-[3]JDO!P$10</f>
        <v>0</v>
      </c>
      <c r="BD390" s="675">
        <f>BD381-[3]JDO!Q$10</f>
        <v>0</v>
      </c>
      <c r="BE390" s="675">
        <f>BE381-[3]JDO!R$10</f>
        <v>0</v>
      </c>
      <c r="BF390" s="675">
        <f>BF381-[3]JDO!S$10</f>
        <v>0</v>
      </c>
      <c r="BG390" s="675">
        <f>BG381-[3]JDO!T$10</f>
        <v>0</v>
      </c>
      <c r="BH390" s="675">
        <f>BH381-[3]JDO!U$10</f>
        <v>0</v>
      </c>
      <c r="BI390" s="675">
        <f>BI381-[3]JDO!V$10</f>
        <v>0</v>
      </c>
      <c r="BJ390" s="675">
        <f>BJ381-[3]JDO!W$10</f>
        <v>0</v>
      </c>
      <c r="BK390" s="675">
        <f>BK381-[3]JDO!X$10</f>
        <v>0</v>
      </c>
      <c r="BL390" s="675">
        <f>BL381-[3]JDO!Y$10</f>
        <v>0</v>
      </c>
      <c r="BM390" s="675">
        <f>BM381-[3]JDO!Z$10</f>
        <v>0</v>
      </c>
      <c r="BN390" s="675">
        <f>BN381-[3]JDO!AA$10</f>
        <v>0</v>
      </c>
      <c r="BO390" s="675">
        <f>BO381-[3]JDO!AB$10</f>
        <v>0</v>
      </c>
      <c r="BP390" s="675">
        <f>BP381-[3]JDO!AC$10</f>
        <v>0</v>
      </c>
      <c r="BQ390" s="675">
        <f>BQ381-[3]JDO!AD$10</f>
        <v>0</v>
      </c>
      <c r="BR390" s="44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5"/>
      <c r="DA390" s="44"/>
      <c r="DB390" s="44"/>
      <c r="DC390" s="529"/>
      <c r="DD390" s="529"/>
      <c r="DE390" s="529"/>
      <c r="DF390" s="529"/>
      <c r="DG390" s="529"/>
      <c r="DH390" s="529"/>
      <c r="DI390" s="529"/>
    </row>
    <row r="391" spans="1:116" s="5" customFormat="1" ht="12.95" hidden="1" customHeight="1" outlineLevel="1">
      <c r="A391" s="60"/>
      <c r="B391" s="6" t="s">
        <v>640</v>
      </c>
      <c r="C391" s="584"/>
      <c r="D391" s="584"/>
      <c r="E391" s="584"/>
      <c r="F391" s="584"/>
      <c r="G391" s="584"/>
      <c r="H391" s="584"/>
      <c r="I391" s="584"/>
      <c r="J391" s="584"/>
      <c r="K391" s="584"/>
      <c r="L391" s="584"/>
      <c r="M391" s="584"/>
      <c r="N391" s="584"/>
      <c r="O391" s="584"/>
      <c r="P391" s="584"/>
      <c r="Q391" s="584"/>
      <c r="R391" s="584"/>
      <c r="S391" s="584"/>
      <c r="T391" s="515"/>
      <c r="U391" s="584"/>
      <c r="V391" s="584"/>
      <c r="W391" s="584"/>
      <c r="X391" s="584"/>
      <c r="Y391" s="515"/>
      <c r="Z391" s="515"/>
      <c r="AA391" s="515"/>
      <c r="AB391" s="515"/>
      <c r="AC391" s="515"/>
      <c r="AD391" s="515"/>
      <c r="AE391" s="515"/>
      <c r="AF391" s="515"/>
      <c r="AG391" s="515"/>
      <c r="AH391" s="515"/>
      <c r="AI391" s="515"/>
      <c r="AJ391" s="515"/>
      <c r="AK391" s="515"/>
      <c r="AL391" s="515"/>
      <c r="AM391" s="515"/>
      <c r="AN391" s="515"/>
      <c r="AO391" s="515"/>
      <c r="AP391" s="516" t="str">
        <f t="shared" ref="AP391:AR391" si="1578">IF(ROUND(AP381,5)=ROUND(AP377+AP354,5),"Ok","Error")</f>
        <v>Ok</v>
      </c>
      <c r="AQ391" s="516" t="str">
        <f t="shared" si="1578"/>
        <v>Ok</v>
      </c>
      <c r="AR391" s="516" t="str">
        <f t="shared" si="1578"/>
        <v>Ok</v>
      </c>
      <c r="AS391" s="516" t="str">
        <f t="shared" ref="AS391:AT391" si="1579">IF(ROUND(AS381,5)=ROUND(AS377+AS354,5),"Ok","Error")</f>
        <v>Ok</v>
      </c>
      <c r="AT391" s="516" t="str">
        <f t="shared" si="1579"/>
        <v>Ok</v>
      </c>
      <c r="AU391" s="516" t="str">
        <f t="shared" ref="AU391:AV391" si="1580">IF(ROUND(AU381,5)=ROUND(AU377+AU354,5),"Ok","Error")</f>
        <v>Ok</v>
      </c>
      <c r="AV391" s="516" t="str">
        <f t="shared" si="1580"/>
        <v>Ok</v>
      </c>
      <c r="AW391" s="516" t="str">
        <f t="shared" ref="AW391:AX391" si="1581">IF(ROUND(AW381,5)=ROUND(AW377+AW354,5),"Ok","Error")</f>
        <v>Ok</v>
      </c>
      <c r="AX391" s="516" t="str">
        <f t="shared" si="1581"/>
        <v>Ok</v>
      </c>
      <c r="AY391" s="621" t="str">
        <f t="shared" ref="AY391:BI391" si="1582">IF(ROUND(AY381,5)=ROUND(AY377+AY354,5),"Ok","Error")</f>
        <v>Ok</v>
      </c>
      <c r="AZ391" s="589" t="str">
        <f t="shared" si="1582"/>
        <v>Ok</v>
      </c>
      <c r="BA391" s="590" t="str">
        <f t="shared" si="1582"/>
        <v>Ok</v>
      </c>
      <c r="BB391" s="590" t="str">
        <f t="shared" si="1582"/>
        <v>Ok</v>
      </c>
      <c r="BC391" s="590" t="str">
        <f t="shared" si="1582"/>
        <v>Ok</v>
      </c>
      <c r="BD391" s="590" t="str">
        <f t="shared" si="1582"/>
        <v>Ok</v>
      </c>
      <c r="BE391" s="590" t="str">
        <f t="shared" si="1582"/>
        <v>Ok</v>
      </c>
      <c r="BF391" s="590" t="str">
        <f t="shared" si="1582"/>
        <v>Ok</v>
      </c>
      <c r="BG391" s="590" t="str">
        <f t="shared" si="1582"/>
        <v>Ok</v>
      </c>
      <c r="BH391" s="590" t="str">
        <f t="shared" si="1582"/>
        <v>Ok</v>
      </c>
      <c r="BI391" s="590" t="str">
        <f t="shared" si="1582"/>
        <v>Ok</v>
      </c>
      <c r="BJ391" s="590" t="str">
        <f t="shared" ref="BJ391:BK391" si="1583">IF(ROUND(BJ381,5)=ROUND(BJ377+BJ354,5),"Ok","Error")</f>
        <v>Ok</v>
      </c>
      <c r="BK391" s="590" t="str">
        <f t="shared" si="1583"/>
        <v>Ok</v>
      </c>
      <c r="BL391" s="590" t="str">
        <f t="shared" ref="BL391:BM391" si="1584">IF(ROUND(BL381,5)=ROUND(BL377+BL354,5),"Ok","Error")</f>
        <v>Ok</v>
      </c>
      <c r="BM391" s="590" t="str">
        <f t="shared" si="1584"/>
        <v>Ok</v>
      </c>
      <c r="BN391" s="590" t="str">
        <f t="shared" ref="BN391:BO391" si="1585">IF(ROUND(BN381,5)=ROUND(BN377+BN354,5),"Ok","Error")</f>
        <v>Ok</v>
      </c>
      <c r="BO391" s="590" t="str">
        <f t="shared" si="1585"/>
        <v>Ok</v>
      </c>
      <c r="BP391" s="590" t="str">
        <f t="shared" ref="BP391:BQ391" si="1586">IF(ROUND(BP381,5)=ROUND(BP377+BP354,5),"Ok","Error")</f>
        <v>Ok</v>
      </c>
      <c r="BQ391" s="590" t="str">
        <f t="shared" si="1586"/>
        <v>Ok</v>
      </c>
      <c r="BR391" s="599"/>
      <c r="BS391" s="418"/>
      <c r="BT391" s="418"/>
      <c r="BU391" s="418"/>
      <c r="BV391" s="418"/>
      <c r="BW391" s="418"/>
      <c r="BX391" s="418"/>
      <c r="BY391" s="418"/>
      <c r="BZ391" s="418"/>
      <c r="CA391" s="418"/>
      <c r="CB391" s="418"/>
      <c r="CC391" s="418"/>
      <c r="CD391" s="418"/>
      <c r="CE391" s="418"/>
      <c r="CF391" s="418"/>
      <c r="CG391" s="418"/>
      <c r="CH391" s="418"/>
      <c r="CI391" s="418"/>
      <c r="CJ391" s="418"/>
      <c r="CK391" s="418"/>
      <c r="CL391" s="418"/>
      <c r="CM391" s="516"/>
      <c r="CN391" s="516"/>
      <c r="CO391" s="516"/>
      <c r="CP391" s="516"/>
      <c r="CQ391" s="516"/>
      <c r="CR391" s="516"/>
      <c r="CS391" s="516"/>
      <c r="CT391" s="516" t="e">
        <f t="shared" ref="CT391:DF391" si="1587">IF(ROUND(CT381,5)=ROUND(CT377+CT354,5),"Ok","Error")</f>
        <v>#VALUE!</v>
      </c>
      <c r="CU391" s="516" t="str">
        <f t="shared" si="1587"/>
        <v>Ok</v>
      </c>
      <c r="CV391" s="516" t="str">
        <f t="shared" si="1587"/>
        <v>Ok</v>
      </c>
      <c r="CW391" s="516" t="str">
        <f t="shared" si="1587"/>
        <v>Ok</v>
      </c>
      <c r="CX391" s="516" t="str">
        <f t="shared" si="1587"/>
        <v>Ok</v>
      </c>
      <c r="CY391" s="516" t="str">
        <f t="shared" si="1587"/>
        <v>Ok</v>
      </c>
      <c r="CZ391" s="589" t="str">
        <f t="shared" si="1587"/>
        <v>Ok</v>
      </c>
      <c r="DA391" s="590" t="str">
        <f t="shared" si="1587"/>
        <v>Ok</v>
      </c>
      <c r="DB391" s="590" t="str">
        <f t="shared" si="1587"/>
        <v>Ok</v>
      </c>
      <c r="DC391" s="590" t="str">
        <f t="shared" si="1587"/>
        <v>Ok</v>
      </c>
      <c r="DD391" s="590" t="str">
        <f t="shared" si="1587"/>
        <v>Ok</v>
      </c>
      <c r="DE391" s="590" t="str">
        <f t="shared" si="1587"/>
        <v>Ok</v>
      </c>
      <c r="DF391" s="590" t="str">
        <f t="shared" si="1587"/>
        <v>Ok</v>
      </c>
      <c r="DG391" s="590" t="str">
        <f t="shared" ref="DG391:DH391" si="1588">IF(ROUND(DG381,5)=ROUND(DG377+DG354,5),"Ok","Error")</f>
        <v>Ok</v>
      </c>
      <c r="DH391" s="590" t="str">
        <f t="shared" si="1588"/>
        <v>Ok</v>
      </c>
      <c r="DI391" s="590" t="str">
        <f t="shared" ref="DI391" si="1589">IF(ROUND(DI381,5)=ROUND(DI377+DI354,5),"Ok","Error")</f>
        <v>Ok</v>
      </c>
    </row>
    <row r="392" spans="1:116" ht="12" collapsed="1"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4"/>
      <c r="AZ392" s="45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  <c r="BL392" s="44"/>
      <c r="BM392" s="44"/>
      <c r="BN392" s="44"/>
      <c r="BO392" s="44"/>
      <c r="BP392" s="44"/>
      <c r="BQ392" s="44"/>
      <c r="BR392" s="44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5"/>
      <c r="DA392" s="44"/>
      <c r="DB392" s="44"/>
      <c r="DC392" s="529"/>
      <c r="DD392" s="529"/>
      <c r="DE392" s="529"/>
      <c r="DF392" s="529"/>
      <c r="DG392" s="529"/>
      <c r="DH392" s="529"/>
      <c r="DI392" s="529"/>
    </row>
    <row r="393" spans="1:116" s="36" customFormat="1" ht="12" collapsed="1">
      <c r="A393" s="1" t="s">
        <v>992</v>
      </c>
      <c r="B393" s="2" t="s">
        <v>641</v>
      </c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27">
        <f t="shared" ref="AP393:AR393" si="1590">AP408</f>
        <v>4.7</v>
      </c>
      <c r="AQ393" s="527">
        <f t="shared" si="1590"/>
        <v>0.6</v>
      </c>
      <c r="AR393" s="527">
        <f t="shared" si="1590"/>
        <v>0.4</v>
      </c>
      <c r="AS393" s="527">
        <f t="shared" ref="AS393:AT393" si="1591">AS408</f>
        <v>2.8</v>
      </c>
      <c r="AT393" s="527">
        <f t="shared" si="1591"/>
        <v>2.2000000000000002</v>
      </c>
      <c r="AU393" s="527">
        <f t="shared" ref="AU393:AV393" si="1592">AU408</f>
        <v>3.2</v>
      </c>
      <c r="AV393" s="527">
        <f t="shared" si="1592"/>
        <v>4.8</v>
      </c>
      <c r="AW393" s="527">
        <f t="shared" ref="AW393:AX393" si="1593">AW408</f>
        <v>5.9</v>
      </c>
      <c r="AX393" s="527">
        <f t="shared" si="1593"/>
        <v>7.9</v>
      </c>
      <c r="AY393" s="527">
        <f t="shared" ref="AY393:BI393" si="1594">AY408</f>
        <v>7.7</v>
      </c>
      <c r="AZ393" s="528">
        <f t="shared" si="1594"/>
        <v>10.199999999999999</v>
      </c>
      <c r="BA393" s="527">
        <f t="shared" si="1594"/>
        <v>10.8325036773367</v>
      </c>
      <c r="BB393" s="527">
        <f t="shared" si="1594"/>
        <v>11.710696218188383</v>
      </c>
      <c r="BC393" s="527">
        <f t="shared" si="1594"/>
        <v>12.390245868703353</v>
      </c>
      <c r="BD393" s="527">
        <f t="shared" si="1594"/>
        <v>13.355998128505872</v>
      </c>
      <c r="BE393" s="527">
        <f t="shared" si="1594"/>
        <v>14.167118264663891</v>
      </c>
      <c r="BF393" s="527">
        <f t="shared" si="1594"/>
        <v>15.260039237665067</v>
      </c>
      <c r="BG393" s="527">
        <f t="shared" si="1594"/>
        <v>16.095876358543009</v>
      </c>
      <c r="BH393" s="527">
        <f t="shared" si="1594"/>
        <v>17.318841833766605</v>
      </c>
      <c r="BI393" s="527">
        <f t="shared" si="1594"/>
        <v>18.172488944251963</v>
      </c>
      <c r="BJ393" s="527">
        <f t="shared" ref="BJ393:BK393" si="1595">BJ408</f>
        <v>19.457898066937254</v>
      </c>
      <c r="BK393" s="527">
        <f t="shared" si="1595"/>
        <v>20.301831993768669</v>
      </c>
      <c r="BL393" s="527">
        <f t="shared" ref="BL393:BM393" si="1596">BL408</f>
        <v>20.809086304405817</v>
      </c>
      <c r="BM393" s="527">
        <f t="shared" si="1596"/>
        <v>20.899216951235374</v>
      </c>
      <c r="BN393" s="527">
        <f t="shared" ref="BN393:BO393" si="1597">BN408</f>
        <v>21.324775462048557</v>
      </c>
      <c r="BO393" s="527">
        <f t="shared" si="1597"/>
        <v>21.27409203786506</v>
      </c>
      <c r="BP393" s="527">
        <f t="shared" ref="BP393:BQ393" si="1598">BP408</f>
        <v>21.719418263788853</v>
      </c>
      <c r="BQ393" s="527">
        <f t="shared" si="1598"/>
        <v>21.680084535004319</v>
      </c>
      <c r="BR393" s="527"/>
      <c r="BS393" s="52"/>
      <c r="BT393" s="52"/>
      <c r="BU393" s="52"/>
      <c r="BV393" s="52"/>
      <c r="BW393" s="52"/>
      <c r="BX393" s="52"/>
      <c r="BY393" s="52"/>
      <c r="BZ393" s="52"/>
      <c r="CA393" s="52"/>
      <c r="CB393" s="52"/>
      <c r="CC393" s="52"/>
      <c r="CD393" s="52"/>
      <c r="CE393" s="52"/>
      <c r="CF393" s="52"/>
      <c r="CG393" s="52"/>
      <c r="CH393" s="52"/>
      <c r="CI393" s="52"/>
      <c r="CJ393" s="52"/>
      <c r="CK393" s="52"/>
      <c r="CL393" s="52"/>
      <c r="CM393" s="52"/>
      <c r="CN393" s="52"/>
      <c r="CO393" s="52"/>
      <c r="CP393" s="52"/>
      <c r="CQ393" s="52"/>
      <c r="CR393" s="52"/>
      <c r="CS393" s="52"/>
      <c r="CT393" s="527">
        <f t="shared" ref="CT393:DF393" si="1599">CT408</f>
        <v>0.498</v>
      </c>
      <c r="CU393" s="527">
        <f t="shared" si="1599"/>
        <v>0.41599999999999998</v>
      </c>
      <c r="CV393" s="527">
        <f t="shared" si="1599"/>
        <v>5.3</v>
      </c>
      <c r="CW393" s="527">
        <f t="shared" si="1599"/>
        <v>3.1999999999999997</v>
      </c>
      <c r="CX393" s="527">
        <f t="shared" si="1599"/>
        <v>5.4</v>
      </c>
      <c r="CY393" s="527">
        <f t="shared" si="1599"/>
        <v>10.7</v>
      </c>
      <c r="CZ393" s="528">
        <f t="shared" si="1599"/>
        <v>15.600000000000001</v>
      </c>
      <c r="DA393" s="527">
        <f t="shared" si="1599"/>
        <v>21.032503677336699</v>
      </c>
      <c r="DB393" s="527">
        <f t="shared" si="1599"/>
        <v>24.100942086891735</v>
      </c>
      <c r="DC393" s="527">
        <f t="shared" si="1599"/>
        <v>27.523116393169765</v>
      </c>
      <c r="DD393" s="527">
        <f t="shared" si="1599"/>
        <v>31.355915596208078</v>
      </c>
      <c r="DE393" s="527">
        <f t="shared" si="1599"/>
        <v>35.491330778018565</v>
      </c>
      <c r="DF393" s="527">
        <f t="shared" si="1599"/>
        <v>39.75973006070592</v>
      </c>
      <c r="DG393" s="527">
        <f t="shared" ref="DG393:DH393" si="1600">DG408</f>
        <v>41.708303255641191</v>
      </c>
      <c r="DH393" s="527">
        <f t="shared" si="1600"/>
        <v>42.598867499913617</v>
      </c>
      <c r="DI393" s="527">
        <f t="shared" ref="DI393" si="1601">DI408</f>
        <v>43.399502798793172</v>
      </c>
    </row>
    <row r="394" spans="1:116" ht="12" hidden="1" outlineLevel="1"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388"/>
      <c r="AA394" s="42"/>
      <c r="AB394" s="95"/>
      <c r="AC394" s="95"/>
      <c r="AD394" s="42"/>
      <c r="AE394" s="388"/>
      <c r="AF394" s="388"/>
      <c r="AG394" s="42"/>
      <c r="AH394" s="42"/>
      <c r="AI394" s="42"/>
      <c r="AJ394" s="42"/>
      <c r="AK394" s="42"/>
      <c r="AL394" s="42"/>
      <c r="AM394" s="42"/>
      <c r="AN394" s="42"/>
      <c r="AO394" s="42"/>
      <c r="AP394" s="172"/>
      <c r="AQ394" s="172"/>
      <c r="AR394" s="172"/>
      <c r="AS394" s="172"/>
      <c r="AT394" s="172"/>
      <c r="AU394" s="172"/>
      <c r="AV394" s="172"/>
      <c r="AW394" s="172"/>
      <c r="AX394" s="172"/>
      <c r="AY394" s="44"/>
      <c r="AZ394" s="45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  <c r="BL394" s="44"/>
      <c r="BM394" s="44"/>
      <c r="BN394" s="44"/>
      <c r="BO394" s="44"/>
      <c r="BP394" s="44"/>
      <c r="BQ394" s="44"/>
      <c r="BR394" s="44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172"/>
      <c r="CR394" s="172"/>
      <c r="CS394" s="172"/>
      <c r="CT394" s="172"/>
      <c r="CU394" s="42"/>
      <c r="CV394" s="172"/>
      <c r="CW394" s="172"/>
      <c r="CX394" s="172"/>
      <c r="CY394" s="172"/>
      <c r="CZ394" s="573"/>
      <c r="DA394" s="574"/>
      <c r="DB394" s="44"/>
      <c r="DC394" s="529"/>
      <c r="DD394" s="529"/>
      <c r="DE394" s="529"/>
      <c r="DF394" s="529"/>
      <c r="DG394" s="529"/>
      <c r="DH394" s="529"/>
      <c r="DI394" s="529"/>
    </row>
    <row r="395" spans="1:116" ht="12" hidden="1" outlineLevel="1">
      <c r="A395" s="1" t="s">
        <v>993</v>
      </c>
      <c r="B395" s="19" t="s">
        <v>533</v>
      </c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525">
        <v>0</v>
      </c>
      <c r="AQ395" s="525">
        <v>0</v>
      </c>
      <c r="AR395" s="525">
        <v>0</v>
      </c>
      <c r="AS395" s="525">
        <v>0</v>
      </c>
      <c r="AT395" s="525">
        <v>0</v>
      </c>
      <c r="AU395" s="525">
        <v>0</v>
      </c>
      <c r="AV395" s="525">
        <v>0</v>
      </c>
      <c r="AW395" s="525">
        <v>0</v>
      </c>
      <c r="AX395" s="525">
        <v>0</v>
      </c>
      <c r="AY395" s="525">
        <v>0</v>
      </c>
      <c r="AZ395" s="523">
        <v>0</v>
      </c>
      <c r="BA395" s="44">
        <f t="shared" ref="BA395:BG395" si="1602">BA84*(BA233+BA235)/BA$5</f>
        <v>0</v>
      </c>
      <c r="BB395" s="44">
        <f t="shared" si="1602"/>
        <v>0</v>
      </c>
      <c r="BC395" s="44">
        <f t="shared" si="1602"/>
        <v>0</v>
      </c>
      <c r="BD395" s="44">
        <f t="shared" si="1602"/>
        <v>0</v>
      </c>
      <c r="BE395" s="44">
        <f t="shared" si="1602"/>
        <v>0</v>
      </c>
      <c r="BF395" s="44">
        <f t="shared" si="1602"/>
        <v>0</v>
      </c>
      <c r="BG395" s="44">
        <f t="shared" si="1602"/>
        <v>0</v>
      </c>
      <c r="BH395" s="44">
        <f>BH84*(BH233+BH235)/BH$5</f>
        <v>0</v>
      </c>
      <c r="BI395" s="44">
        <f t="shared" ref="BI395:BK395" si="1603">BI84*(BI233+BI235)/BI$5</f>
        <v>0</v>
      </c>
      <c r="BJ395" s="44">
        <f>BJ84*(BJ233+BJ235)/BJ$5</f>
        <v>0</v>
      </c>
      <c r="BK395" s="44">
        <f t="shared" si="1603"/>
        <v>0</v>
      </c>
      <c r="BL395" s="44">
        <f>BL84*(BL233+BL235)/BL$5</f>
        <v>0</v>
      </c>
      <c r="BM395" s="44">
        <f t="shared" ref="BM395:BO395" si="1604">BM84*(BM233+BM235)/BM$5</f>
        <v>0</v>
      </c>
      <c r="BN395" s="44">
        <f>BN84*(BN233+BN235)/BN$5</f>
        <v>0</v>
      </c>
      <c r="BO395" s="44">
        <f t="shared" si="1604"/>
        <v>0</v>
      </c>
      <c r="BP395" s="44">
        <f>BP84*(BP233+BP235)/BP$5</f>
        <v>0</v>
      </c>
      <c r="BQ395" s="44">
        <f t="shared" ref="BQ395" si="1605">BQ84*(BQ233+BQ235)/BQ$5</f>
        <v>0</v>
      </c>
      <c r="BR395" s="44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525">
        <v>0</v>
      </c>
      <c r="CU395" s="525">
        <v>0</v>
      </c>
      <c r="CV395" s="44">
        <f t="shared" ref="CV395:CV416" si="1606">SUM(AP395:AQ395)</f>
        <v>0</v>
      </c>
      <c r="CW395" s="44">
        <f t="shared" ref="CW395:CW401" si="1607">SUM(AR395:AS395)</f>
        <v>0</v>
      </c>
      <c r="CX395" s="44">
        <f t="shared" ref="CX395:CX401" si="1608">SUM(AT395:AU395)</f>
        <v>0</v>
      </c>
      <c r="CY395" s="44">
        <f t="shared" ref="CY395:CY401" si="1609">SUM(AV395:AW395)</f>
        <v>0</v>
      </c>
      <c r="CZ395" s="45">
        <f t="shared" ref="CZ395:CZ401" si="1610">SUM(AX395:AY395)</f>
        <v>0</v>
      </c>
      <c r="DA395" s="44">
        <f t="shared" ref="DA395:DA401" si="1611">SUM(AZ395:BA395)</f>
        <v>0</v>
      </c>
      <c r="DB395" s="44">
        <f t="shared" ref="DB395:DB401" si="1612">SUM(BB395:BC395)</f>
        <v>0</v>
      </c>
      <c r="DC395" s="44">
        <f t="shared" ref="DC395:DC401" si="1613">SUM(BD395:BE395)</f>
        <v>0</v>
      </c>
      <c r="DD395" s="44">
        <f t="shared" ref="DD395:DD401" si="1614">SUM(BF395:BG395)</f>
        <v>0</v>
      </c>
      <c r="DE395" s="44">
        <f t="shared" ref="DE395:DE401" si="1615">SUM(BH395:BI395)</f>
        <v>0</v>
      </c>
      <c r="DF395" s="44">
        <f t="shared" ref="DF395:DF401" si="1616">SUM(BJ395:BK395)</f>
        <v>0</v>
      </c>
      <c r="DG395" s="44">
        <f t="shared" ref="DG395:DG401" si="1617">SUM(BL395:BM395)</f>
        <v>0</v>
      </c>
      <c r="DH395" s="44">
        <f t="shared" ref="DH395:DH401" si="1618">SUM(BN395:BO395)</f>
        <v>0</v>
      </c>
      <c r="DI395" s="44">
        <f t="shared" ref="DI395:DI401" si="1619">SUM(BP395:BQ395)</f>
        <v>0</v>
      </c>
    </row>
    <row r="396" spans="1:116" ht="12" hidden="1" outlineLevel="1">
      <c r="A396" s="1" t="s">
        <v>994</v>
      </c>
      <c r="B396" s="19" t="s">
        <v>534</v>
      </c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525">
        <f>0.2+0.2</f>
        <v>0.4</v>
      </c>
      <c r="AQ396" s="525">
        <f>0.4+0.2</f>
        <v>0.60000000000000009</v>
      </c>
      <c r="AR396" s="525">
        <v>0.4</v>
      </c>
      <c r="AS396" s="525">
        <v>2.8</v>
      </c>
      <c r="AT396" s="525">
        <v>1.2</v>
      </c>
      <c r="AU396" s="525">
        <v>1.7</v>
      </c>
      <c r="AV396" s="525">
        <v>2.6</v>
      </c>
      <c r="AW396" s="525">
        <v>3.6</v>
      </c>
      <c r="AX396" s="525">
        <v>4.4000000000000004</v>
      </c>
      <c r="AY396" s="525">
        <v>4.8</v>
      </c>
      <c r="AZ396" s="523">
        <v>6.1</v>
      </c>
      <c r="BA396" s="44">
        <f t="shared" ref="BA396:BI396" si="1620">BA85/BA$5*BA259</f>
        <v>6.6095036773366989</v>
      </c>
      <c r="BB396" s="44">
        <f t="shared" si="1620"/>
        <v>7.3610062181883835</v>
      </c>
      <c r="BC396" s="44">
        <f t="shared" si="1620"/>
        <v>7.910065168703353</v>
      </c>
      <c r="BD396" s="44">
        <f t="shared" si="1620"/>
        <v>8.7414120075058719</v>
      </c>
      <c r="BE396" s="44">
        <f t="shared" si="1620"/>
        <v>9.4140945600338899</v>
      </c>
      <c r="BF396" s="44">
        <f t="shared" si="1620"/>
        <v>10.364424821896167</v>
      </c>
      <c r="BG396" s="44">
        <f t="shared" si="1620"/>
        <v>11.05339351030104</v>
      </c>
      <c r="BH396" s="44">
        <f t="shared" si="1620"/>
        <v>12.125084500077378</v>
      </c>
      <c r="BI396" s="44">
        <f t="shared" si="1620"/>
        <v>12.822918890552058</v>
      </c>
      <c r="BJ396" s="44">
        <f t="shared" ref="BJ396:BK396" si="1621">BJ85/BJ$5*BJ259</f>
        <v>13.947840911626351</v>
      </c>
      <c r="BK396" s="44">
        <f t="shared" si="1621"/>
        <v>14.626473123798441</v>
      </c>
      <c r="BL396" s="44">
        <f t="shared" ref="BL396:BM396" si="1622">BL85/BL$5*BL259</f>
        <v>14.96346666833648</v>
      </c>
      <c r="BM396" s="44">
        <f t="shared" si="1622"/>
        <v>14.878228726083956</v>
      </c>
      <c r="BN396" s="44">
        <f t="shared" ref="BN396:BO396" si="1623">BN85/BN$5*BN259</f>
        <v>15.123157590142599</v>
      </c>
      <c r="BO396" s="44">
        <f t="shared" si="1623"/>
        <v>14.88642562980192</v>
      </c>
      <c r="BP396" s="44">
        <f t="shared" ref="BP396:BQ396" si="1624">BP85/BP$5*BP259</f>
        <v>15.140121863483822</v>
      </c>
      <c r="BQ396" s="44">
        <f t="shared" si="1624"/>
        <v>14.903409242690135</v>
      </c>
      <c r="BR396" s="44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525">
        <f>CT414-CT407</f>
        <v>0.498</v>
      </c>
      <c r="CU396" s="525">
        <f t="shared" ref="CU396" si="1625">CU414-CU407</f>
        <v>0.41599999999999998</v>
      </c>
      <c r="CV396" s="44">
        <f t="shared" si="1606"/>
        <v>1</v>
      </c>
      <c r="CW396" s="44">
        <f t="shared" si="1607"/>
        <v>3.1999999999999997</v>
      </c>
      <c r="CX396" s="44">
        <f t="shared" si="1608"/>
        <v>2.9</v>
      </c>
      <c r="CY396" s="44">
        <f t="shared" si="1609"/>
        <v>6.2</v>
      </c>
      <c r="CZ396" s="45">
        <f t="shared" si="1610"/>
        <v>9.1999999999999993</v>
      </c>
      <c r="DA396" s="44">
        <f t="shared" si="1611"/>
        <v>12.709503677336699</v>
      </c>
      <c r="DB396" s="44">
        <f t="shared" si="1612"/>
        <v>15.271071386891737</v>
      </c>
      <c r="DC396" s="44">
        <f t="shared" si="1613"/>
        <v>18.15550656753976</v>
      </c>
      <c r="DD396" s="44">
        <f t="shared" si="1614"/>
        <v>21.417818332197207</v>
      </c>
      <c r="DE396" s="44">
        <f t="shared" si="1615"/>
        <v>24.948003390629438</v>
      </c>
      <c r="DF396" s="44">
        <f t="shared" si="1616"/>
        <v>28.574314035424791</v>
      </c>
      <c r="DG396" s="44">
        <f t="shared" si="1617"/>
        <v>29.841695394420434</v>
      </c>
      <c r="DH396" s="44">
        <f t="shared" si="1618"/>
        <v>30.009583219944517</v>
      </c>
      <c r="DI396" s="44">
        <f t="shared" si="1619"/>
        <v>30.043531106173958</v>
      </c>
    </row>
    <row r="397" spans="1:116" ht="12" hidden="1" outlineLevel="2">
      <c r="A397" s="1" t="s">
        <v>995</v>
      </c>
      <c r="B397" s="19" t="s">
        <v>535</v>
      </c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525">
        <v>0</v>
      </c>
      <c r="AQ397" s="525">
        <v>0</v>
      </c>
      <c r="AR397" s="525">
        <v>0</v>
      </c>
      <c r="AS397" s="525">
        <v>0</v>
      </c>
      <c r="AT397" s="525">
        <v>0</v>
      </c>
      <c r="AU397" s="525">
        <v>0</v>
      </c>
      <c r="AV397" s="525">
        <v>0</v>
      </c>
      <c r="AW397" s="525">
        <v>0</v>
      </c>
      <c r="AX397" s="525">
        <v>0</v>
      </c>
      <c r="AY397" s="525">
        <v>0</v>
      </c>
      <c r="AZ397" s="523">
        <v>0</v>
      </c>
      <c r="BA397" s="44">
        <f t="shared" ref="BA397:BI397" si="1626">BA86*(BA233+BA235)/BA$5</f>
        <v>0</v>
      </c>
      <c r="BB397" s="44">
        <f t="shared" si="1626"/>
        <v>0</v>
      </c>
      <c r="BC397" s="44">
        <f t="shared" si="1626"/>
        <v>0</v>
      </c>
      <c r="BD397" s="44">
        <f t="shared" si="1626"/>
        <v>0</v>
      </c>
      <c r="BE397" s="44">
        <f t="shared" si="1626"/>
        <v>0</v>
      </c>
      <c r="BF397" s="44">
        <f t="shared" si="1626"/>
        <v>0</v>
      </c>
      <c r="BG397" s="44">
        <f t="shared" si="1626"/>
        <v>0</v>
      </c>
      <c r="BH397" s="44">
        <f t="shared" si="1626"/>
        <v>0</v>
      </c>
      <c r="BI397" s="44">
        <f t="shared" si="1626"/>
        <v>0</v>
      </c>
      <c r="BJ397" s="44">
        <f t="shared" ref="BJ397:BK397" si="1627">BJ86*(BJ233+BJ235)/BJ$5</f>
        <v>0</v>
      </c>
      <c r="BK397" s="44">
        <f t="shared" si="1627"/>
        <v>0</v>
      </c>
      <c r="BL397" s="44">
        <f t="shared" ref="BL397:BM397" si="1628">BL86*(BL233+BL235)/BL$5</f>
        <v>0</v>
      </c>
      <c r="BM397" s="44">
        <f t="shared" si="1628"/>
        <v>0</v>
      </c>
      <c r="BN397" s="44">
        <f t="shared" ref="BN397:BO397" si="1629">BN86*(BN233+BN235)/BN$5</f>
        <v>0</v>
      </c>
      <c r="BO397" s="44">
        <f t="shared" si="1629"/>
        <v>0</v>
      </c>
      <c r="BP397" s="44">
        <f t="shared" ref="BP397:BQ397" si="1630">BP86*(BP233+BP235)/BP$5</f>
        <v>0</v>
      </c>
      <c r="BQ397" s="44">
        <f t="shared" si="1630"/>
        <v>0</v>
      </c>
      <c r="BR397" s="44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525">
        <v>0</v>
      </c>
      <c r="CU397" s="525">
        <v>0</v>
      </c>
      <c r="CV397" s="44">
        <f t="shared" si="1606"/>
        <v>0</v>
      </c>
      <c r="CW397" s="44">
        <f t="shared" si="1607"/>
        <v>0</v>
      </c>
      <c r="CX397" s="44">
        <f t="shared" si="1608"/>
        <v>0</v>
      </c>
      <c r="CY397" s="44">
        <f t="shared" si="1609"/>
        <v>0</v>
      </c>
      <c r="CZ397" s="45">
        <f t="shared" si="1610"/>
        <v>0</v>
      </c>
      <c r="DA397" s="44">
        <f t="shared" si="1611"/>
        <v>0</v>
      </c>
      <c r="DB397" s="44">
        <f t="shared" si="1612"/>
        <v>0</v>
      </c>
      <c r="DC397" s="44">
        <f t="shared" si="1613"/>
        <v>0</v>
      </c>
      <c r="DD397" s="44">
        <f t="shared" si="1614"/>
        <v>0</v>
      </c>
      <c r="DE397" s="44">
        <f t="shared" si="1615"/>
        <v>0</v>
      </c>
      <c r="DF397" s="44">
        <f t="shared" si="1616"/>
        <v>0</v>
      </c>
      <c r="DG397" s="44">
        <f t="shared" si="1617"/>
        <v>0</v>
      </c>
      <c r="DH397" s="44">
        <f t="shared" si="1618"/>
        <v>0</v>
      </c>
      <c r="DI397" s="44">
        <f t="shared" si="1619"/>
        <v>0</v>
      </c>
    </row>
    <row r="398" spans="1:116" ht="12" hidden="1" outlineLevel="2">
      <c r="A398" s="1" t="s">
        <v>996</v>
      </c>
      <c r="B398" s="19" t="s">
        <v>431</v>
      </c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511"/>
      <c r="AB398" s="511"/>
      <c r="AC398" s="511"/>
      <c r="AD398" s="511"/>
      <c r="AE398" s="511"/>
      <c r="AF398" s="511"/>
      <c r="AG398" s="511"/>
      <c r="AH398" s="511"/>
      <c r="AI398" s="511"/>
      <c r="AJ398" s="511"/>
      <c r="AK398" s="511"/>
      <c r="AL398" s="511"/>
      <c r="AM398" s="511"/>
      <c r="AN398" s="511"/>
      <c r="AO398" s="511"/>
      <c r="AP398" s="585">
        <v>0</v>
      </c>
      <c r="AQ398" s="585">
        <v>0</v>
      </c>
      <c r="AR398" s="585">
        <v>0</v>
      </c>
      <c r="AS398" s="585">
        <v>0</v>
      </c>
      <c r="AT398" s="585">
        <v>0</v>
      </c>
      <c r="AU398" s="585">
        <v>0</v>
      </c>
      <c r="AV398" s="585">
        <v>0</v>
      </c>
      <c r="AW398" s="585">
        <v>0</v>
      </c>
      <c r="AX398" s="585">
        <v>0</v>
      </c>
      <c r="AY398" s="585">
        <v>0</v>
      </c>
      <c r="AZ398" s="586">
        <v>0</v>
      </c>
      <c r="BA398" s="46">
        <v>0</v>
      </c>
      <c r="BB398" s="46">
        <v>0</v>
      </c>
      <c r="BC398" s="46">
        <v>0</v>
      </c>
      <c r="BD398" s="46">
        <v>0</v>
      </c>
      <c r="BE398" s="46">
        <v>0</v>
      </c>
      <c r="BF398" s="46">
        <v>0</v>
      </c>
      <c r="BG398" s="46">
        <v>0</v>
      </c>
      <c r="BH398" s="46">
        <v>0</v>
      </c>
      <c r="BI398" s="46">
        <v>0</v>
      </c>
      <c r="BJ398" s="46">
        <v>0</v>
      </c>
      <c r="BK398" s="46">
        <v>0</v>
      </c>
      <c r="BL398" s="46">
        <v>0</v>
      </c>
      <c r="BM398" s="46">
        <v>0</v>
      </c>
      <c r="BN398" s="46">
        <v>0</v>
      </c>
      <c r="BO398" s="46">
        <v>0</v>
      </c>
      <c r="BP398" s="46">
        <v>0</v>
      </c>
      <c r="BQ398" s="46">
        <v>0</v>
      </c>
      <c r="BR398" s="44"/>
      <c r="BS398" s="40"/>
      <c r="BT398" s="40"/>
      <c r="BU398" s="40"/>
      <c r="BV398" s="40"/>
      <c r="BW398" s="40"/>
      <c r="BX398" s="40"/>
      <c r="BY398" s="40"/>
      <c r="BZ398" s="40"/>
      <c r="CA398" s="114"/>
      <c r="CB398" s="114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585">
        <v>0</v>
      </c>
      <c r="CU398" s="585">
        <v>0</v>
      </c>
      <c r="CV398" s="44">
        <f t="shared" si="1606"/>
        <v>0</v>
      </c>
      <c r="CW398" s="44">
        <f t="shared" si="1607"/>
        <v>0</v>
      </c>
      <c r="CX398" s="44">
        <f t="shared" si="1608"/>
        <v>0</v>
      </c>
      <c r="CY398" s="44">
        <f t="shared" si="1609"/>
        <v>0</v>
      </c>
      <c r="CZ398" s="45">
        <f t="shared" si="1610"/>
        <v>0</v>
      </c>
      <c r="DA398" s="44">
        <f t="shared" si="1611"/>
        <v>0</v>
      </c>
      <c r="DB398" s="44">
        <f t="shared" si="1612"/>
        <v>0</v>
      </c>
      <c r="DC398" s="44">
        <f t="shared" si="1613"/>
        <v>0</v>
      </c>
      <c r="DD398" s="44">
        <f t="shared" si="1614"/>
        <v>0</v>
      </c>
      <c r="DE398" s="44">
        <f t="shared" si="1615"/>
        <v>0</v>
      </c>
      <c r="DF398" s="44">
        <f t="shared" si="1616"/>
        <v>0</v>
      </c>
      <c r="DG398" s="44">
        <f t="shared" si="1617"/>
        <v>0</v>
      </c>
      <c r="DH398" s="44">
        <f t="shared" si="1618"/>
        <v>0</v>
      </c>
      <c r="DI398" s="44">
        <f t="shared" si="1619"/>
        <v>0</v>
      </c>
      <c r="DJ398" s="548"/>
      <c r="DK398" s="548"/>
      <c r="DL398" s="68"/>
    </row>
    <row r="399" spans="1:116" ht="12" hidden="1" outlineLevel="2">
      <c r="A399" s="1" t="s">
        <v>997</v>
      </c>
      <c r="B399" s="19" t="s">
        <v>780</v>
      </c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511"/>
      <c r="AB399" s="511"/>
      <c r="AC399" s="511"/>
      <c r="AD399" s="511"/>
      <c r="AE399" s="511"/>
      <c r="AF399" s="511"/>
      <c r="AG399" s="511"/>
      <c r="AH399" s="511"/>
      <c r="AI399" s="511"/>
      <c r="AJ399" s="511"/>
      <c r="AK399" s="511"/>
      <c r="AL399" s="511"/>
      <c r="AM399" s="511"/>
      <c r="AN399" s="511"/>
      <c r="AO399" s="511"/>
      <c r="AP399" s="585">
        <v>0</v>
      </c>
      <c r="AQ399" s="585">
        <v>0</v>
      </c>
      <c r="AR399" s="585">
        <v>0</v>
      </c>
      <c r="AS399" s="585">
        <v>0</v>
      </c>
      <c r="AT399" s="585">
        <v>0</v>
      </c>
      <c r="AU399" s="585">
        <v>0</v>
      </c>
      <c r="AV399" s="585">
        <v>0</v>
      </c>
      <c r="AW399" s="585">
        <v>0</v>
      </c>
      <c r="AX399" s="585">
        <v>0</v>
      </c>
      <c r="AY399" s="585">
        <v>0</v>
      </c>
      <c r="AZ399" s="586">
        <v>0</v>
      </c>
      <c r="BA399" s="46">
        <v>0</v>
      </c>
      <c r="BB399" s="46">
        <v>0</v>
      </c>
      <c r="BC399" s="46">
        <v>0</v>
      </c>
      <c r="BD399" s="46">
        <v>0</v>
      </c>
      <c r="BE399" s="46">
        <v>0</v>
      </c>
      <c r="BF399" s="46">
        <v>0</v>
      </c>
      <c r="BG399" s="46">
        <v>0</v>
      </c>
      <c r="BH399" s="46">
        <v>0</v>
      </c>
      <c r="BI399" s="46">
        <v>0</v>
      </c>
      <c r="BJ399" s="46">
        <v>0</v>
      </c>
      <c r="BK399" s="46">
        <v>0</v>
      </c>
      <c r="BL399" s="46">
        <v>0</v>
      </c>
      <c r="BM399" s="46">
        <v>0</v>
      </c>
      <c r="BN399" s="46">
        <v>0</v>
      </c>
      <c r="BO399" s="46">
        <v>0</v>
      </c>
      <c r="BP399" s="46">
        <v>0</v>
      </c>
      <c r="BQ399" s="46">
        <v>0</v>
      </c>
      <c r="BR399" s="44"/>
      <c r="BS399" s="40"/>
      <c r="BT399" s="40"/>
      <c r="BU399" s="40"/>
      <c r="BV399" s="40"/>
      <c r="BW399" s="40"/>
      <c r="BX399" s="40"/>
      <c r="BY399" s="40"/>
      <c r="BZ399" s="40"/>
      <c r="CA399" s="114"/>
      <c r="CB399" s="114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585">
        <v>0</v>
      </c>
      <c r="CU399" s="585">
        <v>0</v>
      </c>
      <c r="CV399" s="44">
        <f t="shared" si="1606"/>
        <v>0</v>
      </c>
      <c r="CW399" s="44">
        <f t="shared" si="1607"/>
        <v>0</v>
      </c>
      <c r="CX399" s="44">
        <f t="shared" si="1608"/>
        <v>0</v>
      </c>
      <c r="CY399" s="44">
        <f t="shared" si="1609"/>
        <v>0</v>
      </c>
      <c r="CZ399" s="45">
        <f t="shared" si="1610"/>
        <v>0</v>
      </c>
      <c r="DA399" s="44">
        <f t="shared" si="1611"/>
        <v>0</v>
      </c>
      <c r="DB399" s="44">
        <f t="shared" si="1612"/>
        <v>0</v>
      </c>
      <c r="DC399" s="44">
        <f t="shared" si="1613"/>
        <v>0</v>
      </c>
      <c r="DD399" s="44">
        <f t="shared" si="1614"/>
        <v>0</v>
      </c>
      <c r="DE399" s="44">
        <f t="shared" si="1615"/>
        <v>0</v>
      </c>
      <c r="DF399" s="44">
        <f t="shared" si="1616"/>
        <v>0</v>
      </c>
      <c r="DG399" s="44">
        <f t="shared" si="1617"/>
        <v>0</v>
      </c>
      <c r="DH399" s="44">
        <f t="shared" si="1618"/>
        <v>0</v>
      </c>
      <c r="DI399" s="44">
        <f t="shared" si="1619"/>
        <v>0</v>
      </c>
    </row>
    <row r="400" spans="1:116" ht="12" hidden="1" outlineLevel="2">
      <c r="A400" s="1" t="s">
        <v>804</v>
      </c>
      <c r="B400" s="19" t="s">
        <v>800</v>
      </c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511"/>
      <c r="AB400" s="511"/>
      <c r="AC400" s="511"/>
      <c r="AD400" s="511"/>
      <c r="AE400" s="511"/>
      <c r="AF400" s="511"/>
      <c r="AG400" s="511"/>
      <c r="AH400" s="511"/>
      <c r="AI400" s="511"/>
      <c r="AJ400" s="511"/>
      <c r="AK400" s="511"/>
      <c r="AL400" s="511"/>
      <c r="AM400" s="511"/>
      <c r="AN400" s="511"/>
      <c r="AO400" s="511"/>
      <c r="AP400" s="585">
        <v>0</v>
      </c>
      <c r="AQ400" s="585">
        <v>0</v>
      </c>
      <c r="AR400" s="585">
        <v>0</v>
      </c>
      <c r="AS400" s="585">
        <v>0</v>
      </c>
      <c r="AT400" s="585">
        <v>0</v>
      </c>
      <c r="AU400" s="585">
        <v>0</v>
      </c>
      <c r="AV400" s="585">
        <v>0</v>
      </c>
      <c r="AW400" s="585">
        <v>0</v>
      </c>
      <c r="AX400" s="585">
        <v>0</v>
      </c>
      <c r="AY400" s="585">
        <v>0</v>
      </c>
      <c r="AZ400" s="586">
        <v>0</v>
      </c>
      <c r="BA400" s="46">
        <v>0</v>
      </c>
      <c r="BB400" s="46">
        <v>0</v>
      </c>
      <c r="BC400" s="46">
        <v>0</v>
      </c>
      <c r="BD400" s="46">
        <v>0</v>
      </c>
      <c r="BE400" s="46">
        <v>0</v>
      </c>
      <c r="BF400" s="46">
        <v>0</v>
      </c>
      <c r="BG400" s="46">
        <v>0</v>
      </c>
      <c r="BH400" s="46">
        <v>0</v>
      </c>
      <c r="BI400" s="46">
        <v>0</v>
      </c>
      <c r="BJ400" s="46">
        <v>0</v>
      </c>
      <c r="BK400" s="46">
        <v>0</v>
      </c>
      <c r="BL400" s="46">
        <v>0</v>
      </c>
      <c r="BM400" s="46">
        <v>0</v>
      </c>
      <c r="BN400" s="46">
        <v>0</v>
      </c>
      <c r="BO400" s="46">
        <v>0</v>
      </c>
      <c r="BP400" s="46">
        <v>0</v>
      </c>
      <c r="BQ400" s="46">
        <v>0</v>
      </c>
      <c r="BR400" s="44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585">
        <v>0</v>
      </c>
      <c r="CU400" s="585">
        <v>0</v>
      </c>
      <c r="CV400" s="44">
        <f t="shared" si="1606"/>
        <v>0</v>
      </c>
      <c r="CW400" s="44">
        <f t="shared" si="1607"/>
        <v>0</v>
      </c>
      <c r="CX400" s="44">
        <f t="shared" si="1608"/>
        <v>0</v>
      </c>
      <c r="CY400" s="44">
        <f t="shared" si="1609"/>
        <v>0</v>
      </c>
      <c r="CZ400" s="45">
        <f t="shared" si="1610"/>
        <v>0</v>
      </c>
      <c r="DA400" s="44">
        <f t="shared" si="1611"/>
        <v>0</v>
      </c>
      <c r="DB400" s="44">
        <f t="shared" si="1612"/>
        <v>0</v>
      </c>
      <c r="DC400" s="44">
        <f t="shared" si="1613"/>
        <v>0</v>
      </c>
      <c r="DD400" s="44">
        <f t="shared" si="1614"/>
        <v>0</v>
      </c>
      <c r="DE400" s="44">
        <f t="shared" si="1615"/>
        <v>0</v>
      </c>
      <c r="DF400" s="44">
        <f t="shared" si="1616"/>
        <v>0</v>
      </c>
      <c r="DG400" s="44">
        <f t="shared" si="1617"/>
        <v>0</v>
      </c>
      <c r="DH400" s="44">
        <f t="shared" si="1618"/>
        <v>0</v>
      </c>
      <c r="DI400" s="44">
        <f t="shared" si="1619"/>
        <v>0</v>
      </c>
    </row>
    <row r="401" spans="1:113" ht="12" hidden="1" outlineLevel="2">
      <c r="A401" s="1" t="s">
        <v>805</v>
      </c>
      <c r="B401" s="19" t="s">
        <v>801</v>
      </c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4"/>
      <c r="AQ401" s="44"/>
      <c r="AR401" s="44"/>
      <c r="AS401" s="44"/>
      <c r="AT401" s="44"/>
      <c r="AU401" s="44"/>
      <c r="AV401" s="44"/>
      <c r="AW401" s="44"/>
      <c r="AX401" s="44"/>
      <c r="AY401" s="44"/>
      <c r="AZ401" s="45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  <c r="BL401" s="44"/>
      <c r="BM401" s="44"/>
      <c r="BN401" s="44"/>
      <c r="BO401" s="44"/>
      <c r="BP401" s="44"/>
      <c r="BQ401" s="44"/>
      <c r="BR401" s="44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4"/>
      <c r="CU401" s="44"/>
      <c r="CV401" s="44">
        <f t="shared" si="1606"/>
        <v>0</v>
      </c>
      <c r="CW401" s="44">
        <f t="shared" si="1607"/>
        <v>0</v>
      </c>
      <c r="CX401" s="44">
        <f t="shared" si="1608"/>
        <v>0</v>
      </c>
      <c r="CY401" s="44">
        <f t="shared" si="1609"/>
        <v>0</v>
      </c>
      <c r="CZ401" s="45">
        <f t="shared" si="1610"/>
        <v>0</v>
      </c>
      <c r="DA401" s="44">
        <f t="shared" si="1611"/>
        <v>0</v>
      </c>
      <c r="DB401" s="44">
        <f t="shared" si="1612"/>
        <v>0</v>
      </c>
      <c r="DC401" s="44">
        <f t="shared" si="1613"/>
        <v>0</v>
      </c>
      <c r="DD401" s="44">
        <f t="shared" si="1614"/>
        <v>0</v>
      </c>
      <c r="DE401" s="44">
        <f t="shared" si="1615"/>
        <v>0</v>
      </c>
      <c r="DF401" s="44">
        <f t="shared" si="1616"/>
        <v>0</v>
      </c>
      <c r="DG401" s="44">
        <f t="shared" si="1617"/>
        <v>0</v>
      </c>
      <c r="DH401" s="44">
        <f t="shared" si="1618"/>
        <v>0</v>
      </c>
      <c r="DI401" s="44">
        <f t="shared" si="1619"/>
        <v>0</v>
      </c>
    </row>
    <row r="402" spans="1:113" ht="12" hidden="1" outlineLevel="2">
      <c r="A402" s="1" t="s">
        <v>108</v>
      </c>
      <c r="B402" s="19" t="s">
        <v>801</v>
      </c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4"/>
      <c r="AQ402" s="44"/>
      <c r="AR402" s="44"/>
      <c r="AS402" s="44"/>
      <c r="AT402" s="44"/>
      <c r="AU402" s="44"/>
      <c r="AV402" s="44"/>
      <c r="AW402" s="44"/>
      <c r="AX402" s="44"/>
      <c r="AY402" s="44"/>
      <c r="AZ402" s="45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  <c r="BL402" s="44"/>
      <c r="BM402" s="44"/>
      <c r="BN402" s="44"/>
      <c r="BO402" s="44"/>
      <c r="BP402" s="44"/>
      <c r="BQ402" s="44"/>
      <c r="BR402" s="44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4"/>
      <c r="CU402" s="44"/>
      <c r="CV402" s="44">
        <f t="shared" si="1606"/>
        <v>0</v>
      </c>
      <c r="CW402" s="44"/>
      <c r="CX402" s="44"/>
      <c r="CY402" s="44"/>
      <c r="CZ402" s="45"/>
      <c r="DA402" s="44"/>
      <c r="DB402" s="44"/>
      <c r="DC402" s="44"/>
      <c r="DD402" s="44"/>
      <c r="DE402" s="44"/>
      <c r="DF402" s="44"/>
      <c r="DG402" s="44"/>
      <c r="DH402" s="44"/>
      <c r="DI402" s="44"/>
    </row>
    <row r="403" spans="1:113" ht="12" hidden="1" outlineLevel="2">
      <c r="A403" s="1" t="s">
        <v>109</v>
      </c>
      <c r="B403" s="19" t="s">
        <v>801</v>
      </c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4"/>
      <c r="AQ403" s="44"/>
      <c r="AR403" s="44"/>
      <c r="AS403" s="44"/>
      <c r="AT403" s="44"/>
      <c r="AU403" s="44"/>
      <c r="AV403" s="44"/>
      <c r="AW403" s="44"/>
      <c r="AX403" s="44"/>
      <c r="AY403" s="44"/>
      <c r="AZ403" s="45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  <c r="BL403" s="44"/>
      <c r="BM403" s="44"/>
      <c r="BN403" s="44"/>
      <c r="BO403" s="44"/>
      <c r="BP403" s="44"/>
      <c r="BQ403" s="44"/>
      <c r="BR403" s="44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4"/>
      <c r="CU403" s="44"/>
      <c r="CV403" s="44">
        <f t="shared" si="1606"/>
        <v>0</v>
      </c>
      <c r="CW403" s="44"/>
      <c r="CX403" s="44"/>
      <c r="CY403" s="44"/>
      <c r="CZ403" s="45"/>
      <c r="DA403" s="44"/>
      <c r="DB403" s="44"/>
      <c r="DC403" s="44"/>
      <c r="DD403" s="44"/>
      <c r="DE403" s="44"/>
      <c r="DF403" s="44"/>
      <c r="DG403" s="44"/>
      <c r="DH403" s="44"/>
      <c r="DI403" s="44"/>
    </row>
    <row r="404" spans="1:113" ht="12" hidden="1" outlineLevel="2">
      <c r="A404" s="1" t="s">
        <v>110</v>
      </c>
      <c r="B404" s="19" t="s">
        <v>801</v>
      </c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4"/>
      <c r="AQ404" s="44"/>
      <c r="AR404" s="44"/>
      <c r="AS404" s="44"/>
      <c r="AT404" s="44"/>
      <c r="AU404" s="44"/>
      <c r="AV404" s="44"/>
      <c r="AW404" s="44"/>
      <c r="AX404" s="44"/>
      <c r="AY404" s="44"/>
      <c r="AZ404" s="45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  <c r="BL404" s="44"/>
      <c r="BM404" s="44"/>
      <c r="BN404" s="44"/>
      <c r="BO404" s="44"/>
      <c r="BP404" s="44"/>
      <c r="BQ404" s="44"/>
      <c r="BR404" s="44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4"/>
      <c r="CU404" s="44"/>
      <c r="CV404" s="44">
        <f t="shared" si="1606"/>
        <v>0</v>
      </c>
      <c r="CW404" s="44"/>
      <c r="CX404" s="44"/>
      <c r="CY404" s="44"/>
      <c r="CZ404" s="45"/>
      <c r="DA404" s="44"/>
      <c r="DB404" s="44"/>
      <c r="DC404" s="44"/>
      <c r="DD404" s="44"/>
      <c r="DE404" s="44"/>
      <c r="DF404" s="44"/>
      <c r="DG404" s="44"/>
      <c r="DH404" s="44"/>
      <c r="DI404" s="44"/>
    </row>
    <row r="405" spans="1:113" ht="12" hidden="1" outlineLevel="1" collapsed="1">
      <c r="A405" s="1" t="s">
        <v>806</v>
      </c>
      <c r="B405" s="19" t="s">
        <v>655</v>
      </c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4">
        <f t="shared" ref="AP405:AR405" si="1631">AP406-SUM(AP395:AP400)</f>
        <v>0</v>
      </c>
      <c r="AQ405" s="44">
        <f t="shared" si="1631"/>
        <v>0</v>
      </c>
      <c r="AR405" s="44">
        <f t="shared" si="1631"/>
        <v>0</v>
      </c>
      <c r="AS405" s="44">
        <f t="shared" ref="AS405:AT405" si="1632">AS406-SUM(AS395:AS400)</f>
        <v>0</v>
      </c>
      <c r="AT405" s="44">
        <f t="shared" si="1632"/>
        <v>1.0000000000000002</v>
      </c>
      <c r="AU405" s="44">
        <f t="shared" ref="AU405:AV405" si="1633">AU406-SUM(AU395:AU400)</f>
        <v>1.5000000000000002</v>
      </c>
      <c r="AV405" s="44">
        <f t="shared" si="1633"/>
        <v>2.1999999999999997</v>
      </c>
      <c r="AW405" s="44">
        <f t="shared" ref="AW405:AX405" si="1634">AW406-SUM(AW395:AW400)</f>
        <v>2.3000000000000003</v>
      </c>
      <c r="AX405" s="44">
        <f t="shared" si="1634"/>
        <v>3.5</v>
      </c>
      <c r="AY405" s="44">
        <f t="shared" ref="AY405:AZ405" si="1635">AY406-SUM(AY395:AY400)</f>
        <v>2.9000000000000004</v>
      </c>
      <c r="AZ405" s="45">
        <f t="shared" si="1635"/>
        <v>4.0999999999999996</v>
      </c>
      <c r="BA405" s="44">
        <f t="shared" ref="BA405:BI405" si="1636">BA89/BA$5*(BA237+BA259)</f>
        <v>4.2229999999999999</v>
      </c>
      <c r="BB405" s="44">
        <f t="shared" si="1636"/>
        <v>4.3496899999999998</v>
      </c>
      <c r="BC405" s="44">
        <f t="shared" si="1636"/>
        <v>4.4801807</v>
      </c>
      <c r="BD405" s="44">
        <f t="shared" si="1636"/>
        <v>4.6145861210000003</v>
      </c>
      <c r="BE405" s="44">
        <f t="shared" si="1636"/>
        <v>4.7530237046300003</v>
      </c>
      <c r="BF405" s="44">
        <f t="shared" si="1636"/>
        <v>4.8956144157689003</v>
      </c>
      <c r="BG405" s="44">
        <f t="shared" si="1636"/>
        <v>5.0424828482419679</v>
      </c>
      <c r="BH405" s="44">
        <f t="shared" si="1636"/>
        <v>5.1937573336892271</v>
      </c>
      <c r="BI405" s="44">
        <f t="shared" si="1636"/>
        <v>5.349570053699904</v>
      </c>
      <c r="BJ405" s="44">
        <f t="shared" ref="BJ405:BK405" si="1637">BJ89/BJ$5*(BJ237+BJ259)</f>
        <v>5.5100571553109017</v>
      </c>
      <c r="BK405" s="44">
        <f t="shared" si="1637"/>
        <v>5.6753588699702293</v>
      </c>
      <c r="BL405" s="44">
        <f t="shared" ref="BL405:BM405" si="1638">BL89/BL$5*(BL237+BL259)</f>
        <v>5.845619636069336</v>
      </c>
      <c r="BM405" s="44">
        <f t="shared" si="1638"/>
        <v>6.0209882251514166</v>
      </c>
      <c r="BN405" s="44">
        <f t="shared" ref="BN405:BO405" si="1639">BN89/BN$5*(BN237+BN259)</f>
        <v>6.2016178719059596</v>
      </c>
      <c r="BO405" s="44">
        <f t="shared" si="1639"/>
        <v>6.3876664080631382</v>
      </c>
      <c r="BP405" s="44">
        <f t="shared" ref="BP405:BQ405" si="1640">BP89/BP$5*(BP237+BP259)</f>
        <v>6.5792964003050329</v>
      </c>
      <c r="BQ405" s="44">
        <f t="shared" si="1640"/>
        <v>6.7766752923141844</v>
      </c>
      <c r="BR405" s="44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4">
        <f t="shared" ref="CT405:CU405" si="1641">CT406-SUM(CT395:CT400)</f>
        <v>0</v>
      </c>
      <c r="CU405" s="44">
        <f t="shared" si="1641"/>
        <v>0</v>
      </c>
      <c r="CV405" s="44">
        <f t="shared" si="1606"/>
        <v>0</v>
      </c>
      <c r="CW405" s="44">
        <f t="shared" ref="CW405:CW415" si="1642">SUM(AR405:AS405)</f>
        <v>0</v>
      </c>
      <c r="CX405" s="44">
        <f t="shared" ref="CX405:CX415" si="1643">SUM(AT405:AU405)</f>
        <v>2.5000000000000004</v>
      </c>
      <c r="CY405" s="44">
        <f t="shared" ref="CY405:CY415" si="1644">SUM(AV405:AW405)</f>
        <v>4.5</v>
      </c>
      <c r="CZ405" s="45">
        <f t="shared" ref="CZ405:CZ415" si="1645">SUM(AX405:AY405)</f>
        <v>6.4</v>
      </c>
      <c r="DA405" s="44">
        <f t="shared" ref="DA405:DA415" si="1646">SUM(AZ405:BA405)</f>
        <v>8.3230000000000004</v>
      </c>
      <c r="DB405" s="44">
        <f t="shared" ref="DB405:DB415" si="1647">SUM(BB405:BC405)</f>
        <v>8.8298707000000007</v>
      </c>
      <c r="DC405" s="44">
        <f t="shared" ref="DC405:DC415" si="1648">SUM(BD405:BE405)</f>
        <v>9.3676098256300016</v>
      </c>
      <c r="DD405" s="44">
        <f t="shared" ref="DD405:DD415" si="1649">SUM(BF405:BG405)</f>
        <v>9.9380972640108673</v>
      </c>
      <c r="DE405" s="44">
        <f t="shared" ref="DE405:DE415" si="1650">SUM(BH405:BI405)</f>
        <v>10.54332738738913</v>
      </c>
      <c r="DF405" s="44">
        <f t="shared" ref="DF405:DF415" si="1651">SUM(BJ405:BK405)</f>
        <v>11.185416025281132</v>
      </c>
      <c r="DG405" s="44">
        <f t="shared" ref="DG405:DG415" si="1652">SUM(BL405:BM405)</f>
        <v>11.866607861220754</v>
      </c>
      <c r="DH405" s="44">
        <f t="shared" ref="DH405:DH415" si="1653">SUM(BN405:BO405)</f>
        <v>12.589284279969098</v>
      </c>
      <c r="DI405" s="44">
        <f t="shared" ref="DI405:DI415" si="1654">SUM(BP405:BQ405)</f>
        <v>13.355971692619217</v>
      </c>
    </row>
    <row r="406" spans="1:113" s="24" customFormat="1" ht="12" hidden="1" outlineLevel="1">
      <c r="A406" s="1" t="s">
        <v>807</v>
      </c>
      <c r="B406" s="24" t="s">
        <v>571</v>
      </c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  <c r="AJ406" s="55"/>
      <c r="AK406" s="55"/>
      <c r="AL406" s="55"/>
      <c r="AM406" s="55"/>
      <c r="AN406" s="55"/>
      <c r="AO406" s="55"/>
      <c r="AP406" s="526">
        <f t="shared" ref="AP406:AR406" si="1655">AP408-AP407</f>
        <v>0.40000000000000036</v>
      </c>
      <c r="AQ406" s="526">
        <f t="shared" si="1655"/>
        <v>0.6</v>
      </c>
      <c r="AR406" s="526">
        <f t="shared" si="1655"/>
        <v>0.4</v>
      </c>
      <c r="AS406" s="526">
        <f t="shared" ref="AS406:AT406" si="1656">AS408-AS407</f>
        <v>2.8</v>
      </c>
      <c r="AT406" s="526">
        <f t="shared" si="1656"/>
        <v>2.2000000000000002</v>
      </c>
      <c r="AU406" s="526">
        <f t="shared" ref="AU406:AV406" si="1657">AU408-AU407</f>
        <v>3.2</v>
      </c>
      <c r="AV406" s="526">
        <f t="shared" si="1657"/>
        <v>4.8</v>
      </c>
      <c r="AW406" s="526">
        <f t="shared" ref="AW406:AX406" si="1658">AW408-AW407</f>
        <v>5.9</v>
      </c>
      <c r="AX406" s="526">
        <f t="shared" si="1658"/>
        <v>7.9</v>
      </c>
      <c r="AY406" s="526">
        <f t="shared" ref="AY406:AZ406" si="1659">AY408-AY407</f>
        <v>7.7</v>
      </c>
      <c r="AZ406" s="524">
        <f t="shared" si="1659"/>
        <v>10.199999999999999</v>
      </c>
      <c r="BA406" s="526">
        <f t="shared" ref="BA406:BI406" si="1660">SUM(BA395:BA405)</f>
        <v>10.8325036773367</v>
      </c>
      <c r="BB406" s="526">
        <f t="shared" si="1660"/>
        <v>11.710696218188383</v>
      </c>
      <c r="BC406" s="526">
        <f t="shared" si="1660"/>
        <v>12.390245868703353</v>
      </c>
      <c r="BD406" s="526">
        <f t="shared" si="1660"/>
        <v>13.355998128505872</v>
      </c>
      <c r="BE406" s="526">
        <f t="shared" si="1660"/>
        <v>14.167118264663891</v>
      </c>
      <c r="BF406" s="526">
        <f t="shared" si="1660"/>
        <v>15.260039237665067</v>
      </c>
      <c r="BG406" s="526">
        <f t="shared" si="1660"/>
        <v>16.095876358543009</v>
      </c>
      <c r="BH406" s="526">
        <f t="shared" si="1660"/>
        <v>17.318841833766605</v>
      </c>
      <c r="BI406" s="526">
        <f t="shared" si="1660"/>
        <v>18.172488944251963</v>
      </c>
      <c r="BJ406" s="526">
        <f t="shared" ref="BJ406:BK406" si="1661">SUM(BJ395:BJ405)</f>
        <v>19.457898066937254</v>
      </c>
      <c r="BK406" s="526">
        <f t="shared" si="1661"/>
        <v>20.301831993768669</v>
      </c>
      <c r="BL406" s="526">
        <f t="shared" ref="BL406:BM406" si="1662">SUM(BL395:BL405)</f>
        <v>20.809086304405817</v>
      </c>
      <c r="BM406" s="526">
        <f t="shared" si="1662"/>
        <v>20.899216951235374</v>
      </c>
      <c r="BN406" s="526">
        <f t="shared" ref="BN406:BO406" si="1663">SUM(BN395:BN405)</f>
        <v>21.324775462048557</v>
      </c>
      <c r="BO406" s="526">
        <f t="shared" si="1663"/>
        <v>21.27409203786506</v>
      </c>
      <c r="BP406" s="526">
        <f t="shared" ref="BP406:BQ406" si="1664">SUM(BP395:BP405)</f>
        <v>21.719418263788853</v>
      </c>
      <c r="BQ406" s="526">
        <f t="shared" si="1664"/>
        <v>21.680084535004319</v>
      </c>
      <c r="BR406" s="526"/>
      <c r="BS406" s="55"/>
      <c r="BT406" s="55"/>
      <c r="BU406" s="55"/>
      <c r="BV406" s="55"/>
      <c r="BW406" s="55"/>
      <c r="BX406" s="55"/>
      <c r="BY406" s="55"/>
      <c r="BZ406" s="55"/>
      <c r="CA406" s="55"/>
      <c r="CB406" s="55"/>
      <c r="CC406" s="55"/>
      <c r="CD406" s="55"/>
      <c r="CE406" s="55"/>
      <c r="CF406" s="55"/>
      <c r="CG406" s="55"/>
      <c r="CH406" s="55"/>
      <c r="CI406" s="55"/>
      <c r="CJ406" s="55"/>
      <c r="CK406" s="55"/>
      <c r="CL406" s="55"/>
      <c r="CM406" s="55"/>
      <c r="CN406" s="55"/>
      <c r="CO406" s="55"/>
      <c r="CP406" s="55"/>
      <c r="CQ406" s="55"/>
      <c r="CR406" s="55"/>
      <c r="CS406" s="55"/>
      <c r="CT406" s="526">
        <f t="shared" ref="CT406:CU406" si="1665">CT408-CT407</f>
        <v>0.498</v>
      </c>
      <c r="CU406" s="526">
        <f t="shared" si="1665"/>
        <v>0.41599999999999998</v>
      </c>
      <c r="CV406" s="526">
        <f t="shared" si="1606"/>
        <v>1.0000000000000004</v>
      </c>
      <c r="CW406" s="526">
        <f t="shared" si="1642"/>
        <v>3.1999999999999997</v>
      </c>
      <c r="CX406" s="526">
        <f t="shared" si="1643"/>
        <v>5.4</v>
      </c>
      <c r="CY406" s="526">
        <f t="shared" si="1644"/>
        <v>10.7</v>
      </c>
      <c r="CZ406" s="524">
        <f t="shared" si="1645"/>
        <v>15.600000000000001</v>
      </c>
      <c r="DA406" s="526">
        <f t="shared" si="1646"/>
        <v>21.032503677336699</v>
      </c>
      <c r="DB406" s="526">
        <f t="shared" si="1647"/>
        <v>24.100942086891735</v>
      </c>
      <c r="DC406" s="526">
        <f t="shared" si="1648"/>
        <v>27.523116393169765</v>
      </c>
      <c r="DD406" s="526">
        <f t="shared" si="1649"/>
        <v>31.355915596208078</v>
      </c>
      <c r="DE406" s="526">
        <f t="shared" si="1650"/>
        <v>35.491330778018565</v>
      </c>
      <c r="DF406" s="526">
        <f t="shared" si="1651"/>
        <v>39.75973006070592</v>
      </c>
      <c r="DG406" s="526">
        <f t="shared" si="1652"/>
        <v>41.708303255641191</v>
      </c>
      <c r="DH406" s="526">
        <f t="shared" si="1653"/>
        <v>42.598867499913617</v>
      </c>
      <c r="DI406" s="526">
        <f t="shared" si="1654"/>
        <v>43.399502798793172</v>
      </c>
    </row>
    <row r="407" spans="1:113" ht="12" hidden="1" outlineLevel="1">
      <c r="A407" s="1" t="s">
        <v>808</v>
      </c>
      <c r="B407" s="19" t="s">
        <v>712</v>
      </c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525">
        <v>4.3</v>
      </c>
      <c r="AQ407" s="525">
        <v>0</v>
      </c>
      <c r="AR407" s="525">
        <v>0</v>
      </c>
      <c r="AS407" s="525">
        <v>0</v>
      </c>
      <c r="AT407" s="525">
        <v>0</v>
      </c>
      <c r="AU407" s="525">
        <v>0</v>
      </c>
      <c r="AV407" s="525">
        <v>0</v>
      </c>
      <c r="AW407" s="525">
        <v>0</v>
      </c>
      <c r="AX407" s="525">
        <v>0</v>
      </c>
      <c r="AY407" s="525">
        <v>0</v>
      </c>
      <c r="AZ407" s="523">
        <v>0</v>
      </c>
      <c r="BA407" s="677">
        <f>[3]JDO!N$113</f>
        <v>0</v>
      </c>
      <c r="BB407" s="677">
        <f>[3]JDO!O$113</f>
        <v>0</v>
      </c>
      <c r="BC407" s="677">
        <f>[3]JDO!P$113</f>
        <v>0</v>
      </c>
      <c r="BD407" s="677">
        <f>[3]JDO!Q$113</f>
        <v>0</v>
      </c>
      <c r="BE407" s="677">
        <f>[3]JDO!R$113</f>
        <v>0</v>
      </c>
      <c r="BF407" s="677">
        <f>[3]JDO!S$113</f>
        <v>0</v>
      </c>
      <c r="BG407" s="677">
        <f>[3]JDO!T$113</f>
        <v>0</v>
      </c>
      <c r="BH407" s="677">
        <f>[3]JDO!U$113</f>
        <v>0</v>
      </c>
      <c r="BI407" s="677">
        <f>[3]JDO!V$113</f>
        <v>0</v>
      </c>
      <c r="BJ407" s="677">
        <f>[3]JDO!W$113</f>
        <v>0</v>
      </c>
      <c r="BK407" s="677">
        <f>[3]JDO!X$113</f>
        <v>0</v>
      </c>
      <c r="BL407" s="677">
        <f>[3]JDO!Y$113</f>
        <v>0</v>
      </c>
      <c r="BM407" s="677">
        <f>[3]JDO!Z$113</f>
        <v>0</v>
      </c>
      <c r="BN407" s="677">
        <f>[3]JDO!AA$113</f>
        <v>0</v>
      </c>
      <c r="BO407" s="677">
        <f>[3]JDO!AB$113</f>
        <v>0</v>
      </c>
      <c r="BP407" s="677">
        <f>[3]JDO!AC$113</f>
        <v>0</v>
      </c>
      <c r="BQ407" s="677">
        <f>[3]JDO!AD$113</f>
        <v>0</v>
      </c>
      <c r="BR407" s="44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525">
        <v>0</v>
      </c>
      <c r="CU407" s="525">
        <v>0</v>
      </c>
      <c r="CV407" s="44">
        <f t="shared" si="1606"/>
        <v>4.3</v>
      </c>
      <c r="CW407" s="44">
        <f t="shared" si="1642"/>
        <v>0</v>
      </c>
      <c r="CX407" s="44">
        <f t="shared" si="1643"/>
        <v>0</v>
      </c>
      <c r="CY407" s="44">
        <f t="shared" si="1644"/>
        <v>0</v>
      </c>
      <c r="CZ407" s="45">
        <f t="shared" si="1645"/>
        <v>0</v>
      </c>
      <c r="DA407" s="44">
        <f t="shared" si="1646"/>
        <v>0</v>
      </c>
      <c r="DB407" s="44">
        <f t="shared" si="1647"/>
        <v>0</v>
      </c>
      <c r="DC407" s="44">
        <f t="shared" si="1648"/>
        <v>0</v>
      </c>
      <c r="DD407" s="44">
        <f t="shared" si="1649"/>
        <v>0</v>
      </c>
      <c r="DE407" s="44">
        <f t="shared" si="1650"/>
        <v>0</v>
      </c>
      <c r="DF407" s="44">
        <f t="shared" si="1651"/>
        <v>0</v>
      </c>
      <c r="DG407" s="44">
        <f t="shared" si="1652"/>
        <v>0</v>
      </c>
      <c r="DH407" s="44">
        <f t="shared" si="1653"/>
        <v>0</v>
      </c>
      <c r="DI407" s="44">
        <f t="shared" si="1654"/>
        <v>0</v>
      </c>
    </row>
    <row r="408" spans="1:113" s="24" customFormat="1" ht="12" hidden="1" outlineLevel="1">
      <c r="A408" s="1" t="s">
        <v>118</v>
      </c>
      <c r="B408" s="24" t="s">
        <v>166</v>
      </c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  <c r="AJ408" s="55"/>
      <c r="AK408" s="55"/>
      <c r="AL408" s="55"/>
      <c r="AM408" s="55"/>
      <c r="AN408" s="55"/>
      <c r="AO408" s="55"/>
      <c r="AP408" s="526">
        <f t="shared" ref="AP408:AR408" si="1666">AP414-SUM(AP409:AP413)</f>
        <v>4.7</v>
      </c>
      <c r="AQ408" s="526">
        <f t="shared" si="1666"/>
        <v>0.6</v>
      </c>
      <c r="AR408" s="526">
        <f t="shared" si="1666"/>
        <v>0.4</v>
      </c>
      <c r="AS408" s="526">
        <f t="shared" ref="AS408:AT408" si="1667">AS414-SUM(AS409:AS413)</f>
        <v>2.8</v>
      </c>
      <c r="AT408" s="526">
        <f t="shared" si="1667"/>
        <v>2.2000000000000002</v>
      </c>
      <c r="AU408" s="526">
        <f t="shared" ref="AU408:AV408" si="1668">AU414-SUM(AU409:AU413)</f>
        <v>3.2</v>
      </c>
      <c r="AV408" s="526">
        <f t="shared" si="1668"/>
        <v>4.8</v>
      </c>
      <c r="AW408" s="526">
        <f t="shared" ref="AW408:AX408" si="1669">AW414-SUM(AW409:AW413)</f>
        <v>5.9</v>
      </c>
      <c r="AX408" s="526">
        <f t="shared" si="1669"/>
        <v>7.9</v>
      </c>
      <c r="AY408" s="526">
        <f t="shared" ref="AY408:AZ408" si="1670">AY414-SUM(AY409:AY413)</f>
        <v>7.7</v>
      </c>
      <c r="AZ408" s="524">
        <f t="shared" si="1670"/>
        <v>10.199999999999999</v>
      </c>
      <c r="BA408" s="526">
        <f t="shared" ref="BA408:BI408" si="1671">BA406+BA407</f>
        <v>10.8325036773367</v>
      </c>
      <c r="BB408" s="526">
        <f t="shared" si="1671"/>
        <v>11.710696218188383</v>
      </c>
      <c r="BC408" s="526">
        <f t="shared" si="1671"/>
        <v>12.390245868703353</v>
      </c>
      <c r="BD408" s="526">
        <f t="shared" si="1671"/>
        <v>13.355998128505872</v>
      </c>
      <c r="BE408" s="526">
        <f t="shared" si="1671"/>
        <v>14.167118264663891</v>
      </c>
      <c r="BF408" s="526">
        <f t="shared" si="1671"/>
        <v>15.260039237665067</v>
      </c>
      <c r="BG408" s="526">
        <f t="shared" si="1671"/>
        <v>16.095876358543009</v>
      </c>
      <c r="BH408" s="526">
        <f t="shared" si="1671"/>
        <v>17.318841833766605</v>
      </c>
      <c r="BI408" s="526">
        <f t="shared" si="1671"/>
        <v>18.172488944251963</v>
      </c>
      <c r="BJ408" s="526">
        <f t="shared" ref="BJ408:BK408" si="1672">BJ406+BJ407</f>
        <v>19.457898066937254</v>
      </c>
      <c r="BK408" s="526">
        <f t="shared" si="1672"/>
        <v>20.301831993768669</v>
      </c>
      <c r="BL408" s="526">
        <f t="shared" ref="BL408:BM408" si="1673">BL406+BL407</f>
        <v>20.809086304405817</v>
      </c>
      <c r="BM408" s="526">
        <f t="shared" si="1673"/>
        <v>20.899216951235374</v>
      </c>
      <c r="BN408" s="526">
        <f t="shared" ref="BN408:BO408" si="1674">BN406+BN407</f>
        <v>21.324775462048557</v>
      </c>
      <c r="BO408" s="526">
        <f t="shared" si="1674"/>
        <v>21.27409203786506</v>
      </c>
      <c r="BP408" s="526">
        <f t="shared" ref="BP408:BQ408" si="1675">BP406+BP407</f>
        <v>21.719418263788853</v>
      </c>
      <c r="BQ408" s="526">
        <f t="shared" si="1675"/>
        <v>21.680084535004319</v>
      </c>
      <c r="BR408" s="526"/>
      <c r="BS408" s="55"/>
      <c r="BT408" s="55"/>
      <c r="BU408" s="55"/>
      <c r="BV408" s="55"/>
      <c r="BW408" s="55"/>
      <c r="BX408" s="55"/>
      <c r="BY408" s="55"/>
      <c r="BZ408" s="55"/>
      <c r="CA408" s="55"/>
      <c r="CB408" s="55"/>
      <c r="CC408" s="55"/>
      <c r="CD408" s="55"/>
      <c r="CE408" s="55"/>
      <c r="CF408" s="55"/>
      <c r="CG408" s="55"/>
      <c r="CH408" s="55"/>
      <c r="CI408" s="55"/>
      <c r="CJ408" s="55"/>
      <c r="CK408" s="55"/>
      <c r="CL408" s="55"/>
      <c r="CM408" s="55"/>
      <c r="CN408" s="55"/>
      <c r="CO408" s="55"/>
      <c r="CP408" s="55"/>
      <c r="CQ408" s="55"/>
      <c r="CR408" s="55"/>
      <c r="CS408" s="55"/>
      <c r="CT408" s="526">
        <f t="shared" ref="CT408:CU408" si="1676">CT414-SUM(CT409:CT413)</f>
        <v>0.498</v>
      </c>
      <c r="CU408" s="526">
        <f t="shared" si="1676"/>
        <v>0.41599999999999998</v>
      </c>
      <c r="CV408" s="526">
        <f t="shared" si="1606"/>
        <v>5.3</v>
      </c>
      <c r="CW408" s="526">
        <f t="shared" si="1642"/>
        <v>3.1999999999999997</v>
      </c>
      <c r="CX408" s="526">
        <f t="shared" si="1643"/>
        <v>5.4</v>
      </c>
      <c r="CY408" s="526">
        <f t="shared" si="1644"/>
        <v>10.7</v>
      </c>
      <c r="CZ408" s="524">
        <f t="shared" si="1645"/>
        <v>15.600000000000001</v>
      </c>
      <c r="DA408" s="526">
        <f t="shared" si="1646"/>
        <v>21.032503677336699</v>
      </c>
      <c r="DB408" s="526">
        <f t="shared" si="1647"/>
        <v>24.100942086891735</v>
      </c>
      <c r="DC408" s="526">
        <f t="shared" si="1648"/>
        <v>27.523116393169765</v>
      </c>
      <c r="DD408" s="526">
        <f t="shared" si="1649"/>
        <v>31.355915596208078</v>
      </c>
      <c r="DE408" s="526">
        <f t="shared" si="1650"/>
        <v>35.491330778018565</v>
      </c>
      <c r="DF408" s="526">
        <f t="shared" si="1651"/>
        <v>39.75973006070592</v>
      </c>
      <c r="DG408" s="526">
        <f t="shared" si="1652"/>
        <v>41.708303255641191</v>
      </c>
      <c r="DH408" s="526">
        <f t="shared" si="1653"/>
        <v>42.598867499913617</v>
      </c>
      <c r="DI408" s="526">
        <f t="shared" si="1654"/>
        <v>43.399502798793172</v>
      </c>
    </row>
    <row r="409" spans="1:113" ht="12" hidden="1" outlineLevel="2">
      <c r="A409" s="1" t="s">
        <v>809</v>
      </c>
      <c r="B409" s="19" t="s">
        <v>854</v>
      </c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4">
        <f t="shared" ref="AP409:AR409" si="1677">-AP382</f>
        <v>0</v>
      </c>
      <c r="AQ409" s="44">
        <f t="shared" si="1677"/>
        <v>0</v>
      </c>
      <c r="AR409" s="44">
        <f t="shared" si="1677"/>
        <v>0</v>
      </c>
      <c r="AS409" s="44">
        <f t="shared" ref="AS409:AT409" si="1678">-AS382</f>
        <v>0</v>
      </c>
      <c r="AT409" s="44">
        <f t="shared" si="1678"/>
        <v>0</v>
      </c>
      <c r="AU409" s="44">
        <f t="shared" ref="AU409:AV409" si="1679">-AU382</f>
        <v>0</v>
      </c>
      <c r="AV409" s="44">
        <f t="shared" si="1679"/>
        <v>0</v>
      </c>
      <c r="AW409" s="44">
        <f t="shared" ref="AW409:AX409" si="1680">-AW382</f>
        <v>0</v>
      </c>
      <c r="AX409" s="44">
        <f t="shared" si="1680"/>
        <v>0</v>
      </c>
      <c r="AY409" s="44">
        <f t="shared" ref="AY409:AZ409" si="1681">-AY382</f>
        <v>0</v>
      </c>
      <c r="AZ409" s="45">
        <f t="shared" si="1681"/>
        <v>0</v>
      </c>
      <c r="BA409" s="44">
        <f t="shared" ref="BA409:BI409" si="1682">-BA382</f>
        <v>0</v>
      </c>
      <c r="BB409" s="44">
        <f t="shared" si="1682"/>
        <v>0</v>
      </c>
      <c r="BC409" s="44">
        <f t="shared" si="1682"/>
        <v>0</v>
      </c>
      <c r="BD409" s="44">
        <f t="shared" si="1682"/>
        <v>0</v>
      </c>
      <c r="BE409" s="44">
        <f t="shared" si="1682"/>
        <v>0</v>
      </c>
      <c r="BF409" s="44">
        <f t="shared" si="1682"/>
        <v>0</v>
      </c>
      <c r="BG409" s="44">
        <f t="shared" si="1682"/>
        <v>0</v>
      </c>
      <c r="BH409" s="44">
        <f t="shared" si="1682"/>
        <v>0</v>
      </c>
      <c r="BI409" s="44">
        <f t="shared" si="1682"/>
        <v>0</v>
      </c>
      <c r="BJ409" s="44">
        <f t="shared" ref="BJ409:BK409" si="1683">-BJ382</f>
        <v>0</v>
      </c>
      <c r="BK409" s="44">
        <f t="shared" si="1683"/>
        <v>0</v>
      </c>
      <c r="BL409" s="44">
        <f t="shared" ref="BL409:BM409" si="1684">-BL382</f>
        <v>0</v>
      </c>
      <c r="BM409" s="44">
        <f t="shared" si="1684"/>
        <v>0</v>
      </c>
      <c r="BN409" s="44">
        <f t="shared" ref="BN409:BO409" si="1685">-BN382</f>
        <v>0</v>
      </c>
      <c r="BO409" s="44">
        <f t="shared" si="1685"/>
        <v>0</v>
      </c>
      <c r="BP409" s="44">
        <f t="shared" ref="BP409:BQ409" si="1686">-BP382</f>
        <v>0</v>
      </c>
      <c r="BQ409" s="44">
        <f t="shared" si="1686"/>
        <v>0</v>
      </c>
      <c r="BR409" s="44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4">
        <f t="shared" ref="CT409:CU409" si="1687">-CT382</f>
        <v>0</v>
      </c>
      <c r="CU409" s="44">
        <f t="shared" si="1687"/>
        <v>0</v>
      </c>
      <c r="CV409" s="44">
        <f t="shared" si="1606"/>
        <v>0</v>
      </c>
      <c r="CW409" s="44">
        <f t="shared" si="1642"/>
        <v>0</v>
      </c>
      <c r="CX409" s="44">
        <f t="shared" si="1643"/>
        <v>0</v>
      </c>
      <c r="CY409" s="44">
        <f t="shared" si="1644"/>
        <v>0</v>
      </c>
      <c r="CZ409" s="45">
        <f t="shared" si="1645"/>
        <v>0</v>
      </c>
      <c r="DA409" s="44">
        <f t="shared" si="1646"/>
        <v>0</v>
      </c>
      <c r="DB409" s="44">
        <f t="shared" si="1647"/>
        <v>0</v>
      </c>
      <c r="DC409" s="44">
        <f t="shared" si="1648"/>
        <v>0</v>
      </c>
      <c r="DD409" s="44">
        <f t="shared" si="1649"/>
        <v>0</v>
      </c>
      <c r="DE409" s="44">
        <f t="shared" si="1650"/>
        <v>0</v>
      </c>
      <c r="DF409" s="44">
        <f t="shared" si="1651"/>
        <v>0</v>
      </c>
      <c r="DG409" s="44">
        <f t="shared" si="1652"/>
        <v>0</v>
      </c>
      <c r="DH409" s="44">
        <f t="shared" si="1653"/>
        <v>0</v>
      </c>
      <c r="DI409" s="44">
        <f t="shared" si="1654"/>
        <v>0</v>
      </c>
    </row>
    <row r="410" spans="1:113" ht="12" hidden="1" outlineLevel="2">
      <c r="A410" s="1" t="s">
        <v>111</v>
      </c>
      <c r="B410" s="19" t="s">
        <v>367</v>
      </c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525">
        <v>0</v>
      </c>
      <c r="AQ410" s="525">
        <v>0</v>
      </c>
      <c r="AR410" s="525">
        <v>0</v>
      </c>
      <c r="AS410" s="525">
        <v>0</v>
      </c>
      <c r="AT410" s="525">
        <v>0</v>
      </c>
      <c r="AU410" s="525">
        <v>0</v>
      </c>
      <c r="AV410" s="525">
        <v>0</v>
      </c>
      <c r="AW410" s="525">
        <v>0</v>
      </c>
      <c r="AX410" s="525">
        <v>0</v>
      </c>
      <c r="AY410" s="525">
        <v>0</v>
      </c>
      <c r="AZ410" s="523">
        <v>0</v>
      </c>
      <c r="BA410" s="46">
        <v>0</v>
      </c>
      <c r="BB410" s="46">
        <v>0</v>
      </c>
      <c r="BC410" s="46">
        <v>0</v>
      </c>
      <c r="BD410" s="46">
        <v>0</v>
      </c>
      <c r="BE410" s="46">
        <v>0</v>
      </c>
      <c r="BF410" s="46">
        <v>0</v>
      </c>
      <c r="BG410" s="46">
        <v>0</v>
      </c>
      <c r="BH410" s="46">
        <v>0</v>
      </c>
      <c r="BI410" s="46">
        <v>0</v>
      </c>
      <c r="BJ410" s="46">
        <v>0</v>
      </c>
      <c r="BK410" s="46">
        <v>0</v>
      </c>
      <c r="BL410" s="46">
        <v>0</v>
      </c>
      <c r="BM410" s="46">
        <v>0</v>
      </c>
      <c r="BN410" s="46">
        <v>0</v>
      </c>
      <c r="BO410" s="46">
        <v>0</v>
      </c>
      <c r="BP410" s="46">
        <v>0</v>
      </c>
      <c r="BQ410" s="46">
        <v>0</v>
      </c>
      <c r="BR410" s="44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525">
        <v>0</v>
      </c>
      <c r="CU410" s="525">
        <v>0</v>
      </c>
      <c r="CV410" s="44">
        <f t="shared" si="1606"/>
        <v>0</v>
      </c>
      <c r="CW410" s="44">
        <f t="shared" si="1642"/>
        <v>0</v>
      </c>
      <c r="CX410" s="44">
        <f t="shared" si="1643"/>
        <v>0</v>
      </c>
      <c r="CY410" s="44">
        <f t="shared" si="1644"/>
        <v>0</v>
      </c>
      <c r="CZ410" s="45">
        <f t="shared" si="1645"/>
        <v>0</v>
      </c>
      <c r="DA410" s="44">
        <f t="shared" si="1646"/>
        <v>0</v>
      </c>
      <c r="DB410" s="44">
        <f t="shared" si="1647"/>
        <v>0</v>
      </c>
      <c r="DC410" s="44">
        <f t="shared" si="1648"/>
        <v>0</v>
      </c>
      <c r="DD410" s="44">
        <f t="shared" si="1649"/>
        <v>0</v>
      </c>
      <c r="DE410" s="44">
        <f t="shared" si="1650"/>
        <v>0</v>
      </c>
      <c r="DF410" s="44">
        <f t="shared" si="1651"/>
        <v>0</v>
      </c>
      <c r="DG410" s="44">
        <f t="shared" si="1652"/>
        <v>0</v>
      </c>
      <c r="DH410" s="44">
        <f t="shared" si="1653"/>
        <v>0</v>
      </c>
      <c r="DI410" s="44">
        <f t="shared" si="1654"/>
        <v>0</v>
      </c>
    </row>
    <row r="411" spans="1:113" ht="12" hidden="1" outlineLevel="2">
      <c r="A411" s="1" t="s">
        <v>112</v>
      </c>
      <c r="B411" s="19" t="s">
        <v>368</v>
      </c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525">
        <v>0</v>
      </c>
      <c r="AQ411" s="525">
        <v>0</v>
      </c>
      <c r="AR411" s="525">
        <v>0</v>
      </c>
      <c r="AS411" s="525">
        <v>0</v>
      </c>
      <c r="AT411" s="525">
        <v>0</v>
      </c>
      <c r="AU411" s="525">
        <v>0</v>
      </c>
      <c r="AV411" s="525">
        <v>0</v>
      </c>
      <c r="AW411" s="525">
        <v>0</v>
      </c>
      <c r="AX411" s="525">
        <v>0</v>
      </c>
      <c r="AY411" s="525">
        <v>0</v>
      </c>
      <c r="AZ411" s="523">
        <v>0</v>
      </c>
      <c r="BA411" s="46">
        <v>0</v>
      </c>
      <c r="BB411" s="46">
        <v>0</v>
      </c>
      <c r="BC411" s="46">
        <v>0</v>
      </c>
      <c r="BD411" s="46">
        <v>0</v>
      </c>
      <c r="BE411" s="46">
        <v>0</v>
      </c>
      <c r="BF411" s="46">
        <v>0</v>
      </c>
      <c r="BG411" s="46">
        <v>0</v>
      </c>
      <c r="BH411" s="46">
        <v>0</v>
      </c>
      <c r="BI411" s="46">
        <v>0</v>
      </c>
      <c r="BJ411" s="46">
        <v>0</v>
      </c>
      <c r="BK411" s="46">
        <v>0</v>
      </c>
      <c r="BL411" s="46">
        <v>0</v>
      </c>
      <c r="BM411" s="46">
        <v>0</v>
      </c>
      <c r="BN411" s="46">
        <v>0</v>
      </c>
      <c r="BO411" s="46">
        <v>0</v>
      </c>
      <c r="BP411" s="46">
        <v>0</v>
      </c>
      <c r="BQ411" s="46">
        <v>0</v>
      </c>
      <c r="BR411" s="44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525">
        <v>0</v>
      </c>
      <c r="CU411" s="525">
        <v>0</v>
      </c>
      <c r="CV411" s="44">
        <f t="shared" si="1606"/>
        <v>0</v>
      </c>
      <c r="CW411" s="44">
        <f t="shared" si="1642"/>
        <v>0</v>
      </c>
      <c r="CX411" s="44">
        <f t="shared" si="1643"/>
        <v>0</v>
      </c>
      <c r="CY411" s="44">
        <f t="shared" si="1644"/>
        <v>0</v>
      </c>
      <c r="CZ411" s="45">
        <f t="shared" si="1645"/>
        <v>0</v>
      </c>
      <c r="DA411" s="44">
        <f t="shared" si="1646"/>
        <v>0</v>
      </c>
      <c r="DB411" s="44">
        <f t="shared" si="1647"/>
        <v>0</v>
      </c>
      <c r="DC411" s="44">
        <f t="shared" si="1648"/>
        <v>0</v>
      </c>
      <c r="DD411" s="44">
        <f t="shared" si="1649"/>
        <v>0</v>
      </c>
      <c r="DE411" s="44">
        <f t="shared" si="1650"/>
        <v>0</v>
      </c>
      <c r="DF411" s="44">
        <f t="shared" si="1651"/>
        <v>0</v>
      </c>
      <c r="DG411" s="44">
        <f t="shared" si="1652"/>
        <v>0</v>
      </c>
      <c r="DH411" s="44">
        <f t="shared" si="1653"/>
        <v>0</v>
      </c>
      <c r="DI411" s="44">
        <f t="shared" si="1654"/>
        <v>0</v>
      </c>
    </row>
    <row r="412" spans="1:113" ht="12" hidden="1" outlineLevel="2">
      <c r="A412" s="1" t="s">
        <v>113</v>
      </c>
      <c r="B412" s="19" t="s">
        <v>358</v>
      </c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525">
        <v>0</v>
      </c>
      <c r="AQ412" s="525">
        <v>0</v>
      </c>
      <c r="AR412" s="525">
        <v>0</v>
      </c>
      <c r="AS412" s="525">
        <v>0</v>
      </c>
      <c r="AT412" s="525">
        <v>0</v>
      </c>
      <c r="AU412" s="525">
        <v>0</v>
      </c>
      <c r="AV412" s="525">
        <v>0</v>
      </c>
      <c r="AW412" s="525">
        <v>0</v>
      </c>
      <c r="AX412" s="525">
        <v>0</v>
      </c>
      <c r="AY412" s="525">
        <v>0</v>
      </c>
      <c r="AZ412" s="523">
        <v>0</v>
      </c>
      <c r="BA412" s="46">
        <v>0</v>
      </c>
      <c r="BB412" s="46">
        <v>0</v>
      </c>
      <c r="BC412" s="46">
        <v>0</v>
      </c>
      <c r="BD412" s="46">
        <v>0</v>
      </c>
      <c r="BE412" s="46">
        <v>0</v>
      </c>
      <c r="BF412" s="46">
        <v>0</v>
      </c>
      <c r="BG412" s="46">
        <v>0</v>
      </c>
      <c r="BH412" s="46">
        <v>0</v>
      </c>
      <c r="BI412" s="46">
        <v>0</v>
      </c>
      <c r="BJ412" s="46">
        <v>0</v>
      </c>
      <c r="BK412" s="46">
        <v>0</v>
      </c>
      <c r="BL412" s="46">
        <v>0</v>
      </c>
      <c r="BM412" s="46">
        <v>0</v>
      </c>
      <c r="BN412" s="46">
        <v>0</v>
      </c>
      <c r="BO412" s="46">
        <v>0</v>
      </c>
      <c r="BP412" s="46">
        <v>0</v>
      </c>
      <c r="BQ412" s="46">
        <v>0</v>
      </c>
      <c r="BR412" s="44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525">
        <v>0</v>
      </c>
      <c r="CU412" s="525">
        <v>0</v>
      </c>
      <c r="CV412" s="44">
        <f t="shared" si="1606"/>
        <v>0</v>
      </c>
      <c r="CW412" s="44">
        <f t="shared" si="1642"/>
        <v>0</v>
      </c>
      <c r="CX412" s="44">
        <f t="shared" si="1643"/>
        <v>0</v>
      </c>
      <c r="CY412" s="44">
        <f t="shared" si="1644"/>
        <v>0</v>
      </c>
      <c r="CZ412" s="45">
        <f t="shared" si="1645"/>
        <v>0</v>
      </c>
      <c r="DA412" s="44">
        <f t="shared" si="1646"/>
        <v>0</v>
      </c>
      <c r="DB412" s="44">
        <f t="shared" si="1647"/>
        <v>0</v>
      </c>
      <c r="DC412" s="44">
        <f t="shared" si="1648"/>
        <v>0</v>
      </c>
      <c r="DD412" s="44">
        <f t="shared" si="1649"/>
        <v>0</v>
      </c>
      <c r="DE412" s="44">
        <f t="shared" si="1650"/>
        <v>0</v>
      </c>
      <c r="DF412" s="44">
        <f t="shared" si="1651"/>
        <v>0</v>
      </c>
      <c r="DG412" s="44">
        <f t="shared" si="1652"/>
        <v>0</v>
      </c>
      <c r="DH412" s="44">
        <f t="shared" si="1653"/>
        <v>0</v>
      </c>
      <c r="DI412" s="44">
        <f t="shared" si="1654"/>
        <v>0</v>
      </c>
    </row>
    <row r="413" spans="1:113" ht="12" hidden="1" outlineLevel="2">
      <c r="A413" s="1" t="s">
        <v>114</v>
      </c>
      <c r="B413" s="19" t="s">
        <v>422</v>
      </c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525">
        <v>0</v>
      </c>
      <c r="AQ413" s="525">
        <v>0</v>
      </c>
      <c r="AR413" s="525">
        <v>0</v>
      </c>
      <c r="AS413" s="525">
        <v>0</v>
      </c>
      <c r="AT413" s="525">
        <v>0</v>
      </c>
      <c r="AU413" s="525">
        <v>0</v>
      </c>
      <c r="AV413" s="525">
        <v>0</v>
      </c>
      <c r="AW413" s="525">
        <v>0</v>
      </c>
      <c r="AX413" s="525">
        <v>0</v>
      </c>
      <c r="AY413" s="525">
        <v>0</v>
      </c>
      <c r="AZ413" s="523">
        <v>0</v>
      </c>
      <c r="BA413" s="46">
        <f t="shared" ref="BA413:BI413" si="1688">AZ413</f>
        <v>0</v>
      </c>
      <c r="BB413" s="46">
        <f t="shared" si="1688"/>
        <v>0</v>
      </c>
      <c r="BC413" s="46">
        <f t="shared" si="1688"/>
        <v>0</v>
      </c>
      <c r="BD413" s="46">
        <f t="shared" si="1688"/>
        <v>0</v>
      </c>
      <c r="BE413" s="46">
        <f t="shared" si="1688"/>
        <v>0</v>
      </c>
      <c r="BF413" s="46">
        <f t="shared" si="1688"/>
        <v>0</v>
      </c>
      <c r="BG413" s="46">
        <f t="shared" si="1688"/>
        <v>0</v>
      </c>
      <c r="BH413" s="46">
        <f t="shared" si="1688"/>
        <v>0</v>
      </c>
      <c r="BI413" s="46">
        <f t="shared" si="1688"/>
        <v>0</v>
      </c>
      <c r="BJ413" s="46">
        <f t="shared" ref="BJ413" si="1689">BI413</f>
        <v>0</v>
      </c>
      <c r="BK413" s="46">
        <f t="shared" ref="BK413" si="1690">BJ413</f>
        <v>0</v>
      </c>
      <c r="BL413" s="46">
        <f t="shared" ref="BL413" si="1691">BK413</f>
        <v>0</v>
      </c>
      <c r="BM413" s="46">
        <f t="shared" ref="BM413" si="1692">BL413</f>
        <v>0</v>
      </c>
      <c r="BN413" s="46">
        <f t="shared" ref="BN413" si="1693">BM413</f>
        <v>0</v>
      </c>
      <c r="BO413" s="46">
        <f t="shared" ref="BO413" si="1694">BN413</f>
        <v>0</v>
      </c>
      <c r="BP413" s="46">
        <f t="shared" ref="BP413" si="1695">BO413</f>
        <v>0</v>
      </c>
      <c r="BQ413" s="46">
        <f t="shared" ref="BQ413" si="1696">BP413</f>
        <v>0</v>
      </c>
      <c r="BR413" s="44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525">
        <v>0</v>
      </c>
      <c r="CU413" s="525">
        <v>0</v>
      </c>
      <c r="CV413" s="44">
        <f t="shared" si="1606"/>
        <v>0</v>
      </c>
      <c r="CW413" s="44">
        <f t="shared" si="1642"/>
        <v>0</v>
      </c>
      <c r="CX413" s="44">
        <f t="shared" si="1643"/>
        <v>0</v>
      </c>
      <c r="CY413" s="44">
        <f t="shared" si="1644"/>
        <v>0</v>
      </c>
      <c r="CZ413" s="45">
        <f t="shared" si="1645"/>
        <v>0</v>
      </c>
      <c r="DA413" s="44">
        <f t="shared" si="1646"/>
        <v>0</v>
      </c>
      <c r="DB413" s="44">
        <f t="shared" si="1647"/>
        <v>0</v>
      </c>
      <c r="DC413" s="44">
        <f t="shared" si="1648"/>
        <v>0</v>
      </c>
      <c r="DD413" s="44">
        <f t="shared" si="1649"/>
        <v>0</v>
      </c>
      <c r="DE413" s="44">
        <f t="shared" si="1650"/>
        <v>0</v>
      </c>
      <c r="DF413" s="44">
        <f t="shared" si="1651"/>
        <v>0</v>
      </c>
      <c r="DG413" s="44">
        <f t="shared" si="1652"/>
        <v>0</v>
      </c>
      <c r="DH413" s="44">
        <f t="shared" si="1653"/>
        <v>0</v>
      </c>
      <c r="DI413" s="44">
        <f t="shared" si="1654"/>
        <v>0</v>
      </c>
    </row>
    <row r="414" spans="1:113" s="24" customFormat="1" ht="12" hidden="1" outlineLevel="2">
      <c r="A414" s="1" t="s">
        <v>115</v>
      </c>
      <c r="B414" s="24" t="s">
        <v>578</v>
      </c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  <c r="AJ414" s="55"/>
      <c r="AK414" s="55"/>
      <c r="AL414" s="55"/>
      <c r="AM414" s="55"/>
      <c r="AN414" s="55"/>
      <c r="AO414" s="55"/>
      <c r="AP414" s="521">
        <v>4.7</v>
      </c>
      <c r="AQ414" s="521">
        <v>0.6</v>
      </c>
      <c r="AR414" s="521">
        <v>0.4</v>
      </c>
      <c r="AS414" s="521">
        <v>2.8</v>
      </c>
      <c r="AT414" s="521">
        <v>2.2000000000000002</v>
      </c>
      <c r="AU414" s="521">
        <v>3.2</v>
      </c>
      <c r="AV414" s="521">
        <v>4.8</v>
      </c>
      <c r="AW414" s="521">
        <v>5.9</v>
      </c>
      <c r="AX414" s="521">
        <v>7.9</v>
      </c>
      <c r="AY414" s="521">
        <v>7.7</v>
      </c>
      <c r="AZ414" s="522">
        <v>10.199999999999999</v>
      </c>
      <c r="BA414" s="526">
        <f t="shared" ref="BA414:BI414" si="1697">SUM(BA408:BA413)</f>
        <v>10.8325036773367</v>
      </c>
      <c r="BB414" s="526">
        <f t="shared" si="1697"/>
        <v>11.710696218188383</v>
      </c>
      <c r="BC414" s="526">
        <f t="shared" si="1697"/>
        <v>12.390245868703353</v>
      </c>
      <c r="BD414" s="526">
        <f t="shared" si="1697"/>
        <v>13.355998128505872</v>
      </c>
      <c r="BE414" s="526">
        <f t="shared" si="1697"/>
        <v>14.167118264663891</v>
      </c>
      <c r="BF414" s="526">
        <f t="shared" si="1697"/>
        <v>15.260039237665067</v>
      </c>
      <c r="BG414" s="526">
        <f t="shared" si="1697"/>
        <v>16.095876358543009</v>
      </c>
      <c r="BH414" s="526">
        <f t="shared" si="1697"/>
        <v>17.318841833766605</v>
      </c>
      <c r="BI414" s="526">
        <f t="shared" si="1697"/>
        <v>18.172488944251963</v>
      </c>
      <c r="BJ414" s="526">
        <f t="shared" ref="BJ414:BK414" si="1698">SUM(BJ408:BJ413)</f>
        <v>19.457898066937254</v>
      </c>
      <c r="BK414" s="526">
        <f t="shared" si="1698"/>
        <v>20.301831993768669</v>
      </c>
      <c r="BL414" s="526">
        <f t="shared" ref="BL414:BM414" si="1699">SUM(BL408:BL413)</f>
        <v>20.809086304405817</v>
      </c>
      <c r="BM414" s="526">
        <f t="shared" si="1699"/>
        <v>20.899216951235374</v>
      </c>
      <c r="BN414" s="526">
        <f t="shared" ref="BN414:BO414" si="1700">SUM(BN408:BN413)</f>
        <v>21.324775462048557</v>
      </c>
      <c r="BO414" s="526">
        <f t="shared" si="1700"/>
        <v>21.27409203786506</v>
      </c>
      <c r="BP414" s="526">
        <f t="shared" ref="BP414:BQ414" si="1701">SUM(BP408:BP413)</f>
        <v>21.719418263788853</v>
      </c>
      <c r="BQ414" s="526">
        <f t="shared" si="1701"/>
        <v>21.680084535004319</v>
      </c>
      <c r="BR414" s="526"/>
      <c r="BS414" s="54"/>
      <c r="BT414" s="54"/>
      <c r="BU414" s="54"/>
      <c r="BV414" s="54"/>
      <c r="BW414" s="54"/>
      <c r="BX414" s="54"/>
      <c r="BY414" s="54"/>
      <c r="BZ414" s="54"/>
      <c r="CA414" s="54"/>
      <c r="CB414" s="54"/>
      <c r="CC414" s="55"/>
      <c r="CD414" s="55"/>
      <c r="CE414" s="55"/>
      <c r="CF414" s="55"/>
      <c r="CG414" s="55"/>
      <c r="CH414" s="55"/>
      <c r="CI414" s="55"/>
      <c r="CJ414" s="55"/>
      <c r="CK414" s="55"/>
      <c r="CL414" s="55"/>
      <c r="CM414" s="55"/>
      <c r="CN414" s="55"/>
      <c r="CO414" s="55"/>
      <c r="CP414" s="55"/>
      <c r="CQ414" s="55"/>
      <c r="CR414" s="55"/>
      <c r="CS414" s="55"/>
      <c r="CT414" s="521">
        <v>0.498</v>
      </c>
      <c r="CU414" s="521">
        <v>0.41599999999999998</v>
      </c>
      <c r="CV414" s="526">
        <f t="shared" si="1606"/>
        <v>5.3</v>
      </c>
      <c r="CW414" s="526">
        <f t="shared" si="1642"/>
        <v>3.1999999999999997</v>
      </c>
      <c r="CX414" s="526">
        <f t="shared" si="1643"/>
        <v>5.4</v>
      </c>
      <c r="CY414" s="526">
        <f t="shared" si="1644"/>
        <v>10.7</v>
      </c>
      <c r="CZ414" s="524">
        <f t="shared" si="1645"/>
        <v>15.600000000000001</v>
      </c>
      <c r="DA414" s="526">
        <f t="shared" si="1646"/>
        <v>21.032503677336699</v>
      </c>
      <c r="DB414" s="526">
        <f t="shared" si="1647"/>
        <v>24.100942086891735</v>
      </c>
      <c r="DC414" s="526">
        <f t="shared" si="1648"/>
        <v>27.523116393169765</v>
      </c>
      <c r="DD414" s="526">
        <f t="shared" si="1649"/>
        <v>31.355915596208078</v>
      </c>
      <c r="DE414" s="526">
        <f t="shared" si="1650"/>
        <v>35.491330778018565</v>
      </c>
      <c r="DF414" s="526">
        <f t="shared" si="1651"/>
        <v>39.75973006070592</v>
      </c>
      <c r="DG414" s="526">
        <f t="shared" si="1652"/>
        <v>41.708303255641191</v>
      </c>
      <c r="DH414" s="526">
        <f t="shared" si="1653"/>
        <v>42.598867499913617</v>
      </c>
      <c r="DI414" s="526">
        <f t="shared" si="1654"/>
        <v>43.399502798793172</v>
      </c>
    </row>
    <row r="415" spans="1:113" ht="12" hidden="1" outlineLevel="2">
      <c r="A415" s="1" t="s">
        <v>116</v>
      </c>
      <c r="B415" s="19" t="s">
        <v>526</v>
      </c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4">
        <f t="shared" ref="AP415:AR415" si="1702">AP416-AP414</f>
        <v>0</v>
      </c>
      <c r="AQ415" s="44">
        <f t="shared" si="1702"/>
        <v>0</v>
      </c>
      <c r="AR415" s="44">
        <f t="shared" si="1702"/>
        <v>0</v>
      </c>
      <c r="AS415" s="44">
        <f t="shared" ref="AS415:AT415" si="1703">AS416-AS414</f>
        <v>0</v>
      </c>
      <c r="AT415" s="44">
        <f t="shared" si="1703"/>
        <v>0</v>
      </c>
      <c r="AU415" s="44">
        <f t="shared" ref="AU415:AV415" si="1704">AU416-AU414</f>
        <v>0</v>
      </c>
      <c r="AV415" s="44">
        <f t="shared" si="1704"/>
        <v>0</v>
      </c>
      <c r="AW415" s="44">
        <f t="shared" ref="AW415:AX415" si="1705">AW416-AW414</f>
        <v>0</v>
      </c>
      <c r="AX415" s="44">
        <f t="shared" si="1705"/>
        <v>0</v>
      </c>
      <c r="AY415" s="44">
        <v>0</v>
      </c>
      <c r="AZ415" s="45">
        <f t="shared" ref="AZ415" si="1706">AZ416-AZ414</f>
        <v>0</v>
      </c>
      <c r="BA415" s="46">
        <v>0</v>
      </c>
      <c r="BB415" s="46">
        <v>0</v>
      </c>
      <c r="BC415" s="46">
        <v>0</v>
      </c>
      <c r="BD415" s="46">
        <v>0</v>
      </c>
      <c r="BE415" s="46">
        <v>0</v>
      </c>
      <c r="BF415" s="46">
        <v>0</v>
      </c>
      <c r="BG415" s="46">
        <v>0</v>
      </c>
      <c r="BH415" s="46">
        <v>0</v>
      </c>
      <c r="BI415" s="46">
        <v>0</v>
      </c>
      <c r="BJ415" s="46">
        <v>0</v>
      </c>
      <c r="BK415" s="46">
        <v>0</v>
      </c>
      <c r="BL415" s="46">
        <v>0</v>
      </c>
      <c r="BM415" s="46">
        <v>0</v>
      </c>
      <c r="BN415" s="46">
        <v>0</v>
      </c>
      <c r="BO415" s="46">
        <v>0</v>
      </c>
      <c r="BP415" s="46">
        <v>0</v>
      </c>
      <c r="BQ415" s="46">
        <v>0</v>
      </c>
      <c r="BR415" s="46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4">
        <f t="shared" ref="CT415:CU415" si="1707">CT416-CT414</f>
        <v>0</v>
      </c>
      <c r="CU415" s="44">
        <f t="shared" si="1707"/>
        <v>0</v>
      </c>
      <c r="CV415" s="44">
        <f t="shared" si="1606"/>
        <v>0</v>
      </c>
      <c r="CW415" s="44">
        <f t="shared" si="1642"/>
        <v>0</v>
      </c>
      <c r="CX415" s="44">
        <f t="shared" si="1643"/>
        <v>0</v>
      </c>
      <c r="CY415" s="44">
        <f t="shared" si="1644"/>
        <v>0</v>
      </c>
      <c r="CZ415" s="45">
        <f t="shared" si="1645"/>
        <v>0</v>
      </c>
      <c r="DA415" s="44">
        <f t="shared" si="1646"/>
        <v>0</v>
      </c>
      <c r="DB415" s="44">
        <f t="shared" si="1647"/>
        <v>0</v>
      </c>
      <c r="DC415" s="44">
        <f t="shared" si="1648"/>
        <v>0</v>
      </c>
      <c r="DD415" s="44">
        <f t="shared" si="1649"/>
        <v>0</v>
      </c>
      <c r="DE415" s="44">
        <f t="shared" si="1650"/>
        <v>0</v>
      </c>
      <c r="DF415" s="44">
        <f t="shared" si="1651"/>
        <v>0</v>
      </c>
      <c r="DG415" s="44">
        <f t="shared" si="1652"/>
        <v>0</v>
      </c>
      <c r="DH415" s="44">
        <f t="shared" si="1653"/>
        <v>0</v>
      </c>
      <c r="DI415" s="44">
        <f t="shared" si="1654"/>
        <v>0</v>
      </c>
    </row>
    <row r="416" spans="1:113" s="24" customFormat="1" ht="12" hidden="1" outlineLevel="2">
      <c r="A416" s="1" t="s">
        <v>117</v>
      </c>
      <c r="B416" s="24" t="s">
        <v>713</v>
      </c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  <c r="AJ416" s="55"/>
      <c r="AK416" s="55"/>
      <c r="AL416" s="55"/>
      <c r="AM416" s="55"/>
      <c r="AN416" s="55"/>
      <c r="AO416" s="55"/>
      <c r="AP416" s="521">
        <v>4.7</v>
      </c>
      <c r="AQ416" s="521">
        <v>0.6</v>
      </c>
      <c r="AR416" s="521">
        <v>0.4</v>
      </c>
      <c r="AS416" s="521">
        <v>2.8</v>
      </c>
      <c r="AT416" s="521">
        <v>2.2000000000000002</v>
      </c>
      <c r="AU416" s="521">
        <v>3.2</v>
      </c>
      <c r="AV416" s="521">
        <v>4.8</v>
      </c>
      <c r="AW416" s="521">
        <v>5.9</v>
      </c>
      <c r="AX416" s="521">
        <v>7.9</v>
      </c>
      <c r="AY416" s="521">
        <v>7.7</v>
      </c>
      <c r="AZ416" s="522">
        <v>10.199999999999999</v>
      </c>
      <c r="BA416" s="526">
        <f t="shared" ref="BA416:BI416" si="1708">BA414+BA415</f>
        <v>10.8325036773367</v>
      </c>
      <c r="BB416" s="526">
        <f t="shared" si="1708"/>
        <v>11.710696218188383</v>
      </c>
      <c r="BC416" s="526">
        <f t="shared" si="1708"/>
        <v>12.390245868703353</v>
      </c>
      <c r="BD416" s="526">
        <f t="shared" si="1708"/>
        <v>13.355998128505872</v>
      </c>
      <c r="BE416" s="526">
        <f t="shared" si="1708"/>
        <v>14.167118264663891</v>
      </c>
      <c r="BF416" s="526">
        <f t="shared" si="1708"/>
        <v>15.260039237665067</v>
      </c>
      <c r="BG416" s="526">
        <f t="shared" si="1708"/>
        <v>16.095876358543009</v>
      </c>
      <c r="BH416" s="526">
        <f t="shared" si="1708"/>
        <v>17.318841833766605</v>
      </c>
      <c r="BI416" s="526">
        <f t="shared" si="1708"/>
        <v>18.172488944251963</v>
      </c>
      <c r="BJ416" s="526">
        <f t="shared" ref="BJ416:BK416" si="1709">BJ414+BJ415</f>
        <v>19.457898066937254</v>
      </c>
      <c r="BK416" s="526">
        <f t="shared" si="1709"/>
        <v>20.301831993768669</v>
      </c>
      <c r="BL416" s="526">
        <f t="shared" ref="BL416:BM416" si="1710">BL414+BL415</f>
        <v>20.809086304405817</v>
      </c>
      <c r="BM416" s="526">
        <f t="shared" si="1710"/>
        <v>20.899216951235374</v>
      </c>
      <c r="BN416" s="526">
        <f t="shared" ref="BN416:BO416" si="1711">BN414+BN415</f>
        <v>21.324775462048557</v>
      </c>
      <c r="BO416" s="526">
        <f t="shared" si="1711"/>
        <v>21.27409203786506</v>
      </c>
      <c r="BP416" s="526">
        <f t="shared" ref="BP416:BQ416" si="1712">BP414+BP415</f>
        <v>21.719418263788853</v>
      </c>
      <c r="BQ416" s="526">
        <f t="shared" si="1712"/>
        <v>21.680084535004319</v>
      </c>
      <c r="BR416" s="526"/>
      <c r="BS416" s="54"/>
      <c r="BT416" s="54"/>
      <c r="BU416" s="54"/>
      <c r="BV416" s="54"/>
      <c r="BW416" s="54"/>
      <c r="BX416" s="54"/>
      <c r="BY416" s="54"/>
      <c r="BZ416" s="54"/>
      <c r="CA416" s="54"/>
      <c r="CB416" s="54"/>
      <c r="CC416" s="55"/>
      <c r="CD416" s="55"/>
      <c r="CE416" s="55"/>
      <c r="CF416" s="55"/>
      <c r="CG416" s="55"/>
      <c r="CH416" s="55"/>
      <c r="CI416" s="55"/>
      <c r="CJ416" s="55"/>
      <c r="CK416" s="55"/>
      <c r="CL416" s="55"/>
      <c r="CM416" s="55"/>
      <c r="CN416" s="55"/>
      <c r="CO416" s="55"/>
      <c r="CP416" s="55"/>
      <c r="CQ416" s="55"/>
      <c r="CR416" s="55"/>
      <c r="CS416" s="55"/>
      <c r="CT416" s="521">
        <v>0.498</v>
      </c>
      <c r="CU416" s="521">
        <v>0.41599999999999998</v>
      </c>
      <c r="CV416" s="526">
        <f t="shared" si="1606"/>
        <v>5.3</v>
      </c>
      <c r="CW416" s="526">
        <f t="shared" ref="CW416:DF416" si="1713">CW414+CW415</f>
        <v>3.1999999999999997</v>
      </c>
      <c r="CX416" s="526">
        <f t="shared" si="1713"/>
        <v>5.4</v>
      </c>
      <c r="CY416" s="526">
        <f t="shared" si="1713"/>
        <v>10.7</v>
      </c>
      <c r="CZ416" s="524">
        <f t="shared" si="1713"/>
        <v>15.600000000000001</v>
      </c>
      <c r="DA416" s="526">
        <f t="shared" si="1713"/>
        <v>21.032503677336699</v>
      </c>
      <c r="DB416" s="526">
        <f t="shared" si="1713"/>
        <v>24.100942086891735</v>
      </c>
      <c r="DC416" s="526">
        <f t="shared" si="1713"/>
        <v>27.523116393169765</v>
      </c>
      <c r="DD416" s="526">
        <f t="shared" si="1713"/>
        <v>31.355915596208078</v>
      </c>
      <c r="DE416" s="526">
        <f t="shared" si="1713"/>
        <v>35.491330778018565</v>
      </c>
      <c r="DF416" s="526">
        <f t="shared" si="1713"/>
        <v>39.75973006070592</v>
      </c>
      <c r="DG416" s="526">
        <f t="shared" ref="DG416:DH416" si="1714">DG414+DG415</f>
        <v>41.708303255641191</v>
      </c>
      <c r="DH416" s="526">
        <f t="shared" si="1714"/>
        <v>42.598867499913617</v>
      </c>
      <c r="DI416" s="526">
        <f t="shared" ref="DI416" si="1715">DI414+DI415</f>
        <v>43.399502798793172</v>
      </c>
    </row>
    <row r="417" spans="1:113" ht="12" hidden="1" outlineLevel="1">
      <c r="A417" s="60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388"/>
      <c r="AB417" s="388"/>
      <c r="AC417" s="55"/>
      <c r="AD417" s="388"/>
      <c r="AE417" s="388"/>
      <c r="AF417" s="388"/>
      <c r="AG417" s="511"/>
      <c r="AH417" s="511"/>
      <c r="AI417" s="511"/>
      <c r="AJ417" s="511"/>
      <c r="AK417" s="42"/>
      <c r="AL417" s="42"/>
      <c r="AM417" s="42"/>
      <c r="AN417" s="42"/>
      <c r="AO417" s="42"/>
      <c r="AP417" s="572"/>
      <c r="AQ417" s="572"/>
      <c r="AR417" s="572"/>
      <c r="AS417" s="572"/>
      <c r="AT417" s="572"/>
      <c r="AU417" s="572"/>
      <c r="AV417" s="572"/>
      <c r="AW417" s="572"/>
      <c r="AX417" s="572"/>
      <c r="AY417" s="44"/>
      <c r="AZ417" s="45"/>
      <c r="BA417" s="44"/>
      <c r="BB417" s="44"/>
      <c r="BC417" s="44"/>
      <c r="BD417" s="44"/>
      <c r="BE417" s="44"/>
      <c r="BF417" s="44"/>
      <c r="BG417" s="44"/>
      <c r="BH417" s="44"/>
      <c r="BI417" s="44"/>
      <c r="BJ417" s="44"/>
      <c r="BK417" s="44"/>
      <c r="BL417" s="44"/>
      <c r="BM417" s="44"/>
      <c r="BN417" s="44"/>
      <c r="BO417" s="44"/>
      <c r="BP417" s="44"/>
      <c r="BQ417" s="44"/>
      <c r="BR417" s="44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172"/>
      <c r="CQ417" s="172"/>
      <c r="CR417" s="172"/>
      <c r="CS417" s="172"/>
      <c r="CT417" s="572"/>
      <c r="CU417" s="46"/>
      <c r="CV417" s="572"/>
      <c r="CW417" s="572"/>
      <c r="CX417" s="572"/>
      <c r="CY417" s="572"/>
      <c r="CZ417" s="45"/>
      <c r="DA417" s="44"/>
      <c r="DB417" s="44"/>
      <c r="DC417" s="529"/>
      <c r="DD417" s="529"/>
      <c r="DE417" s="529"/>
      <c r="DF417" s="529"/>
      <c r="DG417" s="529"/>
      <c r="DH417" s="529"/>
      <c r="DI417" s="529"/>
    </row>
    <row r="418" spans="1:113" ht="12" collapsed="1"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394"/>
      <c r="AB418" s="394"/>
      <c r="AC418" s="42"/>
      <c r="AD418" s="42"/>
      <c r="AE418" s="394"/>
      <c r="AF418" s="394"/>
      <c r="AG418" s="394"/>
      <c r="AH418" s="394"/>
      <c r="AI418" s="394"/>
      <c r="AJ418" s="394"/>
      <c r="AK418" s="42"/>
      <c r="AL418" s="416"/>
      <c r="AM418" s="416"/>
      <c r="AN418" s="416"/>
      <c r="AO418" s="416"/>
      <c r="AP418" s="44"/>
      <c r="AQ418" s="44"/>
      <c r="AR418" s="44"/>
      <c r="AS418" s="44"/>
      <c r="AT418" s="44"/>
      <c r="AU418" s="44"/>
      <c r="AV418" s="44"/>
      <c r="AW418" s="44"/>
      <c r="AX418" s="44"/>
      <c r="AY418" s="675"/>
      <c r="AZ418" s="690">
        <f>AZ416-[3]JDO!M$114</f>
        <v>0</v>
      </c>
      <c r="BA418" s="675">
        <f>BA416-[3]JDO!N$114</f>
        <v>0</v>
      </c>
      <c r="BB418" s="675">
        <f>BB416-[3]JDO!O$114</f>
        <v>0</v>
      </c>
      <c r="BC418" s="675">
        <f>BC416-[3]JDO!P$114</f>
        <v>0</v>
      </c>
      <c r="BD418" s="675">
        <f>BD416-[3]JDO!Q$114</f>
        <v>0</v>
      </c>
      <c r="BE418" s="675">
        <f>BE416-[3]JDO!R$114</f>
        <v>0</v>
      </c>
      <c r="BF418" s="675">
        <f>BF416-[3]JDO!S$114</f>
        <v>0</v>
      </c>
      <c r="BG418" s="675">
        <f>BG416-[3]JDO!T$114</f>
        <v>0</v>
      </c>
      <c r="BH418" s="675">
        <f>BH416-[3]JDO!U$114</f>
        <v>0</v>
      </c>
      <c r="BI418" s="675">
        <f>BI416-[3]JDO!V$114</f>
        <v>0</v>
      </c>
      <c r="BJ418" s="675">
        <f>BJ416-[3]JDO!W$114</f>
        <v>0</v>
      </c>
      <c r="BK418" s="675">
        <f>BK416-[3]JDO!X$114</f>
        <v>0</v>
      </c>
      <c r="BL418" s="675">
        <f>BL416-[3]JDO!Y$114</f>
        <v>0</v>
      </c>
      <c r="BM418" s="675">
        <f>BM416-[3]JDO!Z$114</f>
        <v>0</v>
      </c>
      <c r="BN418" s="675">
        <f>BN416-[3]JDO!AA$114</f>
        <v>0</v>
      </c>
      <c r="BO418" s="675">
        <f>BO416-[3]JDO!AB$114</f>
        <v>0</v>
      </c>
      <c r="BP418" s="675">
        <f>BP416-[3]JDO!AC$114</f>
        <v>0</v>
      </c>
      <c r="BQ418" s="675">
        <f>BQ416-[3]JDO!AD$114</f>
        <v>0</v>
      </c>
      <c r="BR418" s="44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172"/>
      <c r="CQ418" s="172"/>
      <c r="CR418" s="172"/>
      <c r="CS418" s="42"/>
      <c r="CT418" s="44"/>
      <c r="CU418" s="587"/>
      <c r="CV418" s="44"/>
      <c r="CW418" s="44"/>
      <c r="CX418" s="44"/>
      <c r="CY418" s="44"/>
      <c r="CZ418" s="45"/>
      <c r="DA418" s="44"/>
      <c r="DB418" s="44"/>
      <c r="DC418" s="529"/>
      <c r="DD418" s="529"/>
      <c r="DE418" s="529"/>
      <c r="DF418" s="529"/>
      <c r="DG418" s="529"/>
      <c r="DH418" s="529"/>
      <c r="DI418" s="529"/>
    </row>
    <row r="419" spans="1:113" s="36" customFormat="1" ht="12" collapsed="1">
      <c r="A419" s="1" t="s">
        <v>810</v>
      </c>
      <c r="B419" s="2" t="s">
        <v>501</v>
      </c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  <c r="AJ419" s="55"/>
      <c r="AK419" s="55"/>
      <c r="AL419" s="55"/>
      <c r="AM419" s="55"/>
      <c r="AN419" s="55"/>
      <c r="AO419" s="55"/>
      <c r="AP419" s="527">
        <f t="shared" ref="AP419:AR419" si="1716">AP408+AP381</f>
        <v>39.700000000000003</v>
      </c>
      <c r="AQ419" s="527">
        <f t="shared" si="1716"/>
        <v>50.1</v>
      </c>
      <c r="AR419" s="527">
        <f t="shared" si="1716"/>
        <v>73.900000000000006</v>
      </c>
      <c r="AS419" s="527">
        <f t="shared" ref="AS419:AT419" si="1717">AS408+AS381</f>
        <v>99.1</v>
      </c>
      <c r="AT419" s="527">
        <f t="shared" si="1717"/>
        <v>165.2</v>
      </c>
      <c r="AU419" s="527">
        <f t="shared" ref="AU419:AV419" si="1718">AU408+AU381</f>
        <v>187.79999999999998</v>
      </c>
      <c r="AV419" s="527">
        <f t="shared" si="1718"/>
        <v>200</v>
      </c>
      <c r="AW419" s="527">
        <f t="shared" ref="AW419:AX419" si="1719">AW408+AW381</f>
        <v>196.70000000000002</v>
      </c>
      <c r="AX419" s="527">
        <f t="shared" si="1719"/>
        <v>200.9</v>
      </c>
      <c r="AY419" s="527">
        <f t="shared" ref="AY419:BI419" si="1720">AY408+AY381</f>
        <v>222.00000000000003</v>
      </c>
      <c r="AZ419" s="528">
        <f t="shared" si="1720"/>
        <v>245.69999999999996</v>
      </c>
      <c r="BA419" s="527">
        <f t="shared" si="1720"/>
        <v>271.9883845038845</v>
      </c>
      <c r="BB419" s="527">
        <f t="shared" si="1720"/>
        <v>297.39580961567128</v>
      </c>
      <c r="BC419" s="527">
        <f t="shared" si="1720"/>
        <v>315.29171305078967</v>
      </c>
      <c r="BD419" s="527">
        <f t="shared" si="1720"/>
        <v>341.33296340489534</v>
      </c>
      <c r="BE419" s="527">
        <f t="shared" si="1720"/>
        <v>362.47234887911196</v>
      </c>
      <c r="BF419" s="527">
        <f t="shared" si="1720"/>
        <v>387.53067469474604</v>
      </c>
      <c r="BG419" s="527">
        <f t="shared" si="1720"/>
        <v>405.98083010739225</v>
      </c>
      <c r="BH419" s="527">
        <f t="shared" si="1720"/>
        <v>431.08569493711838</v>
      </c>
      <c r="BI419" s="527">
        <f t="shared" si="1720"/>
        <v>447.18610860515741</v>
      </c>
      <c r="BJ419" s="527">
        <f t="shared" ref="BJ419:BK419" si="1721">BJ408+BJ381</f>
        <v>470.43777122464968</v>
      </c>
      <c r="BK419" s="527">
        <f t="shared" si="1721"/>
        <v>484.16454734600171</v>
      </c>
      <c r="BL419" s="527">
        <f t="shared" ref="BL419:BM419" si="1722">BL408+BL381</f>
        <v>503.10375142600572</v>
      </c>
      <c r="BM419" s="527">
        <f t="shared" si="1722"/>
        <v>515.59956871876284</v>
      </c>
      <c r="BN419" s="527">
        <f t="shared" ref="BN419:BO419" si="1723">BN408+BN381</f>
        <v>533.23632206051309</v>
      </c>
      <c r="BO419" s="527">
        <f t="shared" si="1723"/>
        <v>541.11206753895294</v>
      </c>
      <c r="BP419" s="527">
        <f t="shared" ref="BP419:BQ419" si="1724">BP408+BP381</f>
        <v>560.984612589633</v>
      </c>
      <c r="BQ419" s="527">
        <f t="shared" si="1724"/>
        <v>569.25625422581936</v>
      </c>
      <c r="BR419" s="527"/>
      <c r="BS419" s="52"/>
      <c r="BT419" s="52"/>
      <c r="BU419" s="52"/>
      <c r="BV419" s="52"/>
      <c r="BW419" s="52"/>
      <c r="BX419" s="52"/>
      <c r="BY419" s="52"/>
      <c r="BZ419" s="52"/>
      <c r="CA419" s="52"/>
      <c r="CB419" s="52"/>
      <c r="CC419" s="52"/>
      <c r="CD419" s="52"/>
      <c r="CE419" s="52"/>
      <c r="CF419" s="52"/>
      <c r="CG419" s="52"/>
      <c r="CH419" s="52"/>
      <c r="CI419" s="52"/>
      <c r="CJ419" s="52"/>
      <c r="CK419" s="52"/>
      <c r="CL419" s="52"/>
      <c r="CM419" s="52"/>
      <c r="CN419" s="52"/>
      <c r="CO419" s="52"/>
      <c r="CP419" s="52"/>
      <c r="CQ419" s="52"/>
      <c r="CR419" s="52"/>
      <c r="CS419" s="52"/>
      <c r="CT419" s="527">
        <f t="shared" ref="CT419:DF419" si="1725">CT408+CT381</f>
        <v>1.3559999999999999</v>
      </c>
      <c r="CU419" s="527">
        <f t="shared" si="1725"/>
        <v>28.256</v>
      </c>
      <c r="CV419" s="527">
        <f t="shared" si="1725"/>
        <v>89.8</v>
      </c>
      <c r="CW419" s="527">
        <f t="shared" si="1725"/>
        <v>173</v>
      </c>
      <c r="CX419" s="527">
        <f t="shared" si="1725"/>
        <v>353</v>
      </c>
      <c r="CY419" s="527">
        <f t="shared" si="1725"/>
        <v>396.7</v>
      </c>
      <c r="CZ419" s="528">
        <f t="shared" si="1725"/>
        <v>422.90000000000009</v>
      </c>
      <c r="DA419" s="527">
        <f t="shared" si="1725"/>
        <v>517.68838450388444</v>
      </c>
      <c r="DB419" s="527">
        <f t="shared" si="1725"/>
        <v>612.68752266646106</v>
      </c>
      <c r="DC419" s="527">
        <f t="shared" si="1725"/>
        <v>703.8053122840073</v>
      </c>
      <c r="DD419" s="527">
        <f t="shared" si="1725"/>
        <v>793.51150480213835</v>
      </c>
      <c r="DE419" s="527">
        <f t="shared" si="1725"/>
        <v>878.27180354227573</v>
      </c>
      <c r="DF419" s="527">
        <f t="shared" si="1725"/>
        <v>954.60231857065139</v>
      </c>
      <c r="DG419" s="527">
        <f t="shared" ref="DG419:DH419" si="1726">DG408+DG381</f>
        <v>1018.7033201447686</v>
      </c>
      <c r="DH419" s="527">
        <f t="shared" si="1726"/>
        <v>1074.3483895994661</v>
      </c>
      <c r="DI419" s="527">
        <f t="shared" ref="DI419" si="1727">DI408+DI381</f>
        <v>1130.2408668154524</v>
      </c>
    </row>
    <row r="420" spans="1:113" ht="12" hidden="1" outlineLevel="2">
      <c r="A420" s="1" t="s">
        <v>92</v>
      </c>
      <c r="B420" s="19" t="s">
        <v>854</v>
      </c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4">
        <f t="shared" ref="AP420:AR420" si="1728">AP382</f>
        <v>0</v>
      </c>
      <c r="AQ420" s="44">
        <f t="shared" si="1728"/>
        <v>0</v>
      </c>
      <c r="AR420" s="44">
        <f t="shared" si="1728"/>
        <v>0</v>
      </c>
      <c r="AS420" s="44">
        <f t="shared" ref="AS420:AT420" si="1729">AS382</f>
        <v>0</v>
      </c>
      <c r="AT420" s="44">
        <f t="shared" si="1729"/>
        <v>0</v>
      </c>
      <c r="AU420" s="44">
        <f t="shared" ref="AU420:AV420" si="1730">AU382</f>
        <v>0</v>
      </c>
      <c r="AV420" s="44">
        <f t="shared" si="1730"/>
        <v>0</v>
      </c>
      <c r="AW420" s="44">
        <f t="shared" ref="AW420:AX420" si="1731">AW382</f>
        <v>0</v>
      </c>
      <c r="AX420" s="44">
        <f t="shared" si="1731"/>
        <v>0</v>
      </c>
      <c r="AY420" s="44">
        <f t="shared" ref="AY420:BI420" si="1732">AY382</f>
        <v>0</v>
      </c>
      <c r="AZ420" s="45">
        <f t="shared" si="1732"/>
        <v>0</v>
      </c>
      <c r="BA420" s="44">
        <f t="shared" si="1732"/>
        <v>0</v>
      </c>
      <c r="BB420" s="44">
        <f t="shared" si="1732"/>
        <v>0</v>
      </c>
      <c r="BC420" s="44">
        <f t="shared" si="1732"/>
        <v>0</v>
      </c>
      <c r="BD420" s="44">
        <f t="shared" si="1732"/>
        <v>0</v>
      </c>
      <c r="BE420" s="44">
        <f t="shared" si="1732"/>
        <v>0</v>
      </c>
      <c r="BF420" s="44">
        <f t="shared" si="1732"/>
        <v>0</v>
      </c>
      <c r="BG420" s="44">
        <f t="shared" si="1732"/>
        <v>0</v>
      </c>
      <c r="BH420" s="44">
        <f t="shared" si="1732"/>
        <v>0</v>
      </c>
      <c r="BI420" s="44">
        <f t="shared" si="1732"/>
        <v>0</v>
      </c>
      <c r="BJ420" s="44">
        <f t="shared" ref="BJ420:BK420" si="1733">BJ382</f>
        <v>0</v>
      </c>
      <c r="BK420" s="44">
        <f t="shared" si="1733"/>
        <v>0</v>
      </c>
      <c r="BL420" s="44">
        <f t="shared" ref="BL420:BM420" si="1734">BL382</f>
        <v>0</v>
      </c>
      <c r="BM420" s="44">
        <f t="shared" si="1734"/>
        <v>0</v>
      </c>
      <c r="BN420" s="44">
        <f t="shared" ref="BN420:BO420" si="1735">BN382</f>
        <v>0</v>
      </c>
      <c r="BO420" s="44">
        <f t="shared" si="1735"/>
        <v>0</v>
      </c>
      <c r="BP420" s="44">
        <f t="shared" ref="BP420:BQ420" si="1736">BP382</f>
        <v>0</v>
      </c>
      <c r="BQ420" s="44">
        <f t="shared" si="1736"/>
        <v>0</v>
      </c>
      <c r="BR420" s="44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4">
        <f t="shared" ref="CT420:DF420" si="1737">CT382</f>
        <v>0</v>
      </c>
      <c r="CU420" s="44">
        <f t="shared" si="1737"/>
        <v>0</v>
      </c>
      <c r="CV420" s="44">
        <f t="shared" si="1737"/>
        <v>0</v>
      </c>
      <c r="CW420" s="44">
        <f t="shared" si="1737"/>
        <v>0</v>
      </c>
      <c r="CX420" s="44">
        <f t="shared" si="1737"/>
        <v>0</v>
      </c>
      <c r="CY420" s="44">
        <f t="shared" si="1737"/>
        <v>0</v>
      </c>
      <c r="CZ420" s="45">
        <f t="shared" si="1737"/>
        <v>0</v>
      </c>
      <c r="DA420" s="44">
        <f t="shared" si="1737"/>
        <v>0</v>
      </c>
      <c r="DB420" s="44">
        <f t="shared" si="1737"/>
        <v>0</v>
      </c>
      <c r="DC420" s="44">
        <f t="shared" si="1737"/>
        <v>0</v>
      </c>
      <c r="DD420" s="44">
        <f t="shared" si="1737"/>
        <v>0</v>
      </c>
      <c r="DE420" s="44">
        <f t="shared" si="1737"/>
        <v>0</v>
      </c>
      <c r="DF420" s="44">
        <f t="shared" si="1737"/>
        <v>0</v>
      </c>
      <c r="DG420" s="44">
        <f t="shared" ref="DG420:DH420" si="1738">DG382</f>
        <v>0</v>
      </c>
      <c r="DH420" s="44">
        <f t="shared" si="1738"/>
        <v>0</v>
      </c>
      <c r="DI420" s="44">
        <f t="shared" ref="DI420" si="1739">DI382</f>
        <v>0</v>
      </c>
    </row>
    <row r="421" spans="1:113" ht="12" hidden="1" outlineLevel="2">
      <c r="A421" s="1" t="s">
        <v>666</v>
      </c>
      <c r="B421" s="19" t="s">
        <v>444</v>
      </c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4">
        <f t="shared" ref="AP421:AR421" si="1740">AP409</f>
        <v>0</v>
      </c>
      <c r="AQ421" s="44">
        <f t="shared" si="1740"/>
        <v>0</v>
      </c>
      <c r="AR421" s="44">
        <f t="shared" si="1740"/>
        <v>0</v>
      </c>
      <c r="AS421" s="44">
        <f t="shared" ref="AS421:AT421" si="1741">AS409</f>
        <v>0</v>
      </c>
      <c r="AT421" s="44">
        <f t="shared" si="1741"/>
        <v>0</v>
      </c>
      <c r="AU421" s="44">
        <f t="shared" ref="AU421:AV421" si="1742">AU409</f>
        <v>0</v>
      </c>
      <c r="AV421" s="44">
        <f t="shared" si="1742"/>
        <v>0</v>
      </c>
      <c r="AW421" s="44">
        <f t="shared" ref="AW421:AX421" si="1743">AW409</f>
        <v>0</v>
      </c>
      <c r="AX421" s="44">
        <f t="shared" si="1743"/>
        <v>0</v>
      </c>
      <c r="AY421" s="44">
        <f t="shared" ref="AY421:BI421" si="1744">AY409</f>
        <v>0</v>
      </c>
      <c r="AZ421" s="45">
        <f t="shared" si="1744"/>
        <v>0</v>
      </c>
      <c r="BA421" s="44">
        <f t="shared" si="1744"/>
        <v>0</v>
      </c>
      <c r="BB421" s="44">
        <f t="shared" si="1744"/>
        <v>0</v>
      </c>
      <c r="BC421" s="44">
        <f t="shared" si="1744"/>
        <v>0</v>
      </c>
      <c r="BD421" s="44">
        <f t="shared" si="1744"/>
        <v>0</v>
      </c>
      <c r="BE421" s="44">
        <f t="shared" si="1744"/>
        <v>0</v>
      </c>
      <c r="BF421" s="44">
        <f t="shared" si="1744"/>
        <v>0</v>
      </c>
      <c r="BG421" s="44">
        <f t="shared" si="1744"/>
        <v>0</v>
      </c>
      <c r="BH421" s="44">
        <f t="shared" si="1744"/>
        <v>0</v>
      </c>
      <c r="BI421" s="44">
        <f t="shared" si="1744"/>
        <v>0</v>
      </c>
      <c r="BJ421" s="44">
        <f t="shared" ref="BJ421:BK421" si="1745">BJ409</f>
        <v>0</v>
      </c>
      <c r="BK421" s="44">
        <f t="shared" si="1745"/>
        <v>0</v>
      </c>
      <c r="BL421" s="44">
        <f t="shared" ref="BL421:BM421" si="1746">BL409</f>
        <v>0</v>
      </c>
      <c r="BM421" s="44">
        <f t="shared" si="1746"/>
        <v>0</v>
      </c>
      <c r="BN421" s="44">
        <f t="shared" ref="BN421:BO421" si="1747">BN409</f>
        <v>0</v>
      </c>
      <c r="BO421" s="44">
        <f t="shared" si="1747"/>
        <v>0</v>
      </c>
      <c r="BP421" s="44">
        <f t="shared" ref="BP421:BQ421" si="1748">BP409</f>
        <v>0</v>
      </c>
      <c r="BQ421" s="44">
        <f t="shared" si="1748"/>
        <v>0</v>
      </c>
      <c r="BR421" s="44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4">
        <f t="shared" ref="CT421:DF421" si="1749">CT409</f>
        <v>0</v>
      </c>
      <c r="CU421" s="44">
        <f t="shared" si="1749"/>
        <v>0</v>
      </c>
      <c r="CV421" s="44">
        <f t="shared" si="1749"/>
        <v>0</v>
      </c>
      <c r="CW421" s="44">
        <f t="shared" si="1749"/>
        <v>0</v>
      </c>
      <c r="CX421" s="44">
        <f t="shared" si="1749"/>
        <v>0</v>
      </c>
      <c r="CY421" s="44">
        <f t="shared" si="1749"/>
        <v>0</v>
      </c>
      <c r="CZ421" s="45">
        <f t="shared" si="1749"/>
        <v>0</v>
      </c>
      <c r="DA421" s="44">
        <f t="shared" si="1749"/>
        <v>0</v>
      </c>
      <c r="DB421" s="44">
        <f t="shared" si="1749"/>
        <v>0</v>
      </c>
      <c r="DC421" s="44">
        <f t="shared" si="1749"/>
        <v>0</v>
      </c>
      <c r="DD421" s="44">
        <f t="shared" si="1749"/>
        <v>0</v>
      </c>
      <c r="DE421" s="44">
        <f t="shared" si="1749"/>
        <v>0</v>
      </c>
      <c r="DF421" s="44">
        <f t="shared" si="1749"/>
        <v>0</v>
      </c>
      <c r="DG421" s="44">
        <f t="shared" ref="DG421:DH421" si="1750">DG409</f>
        <v>0</v>
      </c>
      <c r="DH421" s="44">
        <f t="shared" si="1750"/>
        <v>0</v>
      </c>
      <c r="DI421" s="44">
        <f t="shared" ref="DI421" si="1751">DI409</f>
        <v>0</v>
      </c>
    </row>
    <row r="422" spans="1:113" ht="12" hidden="1" outlineLevel="2">
      <c r="A422" s="1" t="s">
        <v>667</v>
      </c>
      <c r="B422" s="19" t="s">
        <v>367</v>
      </c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4">
        <f t="shared" ref="AP422:AR422" si="1752">AP410+AP383</f>
        <v>0</v>
      </c>
      <c r="AQ422" s="44">
        <f t="shared" si="1752"/>
        <v>0</v>
      </c>
      <c r="AR422" s="44">
        <f t="shared" si="1752"/>
        <v>0</v>
      </c>
      <c r="AS422" s="44">
        <f t="shared" ref="AS422:AT422" si="1753">AS410+AS383</f>
        <v>0</v>
      </c>
      <c r="AT422" s="44">
        <f t="shared" si="1753"/>
        <v>0</v>
      </c>
      <c r="AU422" s="44">
        <f t="shared" ref="AU422:AV422" si="1754">AU410+AU383</f>
        <v>0</v>
      </c>
      <c r="AV422" s="44">
        <f t="shared" si="1754"/>
        <v>0</v>
      </c>
      <c r="AW422" s="44">
        <f t="shared" ref="AW422:AX422" si="1755">AW410+AW383</f>
        <v>0</v>
      </c>
      <c r="AX422" s="44">
        <f t="shared" si="1755"/>
        <v>0</v>
      </c>
      <c r="AY422" s="44">
        <f t="shared" ref="AY422:BI425" si="1756">AY410+AY383</f>
        <v>0</v>
      </c>
      <c r="AZ422" s="45">
        <f t="shared" si="1756"/>
        <v>0</v>
      </c>
      <c r="BA422" s="44">
        <f t="shared" si="1756"/>
        <v>0</v>
      </c>
      <c r="BB422" s="44">
        <f t="shared" si="1756"/>
        <v>0</v>
      </c>
      <c r="BC422" s="44">
        <f t="shared" si="1756"/>
        <v>0</v>
      </c>
      <c r="BD422" s="44">
        <f t="shared" si="1756"/>
        <v>0</v>
      </c>
      <c r="BE422" s="44">
        <f t="shared" si="1756"/>
        <v>0</v>
      </c>
      <c r="BF422" s="44">
        <f t="shared" si="1756"/>
        <v>0</v>
      </c>
      <c r="BG422" s="44">
        <f t="shared" si="1756"/>
        <v>0</v>
      </c>
      <c r="BH422" s="44">
        <f t="shared" si="1756"/>
        <v>0</v>
      </c>
      <c r="BI422" s="44">
        <f t="shared" si="1756"/>
        <v>0</v>
      </c>
      <c r="BJ422" s="44">
        <f t="shared" ref="BJ422:BK422" si="1757">BJ410+BJ383</f>
        <v>0</v>
      </c>
      <c r="BK422" s="44">
        <f t="shared" si="1757"/>
        <v>0</v>
      </c>
      <c r="BL422" s="44">
        <f t="shared" ref="BL422:BM422" si="1758">BL410+BL383</f>
        <v>0</v>
      </c>
      <c r="BM422" s="44">
        <f t="shared" si="1758"/>
        <v>0</v>
      </c>
      <c r="BN422" s="44">
        <f t="shared" ref="BN422:BO422" si="1759">BN410+BN383</f>
        <v>0</v>
      </c>
      <c r="BO422" s="44">
        <f t="shared" si="1759"/>
        <v>0</v>
      </c>
      <c r="BP422" s="44">
        <f t="shared" ref="BP422:BQ422" si="1760">BP410+BP383</f>
        <v>0</v>
      </c>
      <c r="BQ422" s="44">
        <f t="shared" si="1760"/>
        <v>0</v>
      </c>
      <c r="BR422" s="44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4">
        <f t="shared" ref="CT422:DF425" si="1761">CT410+CT383</f>
        <v>0</v>
      </c>
      <c r="CU422" s="44">
        <f t="shared" si="1761"/>
        <v>0</v>
      </c>
      <c r="CV422" s="44">
        <f t="shared" si="1761"/>
        <v>0</v>
      </c>
      <c r="CW422" s="44">
        <f t="shared" si="1761"/>
        <v>0</v>
      </c>
      <c r="CX422" s="44">
        <f t="shared" si="1761"/>
        <v>0</v>
      </c>
      <c r="CY422" s="44">
        <f t="shared" si="1761"/>
        <v>0</v>
      </c>
      <c r="CZ422" s="45">
        <f t="shared" si="1761"/>
        <v>0</v>
      </c>
      <c r="DA422" s="44">
        <f t="shared" si="1761"/>
        <v>0</v>
      </c>
      <c r="DB422" s="44">
        <f t="shared" si="1761"/>
        <v>0</v>
      </c>
      <c r="DC422" s="44">
        <f t="shared" si="1761"/>
        <v>0</v>
      </c>
      <c r="DD422" s="44">
        <f t="shared" si="1761"/>
        <v>0</v>
      </c>
      <c r="DE422" s="44">
        <f t="shared" si="1761"/>
        <v>0</v>
      </c>
      <c r="DF422" s="44">
        <f t="shared" si="1761"/>
        <v>0</v>
      </c>
      <c r="DG422" s="44">
        <f t="shared" ref="DG422:DH422" si="1762">DG410+DG383</f>
        <v>0</v>
      </c>
      <c r="DH422" s="44">
        <f t="shared" si="1762"/>
        <v>0</v>
      </c>
      <c r="DI422" s="44">
        <f t="shared" ref="DI422" si="1763">DI410+DI383</f>
        <v>0</v>
      </c>
    </row>
    <row r="423" spans="1:113" ht="12" hidden="1" outlineLevel="2">
      <c r="A423" s="1" t="s">
        <v>86</v>
      </c>
      <c r="B423" s="19" t="s">
        <v>368</v>
      </c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4">
        <f t="shared" ref="AP423:AR423" si="1764">AP411+AP384</f>
        <v>0</v>
      </c>
      <c r="AQ423" s="44">
        <f t="shared" si="1764"/>
        <v>0</v>
      </c>
      <c r="AR423" s="44">
        <f t="shared" si="1764"/>
        <v>0</v>
      </c>
      <c r="AS423" s="44">
        <f t="shared" ref="AS423:AT423" si="1765">AS411+AS384</f>
        <v>0</v>
      </c>
      <c r="AT423" s="44">
        <f t="shared" si="1765"/>
        <v>0</v>
      </c>
      <c r="AU423" s="44">
        <f t="shared" ref="AU423:AV423" si="1766">AU411+AU384</f>
        <v>0</v>
      </c>
      <c r="AV423" s="44">
        <f t="shared" si="1766"/>
        <v>0</v>
      </c>
      <c r="AW423" s="44">
        <f t="shared" ref="AW423:AX423" si="1767">AW411+AW384</f>
        <v>0</v>
      </c>
      <c r="AX423" s="44">
        <f t="shared" si="1767"/>
        <v>0</v>
      </c>
      <c r="AY423" s="44">
        <f t="shared" si="1756"/>
        <v>0</v>
      </c>
      <c r="AZ423" s="45">
        <f t="shared" si="1756"/>
        <v>0</v>
      </c>
      <c r="BA423" s="44">
        <f t="shared" si="1756"/>
        <v>0</v>
      </c>
      <c r="BB423" s="44">
        <f t="shared" si="1756"/>
        <v>0</v>
      </c>
      <c r="BC423" s="44">
        <f t="shared" si="1756"/>
        <v>0</v>
      </c>
      <c r="BD423" s="44">
        <f t="shared" si="1756"/>
        <v>0</v>
      </c>
      <c r="BE423" s="44">
        <f t="shared" si="1756"/>
        <v>0</v>
      </c>
      <c r="BF423" s="44">
        <f t="shared" si="1756"/>
        <v>0</v>
      </c>
      <c r="BG423" s="44">
        <f t="shared" si="1756"/>
        <v>0</v>
      </c>
      <c r="BH423" s="44">
        <f t="shared" si="1756"/>
        <v>0</v>
      </c>
      <c r="BI423" s="44">
        <f t="shared" si="1756"/>
        <v>0</v>
      </c>
      <c r="BJ423" s="44">
        <f t="shared" ref="BJ423:BK423" si="1768">BJ411+BJ384</f>
        <v>0</v>
      </c>
      <c r="BK423" s="44">
        <f t="shared" si="1768"/>
        <v>0</v>
      </c>
      <c r="BL423" s="44">
        <f t="shared" ref="BL423:BM423" si="1769">BL411+BL384</f>
        <v>0</v>
      </c>
      <c r="BM423" s="44">
        <f t="shared" si="1769"/>
        <v>0</v>
      </c>
      <c r="BN423" s="44">
        <f t="shared" ref="BN423:BO423" si="1770">BN411+BN384</f>
        <v>0</v>
      </c>
      <c r="BO423" s="44">
        <f t="shared" si="1770"/>
        <v>0</v>
      </c>
      <c r="BP423" s="44">
        <f t="shared" ref="BP423:BQ423" si="1771">BP411+BP384</f>
        <v>0</v>
      </c>
      <c r="BQ423" s="44">
        <f t="shared" si="1771"/>
        <v>0</v>
      </c>
      <c r="BR423" s="44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4">
        <f t="shared" si="1761"/>
        <v>0</v>
      </c>
      <c r="CU423" s="44">
        <f t="shared" si="1761"/>
        <v>0</v>
      </c>
      <c r="CV423" s="44">
        <f t="shared" si="1761"/>
        <v>0</v>
      </c>
      <c r="CW423" s="44">
        <f t="shared" si="1761"/>
        <v>0</v>
      </c>
      <c r="CX423" s="44">
        <f t="shared" si="1761"/>
        <v>0</v>
      </c>
      <c r="CY423" s="44">
        <f t="shared" si="1761"/>
        <v>0</v>
      </c>
      <c r="CZ423" s="45">
        <f t="shared" si="1761"/>
        <v>0</v>
      </c>
      <c r="DA423" s="44">
        <f t="shared" si="1761"/>
        <v>0</v>
      </c>
      <c r="DB423" s="44">
        <f t="shared" si="1761"/>
        <v>0</v>
      </c>
      <c r="DC423" s="44">
        <f t="shared" si="1761"/>
        <v>0</v>
      </c>
      <c r="DD423" s="44">
        <f t="shared" si="1761"/>
        <v>0</v>
      </c>
      <c r="DE423" s="44">
        <f t="shared" si="1761"/>
        <v>0</v>
      </c>
      <c r="DF423" s="44">
        <f t="shared" si="1761"/>
        <v>0</v>
      </c>
      <c r="DG423" s="44">
        <f t="shared" ref="DG423:DH423" si="1772">DG411+DG384</f>
        <v>0</v>
      </c>
      <c r="DH423" s="44">
        <f t="shared" si="1772"/>
        <v>0</v>
      </c>
      <c r="DI423" s="44">
        <f t="shared" ref="DI423" si="1773">DI411+DI384</f>
        <v>0</v>
      </c>
    </row>
    <row r="424" spans="1:113" ht="12" hidden="1" outlineLevel="2">
      <c r="A424" s="1" t="s">
        <v>87</v>
      </c>
      <c r="B424" s="19" t="s">
        <v>358</v>
      </c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4">
        <f t="shared" ref="AP424:AR424" si="1774">AP412+AP385</f>
        <v>0</v>
      </c>
      <c r="AQ424" s="44">
        <f t="shared" si="1774"/>
        <v>0</v>
      </c>
      <c r="AR424" s="44">
        <f t="shared" si="1774"/>
        <v>0</v>
      </c>
      <c r="AS424" s="44">
        <f t="shared" ref="AS424:AT424" si="1775">AS412+AS385</f>
        <v>0</v>
      </c>
      <c r="AT424" s="44">
        <f t="shared" si="1775"/>
        <v>0</v>
      </c>
      <c r="AU424" s="44">
        <f t="shared" ref="AU424:AV424" si="1776">AU412+AU385</f>
        <v>0</v>
      </c>
      <c r="AV424" s="44">
        <f t="shared" si="1776"/>
        <v>0</v>
      </c>
      <c r="AW424" s="44">
        <f t="shared" ref="AW424:AX424" si="1777">AW412+AW385</f>
        <v>0</v>
      </c>
      <c r="AX424" s="44">
        <f t="shared" si="1777"/>
        <v>0</v>
      </c>
      <c r="AY424" s="44">
        <f t="shared" si="1756"/>
        <v>0</v>
      </c>
      <c r="AZ424" s="45">
        <f t="shared" si="1756"/>
        <v>0</v>
      </c>
      <c r="BA424" s="44">
        <f t="shared" si="1756"/>
        <v>0</v>
      </c>
      <c r="BB424" s="44">
        <f t="shared" si="1756"/>
        <v>0</v>
      </c>
      <c r="BC424" s="44">
        <f t="shared" si="1756"/>
        <v>0</v>
      </c>
      <c r="BD424" s="44">
        <f t="shared" si="1756"/>
        <v>0</v>
      </c>
      <c r="BE424" s="44">
        <f t="shared" si="1756"/>
        <v>0</v>
      </c>
      <c r="BF424" s="44">
        <f t="shared" si="1756"/>
        <v>0</v>
      </c>
      <c r="BG424" s="44">
        <f t="shared" si="1756"/>
        <v>0</v>
      </c>
      <c r="BH424" s="44">
        <f t="shared" si="1756"/>
        <v>0</v>
      </c>
      <c r="BI424" s="44">
        <f t="shared" si="1756"/>
        <v>0</v>
      </c>
      <c r="BJ424" s="44">
        <f t="shared" ref="BJ424:BK424" si="1778">BJ412+BJ385</f>
        <v>0</v>
      </c>
      <c r="BK424" s="44">
        <f t="shared" si="1778"/>
        <v>0</v>
      </c>
      <c r="BL424" s="44">
        <f t="shared" ref="BL424:BM424" si="1779">BL412+BL385</f>
        <v>0</v>
      </c>
      <c r="BM424" s="44">
        <f t="shared" si="1779"/>
        <v>0</v>
      </c>
      <c r="BN424" s="44">
        <f t="shared" ref="BN424:BO424" si="1780">BN412+BN385</f>
        <v>0</v>
      </c>
      <c r="BO424" s="44">
        <f t="shared" si="1780"/>
        <v>0</v>
      </c>
      <c r="BP424" s="44">
        <f t="shared" ref="BP424:BQ424" si="1781">BP412+BP385</f>
        <v>0</v>
      </c>
      <c r="BQ424" s="44">
        <f t="shared" si="1781"/>
        <v>0</v>
      </c>
      <c r="BR424" s="44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4">
        <f t="shared" si="1761"/>
        <v>0</v>
      </c>
      <c r="CU424" s="44">
        <f t="shared" si="1761"/>
        <v>0</v>
      </c>
      <c r="CV424" s="44">
        <f t="shared" si="1761"/>
        <v>0</v>
      </c>
      <c r="CW424" s="44">
        <f t="shared" si="1761"/>
        <v>0</v>
      </c>
      <c r="CX424" s="44">
        <f t="shared" si="1761"/>
        <v>0</v>
      </c>
      <c r="CY424" s="44">
        <f t="shared" si="1761"/>
        <v>0</v>
      </c>
      <c r="CZ424" s="45">
        <f t="shared" si="1761"/>
        <v>0</v>
      </c>
      <c r="DA424" s="44">
        <f t="shared" si="1761"/>
        <v>0</v>
      </c>
      <c r="DB424" s="44">
        <f t="shared" si="1761"/>
        <v>0</v>
      </c>
      <c r="DC424" s="44">
        <f t="shared" si="1761"/>
        <v>0</v>
      </c>
      <c r="DD424" s="44">
        <f t="shared" si="1761"/>
        <v>0</v>
      </c>
      <c r="DE424" s="44">
        <f t="shared" si="1761"/>
        <v>0</v>
      </c>
      <c r="DF424" s="44">
        <f t="shared" si="1761"/>
        <v>0</v>
      </c>
      <c r="DG424" s="44">
        <f t="shared" ref="DG424:DH424" si="1782">DG412+DG385</f>
        <v>0</v>
      </c>
      <c r="DH424" s="44">
        <f t="shared" si="1782"/>
        <v>0</v>
      </c>
      <c r="DI424" s="44">
        <f t="shared" ref="DI424" si="1783">DI412+DI385</f>
        <v>0</v>
      </c>
    </row>
    <row r="425" spans="1:113" ht="12" hidden="1" outlineLevel="2">
      <c r="A425" s="1" t="s">
        <v>88</v>
      </c>
      <c r="B425" s="19" t="s">
        <v>422</v>
      </c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4">
        <f t="shared" ref="AP425:AR425" si="1784">AP413+AP386</f>
        <v>0</v>
      </c>
      <c r="AQ425" s="44">
        <f t="shared" si="1784"/>
        <v>0</v>
      </c>
      <c r="AR425" s="44">
        <f t="shared" si="1784"/>
        <v>0</v>
      </c>
      <c r="AS425" s="44">
        <f t="shared" ref="AS425:AT425" si="1785">AS413+AS386</f>
        <v>0</v>
      </c>
      <c r="AT425" s="44">
        <f t="shared" si="1785"/>
        <v>0</v>
      </c>
      <c r="AU425" s="44">
        <f t="shared" ref="AU425:AV425" si="1786">AU413+AU386</f>
        <v>0</v>
      </c>
      <c r="AV425" s="44">
        <f t="shared" si="1786"/>
        <v>0</v>
      </c>
      <c r="AW425" s="44">
        <f t="shared" ref="AW425:AX425" si="1787">AW413+AW386</f>
        <v>0</v>
      </c>
      <c r="AX425" s="44">
        <f t="shared" si="1787"/>
        <v>0</v>
      </c>
      <c r="AY425" s="44">
        <f t="shared" si="1756"/>
        <v>0</v>
      </c>
      <c r="AZ425" s="45">
        <f t="shared" si="1756"/>
        <v>0</v>
      </c>
      <c r="BA425" s="44">
        <f t="shared" si="1756"/>
        <v>0</v>
      </c>
      <c r="BB425" s="44">
        <f t="shared" si="1756"/>
        <v>0</v>
      </c>
      <c r="BC425" s="44">
        <f t="shared" si="1756"/>
        <v>0</v>
      </c>
      <c r="BD425" s="44">
        <f t="shared" si="1756"/>
        <v>0</v>
      </c>
      <c r="BE425" s="44">
        <f t="shared" si="1756"/>
        <v>0</v>
      </c>
      <c r="BF425" s="44">
        <f t="shared" si="1756"/>
        <v>0</v>
      </c>
      <c r="BG425" s="44">
        <f t="shared" si="1756"/>
        <v>0</v>
      </c>
      <c r="BH425" s="44">
        <f t="shared" si="1756"/>
        <v>0</v>
      </c>
      <c r="BI425" s="44">
        <f t="shared" si="1756"/>
        <v>0</v>
      </c>
      <c r="BJ425" s="44">
        <f t="shared" ref="BJ425:BK425" si="1788">BJ413+BJ386</f>
        <v>0</v>
      </c>
      <c r="BK425" s="44">
        <f t="shared" si="1788"/>
        <v>0</v>
      </c>
      <c r="BL425" s="44">
        <f t="shared" ref="BL425:BM425" si="1789">BL413+BL386</f>
        <v>0</v>
      </c>
      <c r="BM425" s="44">
        <f t="shared" si="1789"/>
        <v>0</v>
      </c>
      <c r="BN425" s="44">
        <f t="shared" ref="BN425:BO425" si="1790">BN413+BN386</f>
        <v>0</v>
      </c>
      <c r="BO425" s="44">
        <f t="shared" si="1790"/>
        <v>0</v>
      </c>
      <c r="BP425" s="44">
        <f t="shared" ref="BP425:BQ425" si="1791">BP413+BP386</f>
        <v>0</v>
      </c>
      <c r="BQ425" s="44">
        <f t="shared" si="1791"/>
        <v>0</v>
      </c>
      <c r="BR425" s="44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4">
        <f t="shared" si="1761"/>
        <v>0</v>
      </c>
      <c r="CU425" s="44">
        <f t="shared" si="1761"/>
        <v>0</v>
      </c>
      <c r="CV425" s="44">
        <f t="shared" si="1761"/>
        <v>0</v>
      </c>
      <c r="CW425" s="44">
        <f t="shared" si="1761"/>
        <v>0</v>
      </c>
      <c r="CX425" s="44">
        <f t="shared" si="1761"/>
        <v>0</v>
      </c>
      <c r="CY425" s="44">
        <f t="shared" si="1761"/>
        <v>0</v>
      </c>
      <c r="CZ425" s="45">
        <f t="shared" si="1761"/>
        <v>0</v>
      </c>
      <c r="DA425" s="44">
        <f t="shared" si="1761"/>
        <v>0</v>
      </c>
      <c r="DB425" s="44">
        <f t="shared" si="1761"/>
        <v>0</v>
      </c>
      <c r="DC425" s="44">
        <f t="shared" si="1761"/>
        <v>0</v>
      </c>
      <c r="DD425" s="44">
        <f t="shared" si="1761"/>
        <v>0</v>
      </c>
      <c r="DE425" s="44">
        <f t="shared" si="1761"/>
        <v>0</v>
      </c>
      <c r="DF425" s="44">
        <f t="shared" si="1761"/>
        <v>0</v>
      </c>
      <c r="DG425" s="44">
        <f t="shared" ref="DG425:DH425" si="1792">DG413+DG386</f>
        <v>0</v>
      </c>
      <c r="DH425" s="44">
        <f t="shared" si="1792"/>
        <v>0</v>
      </c>
      <c r="DI425" s="44">
        <f t="shared" ref="DI425" si="1793">DI413+DI386</f>
        <v>0</v>
      </c>
    </row>
    <row r="426" spans="1:113" s="24" customFormat="1" ht="12" hidden="1" outlineLevel="2">
      <c r="A426" s="1" t="s">
        <v>89</v>
      </c>
      <c r="B426" s="24" t="s">
        <v>502</v>
      </c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  <c r="AJ426" s="55"/>
      <c r="AK426" s="55"/>
      <c r="AL426" s="55"/>
      <c r="AM426" s="55"/>
      <c r="AN426" s="55"/>
      <c r="AO426" s="55"/>
      <c r="AP426" s="526">
        <f t="shared" ref="AP426:AR426" si="1794">SUM(AP419:AP425)</f>
        <v>39.700000000000003</v>
      </c>
      <c r="AQ426" s="526">
        <f t="shared" si="1794"/>
        <v>50.1</v>
      </c>
      <c r="AR426" s="526">
        <f t="shared" si="1794"/>
        <v>73.900000000000006</v>
      </c>
      <c r="AS426" s="526">
        <f t="shared" ref="AS426:AT426" si="1795">SUM(AS419:AS425)</f>
        <v>99.1</v>
      </c>
      <c r="AT426" s="526">
        <f t="shared" si="1795"/>
        <v>165.2</v>
      </c>
      <c r="AU426" s="526">
        <f t="shared" ref="AU426:AV426" si="1796">SUM(AU419:AU425)</f>
        <v>187.79999999999998</v>
      </c>
      <c r="AV426" s="526">
        <f t="shared" si="1796"/>
        <v>200</v>
      </c>
      <c r="AW426" s="526">
        <f t="shared" ref="AW426:AX426" si="1797">SUM(AW419:AW425)</f>
        <v>196.70000000000002</v>
      </c>
      <c r="AX426" s="526">
        <f t="shared" si="1797"/>
        <v>200.9</v>
      </c>
      <c r="AY426" s="526">
        <f t="shared" ref="AY426:BI426" si="1798">SUM(AY419:AY425)</f>
        <v>222.00000000000003</v>
      </c>
      <c r="AZ426" s="524">
        <f t="shared" si="1798"/>
        <v>245.69999999999996</v>
      </c>
      <c r="BA426" s="526">
        <f t="shared" si="1798"/>
        <v>271.9883845038845</v>
      </c>
      <c r="BB426" s="526">
        <f t="shared" si="1798"/>
        <v>297.39580961567128</v>
      </c>
      <c r="BC426" s="526">
        <f t="shared" si="1798"/>
        <v>315.29171305078967</v>
      </c>
      <c r="BD426" s="526">
        <f t="shared" si="1798"/>
        <v>341.33296340489534</v>
      </c>
      <c r="BE426" s="526">
        <f t="shared" si="1798"/>
        <v>362.47234887911196</v>
      </c>
      <c r="BF426" s="526">
        <f t="shared" si="1798"/>
        <v>387.53067469474604</v>
      </c>
      <c r="BG426" s="526">
        <f t="shared" si="1798"/>
        <v>405.98083010739225</v>
      </c>
      <c r="BH426" s="526">
        <f t="shared" si="1798"/>
        <v>431.08569493711838</v>
      </c>
      <c r="BI426" s="526">
        <f t="shared" si="1798"/>
        <v>447.18610860515741</v>
      </c>
      <c r="BJ426" s="526">
        <f t="shared" ref="BJ426:BK426" si="1799">SUM(BJ419:BJ425)</f>
        <v>470.43777122464968</v>
      </c>
      <c r="BK426" s="526">
        <f t="shared" si="1799"/>
        <v>484.16454734600171</v>
      </c>
      <c r="BL426" s="526">
        <f t="shared" ref="BL426:BM426" si="1800">SUM(BL419:BL425)</f>
        <v>503.10375142600572</v>
      </c>
      <c r="BM426" s="526">
        <f t="shared" si="1800"/>
        <v>515.59956871876284</v>
      </c>
      <c r="BN426" s="526">
        <f t="shared" ref="BN426:BO426" si="1801">SUM(BN419:BN425)</f>
        <v>533.23632206051309</v>
      </c>
      <c r="BO426" s="526">
        <f t="shared" si="1801"/>
        <v>541.11206753895294</v>
      </c>
      <c r="BP426" s="526">
        <f t="shared" ref="BP426:BQ426" si="1802">SUM(BP419:BP425)</f>
        <v>560.984612589633</v>
      </c>
      <c r="BQ426" s="526">
        <f t="shared" si="1802"/>
        <v>569.25625422581936</v>
      </c>
      <c r="BR426" s="526"/>
      <c r="BS426" s="55"/>
      <c r="BT426" s="55"/>
      <c r="BU426" s="55"/>
      <c r="BV426" s="55"/>
      <c r="BW426" s="55"/>
      <c r="BX426" s="55"/>
      <c r="BY426" s="55"/>
      <c r="BZ426" s="55"/>
      <c r="CA426" s="55"/>
      <c r="CB426" s="55"/>
      <c r="CC426" s="55"/>
      <c r="CD426" s="55"/>
      <c r="CE426" s="55"/>
      <c r="CF426" s="55"/>
      <c r="CG426" s="55"/>
      <c r="CH426" s="55"/>
      <c r="CI426" s="55"/>
      <c r="CJ426" s="55"/>
      <c r="CK426" s="55"/>
      <c r="CL426" s="55"/>
      <c r="CM426" s="55"/>
      <c r="CN426" s="55"/>
      <c r="CO426" s="55"/>
      <c r="CP426" s="55"/>
      <c r="CQ426" s="55"/>
      <c r="CR426" s="55"/>
      <c r="CS426" s="55"/>
      <c r="CT426" s="526">
        <f t="shared" ref="CT426:CV426" si="1803">SUM(CT419:CT425)</f>
        <v>1.3559999999999999</v>
      </c>
      <c r="CU426" s="526">
        <f t="shared" si="1803"/>
        <v>28.256</v>
      </c>
      <c r="CV426" s="526">
        <f t="shared" si="1803"/>
        <v>89.8</v>
      </c>
      <c r="CW426" s="526">
        <f t="shared" ref="CW426:DF426" si="1804">SUM(CW419:CW425)</f>
        <v>173</v>
      </c>
      <c r="CX426" s="526">
        <f t="shared" si="1804"/>
        <v>353</v>
      </c>
      <c r="CY426" s="526">
        <f t="shared" si="1804"/>
        <v>396.7</v>
      </c>
      <c r="CZ426" s="524">
        <f t="shared" si="1804"/>
        <v>422.90000000000009</v>
      </c>
      <c r="DA426" s="526">
        <f t="shared" si="1804"/>
        <v>517.68838450388444</v>
      </c>
      <c r="DB426" s="526">
        <f t="shared" si="1804"/>
        <v>612.68752266646106</v>
      </c>
      <c r="DC426" s="526">
        <f t="shared" si="1804"/>
        <v>703.8053122840073</v>
      </c>
      <c r="DD426" s="526">
        <f t="shared" si="1804"/>
        <v>793.51150480213835</v>
      </c>
      <c r="DE426" s="526">
        <f t="shared" si="1804"/>
        <v>878.27180354227573</v>
      </c>
      <c r="DF426" s="526">
        <f t="shared" si="1804"/>
        <v>954.60231857065139</v>
      </c>
      <c r="DG426" s="526">
        <f t="shared" ref="DG426:DH426" si="1805">SUM(DG419:DG425)</f>
        <v>1018.7033201447686</v>
      </c>
      <c r="DH426" s="526">
        <f t="shared" si="1805"/>
        <v>1074.3483895994661</v>
      </c>
      <c r="DI426" s="526">
        <f t="shared" ref="DI426" si="1806">SUM(DI419:DI425)</f>
        <v>1130.2408668154524</v>
      </c>
    </row>
    <row r="427" spans="1:113" ht="12" hidden="1" outlineLevel="2">
      <c r="A427" s="1" t="s">
        <v>90</v>
      </c>
      <c r="B427" s="19" t="s">
        <v>526</v>
      </c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4">
        <f t="shared" ref="AP427:AR427" si="1807">AP415+AP388</f>
        <v>0</v>
      </c>
      <c r="AQ427" s="44">
        <f t="shared" si="1807"/>
        <v>0</v>
      </c>
      <c r="AR427" s="44">
        <f t="shared" si="1807"/>
        <v>0</v>
      </c>
      <c r="AS427" s="44">
        <f t="shared" ref="AS427:AT427" si="1808">AS415+AS388</f>
        <v>0</v>
      </c>
      <c r="AT427" s="44">
        <f t="shared" si="1808"/>
        <v>0</v>
      </c>
      <c r="AU427" s="44">
        <f t="shared" ref="AU427:AV427" si="1809">AU415+AU388</f>
        <v>0</v>
      </c>
      <c r="AV427" s="44">
        <f t="shared" si="1809"/>
        <v>0</v>
      </c>
      <c r="AW427" s="44">
        <f t="shared" ref="AW427:AX427" si="1810">AW415+AW388</f>
        <v>0</v>
      </c>
      <c r="AX427" s="44">
        <f t="shared" si="1810"/>
        <v>0</v>
      </c>
      <c r="AY427" s="44">
        <f t="shared" ref="AY427:BI427" si="1811">AY415+AY388</f>
        <v>0</v>
      </c>
      <c r="AZ427" s="45">
        <f t="shared" si="1811"/>
        <v>0</v>
      </c>
      <c r="BA427" s="44">
        <f t="shared" si="1811"/>
        <v>0</v>
      </c>
      <c r="BB427" s="44">
        <f t="shared" si="1811"/>
        <v>0</v>
      </c>
      <c r="BC427" s="44">
        <f t="shared" si="1811"/>
        <v>0</v>
      </c>
      <c r="BD427" s="44">
        <f t="shared" si="1811"/>
        <v>0</v>
      </c>
      <c r="BE427" s="44">
        <f t="shared" si="1811"/>
        <v>0</v>
      </c>
      <c r="BF427" s="44">
        <f t="shared" si="1811"/>
        <v>0</v>
      </c>
      <c r="BG427" s="44">
        <f t="shared" si="1811"/>
        <v>0</v>
      </c>
      <c r="BH427" s="44">
        <f t="shared" si="1811"/>
        <v>0</v>
      </c>
      <c r="BI427" s="44">
        <f t="shared" si="1811"/>
        <v>0</v>
      </c>
      <c r="BJ427" s="44">
        <f t="shared" ref="BJ427:BK427" si="1812">BJ415+BJ388</f>
        <v>0</v>
      </c>
      <c r="BK427" s="44">
        <f t="shared" si="1812"/>
        <v>0</v>
      </c>
      <c r="BL427" s="44">
        <f t="shared" ref="BL427:BM427" si="1813">BL415+BL388</f>
        <v>0</v>
      </c>
      <c r="BM427" s="44">
        <f t="shared" si="1813"/>
        <v>0</v>
      </c>
      <c r="BN427" s="44">
        <f t="shared" ref="BN427:BO427" si="1814">BN415+BN388</f>
        <v>0</v>
      </c>
      <c r="BO427" s="44">
        <f t="shared" si="1814"/>
        <v>0</v>
      </c>
      <c r="BP427" s="44">
        <f t="shared" ref="BP427:BQ427" si="1815">BP415+BP388</f>
        <v>0</v>
      </c>
      <c r="BQ427" s="44">
        <f t="shared" si="1815"/>
        <v>0</v>
      </c>
      <c r="BR427" s="44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4">
        <f t="shared" ref="CT427:DF427" si="1816">CT415+CT388</f>
        <v>0</v>
      </c>
      <c r="CU427" s="44">
        <f t="shared" si="1816"/>
        <v>0</v>
      </c>
      <c r="CV427" s="44">
        <f t="shared" si="1816"/>
        <v>0</v>
      </c>
      <c r="CW427" s="44">
        <f t="shared" si="1816"/>
        <v>0</v>
      </c>
      <c r="CX427" s="44">
        <f t="shared" si="1816"/>
        <v>0</v>
      </c>
      <c r="CY427" s="44">
        <f t="shared" si="1816"/>
        <v>0</v>
      </c>
      <c r="CZ427" s="45">
        <f t="shared" si="1816"/>
        <v>0</v>
      </c>
      <c r="DA427" s="44">
        <f t="shared" si="1816"/>
        <v>0</v>
      </c>
      <c r="DB427" s="44">
        <f t="shared" si="1816"/>
        <v>0</v>
      </c>
      <c r="DC427" s="44">
        <f t="shared" si="1816"/>
        <v>0</v>
      </c>
      <c r="DD427" s="44">
        <f t="shared" si="1816"/>
        <v>0</v>
      </c>
      <c r="DE427" s="44">
        <f t="shared" si="1816"/>
        <v>0</v>
      </c>
      <c r="DF427" s="44">
        <f t="shared" si="1816"/>
        <v>0</v>
      </c>
      <c r="DG427" s="44">
        <f t="shared" ref="DG427:DH427" si="1817">DG415+DG388</f>
        <v>0</v>
      </c>
      <c r="DH427" s="44">
        <f t="shared" si="1817"/>
        <v>0</v>
      </c>
      <c r="DI427" s="44">
        <f t="shared" ref="DI427" si="1818">DI415+DI388</f>
        <v>0</v>
      </c>
    </row>
    <row r="428" spans="1:113" s="24" customFormat="1" ht="12" hidden="1" outlineLevel="2">
      <c r="A428" s="1" t="s">
        <v>91</v>
      </c>
      <c r="B428" s="24" t="s">
        <v>549</v>
      </c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  <c r="AJ428" s="55"/>
      <c r="AK428" s="55"/>
      <c r="AL428" s="55"/>
      <c r="AM428" s="55"/>
      <c r="AN428" s="55"/>
      <c r="AO428" s="55"/>
      <c r="AP428" s="526">
        <f t="shared" ref="AP428:AR428" si="1819">AP426+AP427</f>
        <v>39.700000000000003</v>
      </c>
      <c r="AQ428" s="526">
        <f t="shared" si="1819"/>
        <v>50.1</v>
      </c>
      <c r="AR428" s="526">
        <f t="shared" si="1819"/>
        <v>73.900000000000006</v>
      </c>
      <c r="AS428" s="526">
        <f t="shared" ref="AS428:AT428" si="1820">AS426+AS427</f>
        <v>99.1</v>
      </c>
      <c r="AT428" s="526">
        <f t="shared" si="1820"/>
        <v>165.2</v>
      </c>
      <c r="AU428" s="526">
        <f t="shared" ref="AU428:AV428" si="1821">AU426+AU427</f>
        <v>187.79999999999998</v>
      </c>
      <c r="AV428" s="526">
        <f t="shared" si="1821"/>
        <v>200</v>
      </c>
      <c r="AW428" s="526">
        <f t="shared" ref="AW428:AX428" si="1822">AW426+AW427</f>
        <v>196.70000000000002</v>
      </c>
      <c r="AX428" s="526">
        <f t="shared" si="1822"/>
        <v>200.9</v>
      </c>
      <c r="AY428" s="526">
        <f t="shared" ref="AY428:BI428" si="1823">AY426+AY427</f>
        <v>222.00000000000003</v>
      </c>
      <c r="AZ428" s="524">
        <f t="shared" si="1823"/>
        <v>245.69999999999996</v>
      </c>
      <c r="BA428" s="526">
        <f t="shared" si="1823"/>
        <v>271.9883845038845</v>
      </c>
      <c r="BB428" s="526">
        <f t="shared" si="1823"/>
        <v>297.39580961567128</v>
      </c>
      <c r="BC428" s="526">
        <f t="shared" si="1823"/>
        <v>315.29171305078967</v>
      </c>
      <c r="BD428" s="526">
        <f t="shared" si="1823"/>
        <v>341.33296340489534</v>
      </c>
      <c r="BE428" s="526">
        <f t="shared" si="1823"/>
        <v>362.47234887911196</v>
      </c>
      <c r="BF428" s="526">
        <f t="shared" si="1823"/>
        <v>387.53067469474604</v>
      </c>
      <c r="BG428" s="526">
        <f t="shared" si="1823"/>
        <v>405.98083010739225</v>
      </c>
      <c r="BH428" s="526">
        <f t="shared" si="1823"/>
        <v>431.08569493711838</v>
      </c>
      <c r="BI428" s="526">
        <f t="shared" si="1823"/>
        <v>447.18610860515741</v>
      </c>
      <c r="BJ428" s="526">
        <f t="shared" ref="BJ428:BK428" si="1824">BJ426+BJ427</f>
        <v>470.43777122464968</v>
      </c>
      <c r="BK428" s="526">
        <f t="shared" si="1824"/>
        <v>484.16454734600171</v>
      </c>
      <c r="BL428" s="526">
        <f t="shared" ref="BL428:BM428" si="1825">BL426+BL427</f>
        <v>503.10375142600572</v>
      </c>
      <c r="BM428" s="526">
        <f t="shared" si="1825"/>
        <v>515.59956871876284</v>
      </c>
      <c r="BN428" s="526">
        <f t="shared" ref="BN428:BO428" si="1826">BN426+BN427</f>
        <v>533.23632206051309</v>
      </c>
      <c r="BO428" s="526">
        <f t="shared" si="1826"/>
        <v>541.11206753895294</v>
      </c>
      <c r="BP428" s="526">
        <f t="shared" ref="BP428:BQ428" si="1827">BP426+BP427</f>
        <v>560.984612589633</v>
      </c>
      <c r="BQ428" s="526">
        <f t="shared" si="1827"/>
        <v>569.25625422581936</v>
      </c>
      <c r="BR428" s="526"/>
      <c r="BS428" s="55"/>
      <c r="BT428" s="55"/>
      <c r="BU428" s="55"/>
      <c r="BV428" s="55"/>
      <c r="BW428" s="55"/>
      <c r="BX428" s="55"/>
      <c r="BY428" s="55"/>
      <c r="BZ428" s="55"/>
      <c r="CA428" s="55"/>
      <c r="CB428" s="55"/>
      <c r="CC428" s="55"/>
      <c r="CD428" s="55"/>
      <c r="CE428" s="55"/>
      <c r="CF428" s="55"/>
      <c r="CG428" s="55"/>
      <c r="CH428" s="55"/>
      <c r="CI428" s="55"/>
      <c r="CJ428" s="55"/>
      <c r="CK428" s="55"/>
      <c r="CL428" s="55"/>
      <c r="CM428" s="55"/>
      <c r="CN428" s="55"/>
      <c r="CO428" s="55"/>
      <c r="CP428" s="55"/>
      <c r="CQ428" s="55"/>
      <c r="CR428" s="55"/>
      <c r="CS428" s="55"/>
      <c r="CT428" s="526">
        <f t="shared" ref="CT428:DF428" si="1828">CT426+CT427</f>
        <v>1.3559999999999999</v>
      </c>
      <c r="CU428" s="526">
        <f t="shared" si="1828"/>
        <v>28.256</v>
      </c>
      <c r="CV428" s="526">
        <f t="shared" si="1828"/>
        <v>89.8</v>
      </c>
      <c r="CW428" s="526">
        <f t="shared" si="1828"/>
        <v>173</v>
      </c>
      <c r="CX428" s="526">
        <f t="shared" si="1828"/>
        <v>353</v>
      </c>
      <c r="CY428" s="526">
        <f t="shared" si="1828"/>
        <v>396.7</v>
      </c>
      <c r="CZ428" s="524">
        <f t="shared" si="1828"/>
        <v>422.90000000000009</v>
      </c>
      <c r="DA428" s="526">
        <f t="shared" si="1828"/>
        <v>517.68838450388444</v>
      </c>
      <c r="DB428" s="526">
        <f t="shared" si="1828"/>
        <v>612.68752266646106</v>
      </c>
      <c r="DC428" s="526">
        <f t="shared" si="1828"/>
        <v>703.8053122840073</v>
      </c>
      <c r="DD428" s="526">
        <f t="shared" si="1828"/>
        <v>793.51150480213835</v>
      </c>
      <c r="DE428" s="526">
        <f t="shared" si="1828"/>
        <v>878.27180354227573</v>
      </c>
      <c r="DF428" s="526">
        <f t="shared" si="1828"/>
        <v>954.60231857065139</v>
      </c>
      <c r="DG428" s="526">
        <f t="shared" ref="DG428:DH428" si="1829">DG426+DG427</f>
        <v>1018.7033201447686</v>
      </c>
      <c r="DH428" s="526">
        <f t="shared" si="1829"/>
        <v>1074.3483895994661</v>
      </c>
      <c r="DI428" s="526">
        <f t="shared" ref="DI428" si="1830">DI426+DI427</f>
        <v>1130.2408668154524</v>
      </c>
    </row>
    <row r="429" spans="1:113" ht="12" collapsed="1"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394"/>
      <c r="AB429" s="55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572"/>
      <c r="AQ429" s="572"/>
      <c r="AR429" s="572"/>
      <c r="AS429" s="572"/>
      <c r="AT429" s="572"/>
      <c r="AU429" s="572"/>
      <c r="AV429" s="572"/>
      <c r="AW429" s="572"/>
      <c r="AX429" s="572"/>
      <c r="AY429" s="44"/>
      <c r="AZ429" s="45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  <c r="BL429" s="44"/>
      <c r="BM429" s="44"/>
      <c r="BN429" s="44"/>
      <c r="BO429" s="44"/>
      <c r="BP429" s="44"/>
      <c r="BQ429" s="44"/>
      <c r="BR429" s="44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285"/>
      <c r="CQ429" s="285"/>
      <c r="CR429" s="285"/>
      <c r="CS429" s="285"/>
      <c r="CT429" s="572"/>
      <c r="CU429" s="44"/>
      <c r="CV429" s="572"/>
      <c r="CW429" s="572"/>
      <c r="CX429" s="572"/>
      <c r="CY429" s="572"/>
      <c r="CZ429" s="658"/>
      <c r="DA429" s="636"/>
      <c r="DB429" s="44"/>
      <c r="DC429" s="529"/>
      <c r="DD429" s="529"/>
      <c r="DE429" s="529"/>
      <c r="DF429" s="529"/>
      <c r="DG429" s="529"/>
      <c r="DH429" s="529"/>
      <c r="DI429" s="529"/>
    </row>
    <row r="430" spans="1:113" s="36" customFormat="1" ht="12" collapsed="1">
      <c r="A430" s="1" t="s">
        <v>668</v>
      </c>
      <c r="B430" s="2" t="s">
        <v>550</v>
      </c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  <c r="AJ430" s="55"/>
      <c r="AK430" s="55"/>
      <c r="AL430" s="55"/>
      <c r="AM430" s="55"/>
      <c r="AN430" s="55"/>
      <c r="AO430" s="55"/>
      <c r="AP430" s="527">
        <f t="shared" ref="AP430:AR430" si="1831">AP443</f>
        <v>-37.799999999999997</v>
      </c>
      <c r="AQ430" s="527">
        <f t="shared" si="1831"/>
        <v>-49.3</v>
      </c>
      <c r="AR430" s="527">
        <f t="shared" si="1831"/>
        <v>-61.3</v>
      </c>
      <c r="AS430" s="527">
        <f t="shared" ref="AS430:AT430" si="1832">AS443</f>
        <v>-70.7</v>
      </c>
      <c r="AT430" s="527">
        <f t="shared" si="1832"/>
        <v>-89.7</v>
      </c>
      <c r="AU430" s="527">
        <f t="shared" ref="AU430:AV430" si="1833">AU443</f>
        <v>-101.2</v>
      </c>
      <c r="AV430" s="527">
        <f t="shared" si="1833"/>
        <v>-105.8</v>
      </c>
      <c r="AW430" s="527">
        <f t="shared" ref="AW430:AX430" si="1834">AW443</f>
        <v>-116.5</v>
      </c>
      <c r="AX430" s="527">
        <f t="shared" si="1834"/>
        <v>-115.4</v>
      </c>
      <c r="AY430" s="527">
        <f t="shared" ref="AY430:BI430" si="1835">AY443</f>
        <v>-106.4</v>
      </c>
      <c r="AZ430" s="528">
        <f t="shared" si="1835"/>
        <v>-119.1</v>
      </c>
      <c r="BA430" s="527">
        <f t="shared" si="1835"/>
        <v>-122.07899426068228</v>
      </c>
      <c r="BB430" s="527">
        <f t="shared" si="1835"/>
        <v>-129.31413078883736</v>
      </c>
      <c r="BC430" s="527">
        <f t="shared" si="1835"/>
        <v>-131.71622411780265</v>
      </c>
      <c r="BD430" s="527">
        <f t="shared" si="1835"/>
        <v>-138.37113656059265</v>
      </c>
      <c r="BE430" s="527">
        <f t="shared" si="1835"/>
        <v>-140.87298788414614</v>
      </c>
      <c r="BF430" s="527">
        <f t="shared" si="1835"/>
        <v>-147.79113996294194</v>
      </c>
      <c r="BG430" s="527">
        <f t="shared" si="1835"/>
        <v>-149.86301919956063</v>
      </c>
      <c r="BH430" s="527">
        <f t="shared" si="1835"/>
        <v>-157.42323996661105</v>
      </c>
      <c r="BI430" s="527">
        <f t="shared" si="1835"/>
        <v>-159.55565276675736</v>
      </c>
      <c r="BJ430" s="527">
        <f t="shared" ref="BJ430:BK430" si="1836">BJ443</f>
        <v>-167.52695997404243</v>
      </c>
      <c r="BK430" s="527">
        <f t="shared" si="1836"/>
        <v>-169.20790956410244</v>
      </c>
      <c r="BL430" s="527">
        <f t="shared" ref="BL430:BM430" si="1837">BL443</f>
        <v>-176.73350295442191</v>
      </c>
      <c r="BM430" s="527">
        <f t="shared" si="1837"/>
        <v>-178.59660647960956</v>
      </c>
      <c r="BN430" s="527">
        <f t="shared" ref="BN430:BO430" si="1838">BN443</f>
        <v>-185.94225120182344</v>
      </c>
      <c r="BO430" s="527">
        <f t="shared" si="1838"/>
        <v>-187.1789075851226</v>
      </c>
      <c r="BP430" s="527">
        <f t="shared" ref="BP430:BQ430" si="1839">BP443</f>
        <v>-195.78543307840869</v>
      </c>
      <c r="BQ430" s="527">
        <f t="shared" si="1839"/>
        <v>-197.62446556931926</v>
      </c>
      <c r="BR430" s="527"/>
      <c r="BS430" s="52"/>
      <c r="BT430" s="52"/>
      <c r="BU430" s="52"/>
      <c r="BV430" s="52"/>
      <c r="BW430" s="52"/>
      <c r="BX430" s="52"/>
      <c r="BY430" s="52"/>
      <c r="BZ430" s="52"/>
      <c r="CA430" s="52"/>
      <c r="CB430" s="52"/>
      <c r="CC430" s="52"/>
      <c r="CD430" s="52"/>
      <c r="CE430" s="52"/>
      <c r="CF430" s="52"/>
      <c r="CG430" s="52"/>
      <c r="CH430" s="52"/>
      <c r="CI430" s="52"/>
      <c r="CJ430" s="52"/>
      <c r="CK430" s="52"/>
      <c r="CL430" s="52"/>
      <c r="CM430" s="52"/>
      <c r="CN430" s="52"/>
      <c r="CO430" s="52"/>
      <c r="CP430" s="52"/>
      <c r="CQ430" s="52"/>
      <c r="CR430" s="52"/>
      <c r="CS430" s="52"/>
      <c r="CT430" s="527">
        <f t="shared" ref="CT430:DF430" si="1840">CT443</f>
        <v>-31.553999999999998</v>
      </c>
      <c r="CU430" s="527">
        <f t="shared" si="1840"/>
        <v>-59.744</v>
      </c>
      <c r="CV430" s="527">
        <f t="shared" si="1840"/>
        <v>-87.1</v>
      </c>
      <c r="CW430" s="527">
        <f t="shared" si="1840"/>
        <v>-132</v>
      </c>
      <c r="CX430" s="527">
        <f t="shared" si="1840"/>
        <v>-190.9</v>
      </c>
      <c r="CY430" s="527">
        <f t="shared" si="1840"/>
        <v>-222.3</v>
      </c>
      <c r="CZ430" s="528">
        <f t="shared" si="1840"/>
        <v>-221.8</v>
      </c>
      <c r="DA430" s="527">
        <f t="shared" si="1840"/>
        <v>-241.17899426068226</v>
      </c>
      <c r="DB430" s="527">
        <f t="shared" si="1840"/>
        <v>-261.03035490664001</v>
      </c>
      <c r="DC430" s="527">
        <f t="shared" si="1840"/>
        <v>-279.24412444473876</v>
      </c>
      <c r="DD430" s="527">
        <f t="shared" si="1840"/>
        <v>-297.65415916250254</v>
      </c>
      <c r="DE430" s="527">
        <f t="shared" si="1840"/>
        <v>-316.97889273336841</v>
      </c>
      <c r="DF430" s="527">
        <f t="shared" si="1840"/>
        <v>-336.73486953814484</v>
      </c>
      <c r="DG430" s="527">
        <f t="shared" ref="DG430:DH430" si="1841">DG443</f>
        <v>-355.33010943403144</v>
      </c>
      <c r="DH430" s="527">
        <f t="shared" si="1841"/>
        <v>-373.12115878694601</v>
      </c>
      <c r="DI430" s="527">
        <f t="shared" ref="DI430" si="1842">DI443</f>
        <v>-393.40989864772791</v>
      </c>
    </row>
    <row r="431" spans="1:113" ht="12" hidden="1" outlineLevel="1"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394"/>
      <c r="AB431" s="42"/>
      <c r="AC431" s="42"/>
      <c r="AD431" s="42"/>
      <c r="AE431" s="394"/>
      <c r="AF431" s="394"/>
      <c r="AG431" s="394"/>
      <c r="AH431" s="394"/>
      <c r="AI431" s="394"/>
      <c r="AJ431" s="394"/>
      <c r="AK431" s="394"/>
      <c r="AL431" s="394"/>
      <c r="AM431" s="394"/>
      <c r="AN431" s="55"/>
      <c r="AO431" s="55"/>
      <c r="AP431" s="572"/>
      <c r="AQ431" s="572"/>
      <c r="AR431" s="572"/>
      <c r="AS431" s="572"/>
      <c r="AT431" s="572"/>
      <c r="AU431" s="572"/>
      <c r="AV431" s="572"/>
      <c r="AW431" s="572"/>
      <c r="AX431" s="572"/>
      <c r="AY431" s="42"/>
      <c r="AZ431" s="43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285"/>
      <c r="CR431" s="285"/>
      <c r="CS431" s="285"/>
      <c r="CT431" s="572"/>
      <c r="CU431" s="526"/>
      <c r="CV431" s="572"/>
      <c r="CW431" s="572"/>
      <c r="CX431" s="572"/>
      <c r="CY431" s="572"/>
      <c r="CZ431" s="45"/>
      <c r="DA431" s="632"/>
      <c r="DB431" s="632"/>
      <c r="DC431" s="529"/>
      <c r="DD431" s="529"/>
      <c r="DE431" s="529"/>
      <c r="DF431" s="529"/>
      <c r="DG431" s="529"/>
      <c r="DH431" s="529"/>
      <c r="DI431" s="529"/>
    </row>
    <row r="432" spans="1:113" ht="12" hidden="1" outlineLevel="1">
      <c r="A432" s="1" t="s">
        <v>669</v>
      </c>
      <c r="B432" s="19" t="s">
        <v>551</v>
      </c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525">
        <v>-22.7</v>
      </c>
      <c r="AQ432" s="525">
        <v>-28.3</v>
      </c>
      <c r="AR432" s="525">
        <v>-36.799999999999997</v>
      </c>
      <c r="AS432" s="525">
        <v>-42.7</v>
      </c>
      <c r="AT432" s="525">
        <v>-56.3</v>
      </c>
      <c r="AU432" s="525">
        <v>-63</v>
      </c>
      <c r="AV432" s="525">
        <v>-64.8</v>
      </c>
      <c r="AW432" s="525">
        <v>-64.400000000000006</v>
      </c>
      <c r="AX432" s="525">
        <v>-71</v>
      </c>
      <c r="AY432" s="525">
        <v>-61.8</v>
      </c>
      <c r="AZ432" s="523">
        <v>-71.8</v>
      </c>
      <c r="BA432" s="44">
        <f t="shared" ref="BA432:BI432" si="1843">-AVERAGE(AZ92:BA92)*BA93/BA$5/1000000</f>
        <v>-74.414994260682263</v>
      </c>
      <c r="BB432" s="44">
        <f t="shared" si="1843"/>
        <v>-79.847630788837364</v>
      </c>
      <c r="BC432" s="44">
        <f t="shared" si="1843"/>
        <v>-82.420204117802612</v>
      </c>
      <c r="BD432" s="44">
        <f t="shared" si="1843"/>
        <v>-87.324109060592647</v>
      </c>
      <c r="BE432" s="44">
        <f t="shared" si="1843"/>
        <v>-89.992995284146104</v>
      </c>
      <c r="BF432" s="44">
        <f t="shared" si="1843"/>
        <v>-95.212701637941933</v>
      </c>
      <c r="BG432" s="44">
        <f t="shared" si="1843"/>
        <v>-97.456626821560619</v>
      </c>
      <c r="BH432" s="44">
        <f t="shared" si="1843"/>
        <v>-103.26744849186106</v>
      </c>
      <c r="BI432" s="44">
        <f t="shared" si="1843"/>
        <v>-105.57706861741731</v>
      </c>
      <c r="BJ432" s="44">
        <f t="shared" ref="BJ432" si="1844">-AVERAGE(BI92:BJ92)*BJ93/BJ$5/1000000</f>
        <v>-111.74649475504998</v>
      </c>
      <c r="BK432" s="44">
        <f t="shared" ref="BK432" si="1845">-AVERAGE(BJ92:BK92)*BK93/BK$5/1000000</f>
        <v>-113.60996789028219</v>
      </c>
      <c r="BL432" s="44">
        <f t="shared" ref="BL432" si="1846">-AVERAGE(BK92:BL92)*BL93/BL$5/1000000</f>
        <v>-119.27962377885964</v>
      </c>
      <c r="BM432" s="44">
        <f t="shared" ref="BM432" si="1847">-AVERAGE(BL92:BM92)*BM93/BM$5/1000000</f>
        <v>-121.33072655557471</v>
      </c>
      <c r="BN432" s="44">
        <f t="shared" ref="BN432" si="1848">-AVERAGE(BM92:BN92)*BN93/BN$5/1000000</f>
        <v>-126.76475565099425</v>
      </c>
      <c r="BO432" s="44">
        <f t="shared" ref="BO432" si="1849">-AVERAGE(BN92:BO92)*BO93/BO$5/1000000</f>
        <v>-128.19505126336668</v>
      </c>
      <c r="BP432" s="44">
        <f t="shared" ref="BP432" si="1850">-AVERAGE(BO92:BP92)*BP93/BP$5/1000000</f>
        <v>-134.83261266105464</v>
      </c>
      <c r="BQ432" s="44">
        <f t="shared" ref="BQ432" si="1851">-AVERAGE(BP92:BQ92)*BQ93/BQ$5/1000000</f>
        <v>-136.87109355791068</v>
      </c>
      <c r="BR432" s="44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525">
        <v>-16.434999999999999</v>
      </c>
      <c r="CU432" s="525">
        <v>-36.33</v>
      </c>
      <c r="CV432" s="44">
        <f t="shared" ref="CV432:CV451" si="1852">SUM(AP432:AQ432)</f>
        <v>-51</v>
      </c>
      <c r="CW432" s="44">
        <f>SUM(AR432:AS432)</f>
        <v>-79.5</v>
      </c>
      <c r="CX432" s="44">
        <f>SUM(AT432:AU432)</f>
        <v>-119.3</v>
      </c>
      <c r="CY432" s="44">
        <f>SUM(AV432:AW432)</f>
        <v>-129.19999999999999</v>
      </c>
      <c r="CZ432" s="45">
        <f>SUM(AX432:AY432)</f>
        <v>-132.80000000000001</v>
      </c>
      <c r="DA432" s="44">
        <f t="shared" ref="DA432:DA450" si="1853">SUM(AZ432:BA432)</f>
        <v>-146.21499426068226</v>
      </c>
      <c r="DB432" s="44">
        <f t="shared" ref="DB432:DB450" si="1854">SUM(BB432:BC432)</f>
        <v>-162.26783490663996</v>
      </c>
      <c r="DC432" s="44">
        <f t="shared" ref="DC432:DC450" si="1855">SUM(BD432:BE432)</f>
        <v>-177.31710434473877</v>
      </c>
      <c r="DD432" s="44">
        <f t="shared" ref="DD432:DD450" si="1856">SUM(BF432:BG432)</f>
        <v>-192.66932845950254</v>
      </c>
      <c r="DE432" s="44">
        <f t="shared" ref="DE432:DE450" si="1857">SUM(BH432:BI432)</f>
        <v>-208.84451710927837</v>
      </c>
      <c r="DF432" s="44">
        <f t="shared" ref="DF432:DF450" si="1858">SUM(BJ432:BK432)</f>
        <v>-225.35646264533216</v>
      </c>
      <c r="DG432" s="44">
        <f t="shared" ref="DG432:DG450" si="1859">SUM(BL432:BM432)</f>
        <v>-240.61035033443437</v>
      </c>
      <c r="DH432" s="44">
        <f t="shared" ref="DH432:DH450" si="1860">SUM(BN432:BO432)</f>
        <v>-254.95980691436091</v>
      </c>
      <c r="DI432" s="44">
        <f t="shared" ref="DI432:DI450" si="1861">SUM(BP432:BQ432)</f>
        <v>-271.70370621896529</v>
      </c>
    </row>
    <row r="433" spans="1:113" ht="12" hidden="1" outlineLevel="1">
      <c r="A433" s="1" t="s">
        <v>670</v>
      </c>
      <c r="B433" s="19" t="s">
        <v>447</v>
      </c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511"/>
      <c r="AB433" s="511"/>
      <c r="AC433" s="511"/>
      <c r="AD433" s="511"/>
      <c r="AE433" s="511"/>
      <c r="AF433" s="511"/>
      <c r="AG433" s="511"/>
      <c r="AH433" s="511"/>
      <c r="AI433" s="511"/>
      <c r="AJ433" s="511"/>
      <c r="AK433" s="511"/>
      <c r="AL433" s="511"/>
      <c r="AM433" s="511"/>
      <c r="AN433" s="511"/>
      <c r="AO433" s="511"/>
      <c r="AP433" s="585">
        <v>0</v>
      </c>
      <c r="AQ433" s="585">
        <v>0</v>
      </c>
      <c r="AR433" s="585">
        <v>0</v>
      </c>
      <c r="AS433" s="585">
        <v>0</v>
      </c>
      <c r="AT433" s="585">
        <v>0</v>
      </c>
      <c r="AU433" s="585">
        <v>0</v>
      </c>
      <c r="AV433" s="585">
        <v>0</v>
      </c>
      <c r="AW433" s="585">
        <v>0</v>
      </c>
      <c r="AX433" s="585">
        <v>0</v>
      </c>
      <c r="AY433" s="585">
        <v>0</v>
      </c>
      <c r="AZ433" s="586">
        <v>0</v>
      </c>
      <c r="BA433" s="46">
        <f t="shared" ref="BA433:BI433" si="1862">AZ433</f>
        <v>0</v>
      </c>
      <c r="BB433" s="46">
        <f t="shared" si="1862"/>
        <v>0</v>
      </c>
      <c r="BC433" s="46">
        <f t="shared" si="1862"/>
        <v>0</v>
      </c>
      <c r="BD433" s="46">
        <f t="shared" si="1862"/>
        <v>0</v>
      </c>
      <c r="BE433" s="46">
        <f t="shared" si="1862"/>
        <v>0</v>
      </c>
      <c r="BF433" s="46">
        <f t="shared" si="1862"/>
        <v>0</v>
      </c>
      <c r="BG433" s="46">
        <f t="shared" si="1862"/>
        <v>0</v>
      </c>
      <c r="BH433" s="46">
        <f t="shared" si="1862"/>
        <v>0</v>
      </c>
      <c r="BI433" s="46">
        <f t="shared" si="1862"/>
        <v>0</v>
      </c>
      <c r="BJ433" s="46">
        <f t="shared" ref="BJ433" si="1863">BI433</f>
        <v>0</v>
      </c>
      <c r="BK433" s="46">
        <f t="shared" ref="BK433" si="1864">BJ433</f>
        <v>0</v>
      </c>
      <c r="BL433" s="46">
        <f t="shared" ref="BL433" si="1865">BK433</f>
        <v>0</v>
      </c>
      <c r="BM433" s="46">
        <f t="shared" ref="BM433" si="1866">BL433</f>
        <v>0</v>
      </c>
      <c r="BN433" s="46">
        <f t="shared" ref="BN433" si="1867">BM433</f>
        <v>0</v>
      </c>
      <c r="BO433" s="46">
        <f t="shared" ref="BO433" si="1868">BN433</f>
        <v>0</v>
      </c>
      <c r="BP433" s="46">
        <f t="shared" ref="BP433" si="1869">BO433</f>
        <v>0</v>
      </c>
      <c r="BQ433" s="46">
        <f t="shared" ref="BQ433" si="1870">BP433</f>
        <v>0</v>
      </c>
      <c r="BR433" s="44"/>
      <c r="BS433" s="40"/>
      <c r="BT433" s="40"/>
      <c r="BU433" s="40"/>
      <c r="BV433" s="40"/>
      <c r="BW433" s="40"/>
      <c r="BX433" s="40"/>
      <c r="BY433" s="40"/>
      <c r="BZ433" s="40"/>
      <c r="CA433" s="114"/>
      <c r="CB433" s="114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585">
        <v>0</v>
      </c>
      <c r="CU433" s="585">
        <v>0</v>
      </c>
      <c r="CV433" s="44">
        <f t="shared" si="1852"/>
        <v>0</v>
      </c>
      <c r="CW433" s="44">
        <f>SUM(AR433:AS433)</f>
        <v>0</v>
      </c>
      <c r="CX433" s="44">
        <f>SUM(AT433:AU433)</f>
        <v>0</v>
      </c>
      <c r="CY433" s="44">
        <f>SUM(AV433:AW433)</f>
        <v>0</v>
      </c>
      <c r="CZ433" s="45">
        <f>SUM(AX433:AY433)</f>
        <v>0</v>
      </c>
      <c r="DA433" s="44">
        <f t="shared" si="1853"/>
        <v>0</v>
      </c>
      <c r="DB433" s="44">
        <f t="shared" si="1854"/>
        <v>0</v>
      </c>
      <c r="DC433" s="44">
        <f t="shared" si="1855"/>
        <v>0</v>
      </c>
      <c r="DD433" s="44">
        <f t="shared" si="1856"/>
        <v>0</v>
      </c>
      <c r="DE433" s="44">
        <f t="shared" si="1857"/>
        <v>0</v>
      </c>
      <c r="DF433" s="44">
        <f t="shared" si="1858"/>
        <v>0</v>
      </c>
      <c r="DG433" s="44">
        <f t="shared" si="1859"/>
        <v>0</v>
      </c>
      <c r="DH433" s="44">
        <f t="shared" si="1860"/>
        <v>0</v>
      </c>
      <c r="DI433" s="44">
        <f t="shared" si="1861"/>
        <v>0</v>
      </c>
    </row>
    <row r="434" spans="1:113" ht="12" hidden="1" outlineLevel="1">
      <c r="A434" s="1" t="s">
        <v>671</v>
      </c>
      <c r="B434" s="19" t="s">
        <v>694</v>
      </c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4">
        <f t="shared" ref="AP434:AR434" si="1871">AP103</f>
        <v>-0.9</v>
      </c>
      <c r="AQ434" s="44">
        <f t="shared" si="1871"/>
        <v>-1</v>
      </c>
      <c r="AR434" s="44">
        <f t="shared" si="1871"/>
        <v>-1.6</v>
      </c>
      <c r="AS434" s="44">
        <f t="shared" ref="AS434:AU434" si="1872">AS103</f>
        <v>-1.9</v>
      </c>
      <c r="AT434" s="44">
        <f t="shared" si="1872"/>
        <v>-1.8</v>
      </c>
      <c r="AU434" s="44">
        <f t="shared" si="1872"/>
        <v>-2.9000000000000004</v>
      </c>
      <c r="AV434" s="44">
        <f t="shared" ref="AV434:AW434" si="1873">AV103</f>
        <v>-4.3</v>
      </c>
      <c r="AW434" s="44">
        <f t="shared" si="1873"/>
        <v>-7.8</v>
      </c>
      <c r="AX434" s="44">
        <f t="shared" ref="AX434:AY434" si="1874">AX103</f>
        <v>-5.5</v>
      </c>
      <c r="AY434" s="44">
        <f t="shared" si="1874"/>
        <v>-6.2</v>
      </c>
      <c r="AZ434" s="45">
        <f t="shared" ref="AZ434" si="1875">AZ103</f>
        <v>-7.2</v>
      </c>
      <c r="BA434" s="44">
        <f t="shared" ref="BA434:BI434" si="1876">BA103</f>
        <v>-6.6217308251851623</v>
      </c>
      <c r="BB434" s="44">
        <f t="shared" si="1876"/>
        <v>-6.3706586065936355</v>
      </c>
      <c r="BC434" s="44">
        <f t="shared" si="1876"/>
        <v>-5.9880578978598793</v>
      </c>
      <c r="BD434" s="44">
        <f t="shared" si="1876"/>
        <v>-5.8546032676247428</v>
      </c>
      <c r="BE434" s="44">
        <f t="shared" si="1876"/>
        <v>-5.6293081793230142</v>
      </c>
      <c r="BF434" s="44">
        <f t="shared" si="1876"/>
        <v>-5.5886611774468617</v>
      </c>
      <c r="BG434" s="44">
        <f t="shared" si="1876"/>
        <v>-5.4225479817107098</v>
      </c>
      <c r="BH434" s="44">
        <f t="shared" si="1876"/>
        <v>-5.4699788390934714</v>
      </c>
      <c r="BI434" s="44">
        <f t="shared" si="1876"/>
        <v>-5.3689831955504301</v>
      </c>
      <c r="BJ434" s="44">
        <f t="shared" ref="BJ434:BK434" si="1877">BJ103</f>
        <v>-5.472198019954658</v>
      </c>
      <c r="BK434" s="44">
        <f t="shared" si="1877"/>
        <v>-5.4201095265040546</v>
      </c>
      <c r="BL434" s="44">
        <f t="shared" ref="BL434:BM434" si="1878">BL103</f>
        <v>-5.5524875000630587</v>
      </c>
      <c r="BM434" s="44">
        <f t="shared" si="1878"/>
        <v>-5.5628180649238681</v>
      </c>
      <c r="BN434" s="44">
        <f t="shared" ref="BN434:BO434" si="1879">BN103</f>
        <v>-5.7232153116603337</v>
      </c>
      <c r="BO434" s="44">
        <f t="shared" si="1879"/>
        <v>-5.7246049688263341</v>
      </c>
      <c r="BP434" s="44">
        <f t="shared" ref="BP434:BQ434" si="1880">BP103</f>
        <v>-5.9234545434842651</v>
      </c>
      <c r="BQ434" s="44">
        <f t="shared" si="1880"/>
        <v>-5.9390044274669993</v>
      </c>
      <c r="BR434" s="44"/>
      <c r="BS434" s="42"/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4">
        <f t="shared" ref="CT434:CU434" si="1881">CT103</f>
        <v>-0.49399999999999999</v>
      </c>
      <c r="CU434" s="44">
        <f t="shared" si="1881"/>
        <v>-2.6219999999999999</v>
      </c>
      <c r="CV434" s="44">
        <f t="shared" si="1852"/>
        <v>-1.9</v>
      </c>
      <c r="CW434" s="44">
        <f>SUM(AR434:AS434)</f>
        <v>-3.5</v>
      </c>
      <c r="CX434" s="44">
        <f>SUM(AT434:AU434)</f>
        <v>-4.7</v>
      </c>
      <c r="CY434" s="44">
        <f>SUM(AV434:AW434)</f>
        <v>-12.1</v>
      </c>
      <c r="CZ434" s="45">
        <f>SUM(AX434:AY434)</f>
        <v>-11.7</v>
      </c>
      <c r="DA434" s="44">
        <f t="shared" si="1853"/>
        <v>-13.821730825185163</v>
      </c>
      <c r="DB434" s="44">
        <f t="shared" si="1854"/>
        <v>-12.358716504453515</v>
      </c>
      <c r="DC434" s="44">
        <f t="shared" si="1855"/>
        <v>-11.483911446947758</v>
      </c>
      <c r="DD434" s="44">
        <f t="shared" si="1856"/>
        <v>-11.011209159157572</v>
      </c>
      <c r="DE434" s="44">
        <f t="shared" si="1857"/>
        <v>-10.838962034643902</v>
      </c>
      <c r="DF434" s="44">
        <f t="shared" si="1858"/>
        <v>-10.892307546458714</v>
      </c>
      <c r="DG434" s="44">
        <f t="shared" si="1859"/>
        <v>-11.115305564986926</v>
      </c>
      <c r="DH434" s="44">
        <f t="shared" si="1860"/>
        <v>-11.447820280486667</v>
      </c>
      <c r="DI434" s="44">
        <f t="shared" si="1861"/>
        <v>-11.862458970951264</v>
      </c>
    </row>
    <row r="435" spans="1:113" ht="12" hidden="1" outlineLevel="1">
      <c r="A435" s="1" t="s">
        <v>672</v>
      </c>
      <c r="B435" s="19" t="s">
        <v>448</v>
      </c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525">
        <v>0</v>
      </c>
      <c r="AQ435" s="525">
        <v>0</v>
      </c>
      <c r="AR435" s="525">
        <v>0</v>
      </c>
      <c r="AS435" s="525">
        <v>0</v>
      </c>
      <c r="AT435" s="525">
        <v>0</v>
      </c>
      <c r="AU435" s="525">
        <v>0</v>
      </c>
      <c r="AV435" s="525">
        <v>0</v>
      </c>
      <c r="AW435" s="525">
        <v>0</v>
      </c>
      <c r="AX435" s="525">
        <v>0</v>
      </c>
      <c r="AY435" s="525">
        <v>0</v>
      </c>
      <c r="AZ435" s="523">
        <v>0</v>
      </c>
      <c r="BA435" s="46">
        <f t="shared" ref="BA435:BI435" si="1882">AZ435</f>
        <v>0</v>
      </c>
      <c r="BB435" s="46">
        <f t="shared" si="1882"/>
        <v>0</v>
      </c>
      <c r="BC435" s="46">
        <f t="shared" si="1882"/>
        <v>0</v>
      </c>
      <c r="BD435" s="46">
        <f t="shared" si="1882"/>
        <v>0</v>
      </c>
      <c r="BE435" s="46">
        <f t="shared" si="1882"/>
        <v>0</v>
      </c>
      <c r="BF435" s="46">
        <f t="shared" si="1882"/>
        <v>0</v>
      </c>
      <c r="BG435" s="46">
        <f t="shared" si="1882"/>
        <v>0</v>
      </c>
      <c r="BH435" s="46">
        <f t="shared" si="1882"/>
        <v>0</v>
      </c>
      <c r="BI435" s="46">
        <f t="shared" si="1882"/>
        <v>0</v>
      </c>
      <c r="BJ435" s="46">
        <f t="shared" ref="BJ435" si="1883">BI435</f>
        <v>0</v>
      </c>
      <c r="BK435" s="46">
        <f t="shared" ref="BK435" si="1884">BJ435</f>
        <v>0</v>
      </c>
      <c r="BL435" s="46">
        <f t="shared" ref="BL435" si="1885">BK435</f>
        <v>0</v>
      </c>
      <c r="BM435" s="46">
        <f t="shared" ref="BM435" si="1886">BL435</f>
        <v>0</v>
      </c>
      <c r="BN435" s="46">
        <f t="shared" ref="BN435" si="1887">BM435</f>
        <v>0</v>
      </c>
      <c r="BO435" s="46">
        <f t="shared" ref="BO435" si="1888">BN435</f>
        <v>0</v>
      </c>
      <c r="BP435" s="46">
        <f t="shared" ref="BP435" si="1889">BO435</f>
        <v>0</v>
      </c>
      <c r="BQ435" s="46">
        <f t="shared" ref="BQ435" si="1890">BP435</f>
        <v>0</v>
      </c>
      <c r="BR435" s="44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525">
        <v>0</v>
      </c>
      <c r="CU435" s="525">
        <v>0</v>
      </c>
      <c r="CV435" s="44">
        <f t="shared" si="1852"/>
        <v>0</v>
      </c>
      <c r="CW435" s="44">
        <f>SUM(AR435:AS435)</f>
        <v>0</v>
      </c>
      <c r="CX435" s="44">
        <f>SUM(AT435:AU435)</f>
        <v>0</v>
      </c>
      <c r="CY435" s="44">
        <f>SUM(AV435:AW435)</f>
        <v>0</v>
      </c>
      <c r="CZ435" s="45">
        <f>SUM(AX435:AY435)</f>
        <v>0</v>
      </c>
      <c r="DA435" s="44">
        <f t="shared" si="1853"/>
        <v>0</v>
      </c>
      <c r="DB435" s="44">
        <f t="shared" si="1854"/>
        <v>0</v>
      </c>
      <c r="DC435" s="44">
        <f t="shared" si="1855"/>
        <v>0</v>
      </c>
      <c r="DD435" s="44">
        <f t="shared" si="1856"/>
        <v>0</v>
      </c>
      <c r="DE435" s="44">
        <f t="shared" si="1857"/>
        <v>0</v>
      </c>
      <c r="DF435" s="44">
        <f t="shared" si="1858"/>
        <v>0</v>
      </c>
      <c r="DG435" s="44">
        <f t="shared" si="1859"/>
        <v>0</v>
      </c>
      <c r="DH435" s="44">
        <f t="shared" si="1860"/>
        <v>0</v>
      </c>
      <c r="DI435" s="44">
        <f t="shared" si="1861"/>
        <v>0</v>
      </c>
    </row>
    <row r="436" spans="1:113" ht="12" hidden="1" outlineLevel="2">
      <c r="A436" s="1" t="s">
        <v>673</v>
      </c>
      <c r="B436" s="19" t="s">
        <v>801</v>
      </c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4"/>
      <c r="AQ436" s="44"/>
      <c r="AR436" s="44"/>
      <c r="AS436" s="44"/>
      <c r="AT436" s="44"/>
      <c r="AU436" s="44"/>
      <c r="AV436" s="44"/>
      <c r="AW436" s="44"/>
      <c r="AX436" s="44"/>
      <c r="AY436" s="44"/>
      <c r="AZ436" s="45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  <c r="BL436" s="44"/>
      <c r="BM436" s="44"/>
      <c r="BN436" s="44"/>
      <c r="BO436" s="44"/>
      <c r="BP436" s="44"/>
      <c r="BQ436" s="44"/>
      <c r="BR436" s="44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4"/>
      <c r="CU436" s="44"/>
      <c r="CV436" s="44">
        <f t="shared" si="1852"/>
        <v>0</v>
      </c>
      <c r="CW436" s="44"/>
      <c r="CX436" s="44"/>
      <c r="CY436" s="44"/>
      <c r="CZ436" s="45"/>
      <c r="DA436" s="44">
        <f t="shared" si="1853"/>
        <v>0</v>
      </c>
      <c r="DB436" s="44">
        <f t="shared" si="1854"/>
        <v>0</v>
      </c>
      <c r="DC436" s="44">
        <f t="shared" si="1855"/>
        <v>0</v>
      </c>
      <c r="DD436" s="44">
        <f t="shared" si="1856"/>
        <v>0</v>
      </c>
      <c r="DE436" s="44">
        <f t="shared" si="1857"/>
        <v>0</v>
      </c>
      <c r="DF436" s="44">
        <f t="shared" si="1858"/>
        <v>0</v>
      </c>
      <c r="DG436" s="44">
        <f t="shared" si="1859"/>
        <v>0</v>
      </c>
      <c r="DH436" s="44">
        <f t="shared" si="1860"/>
        <v>0</v>
      </c>
      <c r="DI436" s="44">
        <f t="shared" si="1861"/>
        <v>0</v>
      </c>
    </row>
    <row r="437" spans="1:113" ht="12" hidden="1" outlineLevel="2">
      <c r="A437" s="1" t="s">
        <v>49</v>
      </c>
      <c r="B437" s="19" t="s">
        <v>801</v>
      </c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4"/>
      <c r="AQ437" s="44"/>
      <c r="AR437" s="44"/>
      <c r="AS437" s="44"/>
      <c r="AT437" s="44"/>
      <c r="AU437" s="44"/>
      <c r="AV437" s="44"/>
      <c r="AW437" s="44"/>
      <c r="AX437" s="44"/>
      <c r="AY437" s="44"/>
      <c r="AZ437" s="45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  <c r="BL437" s="44"/>
      <c r="BM437" s="44"/>
      <c r="BN437" s="44"/>
      <c r="BO437" s="44"/>
      <c r="BP437" s="44"/>
      <c r="BQ437" s="44"/>
      <c r="BR437" s="44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4"/>
      <c r="CU437" s="44"/>
      <c r="CV437" s="44">
        <f t="shared" si="1852"/>
        <v>0</v>
      </c>
      <c r="CW437" s="44"/>
      <c r="CX437" s="44"/>
      <c r="CY437" s="44"/>
      <c r="CZ437" s="45"/>
      <c r="DA437" s="44">
        <f t="shared" si="1853"/>
        <v>0</v>
      </c>
      <c r="DB437" s="44">
        <f t="shared" si="1854"/>
        <v>0</v>
      </c>
      <c r="DC437" s="44">
        <f t="shared" si="1855"/>
        <v>0</v>
      </c>
      <c r="DD437" s="44">
        <f t="shared" si="1856"/>
        <v>0</v>
      </c>
      <c r="DE437" s="44">
        <f t="shared" si="1857"/>
        <v>0</v>
      </c>
      <c r="DF437" s="44">
        <f t="shared" si="1858"/>
        <v>0</v>
      </c>
      <c r="DG437" s="44">
        <f t="shared" si="1859"/>
        <v>0</v>
      </c>
      <c r="DH437" s="44">
        <f t="shared" si="1860"/>
        <v>0</v>
      </c>
      <c r="DI437" s="44">
        <f t="shared" si="1861"/>
        <v>0</v>
      </c>
    </row>
    <row r="438" spans="1:113" ht="12" hidden="1" outlineLevel="2">
      <c r="A438" s="1" t="s">
        <v>50</v>
      </c>
      <c r="B438" s="19" t="s">
        <v>801</v>
      </c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4"/>
      <c r="AQ438" s="44"/>
      <c r="AR438" s="44"/>
      <c r="AS438" s="44"/>
      <c r="AT438" s="44"/>
      <c r="AU438" s="44"/>
      <c r="AV438" s="44"/>
      <c r="AW438" s="44"/>
      <c r="AX438" s="44"/>
      <c r="AY438" s="44"/>
      <c r="AZ438" s="45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  <c r="BL438" s="44"/>
      <c r="BM438" s="44"/>
      <c r="BN438" s="44"/>
      <c r="BO438" s="44"/>
      <c r="BP438" s="44"/>
      <c r="BQ438" s="44"/>
      <c r="BR438" s="44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4"/>
      <c r="CU438" s="44"/>
      <c r="CV438" s="44">
        <f t="shared" si="1852"/>
        <v>0</v>
      </c>
      <c r="CW438" s="44"/>
      <c r="CX438" s="44"/>
      <c r="CY438" s="44"/>
      <c r="CZ438" s="45"/>
      <c r="DA438" s="44">
        <f t="shared" si="1853"/>
        <v>0</v>
      </c>
      <c r="DB438" s="44">
        <f t="shared" si="1854"/>
        <v>0</v>
      </c>
      <c r="DC438" s="44">
        <f t="shared" si="1855"/>
        <v>0</v>
      </c>
      <c r="DD438" s="44">
        <f t="shared" si="1856"/>
        <v>0</v>
      </c>
      <c r="DE438" s="44">
        <f t="shared" si="1857"/>
        <v>0</v>
      </c>
      <c r="DF438" s="44">
        <f t="shared" si="1858"/>
        <v>0</v>
      </c>
      <c r="DG438" s="44">
        <f t="shared" si="1859"/>
        <v>0</v>
      </c>
      <c r="DH438" s="44">
        <f t="shared" si="1860"/>
        <v>0</v>
      </c>
      <c r="DI438" s="44">
        <f t="shared" si="1861"/>
        <v>0</v>
      </c>
    </row>
    <row r="439" spans="1:113" ht="12" hidden="1" outlineLevel="2">
      <c r="A439" s="1" t="s">
        <v>52</v>
      </c>
      <c r="B439" s="19" t="s">
        <v>801</v>
      </c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4"/>
      <c r="AQ439" s="44"/>
      <c r="AR439" s="44"/>
      <c r="AS439" s="44"/>
      <c r="AT439" s="44"/>
      <c r="AU439" s="44"/>
      <c r="AV439" s="44"/>
      <c r="AW439" s="44"/>
      <c r="AX439" s="44"/>
      <c r="AY439" s="44"/>
      <c r="AZ439" s="45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  <c r="BL439" s="44"/>
      <c r="BM439" s="44"/>
      <c r="BN439" s="44"/>
      <c r="BO439" s="44"/>
      <c r="BP439" s="44"/>
      <c r="BQ439" s="44"/>
      <c r="BR439" s="44"/>
      <c r="BS439" s="42"/>
      <c r="BT439" s="42"/>
      <c r="BU439" s="42"/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4"/>
      <c r="CU439" s="44"/>
      <c r="CV439" s="44">
        <f t="shared" si="1852"/>
        <v>0</v>
      </c>
      <c r="CW439" s="44"/>
      <c r="CX439" s="44"/>
      <c r="CY439" s="44"/>
      <c r="CZ439" s="45"/>
      <c r="DA439" s="44">
        <f t="shared" si="1853"/>
        <v>0</v>
      </c>
      <c r="DB439" s="44">
        <f t="shared" si="1854"/>
        <v>0</v>
      </c>
      <c r="DC439" s="44">
        <f t="shared" si="1855"/>
        <v>0</v>
      </c>
      <c r="DD439" s="44">
        <f t="shared" si="1856"/>
        <v>0</v>
      </c>
      <c r="DE439" s="44">
        <f t="shared" si="1857"/>
        <v>0</v>
      </c>
      <c r="DF439" s="44">
        <f t="shared" si="1858"/>
        <v>0</v>
      </c>
      <c r="DG439" s="44">
        <f t="shared" si="1859"/>
        <v>0</v>
      </c>
      <c r="DH439" s="44">
        <f t="shared" si="1860"/>
        <v>0</v>
      </c>
      <c r="DI439" s="44">
        <f t="shared" si="1861"/>
        <v>0</v>
      </c>
    </row>
    <row r="440" spans="1:113" ht="12" hidden="1" outlineLevel="1" collapsed="1">
      <c r="A440" s="1" t="s">
        <v>675</v>
      </c>
      <c r="B440" s="19" t="s">
        <v>449</v>
      </c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4">
        <f t="shared" ref="AP440:AR440" si="1891">AP441-SUM(AP432:AP434,AP435:AP439)</f>
        <v>-14.2</v>
      </c>
      <c r="AQ440" s="44">
        <f t="shared" si="1891"/>
        <v>-19.999999999999996</v>
      </c>
      <c r="AR440" s="44">
        <f t="shared" si="1891"/>
        <v>-22.9</v>
      </c>
      <c r="AS440" s="44">
        <f t="shared" ref="AS440:AT440" si="1892">AS441-SUM(AS432:AS434,AS435:AS439)</f>
        <v>-26.1</v>
      </c>
      <c r="AT440" s="44">
        <f t="shared" si="1892"/>
        <v>-31.600000000000009</v>
      </c>
      <c r="AU440" s="44">
        <f t="shared" ref="AU440:AV440" si="1893">AU441-SUM(AU432:AU434,AU435:AU439)</f>
        <v>-35.299999999999997</v>
      </c>
      <c r="AV440" s="44">
        <f t="shared" si="1893"/>
        <v>-36.700000000000003</v>
      </c>
      <c r="AW440" s="44">
        <f t="shared" ref="AW440:AX440" si="1894">AW441-SUM(AW432:AW434,AW435:AW439)</f>
        <v>-44.3</v>
      </c>
      <c r="AX440" s="44">
        <f t="shared" si="1894"/>
        <v>-38.900000000000006</v>
      </c>
      <c r="AY440" s="44">
        <f t="shared" ref="AY440:AZ440" si="1895">AY441-SUM(AY432:AY434,AY435:AY439)</f>
        <v>-38.400000000000006</v>
      </c>
      <c r="AZ440" s="45">
        <f t="shared" si="1895"/>
        <v>-40.099999999999994</v>
      </c>
      <c r="BA440" s="44">
        <f t="shared" ref="BA440:BQ440" si="1896">BA441-SUM(BA432:BA435)</f>
        <v>-41.042269174814848</v>
      </c>
      <c r="BB440" s="44">
        <f t="shared" si="1896"/>
        <v>-43.09584139340636</v>
      </c>
      <c r="BC440" s="44">
        <f t="shared" si="1896"/>
        <v>-43.307962102140166</v>
      </c>
      <c r="BD440" s="44">
        <f t="shared" si="1896"/>
        <v>-45.192424232375259</v>
      </c>
      <c r="BE440" s="44">
        <f t="shared" si="1896"/>
        <v>-45.250684420677018</v>
      </c>
      <c r="BF440" s="44">
        <f t="shared" si="1896"/>
        <v>-46.989777147553141</v>
      </c>
      <c r="BG440" s="44">
        <f t="shared" si="1896"/>
        <v>-46.9838443962893</v>
      </c>
      <c r="BH440" s="44">
        <f t="shared" si="1896"/>
        <v>-48.685812635656518</v>
      </c>
      <c r="BI440" s="44">
        <f t="shared" si="1896"/>
        <v>-48.609600953789624</v>
      </c>
      <c r="BJ440" s="44">
        <f t="shared" si="1896"/>
        <v>-50.308267199037786</v>
      </c>
      <c r="BK440" s="44">
        <f t="shared" si="1896"/>
        <v>-50.177832147316195</v>
      </c>
      <c r="BL440" s="44">
        <f t="shared" si="1896"/>
        <v>-51.901391675499212</v>
      </c>
      <c r="BM440" s="44">
        <f t="shared" si="1896"/>
        <v>-51.703061859110974</v>
      </c>
      <c r="BN440" s="44">
        <f t="shared" si="1896"/>
        <v>-53.454280239168867</v>
      </c>
      <c r="BO440" s="44">
        <f t="shared" si="1896"/>
        <v>-53.259251352929596</v>
      </c>
      <c r="BP440" s="44">
        <f t="shared" si="1896"/>
        <v>-55.029365873869779</v>
      </c>
      <c r="BQ440" s="44">
        <f t="shared" si="1896"/>
        <v>-54.814367583941561</v>
      </c>
      <c r="BR440" s="44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4">
        <f t="shared" ref="CT440:CU440" si="1897">CT441-SUM(CT432:CT434,CT435:CT439)</f>
        <v>-14.625</v>
      </c>
      <c r="CU440" s="44">
        <f t="shared" si="1897"/>
        <v>-20.792000000000002</v>
      </c>
      <c r="CV440" s="44">
        <f t="shared" si="1852"/>
        <v>-34.199999999999996</v>
      </c>
      <c r="CW440" s="44">
        <f t="shared" ref="CW440:CW450" si="1898">SUM(AR440:AS440)</f>
        <v>-49</v>
      </c>
      <c r="CX440" s="44">
        <f t="shared" ref="CX440:CX450" si="1899">SUM(AT440:AU440)</f>
        <v>-66.900000000000006</v>
      </c>
      <c r="CY440" s="44">
        <f t="shared" ref="CY440:CY450" si="1900">SUM(AV440:AW440)</f>
        <v>-81</v>
      </c>
      <c r="CZ440" s="45">
        <f t="shared" ref="CZ440:CZ450" si="1901">SUM(AX440:AY440)</f>
        <v>-77.300000000000011</v>
      </c>
      <c r="DA440" s="44">
        <f t="shared" si="1853"/>
        <v>-81.142269174814842</v>
      </c>
      <c r="DB440" s="44">
        <f t="shared" si="1854"/>
        <v>-86.403803495546526</v>
      </c>
      <c r="DC440" s="44">
        <f t="shared" si="1855"/>
        <v>-90.443108653052278</v>
      </c>
      <c r="DD440" s="44">
        <f t="shared" si="1856"/>
        <v>-93.973621543842441</v>
      </c>
      <c r="DE440" s="44">
        <f t="shared" si="1857"/>
        <v>-97.295413589446142</v>
      </c>
      <c r="DF440" s="44">
        <f t="shared" si="1858"/>
        <v>-100.48609934635398</v>
      </c>
      <c r="DG440" s="44">
        <f t="shared" si="1859"/>
        <v>-103.60445353461019</v>
      </c>
      <c r="DH440" s="44">
        <f t="shared" si="1860"/>
        <v>-106.71353159209846</v>
      </c>
      <c r="DI440" s="44">
        <f t="shared" si="1861"/>
        <v>-109.84373345781134</v>
      </c>
    </row>
    <row r="441" spans="1:113" s="24" customFormat="1" ht="12" hidden="1" outlineLevel="1">
      <c r="A441" s="1" t="s">
        <v>85</v>
      </c>
      <c r="B441" s="24" t="s">
        <v>373</v>
      </c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  <c r="AJ441" s="55"/>
      <c r="AK441" s="55"/>
      <c r="AL441" s="55"/>
      <c r="AM441" s="55"/>
      <c r="AN441" s="55"/>
      <c r="AO441" s="55"/>
      <c r="AP441" s="526">
        <f t="shared" ref="AP441:AR441" si="1902">AP443-AP442</f>
        <v>-37.799999999999997</v>
      </c>
      <c r="AQ441" s="526">
        <f t="shared" si="1902"/>
        <v>-49.3</v>
      </c>
      <c r="AR441" s="526">
        <f t="shared" si="1902"/>
        <v>-61.3</v>
      </c>
      <c r="AS441" s="526">
        <f t="shared" ref="AS441:AT441" si="1903">AS443-AS442</f>
        <v>-70.7</v>
      </c>
      <c r="AT441" s="526">
        <f t="shared" si="1903"/>
        <v>-89.7</v>
      </c>
      <c r="AU441" s="526">
        <f t="shared" ref="AU441:AV441" si="1904">AU443-AU442</f>
        <v>-101.2</v>
      </c>
      <c r="AV441" s="526">
        <f t="shared" si="1904"/>
        <v>-105.8</v>
      </c>
      <c r="AW441" s="526">
        <f t="shared" ref="AW441:AX441" si="1905">AW443-AW442</f>
        <v>-116.5</v>
      </c>
      <c r="AX441" s="526">
        <f t="shared" si="1905"/>
        <v>-115.4</v>
      </c>
      <c r="AY441" s="526">
        <f t="shared" ref="AY441:AZ441" si="1906">AY443-AY442</f>
        <v>-106.4</v>
      </c>
      <c r="AZ441" s="524">
        <f t="shared" si="1906"/>
        <v>-119.1</v>
      </c>
      <c r="BA441" s="526">
        <f t="shared" ref="BA441:BQ441" si="1907">BA443-BA442</f>
        <v>-122.07899426068228</v>
      </c>
      <c r="BB441" s="526">
        <f t="shared" si="1907"/>
        <v>-129.31413078883736</v>
      </c>
      <c r="BC441" s="526">
        <f t="shared" si="1907"/>
        <v>-131.71622411780265</v>
      </c>
      <c r="BD441" s="526">
        <f t="shared" si="1907"/>
        <v>-138.37113656059265</v>
      </c>
      <c r="BE441" s="526">
        <f t="shared" si="1907"/>
        <v>-140.87298788414614</v>
      </c>
      <c r="BF441" s="526">
        <f t="shared" si="1907"/>
        <v>-147.79113996294194</v>
      </c>
      <c r="BG441" s="526">
        <f t="shared" si="1907"/>
        <v>-149.86301919956063</v>
      </c>
      <c r="BH441" s="526">
        <f t="shared" si="1907"/>
        <v>-157.42323996661105</v>
      </c>
      <c r="BI441" s="526">
        <f t="shared" si="1907"/>
        <v>-159.55565276675736</v>
      </c>
      <c r="BJ441" s="526">
        <f t="shared" si="1907"/>
        <v>-167.52695997404243</v>
      </c>
      <c r="BK441" s="526">
        <f t="shared" si="1907"/>
        <v>-169.20790956410244</v>
      </c>
      <c r="BL441" s="526">
        <f t="shared" si="1907"/>
        <v>-176.73350295442191</v>
      </c>
      <c r="BM441" s="526">
        <f t="shared" si="1907"/>
        <v>-178.59660647960956</v>
      </c>
      <c r="BN441" s="526">
        <f t="shared" si="1907"/>
        <v>-185.94225120182344</v>
      </c>
      <c r="BO441" s="526">
        <f t="shared" si="1907"/>
        <v>-187.1789075851226</v>
      </c>
      <c r="BP441" s="526">
        <f t="shared" si="1907"/>
        <v>-195.78543307840869</v>
      </c>
      <c r="BQ441" s="526">
        <f t="shared" si="1907"/>
        <v>-197.62446556931926</v>
      </c>
      <c r="BR441" s="526"/>
      <c r="BS441" s="55"/>
      <c r="BT441" s="55"/>
      <c r="BU441" s="55"/>
      <c r="BV441" s="55"/>
      <c r="BW441" s="55"/>
      <c r="BX441" s="55"/>
      <c r="BY441" s="55"/>
      <c r="BZ441" s="55"/>
      <c r="CA441" s="55"/>
      <c r="CB441" s="55"/>
      <c r="CC441" s="55"/>
      <c r="CD441" s="55"/>
      <c r="CE441" s="55"/>
      <c r="CF441" s="55"/>
      <c r="CG441" s="55"/>
      <c r="CH441" s="55"/>
      <c r="CI441" s="55"/>
      <c r="CJ441" s="55"/>
      <c r="CK441" s="55"/>
      <c r="CL441" s="55"/>
      <c r="CM441" s="55"/>
      <c r="CN441" s="55"/>
      <c r="CO441" s="55"/>
      <c r="CP441" s="55"/>
      <c r="CQ441" s="55"/>
      <c r="CR441" s="55"/>
      <c r="CS441" s="55"/>
      <c r="CT441" s="526">
        <f t="shared" ref="CT441:CU441" si="1908">CT443-CT442</f>
        <v>-31.553999999999998</v>
      </c>
      <c r="CU441" s="526">
        <f t="shared" si="1908"/>
        <v>-59.744</v>
      </c>
      <c r="CV441" s="526">
        <f t="shared" si="1852"/>
        <v>-87.1</v>
      </c>
      <c r="CW441" s="526">
        <f t="shared" si="1898"/>
        <v>-132</v>
      </c>
      <c r="CX441" s="526">
        <f t="shared" si="1899"/>
        <v>-190.9</v>
      </c>
      <c r="CY441" s="526">
        <f t="shared" si="1900"/>
        <v>-222.3</v>
      </c>
      <c r="CZ441" s="524">
        <f t="shared" si="1901"/>
        <v>-221.8</v>
      </c>
      <c r="DA441" s="526">
        <f t="shared" si="1853"/>
        <v>-241.17899426068226</v>
      </c>
      <c r="DB441" s="526">
        <f t="shared" si="1854"/>
        <v>-261.03035490664001</v>
      </c>
      <c r="DC441" s="526">
        <f t="shared" si="1855"/>
        <v>-279.24412444473876</v>
      </c>
      <c r="DD441" s="526">
        <f t="shared" si="1856"/>
        <v>-297.65415916250254</v>
      </c>
      <c r="DE441" s="526">
        <f t="shared" si="1857"/>
        <v>-316.97889273336841</v>
      </c>
      <c r="DF441" s="526">
        <f t="shared" si="1858"/>
        <v>-336.73486953814484</v>
      </c>
      <c r="DG441" s="526">
        <f t="shared" si="1859"/>
        <v>-355.33010943403144</v>
      </c>
      <c r="DH441" s="526">
        <f t="shared" si="1860"/>
        <v>-373.12115878694601</v>
      </c>
      <c r="DI441" s="526">
        <f t="shared" si="1861"/>
        <v>-393.40989864772791</v>
      </c>
    </row>
    <row r="442" spans="1:113" ht="12" hidden="1" outlineLevel="1">
      <c r="A442" s="1" t="s">
        <v>0</v>
      </c>
      <c r="B442" s="19" t="s">
        <v>374</v>
      </c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525">
        <v>0</v>
      </c>
      <c r="AQ442" s="525">
        <v>0</v>
      </c>
      <c r="AR442" s="525">
        <v>0</v>
      </c>
      <c r="AS442" s="525">
        <v>0</v>
      </c>
      <c r="AT442" s="525">
        <v>0</v>
      </c>
      <c r="AU442" s="525">
        <v>0</v>
      </c>
      <c r="AV442" s="525">
        <v>0</v>
      </c>
      <c r="AW442" s="525">
        <v>0</v>
      </c>
      <c r="AX442" s="525">
        <v>0</v>
      </c>
      <c r="AY442" s="525">
        <v>0</v>
      </c>
      <c r="AZ442" s="523">
        <v>0</v>
      </c>
      <c r="BA442" s="677">
        <f>[3]JDO!N$140</f>
        <v>0</v>
      </c>
      <c r="BB442" s="677">
        <f>[3]JDO!O$140</f>
        <v>0</v>
      </c>
      <c r="BC442" s="677">
        <f>[3]JDO!P$140</f>
        <v>0</v>
      </c>
      <c r="BD442" s="677">
        <f>[3]JDO!Q$140</f>
        <v>0</v>
      </c>
      <c r="BE442" s="677">
        <f>[3]JDO!R$140</f>
        <v>0</v>
      </c>
      <c r="BF442" s="677">
        <f>[3]JDO!S$140</f>
        <v>0</v>
      </c>
      <c r="BG442" s="677">
        <f>[3]JDO!T$140</f>
        <v>0</v>
      </c>
      <c r="BH442" s="677">
        <f>[3]JDO!U$140</f>
        <v>0</v>
      </c>
      <c r="BI442" s="677">
        <f>[3]JDO!V$140</f>
        <v>0</v>
      </c>
      <c r="BJ442" s="677">
        <f>[3]JDO!W$140</f>
        <v>0</v>
      </c>
      <c r="BK442" s="677">
        <f>[3]JDO!X$140</f>
        <v>0</v>
      </c>
      <c r="BL442" s="677">
        <f>[3]JDO!Y$140</f>
        <v>0</v>
      </c>
      <c r="BM442" s="677">
        <f>[3]JDO!Z$140</f>
        <v>0</v>
      </c>
      <c r="BN442" s="677">
        <f>[3]JDO!AA$140</f>
        <v>0</v>
      </c>
      <c r="BO442" s="677">
        <f>[3]JDO!AB$140</f>
        <v>0</v>
      </c>
      <c r="BP442" s="677">
        <f>[3]JDO!AC$140</f>
        <v>0</v>
      </c>
      <c r="BQ442" s="677">
        <f>[3]JDO!AD$140</f>
        <v>0</v>
      </c>
      <c r="BR442" s="44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525">
        <v>0</v>
      </c>
      <c r="CU442" s="525">
        <v>0</v>
      </c>
      <c r="CV442" s="44">
        <f t="shared" si="1852"/>
        <v>0</v>
      </c>
      <c r="CW442" s="44">
        <f t="shared" si="1898"/>
        <v>0</v>
      </c>
      <c r="CX442" s="44">
        <f t="shared" si="1899"/>
        <v>0</v>
      </c>
      <c r="CY442" s="44">
        <f t="shared" si="1900"/>
        <v>0</v>
      </c>
      <c r="CZ442" s="45">
        <f t="shared" si="1901"/>
        <v>0</v>
      </c>
      <c r="DA442" s="44">
        <f t="shared" si="1853"/>
        <v>0</v>
      </c>
      <c r="DB442" s="44">
        <f t="shared" si="1854"/>
        <v>0</v>
      </c>
      <c r="DC442" s="44">
        <f t="shared" si="1855"/>
        <v>0</v>
      </c>
      <c r="DD442" s="44">
        <f t="shared" si="1856"/>
        <v>0</v>
      </c>
      <c r="DE442" s="44">
        <f t="shared" si="1857"/>
        <v>0</v>
      </c>
      <c r="DF442" s="44">
        <f t="shared" si="1858"/>
        <v>0</v>
      </c>
      <c r="DG442" s="44">
        <f t="shared" si="1859"/>
        <v>0</v>
      </c>
      <c r="DH442" s="44">
        <f t="shared" si="1860"/>
        <v>0</v>
      </c>
      <c r="DI442" s="44">
        <f t="shared" si="1861"/>
        <v>0</v>
      </c>
    </row>
    <row r="443" spans="1:113" s="24" customFormat="1" ht="12" hidden="1" outlineLevel="1">
      <c r="A443" s="1" t="s">
        <v>1</v>
      </c>
      <c r="B443" s="24" t="s">
        <v>166</v>
      </c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  <c r="AJ443" s="55"/>
      <c r="AK443" s="55"/>
      <c r="AL443" s="55"/>
      <c r="AM443" s="55"/>
      <c r="AN443" s="55"/>
      <c r="AO443" s="55"/>
      <c r="AP443" s="526">
        <f t="shared" ref="AP443:AR443" si="1909">AP449-SUM(AP444:AP448)</f>
        <v>-37.799999999999997</v>
      </c>
      <c r="AQ443" s="526">
        <f t="shared" si="1909"/>
        <v>-49.3</v>
      </c>
      <c r="AR443" s="526">
        <f t="shared" si="1909"/>
        <v>-61.3</v>
      </c>
      <c r="AS443" s="526">
        <f t="shared" ref="AS443:AT443" si="1910">AS449-SUM(AS444:AS448)</f>
        <v>-70.7</v>
      </c>
      <c r="AT443" s="526">
        <f t="shared" si="1910"/>
        <v>-89.7</v>
      </c>
      <c r="AU443" s="526">
        <f t="shared" ref="AU443:AV443" si="1911">AU449-SUM(AU444:AU448)</f>
        <v>-101.2</v>
      </c>
      <c r="AV443" s="526">
        <f t="shared" si="1911"/>
        <v>-105.8</v>
      </c>
      <c r="AW443" s="526">
        <f t="shared" ref="AW443:AX443" si="1912">AW449-SUM(AW444:AW448)</f>
        <v>-116.5</v>
      </c>
      <c r="AX443" s="526">
        <f t="shared" si="1912"/>
        <v>-115.4</v>
      </c>
      <c r="AY443" s="526">
        <f t="shared" ref="AY443:AZ443" si="1913">AY449-SUM(AY444:AY448)</f>
        <v>-106.4</v>
      </c>
      <c r="AZ443" s="524">
        <f t="shared" si="1913"/>
        <v>-119.1</v>
      </c>
      <c r="BA443" s="526">
        <f t="shared" ref="BA443:BQ443" si="1914">BA449-SUM(BA444:BA448)</f>
        <v>-122.07899426068228</v>
      </c>
      <c r="BB443" s="526">
        <f t="shared" si="1914"/>
        <v>-129.31413078883736</v>
      </c>
      <c r="BC443" s="526">
        <f t="shared" si="1914"/>
        <v>-131.71622411780265</v>
      </c>
      <c r="BD443" s="526">
        <f t="shared" si="1914"/>
        <v>-138.37113656059265</v>
      </c>
      <c r="BE443" s="526">
        <f t="shared" si="1914"/>
        <v>-140.87298788414614</v>
      </c>
      <c r="BF443" s="526">
        <f t="shared" si="1914"/>
        <v>-147.79113996294194</v>
      </c>
      <c r="BG443" s="526">
        <f t="shared" si="1914"/>
        <v>-149.86301919956063</v>
      </c>
      <c r="BH443" s="526">
        <f t="shared" si="1914"/>
        <v>-157.42323996661105</v>
      </c>
      <c r="BI443" s="526">
        <f t="shared" si="1914"/>
        <v>-159.55565276675736</v>
      </c>
      <c r="BJ443" s="526">
        <f t="shared" si="1914"/>
        <v>-167.52695997404243</v>
      </c>
      <c r="BK443" s="526">
        <f t="shared" si="1914"/>
        <v>-169.20790956410244</v>
      </c>
      <c r="BL443" s="526">
        <f t="shared" si="1914"/>
        <v>-176.73350295442191</v>
      </c>
      <c r="BM443" s="526">
        <f t="shared" si="1914"/>
        <v>-178.59660647960956</v>
      </c>
      <c r="BN443" s="526">
        <f t="shared" si="1914"/>
        <v>-185.94225120182344</v>
      </c>
      <c r="BO443" s="526">
        <f t="shared" si="1914"/>
        <v>-187.1789075851226</v>
      </c>
      <c r="BP443" s="526">
        <f t="shared" si="1914"/>
        <v>-195.78543307840869</v>
      </c>
      <c r="BQ443" s="526">
        <f t="shared" si="1914"/>
        <v>-197.62446556931926</v>
      </c>
      <c r="BR443" s="526"/>
      <c r="BS443" s="55"/>
      <c r="BT443" s="55"/>
      <c r="BU443" s="55"/>
      <c r="BV443" s="55"/>
      <c r="BW443" s="55"/>
      <c r="BX443" s="55"/>
      <c r="BY443" s="55"/>
      <c r="BZ443" s="55"/>
      <c r="CA443" s="55"/>
      <c r="CB443" s="55"/>
      <c r="CC443" s="55"/>
      <c r="CD443" s="55"/>
      <c r="CE443" s="55"/>
      <c r="CF443" s="55"/>
      <c r="CG443" s="55"/>
      <c r="CH443" s="55"/>
      <c r="CI443" s="55"/>
      <c r="CJ443" s="55"/>
      <c r="CK443" s="55"/>
      <c r="CL443" s="55"/>
      <c r="CM443" s="55"/>
      <c r="CN443" s="55"/>
      <c r="CO443" s="55"/>
      <c r="CP443" s="55"/>
      <c r="CQ443" s="55"/>
      <c r="CR443" s="55"/>
      <c r="CS443" s="55"/>
      <c r="CT443" s="526">
        <f t="shared" ref="CT443:CU443" si="1915">CT449-SUM(CT444:CT448)</f>
        <v>-31.553999999999998</v>
      </c>
      <c r="CU443" s="526">
        <f t="shared" si="1915"/>
        <v>-59.744</v>
      </c>
      <c r="CV443" s="526">
        <f t="shared" si="1852"/>
        <v>-87.1</v>
      </c>
      <c r="CW443" s="526">
        <f t="shared" si="1898"/>
        <v>-132</v>
      </c>
      <c r="CX443" s="526">
        <f t="shared" si="1899"/>
        <v>-190.9</v>
      </c>
      <c r="CY443" s="526">
        <f t="shared" si="1900"/>
        <v>-222.3</v>
      </c>
      <c r="CZ443" s="524">
        <f t="shared" si="1901"/>
        <v>-221.8</v>
      </c>
      <c r="DA443" s="526">
        <f t="shared" si="1853"/>
        <v>-241.17899426068226</v>
      </c>
      <c r="DB443" s="526">
        <f t="shared" si="1854"/>
        <v>-261.03035490664001</v>
      </c>
      <c r="DC443" s="526">
        <f t="shared" si="1855"/>
        <v>-279.24412444473876</v>
      </c>
      <c r="DD443" s="526">
        <f t="shared" si="1856"/>
        <v>-297.65415916250254</v>
      </c>
      <c r="DE443" s="526">
        <f t="shared" si="1857"/>
        <v>-316.97889273336841</v>
      </c>
      <c r="DF443" s="526">
        <f t="shared" si="1858"/>
        <v>-336.73486953814484</v>
      </c>
      <c r="DG443" s="526">
        <f t="shared" si="1859"/>
        <v>-355.33010943403144</v>
      </c>
      <c r="DH443" s="526">
        <f t="shared" si="1860"/>
        <v>-373.12115878694601</v>
      </c>
      <c r="DI443" s="526">
        <f t="shared" si="1861"/>
        <v>-393.40989864772791</v>
      </c>
    </row>
    <row r="444" spans="1:113" ht="12" hidden="1" customHeight="1" outlineLevel="2">
      <c r="A444" s="1" t="s">
        <v>2</v>
      </c>
      <c r="B444" s="19" t="s">
        <v>854</v>
      </c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4">
        <f t="shared" ref="AP444:AR444" si="1916">-AP383</f>
        <v>0</v>
      </c>
      <c r="AQ444" s="44">
        <f t="shared" si="1916"/>
        <v>0</v>
      </c>
      <c r="AR444" s="44">
        <f t="shared" si="1916"/>
        <v>0</v>
      </c>
      <c r="AS444" s="44">
        <f t="shared" ref="AS444:AT444" si="1917">-AS383</f>
        <v>0</v>
      </c>
      <c r="AT444" s="44">
        <f t="shared" si="1917"/>
        <v>0</v>
      </c>
      <c r="AU444" s="44">
        <f t="shared" ref="AU444:AV444" si="1918">-AU383</f>
        <v>0</v>
      </c>
      <c r="AV444" s="44">
        <f t="shared" si="1918"/>
        <v>0</v>
      </c>
      <c r="AW444" s="44">
        <f t="shared" ref="AW444:AX444" si="1919">-AW383</f>
        <v>0</v>
      </c>
      <c r="AX444" s="44">
        <f t="shared" si="1919"/>
        <v>0</v>
      </c>
      <c r="AY444" s="44">
        <f t="shared" ref="AY444:AZ444" si="1920">-AY383</f>
        <v>0</v>
      </c>
      <c r="AZ444" s="45">
        <f t="shared" si="1920"/>
        <v>0</v>
      </c>
      <c r="BA444" s="44">
        <f t="shared" ref="BA444:BI444" si="1921">-BA383</f>
        <v>0</v>
      </c>
      <c r="BB444" s="44">
        <f t="shared" si="1921"/>
        <v>0</v>
      </c>
      <c r="BC444" s="44">
        <f t="shared" si="1921"/>
        <v>0</v>
      </c>
      <c r="BD444" s="44">
        <f t="shared" si="1921"/>
        <v>0</v>
      </c>
      <c r="BE444" s="44">
        <f t="shared" si="1921"/>
        <v>0</v>
      </c>
      <c r="BF444" s="44">
        <f t="shared" si="1921"/>
        <v>0</v>
      </c>
      <c r="BG444" s="44">
        <f t="shared" si="1921"/>
        <v>0</v>
      </c>
      <c r="BH444" s="44">
        <f t="shared" si="1921"/>
        <v>0</v>
      </c>
      <c r="BI444" s="44">
        <f t="shared" si="1921"/>
        <v>0</v>
      </c>
      <c r="BJ444" s="44">
        <f t="shared" ref="BJ444:BK444" si="1922">-BJ383</f>
        <v>0</v>
      </c>
      <c r="BK444" s="44">
        <f t="shared" si="1922"/>
        <v>0</v>
      </c>
      <c r="BL444" s="44">
        <f t="shared" ref="BL444:BM444" si="1923">-BL383</f>
        <v>0</v>
      </c>
      <c r="BM444" s="44">
        <f t="shared" si="1923"/>
        <v>0</v>
      </c>
      <c r="BN444" s="44">
        <f t="shared" ref="BN444:BO444" si="1924">-BN383</f>
        <v>0</v>
      </c>
      <c r="BO444" s="44">
        <f t="shared" si="1924"/>
        <v>0</v>
      </c>
      <c r="BP444" s="44">
        <f t="shared" ref="BP444:BQ444" si="1925">-BP383</f>
        <v>0</v>
      </c>
      <c r="BQ444" s="44">
        <f t="shared" si="1925"/>
        <v>0</v>
      </c>
      <c r="BR444" s="44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4">
        <f t="shared" ref="CT444:CU444" si="1926">-CT383</f>
        <v>0</v>
      </c>
      <c r="CU444" s="44">
        <f t="shared" si="1926"/>
        <v>0</v>
      </c>
      <c r="CV444" s="44">
        <f t="shared" si="1852"/>
        <v>0</v>
      </c>
      <c r="CW444" s="44">
        <f t="shared" si="1898"/>
        <v>0</v>
      </c>
      <c r="CX444" s="44">
        <f t="shared" si="1899"/>
        <v>0</v>
      </c>
      <c r="CY444" s="44">
        <f t="shared" si="1900"/>
        <v>0</v>
      </c>
      <c r="CZ444" s="45">
        <f t="shared" si="1901"/>
        <v>0</v>
      </c>
      <c r="DA444" s="44">
        <f t="shared" si="1853"/>
        <v>0</v>
      </c>
      <c r="DB444" s="44">
        <f t="shared" si="1854"/>
        <v>0</v>
      </c>
      <c r="DC444" s="44">
        <f t="shared" si="1855"/>
        <v>0</v>
      </c>
      <c r="DD444" s="44">
        <f t="shared" si="1856"/>
        <v>0</v>
      </c>
      <c r="DE444" s="44">
        <f t="shared" si="1857"/>
        <v>0</v>
      </c>
      <c r="DF444" s="44">
        <f t="shared" si="1858"/>
        <v>0</v>
      </c>
      <c r="DG444" s="44">
        <f t="shared" si="1859"/>
        <v>0</v>
      </c>
      <c r="DH444" s="44">
        <f t="shared" si="1860"/>
        <v>0</v>
      </c>
      <c r="DI444" s="44">
        <f t="shared" si="1861"/>
        <v>0</v>
      </c>
    </row>
    <row r="445" spans="1:113" ht="12" hidden="1" customHeight="1" outlineLevel="2">
      <c r="A445" s="1" t="s">
        <v>676</v>
      </c>
      <c r="B445" s="19" t="s">
        <v>444</v>
      </c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4">
        <f t="shared" ref="AP445:AR445" si="1927">-AP410</f>
        <v>0</v>
      </c>
      <c r="AQ445" s="44">
        <f t="shared" si="1927"/>
        <v>0</v>
      </c>
      <c r="AR445" s="44">
        <f t="shared" si="1927"/>
        <v>0</v>
      </c>
      <c r="AS445" s="44">
        <f t="shared" ref="AS445:AT445" si="1928">-AS410</f>
        <v>0</v>
      </c>
      <c r="AT445" s="44">
        <f t="shared" si="1928"/>
        <v>0</v>
      </c>
      <c r="AU445" s="44">
        <f t="shared" ref="AU445:AV445" si="1929">-AU410</f>
        <v>0</v>
      </c>
      <c r="AV445" s="44">
        <f t="shared" si="1929"/>
        <v>0</v>
      </c>
      <c r="AW445" s="44">
        <f t="shared" ref="AW445:AX445" si="1930">-AW410</f>
        <v>0</v>
      </c>
      <c r="AX445" s="44">
        <f t="shared" si="1930"/>
        <v>0</v>
      </c>
      <c r="AY445" s="44">
        <f t="shared" ref="AY445:AZ445" si="1931">-AY410</f>
        <v>0</v>
      </c>
      <c r="AZ445" s="45">
        <f t="shared" si="1931"/>
        <v>0</v>
      </c>
      <c r="BA445" s="44">
        <f t="shared" ref="BA445:BI445" si="1932">-BA410</f>
        <v>0</v>
      </c>
      <c r="BB445" s="44">
        <f t="shared" si="1932"/>
        <v>0</v>
      </c>
      <c r="BC445" s="44">
        <f t="shared" si="1932"/>
        <v>0</v>
      </c>
      <c r="BD445" s="44">
        <f t="shared" si="1932"/>
        <v>0</v>
      </c>
      <c r="BE445" s="44">
        <f t="shared" si="1932"/>
        <v>0</v>
      </c>
      <c r="BF445" s="44">
        <f t="shared" si="1932"/>
        <v>0</v>
      </c>
      <c r="BG445" s="44">
        <f t="shared" si="1932"/>
        <v>0</v>
      </c>
      <c r="BH445" s="44">
        <f t="shared" si="1932"/>
        <v>0</v>
      </c>
      <c r="BI445" s="44">
        <f t="shared" si="1932"/>
        <v>0</v>
      </c>
      <c r="BJ445" s="44">
        <f t="shared" ref="BJ445:BK445" si="1933">-BJ410</f>
        <v>0</v>
      </c>
      <c r="BK445" s="44">
        <f t="shared" si="1933"/>
        <v>0</v>
      </c>
      <c r="BL445" s="44">
        <f t="shared" ref="BL445:BM445" si="1934">-BL410</f>
        <v>0</v>
      </c>
      <c r="BM445" s="44">
        <f t="shared" si="1934"/>
        <v>0</v>
      </c>
      <c r="BN445" s="44">
        <f t="shared" ref="BN445:BO445" si="1935">-BN410</f>
        <v>0</v>
      </c>
      <c r="BO445" s="44">
        <f t="shared" si="1935"/>
        <v>0</v>
      </c>
      <c r="BP445" s="44">
        <f t="shared" ref="BP445:BQ445" si="1936">-BP410</f>
        <v>0</v>
      </c>
      <c r="BQ445" s="44">
        <f t="shared" si="1936"/>
        <v>0</v>
      </c>
      <c r="BR445" s="44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4">
        <f t="shared" ref="CT445:CU445" si="1937">-CT410</f>
        <v>0</v>
      </c>
      <c r="CU445" s="44">
        <f t="shared" si="1937"/>
        <v>0</v>
      </c>
      <c r="CV445" s="44">
        <f t="shared" si="1852"/>
        <v>0</v>
      </c>
      <c r="CW445" s="44">
        <f t="shared" si="1898"/>
        <v>0</v>
      </c>
      <c r="CX445" s="44">
        <f t="shared" si="1899"/>
        <v>0</v>
      </c>
      <c r="CY445" s="44">
        <f t="shared" si="1900"/>
        <v>0</v>
      </c>
      <c r="CZ445" s="45">
        <f t="shared" si="1901"/>
        <v>0</v>
      </c>
      <c r="DA445" s="44">
        <f t="shared" si="1853"/>
        <v>0</v>
      </c>
      <c r="DB445" s="44">
        <f t="shared" si="1854"/>
        <v>0</v>
      </c>
      <c r="DC445" s="44">
        <f t="shared" si="1855"/>
        <v>0</v>
      </c>
      <c r="DD445" s="44">
        <f t="shared" si="1856"/>
        <v>0</v>
      </c>
      <c r="DE445" s="44">
        <f t="shared" si="1857"/>
        <v>0</v>
      </c>
      <c r="DF445" s="44">
        <f t="shared" si="1858"/>
        <v>0</v>
      </c>
      <c r="DG445" s="44">
        <f t="shared" si="1859"/>
        <v>0</v>
      </c>
      <c r="DH445" s="44">
        <f t="shared" si="1860"/>
        <v>0</v>
      </c>
      <c r="DI445" s="44">
        <f t="shared" si="1861"/>
        <v>0</v>
      </c>
    </row>
    <row r="446" spans="1:113" ht="12" hidden="1" customHeight="1" outlineLevel="2">
      <c r="A446" s="1" t="s">
        <v>3</v>
      </c>
      <c r="B446" s="19" t="s">
        <v>368</v>
      </c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525">
        <v>0</v>
      </c>
      <c r="AQ446" s="525">
        <v>0</v>
      </c>
      <c r="AR446" s="525">
        <v>0</v>
      </c>
      <c r="AS446" s="525">
        <v>0</v>
      </c>
      <c r="AT446" s="525">
        <v>0</v>
      </c>
      <c r="AU446" s="525">
        <v>0</v>
      </c>
      <c r="AV446" s="525">
        <v>0</v>
      </c>
      <c r="AW446" s="525">
        <v>0</v>
      </c>
      <c r="AX446" s="525">
        <v>0</v>
      </c>
      <c r="AY446" s="525">
        <v>0</v>
      </c>
      <c r="AZ446" s="523">
        <v>0</v>
      </c>
      <c r="BA446" s="46">
        <v>0</v>
      </c>
      <c r="BB446" s="46">
        <v>0</v>
      </c>
      <c r="BC446" s="46">
        <v>0</v>
      </c>
      <c r="BD446" s="46">
        <v>0</v>
      </c>
      <c r="BE446" s="46">
        <v>0</v>
      </c>
      <c r="BF446" s="46">
        <v>0</v>
      </c>
      <c r="BG446" s="46">
        <v>0</v>
      </c>
      <c r="BH446" s="46">
        <v>0</v>
      </c>
      <c r="BI446" s="46">
        <v>0</v>
      </c>
      <c r="BJ446" s="46">
        <v>0</v>
      </c>
      <c r="BK446" s="46">
        <v>0</v>
      </c>
      <c r="BL446" s="46">
        <v>0</v>
      </c>
      <c r="BM446" s="46">
        <v>0</v>
      </c>
      <c r="BN446" s="46">
        <v>0</v>
      </c>
      <c r="BO446" s="46">
        <v>0</v>
      </c>
      <c r="BP446" s="46">
        <v>0</v>
      </c>
      <c r="BQ446" s="46">
        <v>0</v>
      </c>
      <c r="BR446" s="44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525">
        <v>0</v>
      </c>
      <c r="CU446" s="525">
        <v>0</v>
      </c>
      <c r="CV446" s="44">
        <f t="shared" si="1852"/>
        <v>0</v>
      </c>
      <c r="CW446" s="44">
        <f t="shared" si="1898"/>
        <v>0</v>
      </c>
      <c r="CX446" s="44">
        <f t="shared" si="1899"/>
        <v>0</v>
      </c>
      <c r="CY446" s="44">
        <f t="shared" si="1900"/>
        <v>0</v>
      </c>
      <c r="CZ446" s="45">
        <f t="shared" si="1901"/>
        <v>0</v>
      </c>
      <c r="DA446" s="44">
        <f t="shared" si="1853"/>
        <v>0</v>
      </c>
      <c r="DB446" s="44">
        <f t="shared" si="1854"/>
        <v>0</v>
      </c>
      <c r="DC446" s="44">
        <f t="shared" si="1855"/>
        <v>0</v>
      </c>
      <c r="DD446" s="44">
        <f t="shared" si="1856"/>
        <v>0</v>
      </c>
      <c r="DE446" s="44">
        <f t="shared" si="1857"/>
        <v>0</v>
      </c>
      <c r="DF446" s="44">
        <f t="shared" si="1858"/>
        <v>0</v>
      </c>
      <c r="DG446" s="44">
        <f t="shared" si="1859"/>
        <v>0</v>
      </c>
      <c r="DH446" s="44">
        <f t="shared" si="1860"/>
        <v>0</v>
      </c>
      <c r="DI446" s="44">
        <f t="shared" si="1861"/>
        <v>0</v>
      </c>
    </row>
    <row r="447" spans="1:113" ht="12" hidden="1" customHeight="1" outlineLevel="2">
      <c r="A447" s="1" t="s">
        <v>4</v>
      </c>
      <c r="B447" s="19" t="s">
        <v>358</v>
      </c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525">
        <v>0</v>
      </c>
      <c r="AQ447" s="525">
        <v>0</v>
      </c>
      <c r="AR447" s="525">
        <v>0</v>
      </c>
      <c r="AS447" s="525">
        <v>0</v>
      </c>
      <c r="AT447" s="525">
        <v>0</v>
      </c>
      <c r="AU447" s="525">
        <v>0</v>
      </c>
      <c r="AV447" s="525">
        <v>0</v>
      </c>
      <c r="AW447" s="525">
        <v>0</v>
      </c>
      <c r="AX447" s="525">
        <v>0</v>
      </c>
      <c r="AY447" s="525">
        <v>0</v>
      </c>
      <c r="AZ447" s="523">
        <v>0</v>
      </c>
      <c r="BA447" s="46">
        <v>0</v>
      </c>
      <c r="BB447" s="46">
        <v>0</v>
      </c>
      <c r="BC447" s="46">
        <v>0</v>
      </c>
      <c r="BD447" s="46">
        <v>0</v>
      </c>
      <c r="BE447" s="46">
        <v>0</v>
      </c>
      <c r="BF447" s="46">
        <v>0</v>
      </c>
      <c r="BG447" s="46">
        <v>0</v>
      </c>
      <c r="BH447" s="46">
        <v>0</v>
      </c>
      <c r="BI447" s="46">
        <v>0</v>
      </c>
      <c r="BJ447" s="46">
        <v>0</v>
      </c>
      <c r="BK447" s="46">
        <v>0</v>
      </c>
      <c r="BL447" s="46">
        <v>0</v>
      </c>
      <c r="BM447" s="46">
        <v>0</v>
      </c>
      <c r="BN447" s="46">
        <v>0</v>
      </c>
      <c r="BO447" s="46">
        <v>0</v>
      </c>
      <c r="BP447" s="46">
        <v>0</v>
      </c>
      <c r="BQ447" s="46">
        <v>0</v>
      </c>
      <c r="BR447" s="44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525">
        <v>0</v>
      </c>
      <c r="CU447" s="525">
        <v>0</v>
      </c>
      <c r="CV447" s="44">
        <f t="shared" si="1852"/>
        <v>0</v>
      </c>
      <c r="CW447" s="44">
        <f t="shared" si="1898"/>
        <v>0</v>
      </c>
      <c r="CX447" s="44">
        <f t="shared" si="1899"/>
        <v>0</v>
      </c>
      <c r="CY447" s="44">
        <f t="shared" si="1900"/>
        <v>0</v>
      </c>
      <c r="CZ447" s="45">
        <f t="shared" si="1901"/>
        <v>0</v>
      </c>
      <c r="DA447" s="44">
        <f t="shared" si="1853"/>
        <v>0</v>
      </c>
      <c r="DB447" s="44">
        <f t="shared" si="1854"/>
        <v>0</v>
      </c>
      <c r="DC447" s="44">
        <f t="shared" si="1855"/>
        <v>0</v>
      </c>
      <c r="DD447" s="44">
        <f t="shared" si="1856"/>
        <v>0</v>
      </c>
      <c r="DE447" s="44">
        <f t="shared" si="1857"/>
        <v>0</v>
      </c>
      <c r="DF447" s="44">
        <f t="shared" si="1858"/>
        <v>0</v>
      </c>
      <c r="DG447" s="44">
        <f t="shared" si="1859"/>
        <v>0</v>
      </c>
      <c r="DH447" s="44">
        <f t="shared" si="1860"/>
        <v>0</v>
      </c>
      <c r="DI447" s="44">
        <f t="shared" si="1861"/>
        <v>0</v>
      </c>
    </row>
    <row r="448" spans="1:113" ht="12" hidden="1" customHeight="1" outlineLevel="2">
      <c r="A448" s="1" t="s">
        <v>5</v>
      </c>
      <c r="B448" s="19" t="s">
        <v>422</v>
      </c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525">
        <v>0</v>
      </c>
      <c r="AQ448" s="525">
        <v>0</v>
      </c>
      <c r="AR448" s="525">
        <v>0</v>
      </c>
      <c r="AS448" s="525">
        <v>0</v>
      </c>
      <c r="AT448" s="525">
        <v>0</v>
      </c>
      <c r="AU448" s="525">
        <v>0</v>
      </c>
      <c r="AV448" s="525">
        <v>0</v>
      </c>
      <c r="AW448" s="525">
        <v>5.8</v>
      </c>
      <c r="AX448" s="525">
        <v>0</v>
      </c>
      <c r="AY448" s="525">
        <v>0</v>
      </c>
      <c r="AZ448" s="523">
        <v>0</v>
      </c>
      <c r="BA448" s="46">
        <v>0</v>
      </c>
      <c r="BB448" s="46">
        <v>0</v>
      </c>
      <c r="BC448" s="46">
        <v>0</v>
      </c>
      <c r="BD448" s="46">
        <v>0</v>
      </c>
      <c r="BE448" s="46">
        <v>0</v>
      </c>
      <c r="BF448" s="46">
        <v>0</v>
      </c>
      <c r="BG448" s="46">
        <v>0</v>
      </c>
      <c r="BH448" s="46">
        <v>0</v>
      </c>
      <c r="BI448" s="46">
        <v>0</v>
      </c>
      <c r="BJ448" s="46">
        <v>0</v>
      </c>
      <c r="BK448" s="46">
        <v>0</v>
      </c>
      <c r="BL448" s="46">
        <v>0</v>
      </c>
      <c r="BM448" s="46">
        <v>0</v>
      </c>
      <c r="BN448" s="46">
        <v>0</v>
      </c>
      <c r="BO448" s="46">
        <v>0</v>
      </c>
      <c r="BP448" s="46">
        <v>0</v>
      </c>
      <c r="BQ448" s="46">
        <v>0</v>
      </c>
      <c r="BR448" s="44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525">
        <v>0</v>
      </c>
      <c r="CU448" s="525">
        <v>0</v>
      </c>
      <c r="CV448" s="44">
        <f t="shared" si="1852"/>
        <v>0</v>
      </c>
      <c r="CW448" s="44">
        <f t="shared" si="1898"/>
        <v>0</v>
      </c>
      <c r="CX448" s="44">
        <f t="shared" si="1899"/>
        <v>0</v>
      </c>
      <c r="CY448" s="44">
        <f t="shared" si="1900"/>
        <v>5.8</v>
      </c>
      <c r="CZ448" s="45">
        <f t="shared" si="1901"/>
        <v>0</v>
      </c>
      <c r="DA448" s="44">
        <f t="shared" si="1853"/>
        <v>0</v>
      </c>
      <c r="DB448" s="44">
        <f t="shared" si="1854"/>
        <v>0</v>
      </c>
      <c r="DC448" s="44">
        <f t="shared" si="1855"/>
        <v>0</v>
      </c>
      <c r="DD448" s="44">
        <f t="shared" si="1856"/>
        <v>0</v>
      </c>
      <c r="DE448" s="44">
        <f t="shared" si="1857"/>
        <v>0</v>
      </c>
      <c r="DF448" s="44">
        <f t="shared" si="1858"/>
        <v>0</v>
      </c>
      <c r="DG448" s="44">
        <f t="shared" si="1859"/>
        <v>0</v>
      </c>
      <c r="DH448" s="44">
        <f t="shared" si="1860"/>
        <v>0</v>
      </c>
      <c r="DI448" s="44">
        <f t="shared" si="1861"/>
        <v>0</v>
      </c>
    </row>
    <row r="449" spans="1:113" s="24" customFormat="1" ht="12" hidden="1" customHeight="1" outlineLevel="2">
      <c r="A449" s="1" t="s">
        <v>82</v>
      </c>
      <c r="B449" s="24" t="s">
        <v>450</v>
      </c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  <c r="AJ449" s="55"/>
      <c r="AK449" s="55"/>
      <c r="AL449" s="55"/>
      <c r="AM449" s="55"/>
      <c r="AN449" s="55"/>
      <c r="AO449" s="55"/>
      <c r="AP449" s="521">
        <v>-37.799999999999997</v>
      </c>
      <c r="AQ449" s="521">
        <v>-49.3</v>
      </c>
      <c r="AR449" s="521">
        <v>-61.3</v>
      </c>
      <c r="AS449" s="521">
        <v>-70.7</v>
      </c>
      <c r="AT449" s="521">
        <v>-89.7</v>
      </c>
      <c r="AU449" s="521">
        <v>-101.2</v>
      </c>
      <c r="AV449" s="521">
        <v>-105.8</v>
      </c>
      <c r="AW449" s="521">
        <f>-64.4-46.3</f>
        <v>-110.7</v>
      </c>
      <c r="AX449" s="521">
        <f>-71-44.4</f>
        <v>-115.4</v>
      </c>
      <c r="AY449" s="521">
        <v>-106.4</v>
      </c>
      <c r="AZ449" s="522">
        <v>-119.1</v>
      </c>
      <c r="BA449" s="678">
        <f>-[3]JDO!N$141</f>
        <v>-122.07899426068228</v>
      </c>
      <c r="BB449" s="678">
        <f>-[3]JDO!O$141</f>
        <v>-129.31413078883736</v>
      </c>
      <c r="BC449" s="678">
        <f>-[3]JDO!P$141</f>
        <v>-131.71622411780265</v>
      </c>
      <c r="BD449" s="678">
        <f>-[3]JDO!Q$141</f>
        <v>-138.37113656059265</v>
      </c>
      <c r="BE449" s="678">
        <f>-[3]JDO!R$141</f>
        <v>-140.87298788414614</v>
      </c>
      <c r="BF449" s="678">
        <f>-[3]JDO!S$141</f>
        <v>-147.79113996294194</v>
      </c>
      <c r="BG449" s="678">
        <f>-[3]JDO!T$141</f>
        <v>-149.86301919956063</v>
      </c>
      <c r="BH449" s="678">
        <f>-[3]JDO!U$141</f>
        <v>-157.42323996661105</v>
      </c>
      <c r="BI449" s="678">
        <f>-[3]JDO!V$141</f>
        <v>-159.55565276675736</v>
      </c>
      <c r="BJ449" s="678">
        <f>-[3]JDO!W$141</f>
        <v>-167.52695997404243</v>
      </c>
      <c r="BK449" s="678">
        <f>-[3]JDO!X$141</f>
        <v>-169.20790956410244</v>
      </c>
      <c r="BL449" s="678">
        <f>-[3]JDO!Y$141</f>
        <v>-176.73350295442191</v>
      </c>
      <c r="BM449" s="678">
        <f>-[3]JDO!Z$141</f>
        <v>-178.59660647960956</v>
      </c>
      <c r="BN449" s="678">
        <f>-[3]JDO!AA$141</f>
        <v>-185.94225120182344</v>
      </c>
      <c r="BO449" s="678">
        <f>-[3]JDO!AB$141</f>
        <v>-187.1789075851226</v>
      </c>
      <c r="BP449" s="678">
        <f>-[3]JDO!AC$141</f>
        <v>-195.78543307840869</v>
      </c>
      <c r="BQ449" s="678">
        <f>-[3]JDO!AD$141</f>
        <v>-197.62446556931926</v>
      </c>
      <c r="BR449" s="526"/>
      <c r="BS449" s="54"/>
      <c r="BT449" s="54"/>
      <c r="BU449" s="54"/>
      <c r="BV449" s="54"/>
      <c r="BW449" s="54"/>
      <c r="BX449" s="54"/>
      <c r="BY449" s="54"/>
      <c r="BZ449" s="54"/>
      <c r="CA449" s="54"/>
      <c r="CB449" s="54"/>
      <c r="CC449" s="55"/>
      <c r="CD449" s="55"/>
      <c r="CE449" s="55"/>
      <c r="CF449" s="55"/>
      <c r="CG449" s="55"/>
      <c r="CH449" s="55"/>
      <c r="CI449" s="55"/>
      <c r="CJ449" s="55"/>
      <c r="CK449" s="55"/>
      <c r="CL449" s="55"/>
      <c r="CM449" s="55"/>
      <c r="CN449" s="55"/>
      <c r="CO449" s="55"/>
      <c r="CP449" s="55"/>
      <c r="CQ449" s="55"/>
      <c r="CR449" s="55"/>
      <c r="CS449" s="55"/>
      <c r="CT449" s="521">
        <v>-31.553999999999998</v>
      </c>
      <c r="CU449" s="521">
        <v>-59.744</v>
      </c>
      <c r="CV449" s="526">
        <f t="shared" si="1852"/>
        <v>-87.1</v>
      </c>
      <c r="CW449" s="526">
        <f t="shared" si="1898"/>
        <v>-132</v>
      </c>
      <c r="CX449" s="526">
        <f t="shared" si="1899"/>
        <v>-190.9</v>
      </c>
      <c r="CY449" s="526">
        <f t="shared" si="1900"/>
        <v>-216.5</v>
      </c>
      <c r="CZ449" s="524">
        <f t="shared" si="1901"/>
        <v>-221.8</v>
      </c>
      <c r="DA449" s="526">
        <f t="shared" si="1853"/>
        <v>-241.17899426068226</v>
      </c>
      <c r="DB449" s="526">
        <f t="shared" si="1854"/>
        <v>-261.03035490664001</v>
      </c>
      <c r="DC449" s="526">
        <f t="shared" si="1855"/>
        <v>-279.24412444473876</v>
      </c>
      <c r="DD449" s="526">
        <f t="shared" si="1856"/>
        <v>-297.65415916250254</v>
      </c>
      <c r="DE449" s="526">
        <f t="shared" si="1857"/>
        <v>-316.97889273336841</v>
      </c>
      <c r="DF449" s="526">
        <f t="shared" si="1858"/>
        <v>-336.73486953814484</v>
      </c>
      <c r="DG449" s="526">
        <f t="shared" si="1859"/>
        <v>-355.33010943403144</v>
      </c>
      <c r="DH449" s="526">
        <f t="shared" si="1860"/>
        <v>-373.12115878694601</v>
      </c>
      <c r="DI449" s="526">
        <f t="shared" si="1861"/>
        <v>-393.40989864772791</v>
      </c>
    </row>
    <row r="450" spans="1:113" ht="12" hidden="1" customHeight="1" outlineLevel="2">
      <c r="A450" s="1" t="s">
        <v>83</v>
      </c>
      <c r="B450" s="19" t="s">
        <v>526</v>
      </c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4">
        <f t="shared" ref="AP450:AR450" si="1938">AP451-AP449</f>
        <v>2.0999999999999943</v>
      </c>
      <c r="AQ450" s="44">
        <f t="shared" si="1938"/>
        <v>0.79999999999999716</v>
      </c>
      <c r="AR450" s="44">
        <f t="shared" si="1938"/>
        <v>-22.799999999999997</v>
      </c>
      <c r="AS450" s="44">
        <f t="shared" ref="AS450:AT450" si="1939">AS451-AS449</f>
        <v>0</v>
      </c>
      <c r="AT450" s="44">
        <f t="shared" si="1939"/>
        <v>0</v>
      </c>
      <c r="AU450" s="44">
        <f t="shared" ref="AU450:AV450" si="1940">AU451-AU449</f>
        <v>0</v>
      </c>
      <c r="AV450" s="44">
        <f t="shared" si="1940"/>
        <v>0</v>
      </c>
      <c r="AW450" s="44">
        <f t="shared" ref="AW450:AX450" si="1941">AW451-AW449</f>
        <v>-5.7999999999999972</v>
      </c>
      <c r="AX450" s="44">
        <f t="shared" si="1941"/>
        <v>0</v>
      </c>
      <c r="AY450" s="44">
        <f t="shared" ref="AY450:AZ450" si="1942">AY451-AY449</f>
        <v>0</v>
      </c>
      <c r="AZ450" s="45">
        <f t="shared" si="1942"/>
        <v>0</v>
      </c>
      <c r="BA450" s="46">
        <v>0</v>
      </c>
      <c r="BB450" s="46">
        <v>0</v>
      </c>
      <c r="BC450" s="46">
        <v>0</v>
      </c>
      <c r="BD450" s="46">
        <v>0</v>
      </c>
      <c r="BE450" s="46">
        <v>0</v>
      </c>
      <c r="BF450" s="46">
        <v>0</v>
      </c>
      <c r="BG450" s="46">
        <v>0</v>
      </c>
      <c r="BH450" s="46">
        <v>0</v>
      </c>
      <c r="BI450" s="46">
        <v>0</v>
      </c>
      <c r="BJ450" s="46">
        <v>0</v>
      </c>
      <c r="BK450" s="46">
        <v>0</v>
      </c>
      <c r="BL450" s="46">
        <v>0</v>
      </c>
      <c r="BM450" s="46">
        <v>0</v>
      </c>
      <c r="BN450" s="46">
        <v>0</v>
      </c>
      <c r="BO450" s="46">
        <v>0</v>
      </c>
      <c r="BP450" s="46">
        <v>0</v>
      </c>
      <c r="BQ450" s="46">
        <v>0</v>
      </c>
      <c r="BR450" s="46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4">
        <f t="shared" ref="CT450:CU450" si="1943">CT451-CT449</f>
        <v>4.1479999999999997</v>
      </c>
      <c r="CU450" s="44">
        <f t="shared" si="1943"/>
        <v>4.1480000000000032</v>
      </c>
      <c r="CV450" s="44">
        <f t="shared" si="1852"/>
        <v>2.8999999999999915</v>
      </c>
      <c r="CW450" s="44">
        <f t="shared" si="1898"/>
        <v>-22.799999999999997</v>
      </c>
      <c r="CX450" s="44">
        <f t="shared" si="1899"/>
        <v>0</v>
      </c>
      <c r="CY450" s="44">
        <f t="shared" si="1900"/>
        <v>-5.7999999999999972</v>
      </c>
      <c r="CZ450" s="45">
        <f t="shared" si="1901"/>
        <v>0</v>
      </c>
      <c r="DA450" s="44">
        <f t="shared" si="1853"/>
        <v>0</v>
      </c>
      <c r="DB450" s="44">
        <f t="shared" si="1854"/>
        <v>0</v>
      </c>
      <c r="DC450" s="44">
        <f t="shared" si="1855"/>
        <v>0</v>
      </c>
      <c r="DD450" s="44">
        <f t="shared" si="1856"/>
        <v>0</v>
      </c>
      <c r="DE450" s="44">
        <f t="shared" si="1857"/>
        <v>0</v>
      </c>
      <c r="DF450" s="44">
        <f t="shared" si="1858"/>
        <v>0</v>
      </c>
      <c r="DG450" s="44">
        <f t="shared" si="1859"/>
        <v>0</v>
      </c>
      <c r="DH450" s="44">
        <f t="shared" si="1860"/>
        <v>0</v>
      </c>
      <c r="DI450" s="44">
        <f t="shared" si="1861"/>
        <v>0</v>
      </c>
    </row>
    <row r="451" spans="1:113" s="24" customFormat="1" ht="12" hidden="1" customHeight="1" outlineLevel="2">
      <c r="A451" s="1" t="s">
        <v>84</v>
      </c>
      <c r="B451" s="24" t="s">
        <v>377</v>
      </c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  <c r="AJ451" s="55"/>
      <c r="AK451" s="55"/>
      <c r="AL451" s="55"/>
      <c r="AM451" s="55"/>
      <c r="AN451" s="55"/>
      <c r="AO451" s="55"/>
      <c r="AP451" s="521">
        <v>-35.700000000000003</v>
      </c>
      <c r="AQ451" s="521">
        <v>-48.5</v>
      </c>
      <c r="AR451" s="521">
        <v>-84.1</v>
      </c>
      <c r="AS451" s="521">
        <f>AS449-0-0-0-0</f>
        <v>-70.7</v>
      </c>
      <c r="AT451" s="521">
        <f>AT449-0-0-0-0</f>
        <v>-89.7</v>
      </c>
      <c r="AU451" s="521">
        <f>AU449-0-0-0-0</f>
        <v>-101.2</v>
      </c>
      <c r="AV451" s="521">
        <f>AV449-0-0-0-0</f>
        <v>-105.8</v>
      </c>
      <c r="AW451" s="521">
        <f>-64.4-46.3-5.8</f>
        <v>-116.5</v>
      </c>
      <c r="AX451" s="521">
        <f>-71-44.4</f>
        <v>-115.4</v>
      </c>
      <c r="AY451" s="521">
        <v>-106.4</v>
      </c>
      <c r="AZ451" s="522">
        <v>-119.1</v>
      </c>
      <c r="BA451" s="526">
        <f t="shared" ref="BA451:BI451" si="1944">BA449+BA450</f>
        <v>-122.07899426068228</v>
      </c>
      <c r="BB451" s="526">
        <f t="shared" si="1944"/>
        <v>-129.31413078883736</v>
      </c>
      <c r="BC451" s="526">
        <f t="shared" si="1944"/>
        <v>-131.71622411780265</v>
      </c>
      <c r="BD451" s="526">
        <f t="shared" si="1944"/>
        <v>-138.37113656059265</v>
      </c>
      <c r="BE451" s="526">
        <f t="shared" si="1944"/>
        <v>-140.87298788414614</v>
      </c>
      <c r="BF451" s="526">
        <f t="shared" si="1944"/>
        <v>-147.79113996294194</v>
      </c>
      <c r="BG451" s="526">
        <f t="shared" si="1944"/>
        <v>-149.86301919956063</v>
      </c>
      <c r="BH451" s="526">
        <f t="shared" si="1944"/>
        <v>-157.42323996661105</v>
      </c>
      <c r="BI451" s="526">
        <f t="shared" si="1944"/>
        <v>-159.55565276675736</v>
      </c>
      <c r="BJ451" s="526">
        <f t="shared" ref="BJ451:BK451" si="1945">BJ449+BJ450</f>
        <v>-167.52695997404243</v>
      </c>
      <c r="BK451" s="526">
        <f t="shared" si="1945"/>
        <v>-169.20790956410244</v>
      </c>
      <c r="BL451" s="526">
        <f t="shared" ref="BL451:BM451" si="1946">BL449+BL450</f>
        <v>-176.73350295442191</v>
      </c>
      <c r="BM451" s="526">
        <f t="shared" si="1946"/>
        <v>-178.59660647960956</v>
      </c>
      <c r="BN451" s="526">
        <f t="shared" ref="BN451:BO451" si="1947">BN449+BN450</f>
        <v>-185.94225120182344</v>
      </c>
      <c r="BO451" s="526">
        <f t="shared" si="1947"/>
        <v>-187.1789075851226</v>
      </c>
      <c r="BP451" s="526">
        <f t="shared" ref="BP451:BQ451" si="1948">BP449+BP450</f>
        <v>-195.78543307840869</v>
      </c>
      <c r="BQ451" s="526">
        <f t="shared" si="1948"/>
        <v>-197.62446556931926</v>
      </c>
      <c r="BR451" s="526"/>
      <c r="BS451" s="54"/>
      <c r="BT451" s="54"/>
      <c r="BU451" s="54"/>
      <c r="BV451" s="54"/>
      <c r="BW451" s="54"/>
      <c r="BX451" s="54"/>
      <c r="BY451" s="54"/>
      <c r="BZ451" s="54"/>
      <c r="CA451" s="54"/>
      <c r="CB451" s="54"/>
      <c r="CC451" s="55"/>
      <c r="CD451" s="55"/>
      <c r="CE451" s="55"/>
      <c r="CF451" s="55"/>
      <c r="CG451" s="55"/>
      <c r="CH451" s="55"/>
      <c r="CI451" s="55"/>
      <c r="CJ451" s="55"/>
      <c r="CK451" s="55"/>
      <c r="CL451" s="55"/>
      <c r="CM451" s="55"/>
      <c r="CN451" s="55"/>
      <c r="CO451" s="55"/>
      <c r="CP451" s="55"/>
      <c r="CQ451" s="55"/>
      <c r="CR451" s="55"/>
      <c r="CS451" s="55"/>
      <c r="CT451" s="521">
        <v>-27.405999999999999</v>
      </c>
      <c r="CU451" s="521">
        <v>-55.595999999999997</v>
      </c>
      <c r="CV451" s="526">
        <f t="shared" si="1852"/>
        <v>-84.2</v>
      </c>
      <c r="CW451" s="526">
        <f t="shared" ref="CW451:DF451" si="1949">CW449+CW450</f>
        <v>-154.80000000000001</v>
      </c>
      <c r="CX451" s="526">
        <f t="shared" si="1949"/>
        <v>-190.9</v>
      </c>
      <c r="CY451" s="526">
        <f t="shared" si="1949"/>
        <v>-222.3</v>
      </c>
      <c r="CZ451" s="524">
        <f t="shared" si="1949"/>
        <v>-221.8</v>
      </c>
      <c r="DA451" s="526">
        <f t="shared" si="1949"/>
        <v>-241.17899426068226</v>
      </c>
      <c r="DB451" s="526">
        <f t="shared" si="1949"/>
        <v>-261.03035490664001</v>
      </c>
      <c r="DC451" s="526">
        <f t="shared" si="1949"/>
        <v>-279.24412444473876</v>
      </c>
      <c r="DD451" s="526">
        <f t="shared" si="1949"/>
        <v>-297.65415916250254</v>
      </c>
      <c r="DE451" s="526">
        <f t="shared" si="1949"/>
        <v>-316.97889273336841</v>
      </c>
      <c r="DF451" s="526">
        <f t="shared" si="1949"/>
        <v>-336.73486953814484</v>
      </c>
      <c r="DG451" s="526">
        <f t="shared" ref="DG451:DH451" si="1950">DG449+DG450</f>
        <v>-355.33010943403144</v>
      </c>
      <c r="DH451" s="526">
        <f t="shared" si="1950"/>
        <v>-373.12115878694601</v>
      </c>
      <c r="DI451" s="526">
        <f t="shared" ref="DI451" si="1951">DI449+DI450</f>
        <v>-393.40989864772791</v>
      </c>
    </row>
    <row r="452" spans="1:113" ht="12" hidden="1" outlineLevel="1">
      <c r="A452" s="60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95"/>
      <c r="AB452" s="95"/>
      <c r="AC452" s="95"/>
      <c r="AD452" s="95"/>
      <c r="AE452" s="95"/>
      <c r="AF452" s="95"/>
      <c r="AG452" s="55"/>
      <c r="AH452" s="55"/>
      <c r="AI452" s="55"/>
      <c r="AK452" s="55"/>
      <c r="AL452" s="42"/>
      <c r="AM452" s="42"/>
      <c r="AN452" s="42"/>
      <c r="AO452" s="42"/>
      <c r="AP452" s="529"/>
      <c r="AQ452" s="529"/>
      <c r="AR452" s="529"/>
      <c r="AS452" s="529"/>
      <c r="AT452" s="529"/>
      <c r="AU452" s="529"/>
      <c r="AV452" s="529"/>
      <c r="AW452" s="529"/>
      <c r="AX452" s="529"/>
      <c r="AY452" s="44"/>
      <c r="AZ452" s="45"/>
      <c r="BA452" s="44"/>
      <c r="BB452" s="44"/>
      <c r="BC452" s="44"/>
      <c r="BD452" s="44"/>
      <c r="BE452" s="44"/>
      <c r="BF452" s="44"/>
      <c r="BG452" s="44"/>
      <c r="BH452" s="44"/>
      <c r="BI452" s="44"/>
      <c r="BJ452" s="44"/>
      <c r="BK452" s="44"/>
      <c r="BL452" s="44"/>
      <c r="BM452" s="44"/>
      <c r="BN452" s="44"/>
      <c r="BO452" s="44"/>
      <c r="BP452" s="44"/>
      <c r="BQ452" s="44"/>
      <c r="BR452" s="44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285"/>
      <c r="CP452" s="285"/>
      <c r="CQ452" s="285"/>
      <c r="CR452" s="285"/>
      <c r="CS452" s="285"/>
      <c r="CT452" s="572"/>
      <c r="CU452" s="44"/>
      <c r="CV452" s="529"/>
      <c r="CW452" s="529"/>
      <c r="CX452" s="529"/>
      <c r="CY452" s="529"/>
      <c r="CZ452" s="573"/>
      <c r="DA452" s="632"/>
      <c r="DB452" s="574"/>
      <c r="DC452" s="574"/>
      <c r="DD452" s="574"/>
      <c r="DE452" s="574"/>
      <c r="DF452" s="574"/>
      <c r="DG452" s="574"/>
      <c r="DH452" s="574"/>
      <c r="DI452" s="574"/>
    </row>
    <row r="453" spans="1:113" ht="12" collapsed="1"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55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4"/>
      <c r="AQ453" s="44"/>
      <c r="AR453" s="44"/>
      <c r="AS453" s="44"/>
      <c r="AT453" s="44"/>
      <c r="AU453" s="44"/>
      <c r="AV453" s="44"/>
      <c r="AW453" s="44"/>
      <c r="AX453" s="44"/>
      <c r="AY453" s="675"/>
      <c r="AZ453" s="690">
        <f>-AZ443-[3]JDO!M$141</f>
        <v>0</v>
      </c>
      <c r="BA453" s="675">
        <f>-BA443-[3]JDO!N$141</f>
        <v>0</v>
      </c>
      <c r="BB453" s="675">
        <f>-BB443-[3]JDO!O$141</f>
        <v>0</v>
      </c>
      <c r="BC453" s="675">
        <f>-BC443-[3]JDO!P$141</f>
        <v>0</v>
      </c>
      <c r="BD453" s="675">
        <f>-BD443-[3]JDO!Q$141</f>
        <v>0</v>
      </c>
      <c r="BE453" s="675">
        <f>-BE443-[3]JDO!R$141</f>
        <v>0</v>
      </c>
      <c r="BF453" s="675">
        <f>-BF443-[3]JDO!S$141</f>
        <v>0</v>
      </c>
      <c r="BG453" s="675">
        <f>-BG443-[3]JDO!T$141</f>
        <v>0</v>
      </c>
      <c r="BH453" s="675">
        <f>-BH443-[3]JDO!U$141</f>
        <v>0</v>
      </c>
      <c r="BI453" s="675">
        <f>-BI443-[3]JDO!V$141</f>
        <v>0</v>
      </c>
      <c r="BJ453" s="675">
        <f>-BJ443-[3]JDO!W$141</f>
        <v>0</v>
      </c>
      <c r="BK453" s="675">
        <f>-BK443-[3]JDO!X$141</f>
        <v>0</v>
      </c>
      <c r="BL453" s="675">
        <f>-BL443-[3]JDO!Y$141</f>
        <v>0</v>
      </c>
      <c r="BM453" s="675">
        <f>-BM443-[3]JDO!Z$141</f>
        <v>0</v>
      </c>
      <c r="BN453" s="675">
        <f>-BN443-[3]JDO!AA$141</f>
        <v>0</v>
      </c>
      <c r="BO453" s="675">
        <f>-BO443-[3]JDO!AB$141</f>
        <v>0</v>
      </c>
      <c r="BP453" s="675">
        <f>-BP443-[3]JDO!AC$141</f>
        <v>0</v>
      </c>
      <c r="BQ453" s="675">
        <f>-BQ443-[3]JDO!AD$141</f>
        <v>0</v>
      </c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285"/>
      <c r="CP453" s="42"/>
      <c r="CQ453" s="42"/>
      <c r="CR453" s="42"/>
      <c r="CS453" s="285"/>
      <c r="CT453" s="44"/>
      <c r="CU453" s="44"/>
      <c r="CV453" s="44"/>
      <c r="CW453" s="44"/>
      <c r="CX453" s="44"/>
      <c r="CY453" s="44"/>
      <c r="CZ453" s="45"/>
      <c r="DA453" s="44"/>
      <c r="DB453" s="44"/>
      <c r="DC453" s="529"/>
      <c r="DD453" s="529"/>
      <c r="DE453" s="529"/>
      <c r="DF453" s="529"/>
      <c r="DG453" s="529"/>
      <c r="DH453" s="529"/>
      <c r="DI453" s="529"/>
    </row>
    <row r="454" spans="1:113" s="36" customFormat="1" ht="12" collapsed="1">
      <c r="A454" s="1" t="s">
        <v>98</v>
      </c>
      <c r="B454" s="2" t="s">
        <v>378</v>
      </c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  <c r="AJ454" s="55"/>
      <c r="AK454" s="55"/>
      <c r="AL454" s="55"/>
      <c r="AM454" s="55"/>
      <c r="AN454" s="55"/>
      <c r="AO454" s="55"/>
      <c r="AP454" s="527">
        <f t="shared" ref="AP454:AR454" si="1952">AP419+AP443</f>
        <v>1.9000000000000057</v>
      </c>
      <c r="AQ454" s="527">
        <f t="shared" si="1952"/>
        <v>0.80000000000000426</v>
      </c>
      <c r="AR454" s="527">
        <f t="shared" si="1952"/>
        <v>12.600000000000009</v>
      </c>
      <c r="AS454" s="527">
        <f t="shared" ref="AS454:AT454" si="1953">AS419+AS443</f>
        <v>28.399999999999991</v>
      </c>
      <c r="AT454" s="527">
        <f t="shared" si="1953"/>
        <v>75.499999999999986</v>
      </c>
      <c r="AU454" s="527">
        <f t="shared" ref="AU454:AV454" si="1954">AU419+AU443</f>
        <v>86.59999999999998</v>
      </c>
      <c r="AV454" s="527">
        <f t="shared" si="1954"/>
        <v>94.2</v>
      </c>
      <c r="AW454" s="527">
        <f t="shared" ref="AW454:AX454" si="1955">AW419+AW443</f>
        <v>80.200000000000017</v>
      </c>
      <c r="AX454" s="527">
        <f t="shared" si="1955"/>
        <v>85.5</v>
      </c>
      <c r="AY454" s="527">
        <f t="shared" ref="AY454:BI454" si="1956">AY419+AY443</f>
        <v>115.60000000000002</v>
      </c>
      <c r="AZ454" s="528">
        <f t="shared" si="1956"/>
        <v>126.59999999999997</v>
      </c>
      <c r="BA454" s="527">
        <f t="shared" si="1956"/>
        <v>149.90939024320221</v>
      </c>
      <c r="BB454" s="527">
        <f t="shared" si="1956"/>
        <v>168.08167882683392</v>
      </c>
      <c r="BC454" s="527">
        <f t="shared" si="1956"/>
        <v>183.57548893298701</v>
      </c>
      <c r="BD454" s="527">
        <f t="shared" si="1956"/>
        <v>202.96182684430269</v>
      </c>
      <c r="BE454" s="527">
        <f t="shared" si="1956"/>
        <v>221.59936099496582</v>
      </c>
      <c r="BF454" s="527">
        <f t="shared" si="1956"/>
        <v>239.7395347318041</v>
      </c>
      <c r="BG454" s="527">
        <f t="shared" si="1956"/>
        <v>256.11781090783165</v>
      </c>
      <c r="BH454" s="527">
        <f t="shared" si="1956"/>
        <v>273.66245497050733</v>
      </c>
      <c r="BI454" s="527">
        <f t="shared" si="1956"/>
        <v>287.63045583840005</v>
      </c>
      <c r="BJ454" s="527">
        <f t="shared" ref="BJ454:BK454" si="1957">BJ419+BJ443</f>
        <v>302.91081125060725</v>
      </c>
      <c r="BK454" s="527">
        <f t="shared" si="1957"/>
        <v>314.9566377818993</v>
      </c>
      <c r="BL454" s="527">
        <f t="shared" ref="BL454:BM454" si="1958">BL419+BL443</f>
        <v>326.37024847158381</v>
      </c>
      <c r="BM454" s="527">
        <f t="shared" si="1958"/>
        <v>337.00296223915325</v>
      </c>
      <c r="BN454" s="527">
        <f t="shared" ref="BN454:BO454" si="1959">BN419+BN443</f>
        <v>347.29407085868968</v>
      </c>
      <c r="BO454" s="527">
        <f t="shared" si="1959"/>
        <v>353.93315995383034</v>
      </c>
      <c r="BP454" s="527">
        <f t="shared" ref="BP454:BQ454" si="1960">BP419+BP443</f>
        <v>365.19917951122432</v>
      </c>
      <c r="BQ454" s="527">
        <f t="shared" si="1960"/>
        <v>371.63178865650013</v>
      </c>
      <c r="BR454" s="527"/>
      <c r="BS454" s="52"/>
      <c r="BT454" s="52"/>
      <c r="BU454" s="52"/>
      <c r="BV454" s="52"/>
      <c r="BW454" s="52"/>
      <c r="BX454" s="52"/>
      <c r="BY454" s="52"/>
      <c r="BZ454" s="52"/>
      <c r="CA454" s="52"/>
      <c r="CB454" s="52"/>
      <c r="CC454" s="52"/>
      <c r="CD454" s="52"/>
      <c r="CE454" s="52"/>
      <c r="CF454" s="52"/>
      <c r="CG454" s="52"/>
      <c r="CH454" s="52"/>
      <c r="CI454" s="52"/>
      <c r="CJ454" s="52"/>
      <c r="CK454" s="52"/>
      <c r="CL454" s="52"/>
      <c r="CM454" s="52"/>
      <c r="CN454" s="52"/>
      <c r="CO454" s="52"/>
      <c r="CP454" s="52"/>
      <c r="CQ454" s="52"/>
      <c r="CR454" s="52"/>
      <c r="CS454" s="52"/>
      <c r="CT454" s="527">
        <f t="shared" ref="CT454:DF454" si="1961">CT419+CT443</f>
        <v>-30.198</v>
      </c>
      <c r="CU454" s="527">
        <f t="shared" si="1961"/>
        <v>-31.488</v>
      </c>
      <c r="CV454" s="527">
        <f t="shared" si="1961"/>
        <v>2.7000000000000028</v>
      </c>
      <c r="CW454" s="527">
        <f t="shared" si="1961"/>
        <v>41</v>
      </c>
      <c r="CX454" s="527">
        <f t="shared" si="1961"/>
        <v>162.1</v>
      </c>
      <c r="CY454" s="527">
        <f t="shared" si="1961"/>
        <v>174.39999999999998</v>
      </c>
      <c r="CZ454" s="528">
        <f t="shared" si="1961"/>
        <v>201.10000000000008</v>
      </c>
      <c r="DA454" s="527">
        <f t="shared" si="1961"/>
        <v>276.50939024320218</v>
      </c>
      <c r="DB454" s="527">
        <f t="shared" si="1961"/>
        <v>351.65716775982105</v>
      </c>
      <c r="DC454" s="527">
        <f t="shared" si="1961"/>
        <v>424.56118783926854</v>
      </c>
      <c r="DD454" s="527">
        <f t="shared" si="1961"/>
        <v>495.85734563963581</v>
      </c>
      <c r="DE454" s="527">
        <f t="shared" si="1961"/>
        <v>561.29291080890732</v>
      </c>
      <c r="DF454" s="527">
        <f t="shared" si="1961"/>
        <v>617.86744903250656</v>
      </c>
      <c r="DG454" s="527">
        <f t="shared" ref="DG454:DH454" si="1962">DG419+DG443</f>
        <v>663.37321071073711</v>
      </c>
      <c r="DH454" s="527">
        <f t="shared" si="1962"/>
        <v>701.22723081252013</v>
      </c>
      <c r="DI454" s="527">
        <f t="shared" ref="DI454" si="1963">DI419+DI443</f>
        <v>736.83096816772445</v>
      </c>
    </row>
    <row r="455" spans="1:113" ht="12" hidden="1" outlineLevel="2">
      <c r="A455" s="1" t="s">
        <v>174</v>
      </c>
      <c r="B455" s="19" t="s">
        <v>854</v>
      </c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4">
        <f t="shared" ref="AP455:AR455" si="1964">AP444+AP420</f>
        <v>0</v>
      </c>
      <c r="AQ455" s="44">
        <f t="shared" si="1964"/>
        <v>0</v>
      </c>
      <c r="AR455" s="44">
        <f t="shared" si="1964"/>
        <v>0</v>
      </c>
      <c r="AS455" s="44">
        <f t="shared" ref="AS455:AT455" si="1965">AS444+AS420</f>
        <v>0</v>
      </c>
      <c r="AT455" s="44">
        <f t="shared" si="1965"/>
        <v>0</v>
      </c>
      <c r="AU455" s="44">
        <f t="shared" ref="AU455:AV455" si="1966">AU444+AU420</f>
        <v>0</v>
      </c>
      <c r="AV455" s="44">
        <f t="shared" si="1966"/>
        <v>0</v>
      </c>
      <c r="AW455" s="44">
        <f t="shared" ref="AW455:AX455" si="1967">AW444+AW420</f>
        <v>0</v>
      </c>
      <c r="AX455" s="44">
        <f t="shared" si="1967"/>
        <v>0</v>
      </c>
      <c r="AY455" s="44">
        <f t="shared" ref="AY455:BI455" si="1968">AY444+AY420</f>
        <v>0</v>
      </c>
      <c r="AZ455" s="45">
        <f t="shared" si="1968"/>
        <v>0</v>
      </c>
      <c r="BA455" s="44">
        <f t="shared" si="1968"/>
        <v>0</v>
      </c>
      <c r="BB455" s="44">
        <f t="shared" si="1968"/>
        <v>0</v>
      </c>
      <c r="BC455" s="44">
        <f t="shared" si="1968"/>
        <v>0</v>
      </c>
      <c r="BD455" s="44">
        <f t="shared" si="1968"/>
        <v>0</v>
      </c>
      <c r="BE455" s="44">
        <f t="shared" si="1968"/>
        <v>0</v>
      </c>
      <c r="BF455" s="44">
        <f t="shared" si="1968"/>
        <v>0</v>
      </c>
      <c r="BG455" s="44">
        <f t="shared" si="1968"/>
        <v>0</v>
      </c>
      <c r="BH455" s="44">
        <f t="shared" si="1968"/>
        <v>0</v>
      </c>
      <c r="BI455" s="44">
        <f t="shared" si="1968"/>
        <v>0</v>
      </c>
      <c r="BJ455" s="44">
        <f t="shared" ref="BJ455:BK455" si="1969">BJ444+BJ420</f>
        <v>0</v>
      </c>
      <c r="BK455" s="44">
        <f t="shared" si="1969"/>
        <v>0</v>
      </c>
      <c r="BL455" s="44">
        <f t="shared" ref="BL455:BM455" si="1970">BL444+BL420</f>
        <v>0</v>
      </c>
      <c r="BM455" s="44">
        <f t="shared" si="1970"/>
        <v>0</v>
      </c>
      <c r="BN455" s="44">
        <f t="shared" ref="BN455:BO455" si="1971">BN444+BN420</f>
        <v>0</v>
      </c>
      <c r="BO455" s="44">
        <f t="shared" si="1971"/>
        <v>0</v>
      </c>
      <c r="BP455" s="44">
        <f t="shared" ref="BP455:BQ455" si="1972">BP444+BP420</f>
        <v>0</v>
      </c>
      <c r="BQ455" s="44">
        <f t="shared" si="1972"/>
        <v>0</v>
      </c>
      <c r="BR455" s="44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4">
        <f t="shared" ref="CT455:DF455" si="1973">CT444+CT420</f>
        <v>0</v>
      </c>
      <c r="CU455" s="44">
        <f t="shared" si="1973"/>
        <v>0</v>
      </c>
      <c r="CV455" s="44">
        <f t="shared" si="1973"/>
        <v>0</v>
      </c>
      <c r="CW455" s="44">
        <f t="shared" si="1973"/>
        <v>0</v>
      </c>
      <c r="CX455" s="44">
        <f t="shared" si="1973"/>
        <v>0</v>
      </c>
      <c r="CY455" s="44">
        <f t="shared" si="1973"/>
        <v>0</v>
      </c>
      <c r="CZ455" s="45">
        <f t="shared" si="1973"/>
        <v>0</v>
      </c>
      <c r="DA455" s="44">
        <f t="shared" si="1973"/>
        <v>0</v>
      </c>
      <c r="DB455" s="44">
        <f t="shared" si="1973"/>
        <v>0</v>
      </c>
      <c r="DC455" s="44">
        <f t="shared" si="1973"/>
        <v>0</v>
      </c>
      <c r="DD455" s="44">
        <f t="shared" si="1973"/>
        <v>0</v>
      </c>
      <c r="DE455" s="44">
        <f t="shared" si="1973"/>
        <v>0</v>
      </c>
      <c r="DF455" s="44">
        <f t="shared" si="1973"/>
        <v>0</v>
      </c>
      <c r="DG455" s="44">
        <f t="shared" ref="DG455:DH455" si="1974">DG444+DG420</f>
        <v>0</v>
      </c>
      <c r="DH455" s="44">
        <f t="shared" si="1974"/>
        <v>0</v>
      </c>
      <c r="DI455" s="44">
        <f t="shared" ref="DI455" si="1975">DI444+DI420</f>
        <v>0</v>
      </c>
    </row>
    <row r="456" spans="1:113" ht="12" hidden="1" outlineLevel="2">
      <c r="A456" s="1" t="s">
        <v>677</v>
      </c>
      <c r="B456" s="19" t="s">
        <v>444</v>
      </c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4">
        <f t="shared" ref="AP456:AR456" si="1976">AP421+AP445</f>
        <v>0</v>
      </c>
      <c r="AQ456" s="44">
        <f t="shared" si="1976"/>
        <v>0</v>
      </c>
      <c r="AR456" s="44">
        <f t="shared" si="1976"/>
        <v>0</v>
      </c>
      <c r="AS456" s="44">
        <f t="shared" ref="AS456:AT456" si="1977">AS421+AS445</f>
        <v>0</v>
      </c>
      <c r="AT456" s="44">
        <f t="shared" si="1977"/>
        <v>0</v>
      </c>
      <c r="AU456" s="44">
        <f t="shared" ref="AU456:AV456" si="1978">AU421+AU445</f>
        <v>0</v>
      </c>
      <c r="AV456" s="44">
        <f t="shared" si="1978"/>
        <v>0</v>
      </c>
      <c r="AW456" s="44">
        <f t="shared" ref="AW456:AX456" si="1979">AW421+AW445</f>
        <v>0</v>
      </c>
      <c r="AX456" s="44">
        <f t="shared" si="1979"/>
        <v>0</v>
      </c>
      <c r="AY456" s="44">
        <f t="shared" ref="AY456:BI456" si="1980">AY421+AY445</f>
        <v>0</v>
      </c>
      <c r="AZ456" s="45">
        <f t="shared" si="1980"/>
        <v>0</v>
      </c>
      <c r="BA456" s="44">
        <f t="shared" si="1980"/>
        <v>0</v>
      </c>
      <c r="BB456" s="44">
        <f t="shared" si="1980"/>
        <v>0</v>
      </c>
      <c r="BC456" s="44">
        <f t="shared" si="1980"/>
        <v>0</v>
      </c>
      <c r="BD456" s="44">
        <f t="shared" si="1980"/>
        <v>0</v>
      </c>
      <c r="BE456" s="44">
        <f t="shared" si="1980"/>
        <v>0</v>
      </c>
      <c r="BF456" s="44">
        <f t="shared" si="1980"/>
        <v>0</v>
      </c>
      <c r="BG456" s="44">
        <f t="shared" si="1980"/>
        <v>0</v>
      </c>
      <c r="BH456" s="44">
        <f t="shared" si="1980"/>
        <v>0</v>
      </c>
      <c r="BI456" s="44">
        <f t="shared" si="1980"/>
        <v>0</v>
      </c>
      <c r="BJ456" s="44">
        <f t="shared" ref="BJ456:BK456" si="1981">BJ421+BJ445</f>
        <v>0</v>
      </c>
      <c r="BK456" s="44">
        <f t="shared" si="1981"/>
        <v>0</v>
      </c>
      <c r="BL456" s="44">
        <f t="shared" ref="BL456:BM456" si="1982">BL421+BL445</f>
        <v>0</v>
      </c>
      <c r="BM456" s="44">
        <f t="shared" si="1982"/>
        <v>0</v>
      </c>
      <c r="BN456" s="44">
        <f t="shared" ref="BN456:BO456" si="1983">BN421+BN445</f>
        <v>0</v>
      </c>
      <c r="BO456" s="44">
        <f t="shared" si="1983"/>
        <v>0</v>
      </c>
      <c r="BP456" s="44">
        <f t="shared" ref="BP456:BQ456" si="1984">BP421+BP445</f>
        <v>0</v>
      </c>
      <c r="BQ456" s="44">
        <f t="shared" si="1984"/>
        <v>0</v>
      </c>
      <c r="BR456" s="44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4">
        <f t="shared" ref="CT456:DF456" si="1985">CT421+CT445</f>
        <v>0</v>
      </c>
      <c r="CU456" s="44">
        <f t="shared" si="1985"/>
        <v>0</v>
      </c>
      <c r="CV456" s="44">
        <f t="shared" si="1985"/>
        <v>0</v>
      </c>
      <c r="CW456" s="44">
        <f t="shared" si="1985"/>
        <v>0</v>
      </c>
      <c r="CX456" s="44">
        <f t="shared" si="1985"/>
        <v>0</v>
      </c>
      <c r="CY456" s="44">
        <f t="shared" si="1985"/>
        <v>0</v>
      </c>
      <c r="CZ456" s="45">
        <f t="shared" si="1985"/>
        <v>0</v>
      </c>
      <c r="DA456" s="44">
        <f t="shared" si="1985"/>
        <v>0</v>
      </c>
      <c r="DB456" s="44">
        <f t="shared" si="1985"/>
        <v>0</v>
      </c>
      <c r="DC456" s="44">
        <f t="shared" si="1985"/>
        <v>0</v>
      </c>
      <c r="DD456" s="44">
        <f t="shared" si="1985"/>
        <v>0</v>
      </c>
      <c r="DE456" s="44">
        <f t="shared" si="1985"/>
        <v>0</v>
      </c>
      <c r="DF456" s="44">
        <f t="shared" si="1985"/>
        <v>0</v>
      </c>
      <c r="DG456" s="44">
        <f t="shared" ref="DG456:DH456" si="1986">DG421+DG445</f>
        <v>0</v>
      </c>
      <c r="DH456" s="44">
        <f t="shared" si="1986"/>
        <v>0</v>
      </c>
      <c r="DI456" s="44">
        <f t="shared" ref="DI456" si="1987">DI421+DI445</f>
        <v>0</v>
      </c>
    </row>
    <row r="457" spans="1:113" ht="12" hidden="1" outlineLevel="2">
      <c r="A457" s="1" t="s">
        <v>678</v>
      </c>
      <c r="B457" s="19" t="s">
        <v>367</v>
      </c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4">
        <f t="shared" ref="AP457:AR457" si="1988">AP422</f>
        <v>0</v>
      </c>
      <c r="AQ457" s="44">
        <f t="shared" si="1988"/>
        <v>0</v>
      </c>
      <c r="AR457" s="44">
        <f t="shared" si="1988"/>
        <v>0</v>
      </c>
      <c r="AS457" s="44">
        <f t="shared" ref="AS457:AT457" si="1989">AS422</f>
        <v>0</v>
      </c>
      <c r="AT457" s="44">
        <f t="shared" si="1989"/>
        <v>0</v>
      </c>
      <c r="AU457" s="44">
        <f t="shared" ref="AU457:AV457" si="1990">AU422</f>
        <v>0</v>
      </c>
      <c r="AV457" s="44">
        <f t="shared" si="1990"/>
        <v>0</v>
      </c>
      <c r="AW457" s="44">
        <f t="shared" ref="AW457:AX457" si="1991">AW422</f>
        <v>0</v>
      </c>
      <c r="AX457" s="44">
        <f t="shared" si="1991"/>
        <v>0</v>
      </c>
      <c r="AY457" s="44">
        <f t="shared" ref="AY457:BI457" si="1992">AY422</f>
        <v>0</v>
      </c>
      <c r="AZ457" s="45">
        <f t="shared" si="1992"/>
        <v>0</v>
      </c>
      <c r="BA457" s="44">
        <f t="shared" si="1992"/>
        <v>0</v>
      </c>
      <c r="BB457" s="44">
        <f t="shared" si="1992"/>
        <v>0</v>
      </c>
      <c r="BC457" s="44">
        <f t="shared" si="1992"/>
        <v>0</v>
      </c>
      <c r="BD457" s="44">
        <f t="shared" si="1992"/>
        <v>0</v>
      </c>
      <c r="BE457" s="44">
        <f t="shared" si="1992"/>
        <v>0</v>
      </c>
      <c r="BF457" s="44">
        <f t="shared" si="1992"/>
        <v>0</v>
      </c>
      <c r="BG457" s="44">
        <f t="shared" si="1992"/>
        <v>0</v>
      </c>
      <c r="BH457" s="44">
        <f t="shared" si="1992"/>
        <v>0</v>
      </c>
      <c r="BI457" s="44">
        <f t="shared" si="1992"/>
        <v>0</v>
      </c>
      <c r="BJ457" s="44">
        <f t="shared" ref="BJ457:BK457" si="1993">BJ422</f>
        <v>0</v>
      </c>
      <c r="BK457" s="44">
        <f t="shared" si="1993"/>
        <v>0</v>
      </c>
      <c r="BL457" s="44">
        <f t="shared" ref="BL457:BM457" si="1994">BL422</f>
        <v>0</v>
      </c>
      <c r="BM457" s="44">
        <f t="shared" si="1994"/>
        <v>0</v>
      </c>
      <c r="BN457" s="44">
        <f t="shared" ref="BN457:BO457" si="1995">BN422</f>
        <v>0</v>
      </c>
      <c r="BO457" s="44">
        <f t="shared" si="1995"/>
        <v>0</v>
      </c>
      <c r="BP457" s="44">
        <f t="shared" ref="BP457:BQ457" si="1996">BP422</f>
        <v>0</v>
      </c>
      <c r="BQ457" s="44">
        <f t="shared" si="1996"/>
        <v>0</v>
      </c>
      <c r="BR457" s="44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4">
        <f t="shared" ref="CT457:DF457" si="1997">CT422</f>
        <v>0</v>
      </c>
      <c r="CU457" s="44">
        <f t="shared" si="1997"/>
        <v>0</v>
      </c>
      <c r="CV457" s="44">
        <f t="shared" si="1997"/>
        <v>0</v>
      </c>
      <c r="CW457" s="44">
        <f t="shared" si="1997"/>
        <v>0</v>
      </c>
      <c r="CX457" s="44">
        <f t="shared" si="1997"/>
        <v>0</v>
      </c>
      <c r="CY457" s="44">
        <f t="shared" si="1997"/>
        <v>0</v>
      </c>
      <c r="CZ457" s="45">
        <f t="shared" si="1997"/>
        <v>0</v>
      </c>
      <c r="DA457" s="44">
        <f t="shared" si="1997"/>
        <v>0</v>
      </c>
      <c r="DB457" s="44">
        <f t="shared" si="1997"/>
        <v>0</v>
      </c>
      <c r="DC457" s="44">
        <f t="shared" si="1997"/>
        <v>0</v>
      </c>
      <c r="DD457" s="44">
        <f t="shared" si="1997"/>
        <v>0</v>
      </c>
      <c r="DE457" s="44">
        <f t="shared" si="1997"/>
        <v>0</v>
      </c>
      <c r="DF457" s="44">
        <f t="shared" si="1997"/>
        <v>0</v>
      </c>
      <c r="DG457" s="44">
        <f t="shared" ref="DG457:DH457" si="1998">DG422</f>
        <v>0</v>
      </c>
      <c r="DH457" s="44">
        <f t="shared" si="1998"/>
        <v>0</v>
      </c>
      <c r="DI457" s="44">
        <f t="shared" ref="DI457" si="1999">DI422</f>
        <v>0</v>
      </c>
    </row>
    <row r="458" spans="1:113" ht="12" hidden="1" outlineLevel="2">
      <c r="A458" s="1" t="s">
        <v>175</v>
      </c>
      <c r="B458" s="19" t="s">
        <v>368</v>
      </c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4">
        <f t="shared" ref="AP458:AR458" si="2000">AP423+AP446</f>
        <v>0</v>
      </c>
      <c r="AQ458" s="44">
        <f t="shared" si="2000"/>
        <v>0</v>
      </c>
      <c r="AR458" s="44">
        <f t="shared" si="2000"/>
        <v>0</v>
      </c>
      <c r="AS458" s="44">
        <f t="shared" ref="AS458:AT458" si="2001">AS423+AS446</f>
        <v>0</v>
      </c>
      <c r="AT458" s="44">
        <f t="shared" si="2001"/>
        <v>0</v>
      </c>
      <c r="AU458" s="44">
        <f t="shared" ref="AU458:AV458" si="2002">AU423+AU446</f>
        <v>0</v>
      </c>
      <c r="AV458" s="44">
        <f t="shared" si="2002"/>
        <v>0</v>
      </c>
      <c r="AW458" s="44">
        <f t="shared" ref="AW458:AX458" si="2003">AW423+AW446</f>
        <v>0</v>
      </c>
      <c r="AX458" s="44">
        <f t="shared" si="2003"/>
        <v>0</v>
      </c>
      <c r="AY458" s="44">
        <f t="shared" ref="AY458:BI460" si="2004">AY423+AY446</f>
        <v>0</v>
      </c>
      <c r="AZ458" s="45">
        <f t="shared" si="2004"/>
        <v>0</v>
      </c>
      <c r="BA458" s="44">
        <f t="shared" si="2004"/>
        <v>0</v>
      </c>
      <c r="BB458" s="44">
        <f t="shared" si="2004"/>
        <v>0</v>
      </c>
      <c r="BC458" s="44">
        <f t="shared" si="2004"/>
        <v>0</v>
      </c>
      <c r="BD458" s="44">
        <f t="shared" si="2004"/>
        <v>0</v>
      </c>
      <c r="BE458" s="44">
        <f t="shared" si="2004"/>
        <v>0</v>
      </c>
      <c r="BF458" s="44">
        <f t="shared" si="2004"/>
        <v>0</v>
      </c>
      <c r="BG458" s="44">
        <f t="shared" si="2004"/>
        <v>0</v>
      </c>
      <c r="BH458" s="44">
        <f t="shared" si="2004"/>
        <v>0</v>
      </c>
      <c r="BI458" s="44">
        <f t="shared" si="2004"/>
        <v>0</v>
      </c>
      <c r="BJ458" s="44">
        <f t="shared" ref="BJ458:BK458" si="2005">BJ423+BJ446</f>
        <v>0</v>
      </c>
      <c r="BK458" s="44">
        <f t="shared" si="2005"/>
        <v>0</v>
      </c>
      <c r="BL458" s="44">
        <f t="shared" ref="BL458:BM458" si="2006">BL423+BL446</f>
        <v>0</v>
      </c>
      <c r="BM458" s="44">
        <f t="shared" si="2006"/>
        <v>0</v>
      </c>
      <c r="BN458" s="44">
        <f t="shared" ref="BN458:BO458" si="2007">BN423+BN446</f>
        <v>0</v>
      </c>
      <c r="BO458" s="44">
        <f t="shared" si="2007"/>
        <v>0</v>
      </c>
      <c r="BP458" s="44">
        <f t="shared" ref="BP458:BQ458" si="2008">BP423+BP446</f>
        <v>0</v>
      </c>
      <c r="BQ458" s="44">
        <f t="shared" si="2008"/>
        <v>0</v>
      </c>
      <c r="BR458" s="44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4">
        <f t="shared" ref="CT458:DF460" si="2009">CT423+CT446</f>
        <v>0</v>
      </c>
      <c r="CU458" s="44">
        <f t="shared" si="2009"/>
        <v>0</v>
      </c>
      <c r="CV458" s="44">
        <f t="shared" si="2009"/>
        <v>0</v>
      </c>
      <c r="CW458" s="44">
        <f t="shared" si="2009"/>
        <v>0</v>
      </c>
      <c r="CX458" s="44">
        <f t="shared" si="2009"/>
        <v>0</v>
      </c>
      <c r="CY458" s="44">
        <f t="shared" si="2009"/>
        <v>0</v>
      </c>
      <c r="CZ458" s="45">
        <f t="shared" si="2009"/>
        <v>0</v>
      </c>
      <c r="DA458" s="44">
        <f t="shared" si="2009"/>
        <v>0</v>
      </c>
      <c r="DB458" s="44">
        <f t="shared" si="2009"/>
        <v>0</v>
      </c>
      <c r="DC458" s="44">
        <f t="shared" si="2009"/>
        <v>0</v>
      </c>
      <c r="DD458" s="44">
        <f t="shared" si="2009"/>
        <v>0</v>
      </c>
      <c r="DE458" s="44">
        <f t="shared" si="2009"/>
        <v>0</v>
      </c>
      <c r="DF458" s="44">
        <f t="shared" si="2009"/>
        <v>0</v>
      </c>
      <c r="DG458" s="44">
        <f t="shared" ref="DG458:DH458" si="2010">DG423+DG446</f>
        <v>0</v>
      </c>
      <c r="DH458" s="44">
        <f t="shared" si="2010"/>
        <v>0</v>
      </c>
      <c r="DI458" s="44">
        <f t="shared" ref="DI458" si="2011">DI423+DI446</f>
        <v>0</v>
      </c>
    </row>
    <row r="459" spans="1:113" ht="12" hidden="1" outlineLevel="2">
      <c r="A459" s="1" t="s">
        <v>93</v>
      </c>
      <c r="B459" s="19" t="s">
        <v>358</v>
      </c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4">
        <f t="shared" ref="AP459:AR459" si="2012">AP424+AP447</f>
        <v>0</v>
      </c>
      <c r="AQ459" s="44">
        <f t="shared" si="2012"/>
        <v>0</v>
      </c>
      <c r="AR459" s="44">
        <f t="shared" si="2012"/>
        <v>0</v>
      </c>
      <c r="AS459" s="44">
        <f t="shared" ref="AS459:AT459" si="2013">AS424+AS447</f>
        <v>0</v>
      </c>
      <c r="AT459" s="44">
        <f t="shared" si="2013"/>
        <v>0</v>
      </c>
      <c r="AU459" s="44">
        <f t="shared" ref="AU459:AV459" si="2014">AU424+AU447</f>
        <v>0</v>
      </c>
      <c r="AV459" s="44">
        <f t="shared" si="2014"/>
        <v>0</v>
      </c>
      <c r="AW459" s="44">
        <f t="shared" ref="AW459:AX459" si="2015">AW424+AW447</f>
        <v>0</v>
      </c>
      <c r="AX459" s="44">
        <f t="shared" si="2015"/>
        <v>0</v>
      </c>
      <c r="AY459" s="44">
        <f t="shared" si="2004"/>
        <v>0</v>
      </c>
      <c r="AZ459" s="45">
        <f t="shared" si="2004"/>
        <v>0</v>
      </c>
      <c r="BA459" s="44">
        <f t="shared" si="2004"/>
        <v>0</v>
      </c>
      <c r="BB459" s="44">
        <f t="shared" si="2004"/>
        <v>0</v>
      </c>
      <c r="BC459" s="44">
        <f t="shared" si="2004"/>
        <v>0</v>
      </c>
      <c r="BD459" s="44">
        <f t="shared" si="2004"/>
        <v>0</v>
      </c>
      <c r="BE459" s="44">
        <f t="shared" si="2004"/>
        <v>0</v>
      </c>
      <c r="BF459" s="44">
        <f t="shared" si="2004"/>
        <v>0</v>
      </c>
      <c r="BG459" s="44">
        <f t="shared" si="2004"/>
        <v>0</v>
      </c>
      <c r="BH459" s="44">
        <f t="shared" si="2004"/>
        <v>0</v>
      </c>
      <c r="BI459" s="44">
        <f t="shared" si="2004"/>
        <v>0</v>
      </c>
      <c r="BJ459" s="44">
        <f t="shared" ref="BJ459:BK459" si="2016">BJ424+BJ447</f>
        <v>0</v>
      </c>
      <c r="BK459" s="44">
        <f t="shared" si="2016"/>
        <v>0</v>
      </c>
      <c r="BL459" s="44">
        <f t="shared" ref="BL459:BM459" si="2017">BL424+BL447</f>
        <v>0</v>
      </c>
      <c r="BM459" s="44">
        <f t="shared" si="2017"/>
        <v>0</v>
      </c>
      <c r="BN459" s="44">
        <f t="shared" ref="BN459:BO459" si="2018">BN424+BN447</f>
        <v>0</v>
      </c>
      <c r="BO459" s="44">
        <f t="shared" si="2018"/>
        <v>0</v>
      </c>
      <c r="BP459" s="44">
        <f t="shared" ref="BP459:BQ459" si="2019">BP424+BP447</f>
        <v>0</v>
      </c>
      <c r="BQ459" s="44">
        <f t="shared" si="2019"/>
        <v>0</v>
      </c>
      <c r="BR459" s="44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4">
        <f t="shared" si="2009"/>
        <v>0</v>
      </c>
      <c r="CU459" s="44">
        <f t="shared" si="2009"/>
        <v>0</v>
      </c>
      <c r="CV459" s="44">
        <f t="shared" si="2009"/>
        <v>0</v>
      </c>
      <c r="CW459" s="44">
        <f t="shared" si="2009"/>
        <v>0</v>
      </c>
      <c r="CX459" s="44">
        <f t="shared" si="2009"/>
        <v>0</v>
      </c>
      <c r="CY459" s="44">
        <f t="shared" si="2009"/>
        <v>0</v>
      </c>
      <c r="CZ459" s="45">
        <f t="shared" si="2009"/>
        <v>0</v>
      </c>
      <c r="DA459" s="44">
        <f t="shared" si="2009"/>
        <v>0</v>
      </c>
      <c r="DB459" s="44">
        <f t="shared" si="2009"/>
        <v>0</v>
      </c>
      <c r="DC459" s="44">
        <f t="shared" si="2009"/>
        <v>0</v>
      </c>
      <c r="DD459" s="44">
        <f t="shared" si="2009"/>
        <v>0</v>
      </c>
      <c r="DE459" s="44">
        <f t="shared" si="2009"/>
        <v>0</v>
      </c>
      <c r="DF459" s="44">
        <f t="shared" si="2009"/>
        <v>0</v>
      </c>
      <c r="DG459" s="44">
        <f t="shared" ref="DG459:DH459" si="2020">DG424+DG447</f>
        <v>0</v>
      </c>
      <c r="DH459" s="44">
        <f t="shared" si="2020"/>
        <v>0</v>
      </c>
      <c r="DI459" s="44">
        <f t="shared" ref="DI459" si="2021">DI424+DI447</f>
        <v>0</v>
      </c>
    </row>
    <row r="460" spans="1:113" ht="12" hidden="1" outlineLevel="2">
      <c r="A460" s="1" t="s">
        <v>94</v>
      </c>
      <c r="B460" s="19" t="s">
        <v>422</v>
      </c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4">
        <f t="shared" ref="AP460:AR460" si="2022">AP425+AP448</f>
        <v>0</v>
      </c>
      <c r="AQ460" s="44">
        <f t="shared" si="2022"/>
        <v>0</v>
      </c>
      <c r="AR460" s="44">
        <f t="shared" si="2022"/>
        <v>0</v>
      </c>
      <c r="AS460" s="44">
        <f t="shared" ref="AS460:AT460" si="2023">AS425+AS448</f>
        <v>0</v>
      </c>
      <c r="AT460" s="44">
        <f t="shared" si="2023"/>
        <v>0</v>
      </c>
      <c r="AU460" s="44">
        <f t="shared" ref="AU460:AV460" si="2024">AU425+AU448</f>
        <v>0</v>
      </c>
      <c r="AV460" s="44">
        <f t="shared" si="2024"/>
        <v>0</v>
      </c>
      <c r="AW460" s="44">
        <f t="shared" ref="AW460:AX460" si="2025">AW425+AW448</f>
        <v>5.8</v>
      </c>
      <c r="AX460" s="44">
        <f t="shared" si="2025"/>
        <v>0</v>
      </c>
      <c r="AY460" s="44">
        <f t="shared" si="2004"/>
        <v>0</v>
      </c>
      <c r="AZ460" s="45">
        <f t="shared" si="2004"/>
        <v>0</v>
      </c>
      <c r="BA460" s="44">
        <f t="shared" si="2004"/>
        <v>0</v>
      </c>
      <c r="BB460" s="44">
        <f t="shared" si="2004"/>
        <v>0</v>
      </c>
      <c r="BC460" s="44">
        <f t="shared" si="2004"/>
        <v>0</v>
      </c>
      <c r="BD460" s="44">
        <f t="shared" si="2004"/>
        <v>0</v>
      </c>
      <c r="BE460" s="44">
        <f t="shared" si="2004"/>
        <v>0</v>
      </c>
      <c r="BF460" s="44">
        <f t="shared" si="2004"/>
        <v>0</v>
      </c>
      <c r="BG460" s="44">
        <f t="shared" si="2004"/>
        <v>0</v>
      </c>
      <c r="BH460" s="44">
        <f t="shared" si="2004"/>
        <v>0</v>
      </c>
      <c r="BI460" s="44">
        <f t="shared" si="2004"/>
        <v>0</v>
      </c>
      <c r="BJ460" s="44">
        <f t="shared" ref="BJ460:BK460" si="2026">BJ425+BJ448</f>
        <v>0</v>
      </c>
      <c r="BK460" s="44">
        <f t="shared" si="2026"/>
        <v>0</v>
      </c>
      <c r="BL460" s="44">
        <f t="shared" ref="BL460:BM460" si="2027">BL425+BL448</f>
        <v>0</v>
      </c>
      <c r="BM460" s="44">
        <f t="shared" si="2027"/>
        <v>0</v>
      </c>
      <c r="BN460" s="44">
        <f t="shared" ref="BN460:BO460" si="2028">BN425+BN448</f>
        <v>0</v>
      </c>
      <c r="BO460" s="44">
        <f t="shared" si="2028"/>
        <v>0</v>
      </c>
      <c r="BP460" s="44">
        <f t="shared" ref="BP460:BQ460" si="2029">BP425+BP448</f>
        <v>0</v>
      </c>
      <c r="BQ460" s="44">
        <f t="shared" si="2029"/>
        <v>0</v>
      </c>
      <c r="BR460" s="44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4">
        <f t="shared" si="2009"/>
        <v>0</v>
      </c>
      <c r="CU460" s="44">
        <f t="shared" si="2009"/>
        <v>0</v>
      </c>
      <c r="CV460" s="44">
        <f t="shared" si="2009"/>
        <v>0</v>
      </c>
      <c r="CW460" s="44">
        <f t="shared" si="2009"/>
        <v>0</v>
      </c>
      <c r="CX460" s="44">
        <f t="shared" si="2009"/>
        <v>0</v>
      </c>
      <c r="CY460" s="44">
        <f t="shared" si="2009"/>
        <v>5.8</v>
      </c>
      <c r="CZ460" s="45">
        <f t="shared" si="2009"/>
        <v>0</v>
      </c>
      <c r="DA460" s="44">
        <f t="shared" si="2009"/>
        <v>0</v>
      </c>
      <c r="DB460" s="44">
        <f t="shared" si="2009"/>
        <v>0</v>
      </c>
      <c r="DC460" s="44">
        <f t="shared" si="2009"/>
        <v>0</v>
      </c>
      <c r="DD460" s="44">
        <f t="shared" si="2009"/>
        <v>0</v>
      </c>
      <c r="DE460" s="44">
        <f t="shared" si="2009"/>
        <v>0</v>
      </c>
      <c r="DF460" s="44">
        <f t="shared" si="2009"/>
        <v>0</v>
      </c>
      <c r="DG460" s="44">
        <f t="shared" ref="DG460:DH460" si="2030">DG425+DG448</f>
        <v>0</v>
      </c>
      <c r="DH460" s="44">
        <f t="shared" si="2030"/>
        <v>0</v>
      </c>
      <c r="DI460" s="44">
        <f t="shared" ref="DI460" si="2031">DI425+DI448</f>
        <v>0</v>
      </c>
    </row>
    <row r="461" spans="1:113" s="24" customFormat="1" ht="12" hidden="1" outlineLevel="2">
      <c r="A461" s="1" t="s">
        <v>95</v>
      </c>
      <c r="B461" s="24" t="s">
        <v>318</v>
      </c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  <c r="AJ461" s="55"/>
      <c r="AK461" s="55"/>
      <c r="AL461" s="55"/>
      <c r="AM461" s="55"/>
      <c r="AN461" s="55"/>
      <c r="AO461" s="55"/>
      <c r="AP461" s="526">
        <f t="shared" ref="AP461:AR461" si="2032">SUM(AP454:AP460)</f>
        <v>1.9000000000000057</v>
      </c>
      <c r="AQ461" s="526">
        <f t="shared" si="2032"/>
        <v>0.80000000000000426</v>
      </c>
      <c r="AR461" s="526">
        <f t="shared" si="2032"/>
        <v>12.600000000000009</v>
      </c>
      <c r="AS461" s="526">
        <f t="shared" ref="AS461:AT461" si="2033">SUM(AS454:AS460)</f>
        <v>28.399999999999991</v>
      </c>
      <c r="AT461" s="526">
        <f t="shared" si="2033"/>
        <v>75.499999999999986</v>
      </c>
      <c r="AU461" s="526">
        <f t="shared" ref="AU461:AV461" si="2034">SUM(AU454:AU460)</f>
        <v>86.59999999999998</v>
      </c>
      <c r="AV461" s="526">
        <f t="shared" si="2034"/>
        <v>94.2</v>
      </c>
      <c r="AW461" s="526">
        <f t="shared" ref="AW461:AX461" si="2035">SUM(AW454:AW460)</f>
        <v>86.000000000000014</v>
      </c>
      <c r="AX461" s="526">
        <f t="shared" si="2035"/>
        <v>85.5</v>
      </c>
      <c r="AY461" s="526">
        <f t="shared" ref="AY461:BI461" si="2036">SUM(AY454:AY460)</f>
        <v>115.60000000000002</v>
      </c>
      <c r="AZ461" s="524">
        <f t="shared" si="2036"/>
        <v>126.59999999999997</v>
      </c>
      <c r="BA461" s="526">
        <f t="shared" si="2036"/>
        <v>149.90939024320221</v>
      </c>
      <c r="BB461" s="526">
        <f t="shared" si="2036"/>
        <v>168.08167882683392</v>
      </c>
      <c r="BC461" s="526">
        <f t="shared" si="2036"/>
        <v>183.57548893298701</v>
      </c>
      <c r="BD461" s="526">
        <f t="shared" si="2036"/>
        <v>202.96182684430269</v>
      </c>
      <c r="BE461" s="526">
        <f t="shared" si="2036"/>
        <v>221.59936099496582</v>
      </c>
      <c r="BF461" s="526">
        <f t="shared" si="2036"/>
        <v>239.7395347318041</v>
      </c>
      <c r="BG461" s="526">
        <f t="shared" si="2036"/>
        <v>256.11781090783165</v>
      </c>
      <c r="BH461" s="526">
        <f t="shared" si="2036"/>
        <v>273.66245497050733</v>
      </c>
      <c r="BI461" s="526">
        <f t="shared" si="2036"/>
        <v>287.63045583840005</v>
      </c>
      <c r="BJ461" s="526">
        <f t="shared" ref="BJ461:BK461" si="2037">SUM(BJ454:BJ460)</f>
        <v>302.91081125060725</v>
      </c>
      <c r="BK461" s="526">
        <f t="shared" si="2037"/>
        <v>314.9566377818993</v>
      </c>
      <c r="BL461" s="526">
        <f t="shared" ref="BL461:BM461" si="2038">SUM(BL454:BL460)</f>
        <v>326.37024847158381</v>
      </c>
      <c r="BM461" s="526">
        <f t="shared" si="2038"/>
        <v>337.00296223915325</v>
      </c>
      <c r="BN461" s="526">
        <f t="shared" ref="BN461:BO461" si="2039">SUM(BN454:BN460)</f>
        <v>347.29407085868968</v>
      </c>
      <c r="BO461" s="526">
        <f t="shared" si="2039"/>
        <v>353.93315995383034</v>
      </c>
      <c r="BP461" s="526">
        <f t="shared" ref="BP461:BQ461" si="2040">SUM(BP454:BP460)</f>
        <v>365.19917951122432</v>
      </c>
      <c r="BQ461" s="526">
        <f t="shared" si="2040"/>
        <v>371.63178865650013</v>
      </c>
      <c r="BR461" s="526"/>
      <c r="BS461" s="55"/>
      <c r="BT461" s="55"/>
      <c r="BU461" s="55"/>
      <c r="BV461" s="55"/>
      <c r="BW461" s="55"/>
      <c r="BX461" s="55"/>
      <c r="BY461" s="55"/>
      <c r="BZ461" s="55"/>
      <c r="CA461" s="55"/>
      <c r="CB461" s="55"/>
      <c r="CC461" s="55"/>
      <c r="CD461" s="55"/>
      <c r="CE461" s="55"/>
      <c r="CF461" s="55"/>
      <c r="CG461" s="55"/>
      <c r="CH461" s="55"/>
      <c r="CI461" s="55"/>
      <c r="CJ461" s="55"/>
      <c r="CK461" s="55"/>
      <c r="CL461" s="55"/>
      <c r="CM461" s="55"/>
      <c r="CN461" s="55"/>
      <c r="CO461" s="55"/>
      <c r="CP461" s="55"/>
      <c r="CQ461" s="55"/>
      <c r="CR461" s="55"/>
      <c r="CS461" s="55"/>
      <c r="CT461" s="526">
        <f t="shared" ref="CT461:CV461" si="2041">SUM(CT454:CT460)</f>
        <v>-30.198</v>
      </c>
      <c r="CU461" s="526">
        <f t="shared" si="2041"/>
        <v>-31.488</v>
      </c>
      <c r="CV461" s="526">
        <f t="shared" si="2041"/>
        <v>2.7000000000000028</v>
      </c>
      <c r="CW461" s="526">
        <f t="shared" ref="CW461:DF461" si="2042">SUM(CW454:CW460)</f>
        <v>41</v>
      </c>
      <c r="CX461" s="526">
        <f t="shared" si="2042"/>
        <v>162.1</v>
      </c>
      <c r="CY461" s="526">
        <f t="shared" si="2042"/>
        <v>180.2</v>
      </c>
      <c r="CZ461" s="524">
        <f t="shared" si="2042"/>
        <v>201.10000000000008</v>
      </c>
      <c r="DA461" s="526">
        <f t="shared" si="2042"/>
        <v>276.50939024320218</v>
      </c>
      <c r="DB461" s="526">
        <f t="shared" si="2042"/>
        <v>351.65716775982105</v>
      </c>
      <c r="DC461" s="526">
        <f t="shared" si="2042"/>
        <v>424.56118783926854</v>
      </c>
      <c r="DD461" s="526">
        <f t="shared" si="2042"/>
        <v>495.85734563963581</v>
      </c>
      <c r="DE461" s="526">
        <f t="shared" si="2042"/>
        <v>561.29291080890732</v>
      </c>
      <c r="DF461" s="526">
        <f t="shared" si="2042"/>
        <v>617.86744903250656</v>
      </c>
      <c r="DG461" s="526">
        <f t="shared" ref="DG461:DH461" si="2043">SUM(DG454:DG460)</f>
        <v>663.37321071073711</v>
      </c>
      <c r="DH461" s="526">
        <f t="shared" si="2043"/>
        <v>701.22723081252013</v>
      </c>
      <c r="DI461" s="526">
        <f t="shared" ref="DI461" si="2044">SUM(DI454:DI460)</f>
        <v>736.83096816772445</v>
      </c>
    </row>
    <row r="462" spans="1:113" ht="12" hidden="1" outlineLevel="2">
      <c r="A462" s="1" t="s">
        <v>96</v>
      </c>
      <c r="B462" s="19" t="s">
        <v>526</v>
      </c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4">
        <f t="shared" ref="AP462:AR462" si="2045">AP427+AP450</f>
        <v>2.0999999999999943</v>
      </c>
      <c r="AQ462" s="44">
        <f t="shared" si="2045"/>
        <v>0.79999999999999716</v>
      </c>
      <c r="AR462" s="44">
        <f t="shared" si="2045"/>
        <v>-22.799999999999997</v>
      </c>
      <c r="AS462" s="44">
        <f t="shared" ref="AS462:AT462" si="2046">AS427+AS450</f>
        <v>0</v>
      </c>
      <c r="AT462" s="44">
        <f t="shared" si="2046"/>
        <v>0</v>
      </c>
      <c r="AU462" s="44">
        <f t="shared" ref="AU462:AV462" si="2047">AU427+AU450</f>
        <v>0</v>
      </c>
      <c r="AV462" s="44">
        <f t="shared" si="2047"/>
        <v>0</v>
      </c>
      <c r="AW462" s="44">
        <f t="shared" ref="AW462:AX462" si="2048">AW427+AW450</f>
        <v>-5.7999999999999972</v>
      </c>
      <c r="AX462" s="44">
        <f t="shared" si="2048"/>
        <v>0</v>
      </c>
      <c r="AY462" s="44">
        <f t="shared" ref="AY462:BI462" si="2049">AY427+AY450</f>
        <v>0</v>
      </c>
      <c r="AZ462" s="45">
        <f t="shared" si="2049"/>
        <v>0</v>
      </c>
      <c r="BA462" s="44">
        <f t="shared" si="2049"/>
        <v>0</v>
      </c>
      <c r="BB462" s="44">
        <f t="shared" si="2049"/>
        <v>0</v>
      </c>
      <c r="BC462" s="44">
        <f t="shared" si="2049"/>
        <v>0</v>
      </c>
      <c r="BD462" s="44">
        <f t="shared" si="2049"/>
        <v>0</v>
      </c>
      <c r="BE462" s="44">
        <f t="shared" si="2049"/>
        <v>0</v>
      </c>
      <c r="BF462" s="44">
        <f t="shared" si="2049"/>
        <v>0</v>
      </c>
      <c r="BG462" s="44">
        <f t="shared" si="2049"/>
        <v>0</v>
      </c>
      <c r="BH462" s="44">
        <f t="shared" si="2049"/>
        <v>0</v>
      </c>
      <c r="BI462" s="44">
        <f t="shared" si="2049"/>
        <v>0</v>
      </c>
      <c r="BJ462" s="44">
        <f t="shared" ref="BJ462:BK462" si="2050">BJ427+BJ450</f>
        <v>0</v>
      </c>
      <c r="BK462" s="44">
        <f t="shared" si="2050"/>
        <v>0</v>
      </c>
      <c r="BL462" s="44">
        <f t="shared" ref="BL462:BM462" si="2051">BL427+BL450</f>
        <v>0</v>
      </c>
      <c r="BM462" s="44">
        <f t="shared" si="2051"/>
        <v>0</v>
      </c>
      <c r="BN462" s="44">
        <f t="shared" ref="BN462:BO462" si="2052">BN427+BN450</f>
        <v>0</v>
      </c>
      <c r="BO462" s="44">
        <f t="shared" si="2052"/>
        <v>0</v>
      </c>
      <c r="BP462" s="44">
        <f t="shared" ref="BP462:BQ462" si="2053">BP427+BP450</f>
        <v>0</v>
      </c>
      <c r="BQ462" s="44">
        <f t="shared" si="2053"/>
        <v>0</v>
      </c>
      <c r="BR462" s="44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4">
        <f t="shared" ref="CT462:DF462" si="2054">CT427+CT450</f>
        <v>4.1479999999999997</v>
      </c>
      <c r="CU462" s="44">
        <f t="shared" si="2054"/>
        <v>4.1480000000000032</v>
      </c>
      <c r="CV462" s="44">
        <f t="shared" si="2054"/>
        <v>2.8999999999999915</v>
      </c>
      <c r="CW462" s="44">
        <f t="shared" si="2054"/>
        <v>-22.799999999999997</v>
      </c>
      <c r="CX462" s="44">
        <f t="shared" si="2054"/>
        <v>0</v>
      </c>
      <c r="CY462" s="44">
        <f t="shared" si="2054"/>
        <v>-5.7999999999999972</v>
      </c>
      <c r="CZ462" s="45">
        <f t="shared" si="2054"/>
        <v>0</v>
      </c>
      <c r="DA462" s="44">
        <f t="shared" si="2054"/>
        <v>0</v>
      </c>
      <c r="DB462" s="44">
        <f t="shared" si="2054"/>
        <v>0</v>
      </c>
      <c r="DC462" s="44">
        <f t="shared" si="2054"/>
        <v>0</v>
      </c>
      <c r="DD462" s="44">
        <f t="shared" si="2054"/>
        <v>0</v>
      </c>
      <c r="DE462" s="44">
        <f t="shared" si="2054"/>
        <v>0</v>
      </c>
      <c r="DF462" s="44">
        <f t="shared" si="2054"/>
        <v>0</v>
      </c>
      <c r="DG462" s="44">
        <f t="shared" ref="DG462:DH462" si="2055">DG427+DG450</f>
        <v>0</v>
      </c>
      <c r="DH462" s="44">
        <f t="shared" si="2055"/>
        <v>0</v>
      </c>
      <c r="DI462" s="44">
        <f t="shared" ref="DI462" si="2056">DI427+DI450</f>
        <v>0</v>
      </c>
    </row>
    <row r="463" spans="1:113" s="24" customFormat="1" ht="12" hidden="1" outlineLevel="2">
      <c r="A463" s="1" t="s">
        <v>97</v>
      </c>
      <c r="B463" s="24" t="s">
        <v>475</v>
      </c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  <c r="AJ463" s="55"/>
      <c r="AK463" s="55"/>
      <c r="AL463" s="55"/>
      <c r="AM463" s="55"/>
      <c r="AN463" s="55"/>
      <c r="AO463" s="55"/>
      <c r="AP463" s="526">
        <f t="shared" ref="AP463:AR463" si="2057">AP461+AP462</f>
        <v>4</v>
      </c>
      <c r="AQ463" s="526">
        <f t="shared" si="2057"/>
        <v>1.6000000000000014</v>
      </c>
      <c r="AR463" s="526">
        <f t="shared" si="2057"/>
        <v>-10.199999999999989</v>
      </c>
      <c r="AS463" s="526">
        <f t="shared" ref="AS463:AT463" si="2058">AS461+AS462</f>
        <v>28.399999999999991</v>
      </c>
      <c r="AT463" s="526">
        <f t="shared" si="2058"/>
        <v>75.499999999999986</v>
      </c>
      <c r="AU463" s="526">
        <f t="shared" ref="AU463:AV463" si="2059">AU461+AU462</f>
        <v>86.59999999999998</v>
      </c>
      <c r="AV463" s="526">
        <f t="shared" si="2059"/>
        <v>94.2</v>
      </c>
      <c r="AW463" s="526">
        <f t="shared" ref="AW463:AX463" si="2060">AW461+AW462</f>
        <v>80.200000000000017</v>
      </c>
      <c r="AX463" s="526">
        <f t="shared" si="2060"/>
        <v>85.5</v>
      </c>
      <c r="AY463" s="526">
        <f t="shared" ref="AY463:BI463" si="2061">AY461+AY462</f>
        <v>115.60000000000002</v>
      </c>
      <c r="AZ463" s="524">
        <f t="shared" si="2061"/>
        <v>126.59999999999997</v>
      </c>
      <c r="BA463" s="526">
        <f t="shared" si="2061"/>
        <v>149.90939024320221</v>
      </c>
      <c r="BB463" s="526">
        <f t="shared" si="2061"/>
        <v>168.08167882683392</v>
      </c>
      <c r="BC463" s="526">
        <f t="shared" si="2061"/>
        <v>183.57548893298701</v>
      </c>
      <c r="BD463" s="526">
        <f t="shared" si="2061"/>
        <v>202.96182684430269</v>
      </c>
      <c r="BE463" s="526">
        <f t="shared" si="2061"/>
        <v>221.59936099496582</v>
      </c>
      <c r="BF463" s="526">
        <f t="shared" si="2061"/>
        <v>239.7395347318041</v>
      </c>
      <c r="BG463" s="526">
        <f t="shared" si="2061"/>
        <v>256.11781090783165</v>
      </c>
      <c r="BH463" s="526">
        <f t="shared" si="2061"/>
        <v>273.66245497050733</v>
      </c>
      <c r="BI463" s="526">
        <f t="shared" si="2061"/>
        <v>287.63045583840005</v>
      </c>
      <c r="BJ463" s="526">
        <f t="shared" ref="BJ463:BK463" si="2062">BJ461+BJ462</f>
        <v>302.91081125060725</v>
      </c>
      <c r="BK463" s="526">
        <f t="shared" si="2062"/>
        <v>314.9566377818993</v>
      </c>
      <c r="BL463" s="526">
        <f t="shared" ref="BL463:BM463" si="2063">BL461+BL462</f>
        <v>326.37024847158381</v>
      </c>
      <c r="BM463" s="526">
        <f t="shared" si="2063"/>
        <v>337.00296223915325</v>
      </c>
      <c r="BN463" s="526">
        <f t="shared" ref="BN463:BO463" si="2064">BN461+BN462</f>
        <v>347.29407085868968</v>
      </c>
      <c r="BO463" s="526">
        <f t="shared" si="2064"/>
        <v>353.93315995383034</v>
      </c>
      <c r="BP463" s="526">
        <f t="shared" ref="BP463:BQ463" si="2065">BP461+BP462</f>
        <v>365.19917951122432</v>
      </c>
      <c r="BQ463" s="526">
        <f t="shared" si="2065"/>
        <v>371.63178865650013</v>
      </c>
      <c r="BR463" s="526"/>
      <c r="BS463" s="55"/>
      <c r="BT463" s="55"/>
      <c r="BU463" s="55"/>
      <c r="BV463" s="55"/>
      <c r="BW463" s="55"/>
      <c r="BX463" s="55"/>
      <c r="BY463" s="55"/>
      <c r="BZ463" s="55"/>
      <c r="CA463" s="55"/>
      <c r="CB463" s="55"/>
      <c r="CC463" s="55"/>
      <c r="CD463" s="55"/>
      <c r="CE463" s="55"/>
      <c r="CF463" s="55"/>
      <c r="CG463" s="55"/>
      <c r="CH463" s="55"/>
      <c r="CI463" s="55"/>
      <c r="CJ463" s="55"/>
      <c r="CK463" s="55"/>
      <c r="CL463" s="55"/>
      <c r="CM463" s="55"/>
      <c r="CN463" s="55"/>
      <c r="CO463" s="55"/>
      <c r="CP463" s="55"/>
      <c r="CQ463" s="55"/>
      <c r="CR463" s="55"/>
      <c r="CS463" s="55"/>
      <c r="CT463" s="526">
        <f t="shared" ref="CT463:DF463" si="2066">CT461+CT462</f>
        <v>-26.05</v>
      </c>
      <c r="CU463" s="526">
        <f t="shared" si="2066"/>
        <v>-27.339999999999996</v>
      </c>
      <c r="CV463" s="526">
        <f t="shared" si="2066"/>
        <v>5.5999999999999943</v>
      </c>
      <c r="CW463" s="526">
        <f t="shared" si="2066"/>
        <v>18.200000000000003</v>
      </c>
      <c r="CX463" s="526">
        <f t="shared" si="2066"/>
        <v>162.1</v>
      </c>
      <c r="CY463" s="526">
        <f t="shared" si="2066"/>
        <v>174.39999999999998</v>
      </c>
      <c r="CZ463" s="524">
        <f t="shared" si="2066"/>
        <v>201.10000000000008</v>
      </c>
      <c r="DA463" s="526">
        <f t="shared" si="2066"/>
        <v>276.50939024320218</v>
      </c>
      <c r="DB463" s="526">
        <f t="shared" si="2066"/>
        <v>351.65716775982105</v>
      </c>
      <c r="DC463" s="526">
        <f t="shared" si="2066"/>
        <v>424.56118783926854</v>
      </c>
      <c r="DD463" s="526">
        <f t="shared" si="2066"/>
        <v>495.85734563963581</v>
      </c>
      <c r="DE463" s="526">
        <f t="shared" si="2066"/>
        <v>561.29291080890732</v>
      </c>
      <c r="DF463" s="526">
        <f t="shared" si="2066"/>
        <v>617.86744903250656</v>
      </c>
      <c r="DG463" s="526">
        <f t="shared" ref="DG463:DH463" si="2067">DG461+DG462</f>
        <v>663.37321071073711</v>
      </c>
      <c r="DH463" s="526">
        <f t="shared" si="2067"/>
        <v>701.22723081252013</v>
      </c>
      <c r="DI463" s="526">
        <f t="shared" ref="DI463" si="2068">DI461+DI462</f>
        <v>736.83096816772445</v>
      </c>
    </row>
    <row r="464" spans="1:113" ht="12" collapsed="1"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394"/>
      <c r="AK464" s="42"/>
      <c r="AL464" s="42"/>
      <c r="AM464" s="42"/>
      <c r="AN464" s="42"/>
      <c r="AO464" s="42"/>
      <c r="AP464" s="572"/>
      <c r="AQ464" s="572"/>
      <c r="AR464" s="572"/>
      <c r="AS464" s="572"/>
      <c r="AT464" s="572"/>
      <c r="AU464" s="572"/>
      <c r="AV464" s="572"/>
      <c r="AW464" s="572"/>
      <c r="AX464" s="572"/>
      <c r="AY464" s="44"/>
      <c r="AZ464" s="45"/>
      <c r="BA464" s="44"/>
      <c r="BB464" s="44"/>
      <c r="BC464" s="44"/>
      <c r="BD464" s="44"/>
      <c r="BE464" s="44"/>
      <c r="BF464" s="44"/>
      <c r="BG464" s="44"/>
      <c r="BH464" s="44"/>
      <c r="BI464" s="44"/>
      <c r="BJ464" s="44"/>
      <c r="BK464" s="44"/>
      <c r="BL464" s="44"/>
      <c r="BM464" s="44"/>
      <c r="BN464" s="44"/>
      <c r="BO464" s="44"/>
      <c r="BP464" s="44"/>
      <c r="BQ464" s="44"/>
      <c r="BR464" s="44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285"/>
      <c r="CP464" s="42"/>
      <c r="CQ464" s="42"/>
      <c r="CR464" s="42"/>
      <c r="CS464" s="172"/>
      <c r="CT464" s="572"/>
      <c r="CU464" s="44"/>
      <c r="CV464" s="572"/>
      <c r="CW464" s="572"/>
      <c r="CX464" s="572"/>
      <c r="CY464" s="572"/>
      <c r="CZ464" s="658"/>
      <c r="DA464" s="632"/>
      <c r="DB464" s="632"/>
      <c r="DC464" s="529"/>
      <c r="DD464" s="529"/>
      <c r="DE464" s="529"/>
      <c r="DF464" s="529"/>
      <c r="DG464" s="529"/>
      <c r="DH464" s="529"/>
      <c r="DI464" s="529"/>
    </row>
    <row r="465" spans="1:113" s="36" customFormat="1" ht="12" collapsed="1">
      <c r="A465" s="1" t="s">
        <v>679</v>
      </c>
      <c r="B465" s="2" t="s">
        <v>476</v>
      </c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  <c r="AJ465" s="55"/>
      <c r="AK465" s="55"/>
      <c r="AL465" s="55"/>
      <c r="AM465" s="55"/>
      <c r="AN465" s="55"/>
      <c r="AO465" s="55"/>
      <c r="AP465" s="527">
        <f t="shared" ref="AP465:AR465" si="2069">AP472</f>
        <v>-8.5</v>
      </c>
      <c r="AQ465" s="527">
        <f t="shared" si="2069"/>
        <v>-1.5</v>
      </c>
      <c r="AR465" s="527">
        <f t="shared" si="2069"/>
        <v>-9.6</v>
      </c>
      <c r="AS465" s="527">
        <f t="shared" ref="AS465:AT465" si="2070">AS472</f>
        <v>-15.8</v>
      </c>
      <c r="AT465" s="527">
        <f t="shared" si="2070"/>
        <v>-22.3</v>
      </c>
      <c r="AU465" s="527">
        <f t="shared" ref="AU465:AV465" si="2071">AU472</f>
        <v>-32.299999999999997</v>
      </c>
      <c r="AV465" s="527">
        <f t="shared" si="2071"/>
        <v>-26.8</v>
      </c>
      <c r="AW465" s="527">
        <f t="shared" ref="AW465:AX465" si="2072">AW472</f>
        <v>-43.3</v>
      </c>
      <c r="AX465" s="527">
        <f t="shared" si="2072"/>
        <v>-28.8</v>
      </c>
      <c r="AY465" s="527">
        <f t="shared" ref="AY465:BI465" si="2073">AY472</f>
        <v>-46.7</v>
      </c>
      <c r="AZ465" s="528">
        <f t="shared" si="2073"/>
        <v>-40.1</v>
      </c>
      <c r="BA465" s="527">
        <f t="shared" si="2073"/>
        <v>-43.977375357122568</v>
      </c>
      <c r="BB465" s="527">
        <f t="shared" si="2073"/>
        <v>-53.104365810233851</v>
      </c>
      <c r="BC465" s="527">
        <f t="shared" si="2073"/>
        <v>-64.646156150107572</v>
      </c>
      <c r="BD465" s="527">
        <f t="shared" si="2073"/>
        <v>-63.695814751189573</v>
      </c>
      <c r="BE465" s="527">
        <f t="shared" si="2073"/>
        <v>-69.851708397097724</v>
      </c>
      <c r="BF465" s="527">
        <f t="shared" si="2073"/>
        <v>-66.387341344430283</v>
      </c>
      <c r="BG465" s="527">
        <f t="shared" si="2073"/>
        <v>-67.404158651872066</v>
      </c>
      <c r="BH465" s="527">
        <f t="shared" si="2073"/>
        <v>-65.808117991112482</v>
      </c>
      <c r="BI465" s="527">
        <f t="shared" si="2073"/>
        <v>-71.305919900067693</v>
      </c>
      <c r="BJ465" s="527">
        <f t="shared" ref="BJ465:BK465" si="2074">BJ472</f>
        <v>-68.674854786599525</v>
      </c>
      <c r="BK465" s="527">
        <f t="shared" si="2074"/>
        <v>-74.083865489362211</v>
      </c>
      <c r="BL465" s="527">
        <f t="shared" ref="BL465:BM465" si="2075">BL472</f>
        <v>-70.366353175507001</v>
      </c>
      <c r="BM465" s="527">
        <f t="shared" si="2075"/>
        <v>-75.401811632617324</v>
      </c>
      <c r="BN465" s="527">
        <f t="shared" ref="BN465:BO465" si="2076">BN472</f>
        <v>-71.770171036508145</v>
      </c>
      <c r="BO465" s="527">
        <f t="shared" si="2076"/>
        <v>-76.654433943381676</v>
      </c>
      <c r="BP465" s="527">
        <f t="shared" ref="BP465:BQ465" si="2077">BP472</f>
        <v>-73.751665274869993</v>
      </c>
      <c r="BQ465" s="527">
        <f t="shared" si="2077"/>
        <v>-78.817488083370279</v>
      </c>
      <c r="BR465" s="527"/>
      <c r="BS465" s="52"/>
      <c r="BT465" s="52"/>
      <c r="BU465" s="52"/>
      <c r="BV465" s="52"/>
      <c r="BW465" s="52"/>
      <c r="BX465" s="52"/>
      <c r="BY465" s="52"/>
      <c r="BZ465" s="52"/>
      <c r="CA465" s="52"/>
      <c r="CB465" s="52"/>
      <c r="CC465" s="52"/>
      <c r="CD465" s="52"/>
      <c r="CE465" s="52"/>
      <c r="CF465" s="52"/>
      <c r="CG465" s="52"/>
      <c r="CH465" s="52"/>
      <c r="CI465" s="52"/>
      <c r="CJ465" s="52"/>
      <c r="CK465" s="52"/>
      <c r="CL465" s="52"/>
      <c r="CM465" s="52"/>
      <c r="CN465" s="52"/>
      <c r="CO465" s="52"/>
      <c r="CP465" s="52"/>
      <c r="CQ465" s="52"/>
      <c r="CR465" s="52"/>
      <c r="CS465" s="52"/>
      <c r="CT465" s="527">
        <f t="shared" ref="CT465:DF465" si="2078">CT472</f>
        <v>-1.9155</v>
      </c>
      <c r="CU465" s="527">
        <f t="shared" si="2078"/>
        <v>-23.503499999999999</v>
      </c>
      <c r="CV465" s="527">
        <f t="shared" si="2078"/>
        <v>-10</v>
      </c>
      <c r="CW465" s="527">
        <f t="shared" si="2078"/>
        <v>-25.4</v>
      </c>
      <c r="CX465" s="527">
        <f t="shared" si="2078"/>
        <v>-54.599999999999994</v>
      </c>
      <c r="CY465" s="527">
        <f t="shared" si="2078"/>
        <v>-70.099999999999994</v>
      </c>
      <c r="CZ465" s="528">
        <f t="shared" si="2078"/>
        <v>-75.5</v>
      </c>
      <c r="DA465" s="527">
        <f t="shared" si="2078"/>
        <v>-84.077375357122577</v>
      </c>
      <c r="DB465" s="527">
        <f t="shared" si="2078"/>
        <v>-117.75052196034142</v>
      </c>
      <c r="DC465" s="527">
        <f t="shared" si="2078"/>
        <v>-133.5475231482873</v>
      </c>
      <c r="DD465" s="527">
        <f t="shared" si="2078"/>
        <v>-133.79149999630235</v>
      </c>
      <c r="DE465" s="527">
        <f t="shared" si="2078"/>
        <v>-137.11403789118017</v>
      </c>
      <c r="DF465" s="527">
        <f t="shared" si="2078"/>
        <v>-142.75872027596174</v>
      </c>
      <c r="DG465" s="527">
        <f t="shared" ref="DG465:DH465" si="2079">DG472</f>
        <v>-145.76816480812431</v>
      </c>
      <c r="DH465" s="527">
        <f t="shared" si="2079"/>
        <v>-148.42460497988981</v>
      </c>
      <c r="DI465" s="527">
        <f t="shared" ref="DI465" si="2080">DI472</f>
        <v>-152.56915335824027</v>
      </c>
    </row>
    <row r="466" spans="1:113" ht="12" hidden="1" outlineLevel="1"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4"/>
      <c r="AQ466" s="44"/>
      <c r="AR466" s="44"/>
      <c r="AS466" s="44"/>
      <c r="AT466" s="44"/>
      <c r="AU466" s="44"/>
      <c r="AV466" s="44"/>
      <c r="AW466" s="44"/>
      <c r="AX466" s="44"/>
      <c r="AY466" s="42"/>
      <c r="AZ466" s="43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/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4"/>
      <c r="CU466" s="44"/>
      <c r="CV466" s="44"/>
      <c r="CW466" s="44"/>
      <c r="CX466" s="44"/>
      <c r="CY466" s="44"/>
      <c r="CZ466" s="45"/>
      <c r="DA466" s="44"/>
      <c r="DB466" s="44"/>
      <c r="DC466" s="529"/>
      <c r="DD466" s="529"/>
      <c r="DE466" s="529"/>
      <c r="DF466" s="529"/>
      <c r="DG466" s="529"/>
      <c r="DH466" s="529"/>
      <c r="DI466" s="529"/>
    </row>
    <row r="467" spans="1:113" ht="12" hidden="1" outlineLevel="1">
      <c r="A467" s="1" t="s">
        <v>680</v>
      </c>
      <c r="B467" s="19" t="s">
        <v>486</v>
      </c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538">
        <v>0</v>
      </c>
      <c r="AQ467" s="538">
        <v>0</v>
      </c>
      <c r="AR467" s="538">
        <v>0</v>
      </c>
      <c r="AS467" s="538">
        <v>0</v>
      </c>
      <c r="AT467" s="538">
        <v>0</v>
      </c>
      <c r="AU467" s="538">
        <v>0</v>
      </c>
      <c r="AV467" s="538">
        <v>0</v>
      </c>
      <c r="AW467" s="538">
        <v>0</v>
      </c>
      <c r="AX467" s="538">
        <v>0</v>
      </c>
      <c r="AY467" s="538">
        <v>0</v>
      </c>
      <c r="AZ467" s="530">
        <v>0</v>
      </c>
      <c r="BA467" s="44">
        <f t="shared" ref="BA467:BI467" si="2081">-BA109*BA232/BA$5</f>
        <v>0</v>
      </c>
      <c r="BB467" s="44">
        <f t="shared" si="2081"/>
        <v>0</v>
      </c>
      <c r="BC467" s="44">
        <f t="shared" si="2081"/>
        <v>0</v>
      </c>
      <c r="BD467" s="44">
        <f t="shared" si="2081"/>
        <v>0</v>
      </c>
      <c r="BE467" s="44">
        <f t="shared" si="2081"/>
        <v>0</v>
      </c>
      <c r="BF467" s="44">
        <f t="shared" si="2081"/>
        <v>0</v>
      </c>
      <c r="BG467" s="44">
        <f t="shared" si="2081"/>
        <v>0</v>
      </c>
      <c r="BH467" s="44">
        <f t="shared" si="2081"/>
        <v>0</v>
      </c>
      <c r="BI467" s="44">
        <f t="shared" si="2081"/>
        <v>0</v>
      </c>
      <c r="BJ467" s="44">
        <f t="shared" ref="BJ467:BK467" si="2082">-BJ109*BJ232/BJ$5</f>
        <v>0</v>
      </c>
      <c r="BK467" s="44">
        <f t="shared" si="2082"/>
        <v>0</v>
      </c>
      <c r="BL467" s="44">
        <f t="shared" ref="BL467:BM467" si="2083">-BL109*BL232/BL$5</f>
        <v>0</v>
      </c>
      <c r="BM467" s="44">
        <f t="shared" si="2083"/>
        <v>0</v>
      </c>
      <c r="BN467" s="44">
        <f t="shared" ref="BN467:BO467" si="2084">-BN109*BN232/BN$5</f>
        <v>0</v>
      </c>
      <c r="BO467" s="44">
        <f t="shared" si="2084"/>
        <v>0</v>
      </c>
      <c r="BP467" s="44">
        <f t="shared" ref="BP467:BQ467" si="2085">-BP109*BP232/BP$5</f>
        <v>0</v>
      </c>
      <c r="BQ467" s="44">
        <f t="shared" si="2085"/>
        <v>0</v>
      </c>
      <c r="BR467" s="44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538">
        <v>0</v>
      </c>
      <c r="CU467" s="538">
        <v>0</v>
      </c>
      <c r="CV467" s="44">
        <f t="shared" ref="CV467:CV480" si="2086">SUM(AP467:AQ467)</f>
        <v>0</v>
      </c>
      <c r="CW467" s="44">
        <f t="shared" ref="CW467:CW479" si="2087">SUM(AR467:AS467)</f>
        <v>0</v>
      </c>
      <c r="CX467" s="44">
        <f t="shared" ref="CX467:CX479" si="2088">SUM(AT467:AU467)</f>
        <v>0</v>
      </c>
      <c r="CY467" s="44">
        <f t="shared" ref="CY467:CY479" si="2089">SUM(AV467:AW467)</f>
        <v>0</v>
      </c>
      <c r="CZ467" s="45">
        <f t="shared" ref="CZ467:CZ479" si="2090">SUM(AX467:AY467)</f>
        <v>0</v>
      </c>
      <c r="DA467" s="44">
        <f t="shared" ref="DA467:DA479" si="2091">SUM(AZ467:BA467)</f>
        <v>0</v>
      </c>
      <c r="DB467" s="44">
        <f t="shared" ref="DB467:DB479" si="2092">SUM(BB467:BC467)</f>
        <v>0</v>
      </c>
      <c r="DC467" s="44">
        <f t="shared" ref="DC467:DC479" si="2093">SUM(BD467:BE467)</f>
        <v>0</v>
      </c>
      <c r="DD467" s="44">
        <f t="shared" ref="DD467:DD479" si="2094">SUM(BF467:BG467)</f>
        <v>0</v>
      </c>
      <c r="DE467" s="44">
        <f t="shared" ref="DE467:DE479" si="2095">SUM(BH467:BI467)</f>
        <v>0</v>
      </c>
      <c r="DF467" s="44">
        <f t="shared" ref="DF467:DF479" si="2096">SUM(BJ467:BK467)</f>
        <v>0</v>
      </c>
      <c r="DG467" s="44">
        <f t="shared" ref="DG467:DG479" si="2097">SUM(BL467:BM467)</f>
        <v>0</v>
      </c>
      <c r="DH467" s="44">
        <f t="shared" ref="DH467:DH479" si="2098">SUM(BN467:BO467)</f>
        <v>0</v>
      </c>
      <c r="DI467" s="44">
        <f t="shared" ref="DI467:DI479" si="2099">SUM(BP467:BQ467)</f>
        <v>0</v>
      </c>
    </row>
    <row r="468" spans="1:113" ht="12" hidden="1" outlineLevel="1">
      <c r="A468" s="1" t="s">
        <v>681</v>
      </c>
      <c r="B468" s="19" t="s">
        <v>488</v>
      </c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4">
        <f t="shared" ref="AP468:AR468" si="2100">AP470-AP467-AP469</f>
        <v>0</v>
      </c>
      <c r="AQ468" s="44">
        <f t="shared" si="2100"/>
        <v>0</v>
      </c>
      <c r="AR468" s="44">
        <f t="shared" si="2100"/>
        <v>0</v>
      </c>
      <c r="AS468" s="44">
        <f t="shared" ref="AS468:AT468" si="2101">AS470-AS467-AS469</f>
        <v>-5.3</v>
      </c>
      <c r="AT468" s="44">
        <f t="shared" si="2101"/>
        <v>0</v>
      </c>
      <c r="AU468" s="44">
        <f t="shared" ref="AU468:AV468" si="2102">AU470-AU467-AU469</f>
        <v>-5.0999999999999996</v>
      </c>
      <c r="AV468" s="44">
        <f t="shared" si="2102"/>
        <v>-5.9</v>
      </c>
      <c r="AW468" s="44">
        <f t="shared" ref="AW468:AX468" si="2103">AW470-AW467-AW469</f>
        <v>-25</v>
      </c>
      <c r="AX468" s="44">
        <f t="shared" si="2103"/>
        <v>-18.3</v>
      </c>
      <c r="AY468" s="44">
        <f t="shared" ref="AY468:AZ468" si="2104">AY470-AY467-AY469</f>
        <v>-20.400000000000002</v>
      </c>
      <c r="AZ468" s="45">
        <f t="shared" si="2104"/>
        <v>-33.6</v>
      </c>
      <c r="BA468" s="44">
        <f t="shared" ref="BA468:BI468" si="2105">-BA110*(BA237-BA232-((SUM(AVERAGE(AZ160:BA160),AVERAGE(AZ166:BA166),AVERAGE(AZ172:BA172))/AVERAGE(AZ178:BA178))*BA234))/BA$5</f>
        <v>-39.266158587184037</v>
      </c>
      <c r="BB468" s="44">
        <f t="shared" si="2105"/>
        <v>-45.38531098769058</v>
      </c>
      <c r="BC468" s="44">
        <f t="shared" si="2105"/>
        <v>-51.256486699548915</v>
      </c>
      <c r="BD468" s="44">
        <f t="shared" si="2105"/>
        <v>-58.39888718726101</v>
      </c>
      <c r="BE468" s="44">
        <f t="shared" si="2105"/>
        <v>-65.605491508140901</v>
      </c>
      <c r="BF468" s="44">
        <f t="shared" si="2105"/>
        <v>-66.767847470188585</v>
      </c>
      <c r="BG468" s="44">
        <f t="shared" si="2105"/>
        <v>-66.640189851399171</v>
      </c>
      <c r="BH468" s="44">
        <f t="shared" si="2105"/>
        <v>-66.992447628752444</v>
      </c>
      <c r="BI468" s="44">
        <f t="shared" si="2105"/>
        <v>-65.822991862255293</v>
      </c>
      <c r="BJ468" s="44">
        <f t="shared" ref="BJ468" si="2106">-BJ110*(BJ237-BJ232-((SUM(AVERAGE(BI160:BJ160),AVERAGE(BI166:BJ166),AVERAGE(BI172:BJ172))/AVERAGE(BI178:BJ178))*BJ234))/BJ$5</f>
        <v>-67.309385303935755</v>
      </c>
      <c r="BK468" s="44">
        <f t="shared" ref="BK468" si="2107">-BK110*(BK237-BK232-((SUM(AVERAGE(BJ160:BK160),AVERAGE(BJ166:BK166),AVERAGE(BJ172:BK172))/AVERAGE(BJ178:BK178))*BK234))/BK$5</f>
        <v>-69.777697857301987</v>
      </c>
      <c r="BL468" s="44">
        <f t="shared" ref="BL468" si="2108">-BL110*(BL237-BL232-((SUM(AVERAGE(BK160:BL160),AVERAGE(BK166:BL166),AVERAGE(BK172:BL172))/AVERAGE(BK178:BL178))*BL234))/BL$5</f>
        <v>-72.863916273594711</v>
      </c>
      <c r="BM468" s="44">
        <f t="shared" ref="BM468" si="2109">-BM110*(BM237-BM232-((SUM(AVERAGE(BL160:BM160),AVERAGE(BL166:BM166),AVERAGE(BL172:BM172))/AVERAGE(BL178:BM178))*BM234))/BM$5</f>
        <v>-75.275077030678972</v>
      </c>
      <c r="BN468" s="44">
        <f t="shared" ref="BN468" si="2110">-BN110*(BN237-BN232-((SUM(AVERAGE(BM160:BN160),AVERAGE(BM166:BN166),AVERAGE(BM172:BN172))/AVERAGE(BM178:BN178))*BN234))/BN$5</f>
        <v>-78.219204796351391</v>
      </c>
      <c r="BO468" s="44">
        <f t="shared" ref="BO468" si="2111">-BO110*(BO237-BO232-((SUM(AVERAGE(BN160:BO160),AVERAGE(BN166:BO166),AVERAGE(BN172:BO172))/AVERAGE(BN178:BO178))*BO234))/BO$5</f>
        <v>-79.978091016586518</v>
      </c>
      <c r="BP468" s="44">
        <f t="shared" ref="BP468" si="2112">-BP110*(BP237-BP232-((SUM(AVERAGE(BO160:BP160),AVERAGE(BO166:BP166),AVERAGE(BO172:BP172))/AVERAGE(BO178:BP178))*BP234))/BP$5</f>
        <v>-83.336974271470382</v>
      </c>
      <c r="BQ468" s="44">
        <f t="shared" ref="BQ468" si="2113">-BQ110*(BQ237-BQ232-((SUM(AVERAGE(BP160:BQ160),AVERAGE(BP166:BQ166),AVERAGE(BP172:BQ172))/AVERAGE(BP178:BQ178))*BQ234))/BQ$5</f>
        <v>-85.211698271109668</v>
      </c>
      <c r="BR468" s="44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4">
        <f t="shared" ref="CT468:CU468" si="2114">CT470-CT467-CT469</f>
        <v>0</v>
      </c>
      <c r="CU468" s="44">
        <f t="shared" si="2114"/>
        <v>0</v>
      </c>
      <c r="CV468" s="44">
        <f t="shared" si="2086"/>
        <v>0</v>
      </c>
      <c r="CW468" s="44">
        <f t="shared" si="2087"/>
        <v>-5.3</v>
      </c>
      <c r="CX468" s="44">
        <f t="shared" si="2088"/>
        <v>-5.0999999999999996</v>
      </c>
      <c r="CY468" s="44">
        <f t="shared" si="2089"/>
        <v>-30.9</v>
      </c>
      <c r="CZ468" s="45">
        <f t="shared" si="2090"/>
        <v>-38.700000000000003</v>
      </c>
      <c r="DA468" s="44">
        <f t="shared" si="2091"/>
        <v>-72.866158587184032</v>
      </c>
      <c r="DB468" s="44">
        <f t="shared" si="2092"/>
        <v>-96.641797687239489</v>
      </c>
      <c r="DC468" s="44">
        <f t="shared" si="2093"/>
        <v>-124.00437869540191</v>
      </c>
      <c r="DD468" s="44">
        <f t="shared" si="2094"/>
        <v>-133.40803732158776</v>
      </c>
      <c r="DE468" s="44">
        <f t="shared" si="2095"/>
        <v>-132.81543949100774</v>
      </c>
      <c r="DF468" s="44">
        <f t="shared" si="2096"/>
        <v>-137.08708316123773</v>
      </c>
      <c r="DG468" s="44">
        <f t="shared" si="2097"/>
        <v>-148.1389933042737</v>
      </c>
      <c r="DH468" s="44">
        <f t="shared" si="2098"/>
        <v>-158.19729581293791</v>
      </c>
      <c r="DI468" s="44">
        <f t="shared" si="2099"/>
        <v>-168.54867254258005</v>
      </c>
    </row>
    <row r="469" spans="1:113" ht="12" hidden="1" outlineLevel="1">
      <c r="A469" s="1" t="s">
        <v>682</v>
      </c>
      <c r="B469" s="19" t="s">
        <v>487</v>
      </c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538">
        <v>0</v>
      </c>
      <c r="AQ469" s="538">
        <v>0</v>
      </c>
      <c r="AR469" s="538">
        <v>0</v>
      </c>
      <c r="AS469" s="538">
        <v>0</v>
      </c>
      <c r="AT469" s="538">
        <v>0</v>
      </c>
      <c r="AU469" s="538">
        <v>0</v>
      </c>
      <c r="AV469" s="538">
        <v>0</v>
      </c>
      <c r="AW469" s="538">
        <v>0</v>
      </c>
      <c r="AX469" s="538">
        <v>0</v>
      </c>
      <c r="AY469" s="538">
        <v>0</v>
      </c>
      <c r="AZ469" s="530">
        <v>0</v>
      </c>
      <c r="BA469" s="44">
        <f t="shared" ref="BA469:BI469" si="2115">-BA111*((SUM(AVERAGE(AZ160:BA160),AVERAGE(AZ166:BA166),AVERAGE(AZ172:BA172))/AVERAGE(AZ178:BA178))*BA234)/BA$5</f>
        <v>0</v>
      </c>
      <c r="BB469" s="44">
        <f t="shared" si="2115"/>
        <v>0</v>
      </c>
      <c r="BC469" s="44">
        <f t="shared" si="2115"/>
        <v>0</v>
      </c>
      <c r="BD469" s="44">
        <f t="shared" si="2115"/>
        <v>0</v>
      </c>
      <c r="BE469" s="44">
        <f t="shared" si="2115"/>
        <v>0</v>
      </c>
      <c r="BF469" s="44">
        <f t="shared" si="2115"/>
        <v>0</v>
      </c>
      <c r="BG469" s="44">
        <f t="shared" si="2115"/>
        <v>0</v>
      </c>
      <c r="BH469" s="44">
        <f t="shared" si="2115"/>
        <v>0</v>
      </c>
      <c r="BI469" s="44">
        <f t="shared" si="2115"/>
        <v>0</v>
      </c>
      <c r="BJ469" s="44">
        <f t="shared" ref="BJ469" si="2116">-BJ111*((SUM(AVERAGE(BI160:BJ160),AVERAGE(BI166:BJ166),AVERAGE(BI172:BJ172))/AVERAGE(BI178:BJ178))*BJ234)/BJ$5</f>
        <v>0</v>
      </c>
      <c r="BK469" s="44">
        <f t="shared" ref="BK469" si="2117">-BK111*((SUM(AVERAGE(BJ160:BK160),AVERAGE(BJ166:BK166),AVERAGE(BJ172:BK172))/AVERAGE(BJ178:BK178))*BK234)/BK$5</f>
        <v>0</v>
      </c>
      <c r="BL469" s="44">
        <f t="shared" ref="BL469" si="2118">-BL111*((SUM(AVERAGE(BK160:BL160),AVERAGE(BK166:BL166),AVERAGE(BK172:BL172))/AVERAGE(BK178:BL178))*BL234)/BL$5</f>
        <v>0</v>
      </c>
      <c r="BM469" s="44">
        <f t="shared" ref="BM469" si="2119">-BM111*((SUM(AVERAGE(BL160:BM160),AVERAGE(BL166:BM166),AVERAGE(BL172:BM172))/AVERAGE(BL178:BM178))*BM234)/BM$5</f>
        <v>0</v>
      </c>
      <c r="BN469" s="44">
        <f t="shared" ref="BN469" si="2120">-BN111*((SUM(AVERAGE(BM160:BN160),AVERAGE(BM166:BN166),AVERAGE(BM172:BN172))/AVERAGE(BM178:BN178))*BN234)/BN$5</f>
        <v>0</v>
      </c>
      <c r="BO469" s="44">
        <f t="shared" ref="BO469" si="2121">-BO111*((SUM(AVERAGE(BN160:BO160),AVERAGE(BN166:BO166),AVERAGE(BN172:BO172))/AVERAGE(BN178:BO178))*BO234)/BO$5</f>
        <v>0</v>
      </c>
      <c r="BP469" s="44">
        <f t="shared" ref="BP469" si="2122">-BP111*((SUM(AVERAGE(BO160:BP160),AVERAGE(BO166:BP166),AVERAGE(BO172:BP172))/AVERAGE(BO178:BP178))*BP234)/BP$5</f>
        <v>0</v>
      </c>
      <c r="BQ469" s="44">
        <f t="shared" ref="BQ469" si="2123">-BQ111*((SUM(AVERAGE(BP160:BQ160),AVERAGE(BP166:BQ166),AVERAGE(BP172:BQ172))/AVERAGE(BP178:BQ178))*BQ234)/BQ$5</f>
        <v>0</v>
      </c>
      <c r="BR469" s="44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538">
        <v>0</v>
      </c>
      <c r="CU469" s="538">
        <v>0</v>
      </c>
      <c r="CV469" s="44">
        <f t="shared" si="2086"/>
        <v>0</v>
      </c>
      <c r="CW469" s="44">
        <f t="shared" si="2087"/>
        <v>0</v>
      </c>
      <c r="CX469" s="44">
        <f t="shared" si="2088"/>
        <v>0</v>
      </c>
      <c r="CY469" s="44">
        <f t="shared" si="2089"/>
        <v>0</v>
      </c>
      <c r="CZ469" s="45">
        <f t="shared" si="2090"/>
        <v>0</v>
      </c>
      <c r="DA469" s="44">
        <f t="shared" si="2091"/>
        <v>0</v>
      </c>
      <c r="DB469" s="44">
        <f t="shared" si="2092"/>
        <v>0</v>
      </c>
      <c r="DC469" s="44">
        <f t="shared" si="2093"/>
        <v>0</v>
      </c>
      <c r="DD469" s="44">
        <f t="shared" si="2094"/>
        <v>0</v>
      </c>
      <c r="DE469" s="44">
        <f t="shared" si="2095"/>
        <v>0</v>
      </c>
      <c r="DF469" s="44">
        <f t="shared" si="2096"/>
        <v>0</v>
      </c>
      <c r="DG469" s="44">
        <f t="shared" si="2097"/>
        <v>0</v>
      </c>
      <c r="DH469" s="44">
        <f t="shared" si="2098"/>
        <v>0</v>
      </c>
      <c r="DI469" s="44">
        <f t="shared" si="2099"/>
        <v>0</v>
      </c>
    </row>
    <row r="470" spans="1:113" s="24" customFormat="1" ht="12" hidden="1" outlineLevel="1">
      <c r="A470" s="1" t="s">
        <v>683</v>
      </c>
      <c r="B470" s="24" t="s">
        <v>477</v>
      </c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  <c r="AJ470" s="55"/>
      <c r="AK470" s="55"/>
      <c r="AL470" s="55"/>
      <c r="AM470" s="55"/>
      <c r="AN470" s="55"/>
      <c r="AO470" s="55"/>
      <c r="AP470" s="521">
        <v>0</v>
      </c>
      <c r="AQ470" s="521">
        <v>0</v>
      </c>
      <c r="AR470" s="521">
        <v>0</v>
      </c>
      <c r="AS470" s="521">
        <v>-5.3</v>
      </c>
      <c r="AT470" s="521">
        <v>0</v>
      </c>
      <c r="AU470" s="521">
        <f>-11-AV470</f>
        <v>-5.0999999999999996</v>
      </c>
      <c r="AV470" s="521">
        <v>-5.9</v>
      </c>
      <c r="AW470" s="521">
        <f>-30.9-AV470</f>
        <v>-25</v>
      </c>
      <c r="AX470" s="521">
        <v>-18.3</v>
      </c>
      <c r="AY470" s="521">
        <f>-38.7-AX470</f>
        <v>-20.400000000000002</v>
      </c>
      <c r="AZ470" s="522">
        <v>-33.6</v>
      </c>
      <c r="BA470" s="526">
        <f t="shared" ref="BA470:BI470" si="2124">SUM(BA467:BA469)</f>
        <v>-39.266158587184037</v>
      </c>
      <c r="BB470" s="526">
        <f t="shared" si="2124"/>
        <v>-45.38531098769058</v>
      </c>
      <c r="BC470" s="526">
        <f t="shared" si="2124"/>
        <v>-51.256486699548915</v>
      </c>
      <c r="BD470" s="526">
        <f t="shared" si="2124"/>
        <v>-58.39888718726101</v>
      </c>
      <c r="BE470" s="526">
        <f t="shared" si="2124"/>
        <v>-65.605491508140901</v>
      </c>
      <c r="BF470" s="526">
        <f t="shared" si="2124"/>
        <v>-66.767847470188585</v>
      </c>
      <c r="BG470" s="526">
        <f t="shared" si="2124"/>
        <v>-66.640189851399171</v>
      </c>
      <c r="BH470" s="526">
        <f t="shared" si="2124"/>
        <v>-66.992447628752444</v>
      </c>
      <c r="BI470" s="526">
        <f t="shared" si="2124"/>
        <v>-65.822991862255293</v>
      </c>
      <c r="BJ470" s="526">
        <f t="shared" ref="BJ470:BK470" si="2125">SUM(BJ467:BJ469)</f>
        <v>-67.309385303935755</v>
      </c>
      <c r="BK470" s="526">
        <f t="shared" si="2125"/>
        <v>-69.777697857301987</v>
      </c>
      <c r="BL470" s="526">
        <f t="shared" ref="BL470:BM470" si="2126">SUM(BL467:BL469)</f>
        <v>-72.863916273594711</v>
      </c>
      <c r="BM470" s="526">
        <f t="shared" si="2126"/>
        <v>-75.275077030678972</v>
      </c>
      <c r="BN470" s="526">
        <f t="shared" ref="BN470:BO470" si="2127">SUM(BN467:BN469)</f>
        <v>-78.219204796351391</v>
      </c>
      <c r="BO470" s="526">
        <f t="shared" si="2127"/>
        <v>-79.978091016586518</v>
      </c>
      <c r="BP470" s="526">
        <f t="shared" ref="BP470:BQ470" si="2128">SUM(BP467:BP469)</f>
        <v>-83.336974271470382</v>
      </c>
      <c r="BQ470" s="526">
        <f t="shared" si="2128"/>
        <v>-85.211698271109668</v>
      </c>
      <c r="BR470" s="526"/>
      <c r="BS470" s="54"/>
      <c r="BT470" s="54"/>
      <c r="BU470" s="54"/>
      <c r="BV470" s="54"/>
      <c r="BW470" s="54"/>
      <c r="BX470" s="54"/>
      <c r="BY470" s="54"/>
      <c r="BZ470" s="54"/>
      <c r="CA470" s="54"/>
      <c r="CB470" s="54"/>
      <c r="CC470" s="55"/>
      <c r="CD470" s="55"/>
      <c r="CE470" s="55"/>
      <c r="CF470" s="55"/>
      <c r="CG470" s="55"/>
      <c r="CH470" s="55"/>
      <c r="CI470" s="55"/>
      <c r="CJ470" s="55"/>
      <c r="CK470" s="55"/>
      <c r="CL470" s="55"/>
      <c r="CM470" s="55"/>
      <c r="CN470" s="55"/>
      <c r="CO470" s="55"/>
      <c r="CP470" s="55"/>
      <c r="CQ470" s="55"/>
      <c r="CR470" s="55"/>
      <c r="CS470" s="55"/>
      <c r="CT470" s="521">
        <v>0</v>
      </c>
      <c r="CU470" s="521">
        <v>0</v>
      </c>
      <c r="CV470" s="526">
        <f t="shared" si="2086"/>
        <v>0</v>
      </c>
      <c r="CW470" s="526">
        <f t="shared" si="2087"/>
        <v>-5.3</v>
      </c>
      <c r="CX470" s="526">
        <f t="shared" si="2088"/>
        <v>-5.0999999999999996</v>
      </c>
      <c r="CY470" s="526">
        <f t="shared" si="2089"/>
        <v>-30.9</v>
      </c>
      <c r="CZ470" s="524">
        <f t="shared" si="2090"/>
        <v>-38.700000000000003</v>
      </c>
      <c r="DA470" s="526">
        <f t="shared" si="2091"/>
        <v>-72.866158587184032</v>
      </c>
      <c r="DB470" s="526">
        <f t="shared" si="2092"/>
        <v>-96.641797687239489</v>
      </c>
      <c r="DC470" s="526">
        <f t="shared" si="2093"/>
        <v>-124.00437869540191</v>
      </c>
      <c r="DD470" s="526">
        <f t="shared" si="2094"/>
        <v>-133.40803732158776</v>
      </c>
      <c r="DE470" s="526">
        <f t="shared" si="2095"/>
        <v>-132.81543949100774</v>
      </c>
      <c r="DF470" s="526">
        <f t="shared" si="2096"/>
        <v>-137.08708316123773</v>
      </c>
      <c r="DG470" s="526">
        <f t="shared" si="2097"/>
        <v>-148.1389933042737</v>
      </c>
      <c r="DH470" s="526">
        <f t="shared" si="2098"/>
        <v>-158.19729581293791</v>
      </c>
      <c r="DI470" s="526">
        <f t="shared" si="2099"/>
        <v>-168.54867254258005</v>
      </c>
    </row>
    <row r="471" spans="1:113" ht="12" hidden="1" outlineLevel="1">
      <c r="A471" s="1" t="s">
        <v>684</v>
      </c>
      <c r="B471" s="19" t="s">
        <v>478</v>
      </c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4">
        <f t="shared" ref="AP471:AR471" si="2129">AP472-AP470</f>
        <v>-8.5</v>
      </c>
      <c r="AQ471" s="44">
        <f t="shared" si="2129"/>
        <v>-1.5</v>
      </c>
      <c r="AR471" s="44">
        <f t="shared" si="2129"/>
        <v>-9.6</v>
      </c>
      <c r="AS471" s="44">
        <f t="shared" ref="AS471:AT471" si="2130">AS472-AS470</f>
        <v>-10.5</v>
      </c>
      <c r="AT471" s="44">
        <f t="shared" si="2130"/>
        <v>-22.3</v>
      </c>
      <c r="AU471" s="44">
        <f t="shared" ref="AU471:AV471" si="2131">AU472-AU470</f>
        <v>-27.199999999999996</v>
      </c>
      <c r="AV471" s="44">
        <f t="shared" si="2131"/>
        <v>-20.9</v>
      </c>
      <c r="AW471" s="44">
        <f t="shared" ref="AW471:AX471" si="2132">AW472-AW470</f>
        <v>-18.299999999999997</v>
      </c>
      <c r="AX471" s="44">
        <f t="shared" si="2132"/>
        <v>-10.5</v>
      </c>
      <c r="AY471" s="44">
        <f t="shared" ref="AY471:AZ471" si="2133">AY472-AY470</f>
        <v>-26.3</v>
      </c>
      <c r="AZ471" s="45">
        <f t="shared" si="2133"/>
        <v>-6.5</v>
      </c>
      <c r="BA471" s="44">
        <f t="shared" ref="BA471:BI471" si="2134">(AZ120-BA120)+(AZ121-BA121)</f>
        <v>-4.711216769938531</v>
      </c>
      <c r="BB471" s="44">
        <f t="shared" si="2134"/>
        <v>-7.7190548225432707</v>
      </c>
      <c r="BC471" s="44">
        <f t="shared" si="2134"/>
        <v>-13.389669450558657</v>
      </c>
      <c r="BD471" s="44">
        <f t="shared" si="2134"/>
        <v>-5.2969275639285627</v>
      </c>
      <c r="BE471" s="44">
        <f t="shared" si="2134"/>
        <v>-4.2462168889568233</v>
      </c>
      <c r="BF471" s="44">
        <f t="shared" si="2134"/>
        <v>0.38050612575830201</v>
      </c>
      <c r="BG471" s="44">
        <f t="shared" si="2134"/>
        <v>-0.76396880047289528</v>
      </c>
      <c r="BH471" s="44">
        <f t="shared" si="2134"/>
        <v>1.1843296376399621</v>
      </c>
      <c r="BI471" s="44">
        <f t="shared" si="2134"/>
        <v>-5.4829280378123997</v>
      </c>
      <c r="BJ471" s="44">
        <f t="shared" ref="BJ471" si="2135">(BI120-BJ120)+(BI121-BJ121)</f>
        <v>-1.3654694826637694</v>
      </c>
      <c r="BK471" s="44">
        <f t="shared" ref="BK471" si="2136">(BJ120-BK120)+(BJ121-BK121)</f>
        <v>-4.3061676320602231</v>
      </c>
      <c r="BL471" s="44">
        <f t="shared" ref="BL471" si="2137">(BK120-BL120)+(BK121-BL121)</f>
        <v>2.4975630980877099</v>
      </c>
      <c r="BM471" s="44">
        <f t="shared" ref="BM471" si="2138">(BL120-BM120)+(BL121-BM121)</f>
        <v>-0.1267346019383524</v>
      </c>
      <c r="BN471" s="44">
        <f t="shared" ref="BN471" si="2139">(BM120-BN120)+(BM121-BN121)</f>
        <v>6.4490337598432461</v>
      </c>
      <c r="BO471" s="44">
        <f t="shared" ref="BO471" si="2140">(BN120-BO120)+(BN121-BO121)</f>
        <v>3.323657073204842</v>
      </c>
      <c r="BP471" s="44">
        <f t="shared" ref="BP471" si="2141">(BO120-BP120)+(BO121-BP121)</f>
        <v>9.5853089966003893</v>
      </c>
      <c r="BQ471" s="44">
        <f t="shared" ref="BQ471" si="2142">(BP120-BQ120)+(BP121-BQ121)</f>
        <v>6.3942101877393895</v>
      </c>
      <c r="BR471" s="44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4">
        <f t="shared" ref="CT471:CU471" si="2143">CT472-CT470</f>
        <v>-1.9155</v>
      </c>
      <c r="CU471" s="44">
        <f t="shared" si="2143"/>
        <v>-23.503499999999999</v>
      </c>
      <c r="CV471" s="44">
        <f t="shared" si="2086"/>
        <v>-10</v>
      </c>
      <c r="CW471" s="44">
        <f t="shared" si="2087"/>
        <v>-20.100000000000001</v>
      </c>
      <c r="CX471" s="44">
        <f t="shared" si="2088"/>
        <v>-49.5</v>
      </c>
      <c r="CY471" s="44">
        <f t="shared" si="2089"/>
        <v>-39.199999999999996</v>
      </c>
      <c r="CZ471" s="45">
        <f t="shared" si="2090"/>
        <v>-36.799999999999997</v>
      </c>
      <c r="DA471" s="44">
        <f t="shared" si="2091"/>
        <v>-11.211216769938531</v>
      </c>
      <c r="DB471" s="44">
        <f t="shared" si="2092"/>
        <v>-21.108724273101927</v>
      </c>
      <c r="DC471" s="44">
        <f t="shared" si="2093"/>
        <v>-9.5431444528853859</v>
      </c>
      <c r="DD471" s="44">
        <f t="shared" si="2094"/>
        <v>-0.38346267471459328</v>
      </c>
      <c r="DE471" s="44">
        <f t="shared" si="2095"/>
        <v>-4.2985984001724376</v>
      </c>
      <c r="DF471" s="44">
        <f t="shared" si="2096"/>
        <v>-5.6716371147239926</v>
      </c>
      <c r="DG471" s="44">
        <f t="shared" si="2097"/>
        <v>2.3708284961493575</v>
      </c>
      <c r="DH471" s="44">
        <f t="shared" si="2098"/>
        <v>9.7726908330480882</v>
      </c>
      <c r="DI471" s="44">
        <f t="shared" si="2099"/>
        <v>15.979519184339779</v>
      </c>
    </row>
    <row r="472" spans="1:113" s="24" customFormat="1" ht="12" hidden="1" outlineLevel="1">
      <c r="A472" s="1" t="s">
        <v>104</v>
      </c>
      <c r="B472" s="24" t="s">
        <v>166</v>
      </c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  <c r="AJ472" s="55"/>
      <c r="AK472" s="55"/>
      <c r="AL472" s="55"/>
      <c r="AM472" s="55"/>
      <c r="AN472" s="55"/>
      <c r="AO472" s="55"/>
      <c r="AP472" s="526">
        <f t="shared" ref="AP472:AR472" si="2144">AP478-SUM(AP473:AP477)</f>
        <v>-8.5</v>
      </c>
      <c r="AQ472" s="526">
        <f t="shared" si="2144"/>
        <v>-1.5</v>
      </c>
      <c r="AR472" s="526">
        <f t="shared" si="2144"/>
        <v>-9.6</v>
      </c>
      <c r="AS472" s="526">
        <f t="shared" ref="AS472:AT472" si="2145">AS478-SUM(AS473:AS477)</f>
        <v>-15.8</v>
      </c>
      <c r="AT472" s="526">
        <f t="shared" si="2145"/>
        <v>-22.3</v>
      </c>
      <c r="AU472" s="526">
        <f t="shared" ref="AU472:AV472" si="2146">AU478-SUM(AU473:AU477)</f>
        <v>-32.299999999999997</v>
      </c>
      <c r="AV472" s="526">
        <f t="shared" si="2146"/>
        <v>-26.8</v>
      </c>
      <c r="AW472" s="526">
        <f t="shared" ref="AW472:AX472" si="2147">AW478-SUM(AW473:AW477)</f>
        <v>-43.3</v>
      </c>
      <c r="AX472" s="526">
        <f t="shared" si="2147"/>
        <v>-28.8</v>
      </c>
      <c r="AY472" s="526">
        <f t="shared" ref="AY472:AZ472" si="2148">AY478-SUM(AY473:AY477)</f>
        <v>-46.7</v>
      </c>
      <c r="AZ472" s="524">
        <f t="shared" si="2148"/>
        <v>-40.1</v>
      </c>
      <c r="BA472" s="526">
        <f t="shared" ref="BA472:BI472" si="2149">BA470+BA471</f>
        <v>-43.977375357122568</v>
      </c>
      <c r="BB472" s="526">
        <f t="shared" si="2149"/>
        <v>-53.104365810233851</v>
      </c>
      <c r="BC472" s="526">
        <f t="shared" si="2149"/>
        <v>-64.646156150107572</v>
      </c>
      <c r="BD472" s="526">
        <f t="shared" si="2149"/>
        <v>-63.695814751189573</v>
      </c>
      <c r="BE472" s="526">
        <f t="shared" si="2149"/>
        <v>-69.851708397097724</v>
      </c>
      <c r="BF472" s="526">
        <f t="shared" si="2149"/>
        <v>-66.387341344430283</v>
      </c>
      <c r="BG472" s="526">
        <f t="shared" si="2149"/>
        <v>-67.404158651872066</v>
      </c>
      <c r="BH472" s="526">
        <f t="shared" si="2149"/>
        <v>-65.808117991112482</v>
      </c>
      <c r="BI472" s="526">
        <f t="shared" si="2149"/>
        <v>-71.305919900067693</v>
      </c>
      <c r="BJ472" s="526">
        <f t="shared" ref="BJ472:BK472" si="2150">BJ470+BJ471</f>
        <v>-68.674854786599525</v>
      </c>
      <c r="BK472" s="526">
        <f t="shared" si="2150"/>
        <v>-74.083865489362211</v>
      </c>
      <c r="BL472" s="526">
        <f t="shared" ref="BL472:BM472" si="2151">BL470+BL471</f>
        <v>-70.366353175507001</v>
      </c>
      <c r="BM472" s="526">
        <f t="shared" si="2151"/>
        <v>-75.401811632617324</v>
      </c>
      <c r="BN472" s="526">
        <f t="shared" ref="BN472:BO472" si="2152">BN470+BN471</f>
        <v>-71.770171036508145</v>
      </c>
      <c r="BO472" s="526">
        <f t="shared" si="2152"/>
        <v>-76.654433943381676</v>
      </c>
      <c r="BP472" s="526">
        <f t="shared" ref="BP472:BQ472" si="2153">BP470+BP471</f>
        <v>-73.751665274869993</v>
      </c>
      <c r="BQ472" s="526">
        <f t="shared" si="2153"/>
        <v>-78.817488083370279</v>
      </c>
      <c r="BR472" s="526"/>
      <c r="BS472" s="55"/>
      <c r="BT472" s="55"/>
      <c r="BU472" s="55"/>
      <c r="BV472" s="55"/>
      <c r="BW472" s="55"/>
      <c r="BX472" s="55"/>
      <c r="BY472" s="55"/>
      <c r="BZ472" s="55"/>
      <c r="CA472" s="55"/>
      <c r="CB472" s="55"/>
      <c r="CC472" s="55"/>
      <c r="CD472" s="55"/>
      <c r="CE472" s="55"/>
      <c r="CF472" s="55"/>
      <c r="CG472" s="55"/>
      <c r="CH472" s="55"/>
      <c r="CI472" s="55"/>
      <c r="CJ472" s="55"/>
      <c r="CK472" s="55"/>
      <c r="CL472" s="55"/>
      <c r="CM472" s="55"/>
      <c r="CN472" s="55"/>
      <c r="CO472" s="55"/>
      <c r="CP472" s="55"/>
      <c r="CQ472" s="55"/>
      <c r="CR472" s="55"/>
      <c r="CS472" s="55"/>
      <c r="CT472" s="526">
        <f t="shared" ref="CT472:CU472" si="2154">CT478-SUM(CT473:CT477)</f>
        <v>-1.9155</v>
      </c>
      <c r="CU472" s="526">
        <f t="shared" si="2154"/>
        <v>-23.503499999999999</v>
      </c>
      <c r="CV472" s="526">
        <f t="shared" si="2086"/>
        <v>-10</v>
      </c>
      <c r="CW472" s="526">
        <f t="shared" si="2087"/>
        <v>-25.4</v>
      </c>
      <c r="CX472" s="526">
        <f t="shared" si="2088"/>
        <v>-54.599999999999994</v>
      </c>
      <c r="CY472" s="526">
        <f t="shared" si="2089"/>
        <v>-70.099999999999994</v>
      </c>
      <c r="CZ472" s="524">
        <f t="shared" si="2090"/>
        <v>-75.5</v>
      </c>
      <c r="DA472" s="526">
        <f t="shared" si="2091"/>
        <v>-84.077375357122577</v>
      </c>
      <c r="DB472" s="526">
        <f t="shared" si="2092"/>
        <v>-117.75052196034142</v>
      </c>
      <c r="DC472" s="526">
        <f t="shared" si="2093"/>
        <v>-133.5475231482873</v>
      </c>
      <c r="DD472" s="526">
        <f t="shared" si="2094"/>
        <v>-133.79149999630235</v>
      </c>
      <c r="DE472" s="526">
        <f t="shared" si="2095"/>
        <v>-137.11403789118017</v>
      </c>
      <c r="DF472" s="526">
        <f t="shared" si="2096"/>
        <v>-142.75872027596174</v>
      </c>
      <c r="DG472" s="526">
        <f t="shared" si="2097"/>
        <v>-145.76816480812431</v>
      </c>
      <c r="DH472" s="526">
        <f t="shared" si="2098"/>
        <v>-148.42460497988981</v>
      </c>
      <c r="DI472" s="526">
        <f t="shared" si="2099"/>
        <v>-152.56915335824027</v>
      </c>
    </row>
    <row r="473" spans="1:113" ht="12" hidden="1" outlineLevel="2">
      <c r="A473" s="1" t="s">
        <v>360</v>
      </c>
      <c r="B473" s="19" t="s">
        <v>854</v>
      </c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4">
        <f t="shared" ref="AP473:AR473" si="2155">-AP384</f>
        <v>0</v>
      </c>
      <c r="AQ473" s="44">
        <f t="shared" si="2155"/>
        <v>0</v>
      </c>
      <c r="AR473" s="44">
        <f t="shared" si="2155"/>
        <v>0</v>
      </c>
      <c r="AS473" s="44">
        <f t="shared" ref="AS473:AT473" si="2156">-AS384</f>
        <v>0</v>
      </c>
      <c r="AT473" s="44">
        <f t="shared" si="2156"/>
        <v>0</v>
      </c>
      <c r="AU473" s="44">
        <f t="shared" ref="AU473:AV473" si="2157">-AU384</f>
        <v>0</v>
      </c>
      <c r="AV473" s="44">
        <f t="shared" si="2157"/>
        <v>0</v>
      </c>
      <c r="AW473" s="44">
        <f t="shared" ref="AW473:AX473" si="2158">-AW384</f>
        <v>0</v>
      </c>
      <c r="AX473" s="44">
        <f t="shared" si="2158"/>
        <v>0</v>
      </c>
      <c r="AY473" s="44">
        <f t="shared" ref="AY473:AZ473" si="2159">-AY384</f>
        <v>0</v>
      </c>
      <c r="AZ473" s="45">
        <f t="shared" si="2159"/>
        <v>0</v>
      </c>
      <c r="BA473" s="44">
        <f t="shared" ref="BA473:BI473" si="2160">-BA384</f>
        <v>0</v>
      </c>
      <c r="BB473" s="44">
        <f t="shared" si="2160"/>
        <v>0</v>
      </c>
      <c r="BC473" s="44">
        <f t="shared" si="2160"/>
        <v>0</v>
      </c>
      <c r="BD473" s="44">
        <f t="shared" si="2160"/>
        <v>0</v>
      </c>
      <c r="BE473" s="44">
        <f t="shared" si="2160"/>
        <v>0</v>
      </c>
      <c r="BF473" s="44">
        <f t="shared" si="2160"/>
        <v>0</v>
      </c>
      <c r="BG473" s="44">
        <f t="shared" si="2160"/>
        <v>0</v>
      </c>
      <c r="BH473" s="44">
        <f t="shared" si="2160"/>
        <v>0</v>
      </c>
      <c r="BI473" s="44">
        <f t="shared" si="2160"/>
        <v>0</v>
      </c>
      <c r="BJ473" s="44">
        <f t="shared" ref="BJ473:BK473" si="2161">-BJ384</f>
        <v>0</v>
      </c>
      <c r="BK473" s="44">
        <f t="shared" si="2161"/>
        <v>0</v>
      </c>
      <c r="BL473" s="44">
        <f t="shared" ref="BL473:BM473" si="2162">-BL384</f>
        <v>0</v>
      </c>
      <c r="BM473" s="44">
        <f t="shared" si="2162"/>
        <v>0</v>
      </c>
      <c r="BN473" s="44">
        <f t="shared" ref="BN473:BO473" si="2163">-BN384</f>
        <v>0</v>
      </c>
      <c r="BO473" s="44">
        <f t="shared" si="2163"/>
        <v>0</v>
      </c>
      <c r="BP473" s="44">
        <f t="shared" ref="BP473:BQ473" si="2164">-BP384</f>
        <v>0</v>
      </c>
      <c r="BQ473" s="44">
        <f t="shared" si="2164"/>
        <v>0</v>
      </c>
      <c r="BR473" s="44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4">
        <f t="shared" ref="CT473:CU473" si="2165">-CT384</f>
        <v>0</v>
      </c>
      <c r="CU473" s="44">
        <f t="shared" si="2165"/>
        <v>0</v>
      </c>
      <c r="CV473" s="44">
        <f t="shared" si="2086"/>
        <v>0</v>
      </c>
      <c r="CW473" s="44">
        <f t="shared" si="2087"/>
        <v>0</v>
      </c>
      <c r="CX473" s="44">
        <f t="shared" si="2088"/>
        <v>0</v>
      </c>
      <c r="CY473" s="44">
        <f t="shared" si="2089"/>
        <v>0</v>
      </c>
      <c r="CZ473" s="45">
        <f t="shared" si="2090"/>
        <v>0</v>
      </c>
      <c r="DA473" s="44">
        <f t="shared" si="2091"/>
        <v>0</v>
      </c>
      <c r="DB473" s="44">
        <f t="shared" si="2092"/>
        <v>0</v>
      </c>
      <c r="DC473" s="44">
        <f t="shared" si="2093"/>
        <v>0</v>
      </c>
      <c r="DD473" s="44">
        <f t="shared" si="2094"/>
        <v>0</v>
      </c>
      <c r="DE473" s="44">
        <f t="shared" si="2095"/>
        <v>0</v>
      </c>
      <c r="DF473" s="44">
        <f t="shared" si="2096"/>
        <v>0</v>
      </c>
      <c r="DG473" s="44">
        <f t="shared" si="2097"/>
        <v>0</v>
      </c>
      <c r="DH473" s="44">
        <f t="shared" si="2098"/>
        <v>0</v>
      </c>
      <c r="DI473" s="44">
        <f t="shared" si="2099"/>
        <v>0</v>
      </c>
    </row>
    <row r="474" spans="1:113" ht="12" hidden="1" outlineLevel="2">
      <c r="A474" s="1" t="s">
        <v>361</v>
      </c>
      <c r="B474" s="19" t="s">
        <v>444</v>
      </c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4">
        <f t="shared" ref="AP474:AR474" si="2166">-AP411</f>
        <v>0</v>
      </c>
      <c r="AQ474" s="44">
        <f t="shared" si="2166"/>
        <v>0</v>
      </c>
      <c r="AR474" s="44">
        <f t="shared" si="2166"/>
        <v>0</v>
      </c>
      <c r="AS474" s="44">
        <f t="shared" ref="AS474:AT474" si="2167">-AS411</f>
        <v>0</v>
      </c>
      <c r="AT474" s="44">
        <f t="shared" si="2167"/>
        <v>0</v>
      </c>
      <c r="AU474" s="44">
        <f t="shared" ref="AU474:AV474" si="2168">-AU411</f>
        <v>0</v>
      </c>
      <c r="AV474" s="44">
        <f t="shared" si="2168"/>
        <v>0</v>
      </c>
      <c r="AW474" s="44">
        <f t="shared" ref="AW474:AX474" si="2169">-AW411</f>
        <v>0</v>
      </c>
      <c r="AX474" s="44">
        <f t="shared" si="2169"/>
        <v>0</v>
      </c>
      <c r="AY474" s="44">
        <f t="shared" ref="AY474:AZ474" si="2170">-AY411</f>
        <v>0</v>
      </c>
      <c r="AZ474" s="45">
        <f t="shared" si="2170"/>
        <v>0</v>
      </c>
      <c r="BA474" s="44">
        <f t="shared" ref="BA474:BI474" si="2171">-BA411</f>
        <v>0</v>
      </c>
      <c r="BB474" s="44">
        <f t="shared" si="2171"/>
        <v>0</v>
      </c>
      <c r="BC474" s="44">
        <f t="shared" si="2171"/>
        <v>0</v>
      </c>
      <c r="BD474" s="44">
        <f t="shared" si="2171"/>
        <v>0</v>
      </c>
      <c r="BE474" s="44">
        <f t="shared" si="2171"/>
        <v>0</v>
      </c>
      <c r="BF474" s="44">
        <f t="shared" si="2171"/>
        <v>0</v>
      </c>
      <c r="BG474" s="44">
        <f t="shared" si="2171"/>
        <v>0</v>
      </c>
      <c r="BH474" s="44">
        <f t="shared" si="2171"/>
        <v>0</v>
      </c>
      <c r="BI474" s="44">
        <f t="shared" si="2171"/>
        <v>0</v>
      </c>
      <c r="BJ474" s="44">
        <f t="shared" ref="BJ474:BK474" si="2172">-BJ411</f>
        <v>0</v>
      </c>
      <c r="BK474" s="44">
        <f t="shared" si="2172"/>
        <v>0</v>
      </c>
      <c r="BL474" s="44">
        <f t="shared" ref="BL474:BM474" si="2173">-BL411</f>
        <v>0</v>
      </c>
      <c r="BM474" s="44">
        <f t="shared" si="2173"/>
        <v>0</v>
      </c>
      <c r="BN474" s="44">
        <f t="shared" ref="BN474:BO474" si="2174">-BN411</f>
        <v>0</v>
      </c>
      <c r="BO474" s="44">
        <f t="shared" si="2174"/>
        <v>0</v>
      </c>
      <c r="BP474" s="44">
        <f t="shared" ref="BP474:BQ474" si="2175">-BP411</f>
        <v>0</v>
      </c>
      <c r="BQ474" s="44">
        <f t="shared" si="2175"/>
        <v>0</v>
      </c>
      <c r="BR474" s="44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4">
        <f t="shared" ref="CT474:CU474" si="2176">-CT411</f>
        <v>0</v>
      </c>
      <c r="CU474" s="44">
        <f t="shared" si="2176"/>
        <v>0</v>
      </c>
      <c r="CV474" s="44">
        <f t="shared" si="2086"/>
        <v>0</v>
      </c>
      <c r="CW474" s="44">
        <f t="shared" si="2087"/>
        <v>0</v>
      </c>
      <c r="CX474" s="44">
        <f t="shared" si="2088"/>
        <v>0</v>
      </c>
      <c r="CY474" s="44">
        <f t="shared" si="2089"/>
        <v>0</v>
      </c>
      <c r="CZ474" s="45">
        <f t="shared" si="2090"/>
        <v>0</v>
      </c>
      <c r="DA474" s="44">
        <f t="shared" si="2091"/>
        <v>0</v>
      </c>
      <c r="DB474" s="44">
        <f t="shared" si="2092"/>
        <v>0</v>
      </c>
      <c r="DC474" s="44">
        <f t="shared" si="2093"/>
        <v>0</v>
      </c>
      <c r="DD474" s="44">
        <f t="shared" si="2094"/>
        <v>0</v>
      </c>
      <c r="DE474" s="44">
        <f t="shared" si="2095"/>
        <v>0</v>
      </c>
      <c r="DF474" s="44">
        <f t="shared" si="2096"/>
        <v>0</v>
      </c>
      <c r="DG474" s="44">
        <f t="shared" si="2097"/>
        <v>0</v>
      </c>
      <c r="DH474" s="44">
        <f t="shared" si="2098"/>
        <v>0</v>
      </c>
      <c r="DI474" s="44">
        <f t="shared" si="2099"/>
        <v>0</v>
      </c>
    </row>
    <row r="475" spans="1:113" ht="12" hidden="1" outlineLevel="2">
      <c r="A475" s="1" t="s">
        <v>685</v>
      </c>
      <c r="B475" s="19" t="s">
        <v>367</v>
      </c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4">
        <f t="shared" ref="AP475:AR475" si="2177">-AP446</f>
        <v>0</v>
      </c>
      <c r="AQ475" s="44">
        <f t="shared" si="2177"/>
        <v>0</v>
      </c>
      <c r="AR475" s="44">
        <f t="shared" si="2177"/>
        <v>0</v>
      </c>
      <c r="AS475" s="44">
        <f t="shared" ref="AS475:AT475" si="2178">-AS446</f>
        <v>0</v>
      </c>
      <c r="AT475" s="44">
        <f t="shared" si="2178"/>
        <v>0</v>
      </c>
      <c r="AU475" s="44">
        <f t="shared" ref="AU475:AV475" si="2179">-AU446</f>
        <v>0</v>
      </c>
      <c r="AV475" s="44">
        <f t="shared" si="2179"/>
        <v>0</v>
      </c>
      <c r="AW475" s="44">
        <f t="shared" ref="AW475:AX475" si="2180">-AW446</f>
        <v>0</v>
      </c>
      <c r="AX475" s="44">
        <f t="shared" si="2180"/>
        <v>0</v>
      </c>
      <c r="AY475" s="44">
        <f t="shared" ref="AY475:AZ475" si="2181">-AY446</f>
        <v>0</v>
      </c>
      <c r="AZ475" s="45">
        <f t="shared" si="2181"/>
        <v>0</v>
      </c>
      <c r="BA475" s="44">
        <f t="shared" ref="BA475:BI475" si="2182">-BA446</f>
        <v>0</v>
      </c>
      <c r="BB475" s="44">
        <f t="shared" si="2182"/>
        <v>0</v>
      </c>
      <c r="BC475" s="44">
        <f t="shared" si="2182"/>
        <v>0</v>
      </c>
      <c r="BD475" s="44">
        <f t="shared" si="2182"/>
        <v>0</v>
      </c>
      <c r="BE475" s="44">
        <f t="shared" si="2182"/>
        <v>0</v>
      </c>
      <c r="BF475" s="44">
        <f t="shared" si="2182"/>
        <v>0</v>
      </c>
      <c r="BG475" s="44">
        <f t="shared" si="2182"/>
        <v>0</v>
      </c>
      <c r="BH475" s="44">
        <f t="shared" si="2182"/>
        <v>0</v>
      </c>
      <c r="BI475" s="44">
        <f t="shared" si="2182"/>
        <v>0</v>
      </c>
      <c r="BJ475" s="44">
        <f t="shared" ref="BJ475:BK475" si="2183">-BJ446</f>
        <v>0</v>
      </c>
      <c r="BK475" s="44">
        <f t="shared" si="2183"/>
        <v>0</v>
      </c>
      <c r="BL475" s="44">
        <f t="shared" ref="BL475:BM475" si="2184">-BL446</f>
        <v>0</v>
      </c>
      <c r="BM475" s="44">
        <f t="shared" si="2184"/>
        <v>0</v>
      </c>
      <c r="BN475" s="44">
        <f t="shared" ref="BN475:BO475" si="2185">-BN446</f>
        <v>0</v>
      </c>
      <c r="BO475" s="44">
        <f t="shared" si="2185"/>
        <v>0</v>
      </c>
      <c r="BP475" s="44">
        <f t="shared" ref="BP475:BQ475" si="2186">-BP446</f>
        <v>0</v>
      </c>
      <c r="BQ475" s="44">
        <f t="shared" si="2186"/>
        <v>0</v>
      </c>
      <c r="BR475" s="44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4">
        <f t="shared" ref="CT475:CU475" si="2187">-CT446</f>
        <v>0</v>
      </c>
      <c r="CU475" s="44">
        <f t="shared" si="2187"/>
        <v>0</v>
      </c>
      <c r="CV475" s="44">
        <f t="shared" si="2086"/>
        <v>0</v>
      </c>
      <c r="CW475" s="44">
        <f t="shared" si="2087"/>
        <v>0</v>
      </c>
      <c r="CX475" s="44">
        <f t="shared" si="2088"/>
        <v>0</v>
      </c>
      <c r="CY475" s="44">
        <f t="shared" si="2089"/>
        <v>0</v>
      </c>
      <c r="CZ475" s="45">
        <f t="shared" si="2090"/>
        <v>0</v>
      </c>
      <c r="DA475" s="44">
        <f t="shared" si="2091"/>
        <v>0</v>
      </c>
      <c r="DB475" s="44">
        <f t="shared" si="2092"/>
        <v>0</v>
      </c>
      <c r="DC475" s="44">
        <f t="shared" si="2093"/>
        <v>0</v>
      </c>
      <c r="DD475" s="44">
        <f t="shared" si="2094"/>
        <v>0</v>
      </c>
      <c r="DE475" s="44">
        <f t="shared" si="2095"/>
        <v>0</v>
      </c>
      <c r="DF475" s="44">
        <f t="shared" si="2096"/>
        <v>0</v>
      </c>
      <c r="DG475" s="44">
        <f t="shared" si="2097"/>
        <v>0</v>
      </c>
      <c r="DH475" s="44">
        <f t="shared" si="2098"/>
        <v>0</v>
      </c>
      <c r="DI475" s="44">
        <f t="shared" si="2099"/>
        <v>0</v>
      </c>
    </row>
    <row r="476" spans="1:113" ht="12" hidden="1" outlineLevel="2">
      <c r="A476" s="1" t="s">
        <v>99</v>
      </c>
      <c r="B476" s="19" t="s">
        <v>358</v>
      </c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525">
        <v>0</v>
      </c>
      <c r="AQ476" s="525">
        <v>0</v>
      </c>
      <c r="AR476" s="525">
        <v>0</v>
      </c>
      <c r="AS476" s="525">
        <v>0</v>
      </c>
      <c r="AT476" s="525">
        <v>0</v>
      </c>
      <c r="AU476" s="525">
        <v>0</v>
      </c>
      <c r="AV476" s="525">
        <v>0</v>
      </c>
      <c r="AW476" s="525">
        <v>0</v>
      </c>
      <c r="AX476" s="525">
        <v>0</v>
      </c>
      <c r="AY476" s="525">
        <v>0</v>
      </c>
      <c r="AZ476" s="523">
        <v>0</v>
      </c>
      <c r="BA476" s="46">
        <v>0</v>
      </c>
      <c r="BB476" s="46">
        <v>0</v>
      </c>
      <c r="BC476" s="46">
        <v>0</v>
      </c>
      <c r="BD476" s="46">
        <v>0</v>
      </c>
      <c r="BE476" s="46">
        <v>0</v>
      </c>
      <c r="BF476" s="46">
        <v>0</v>
      </c>
      <c r="BG476" s="46">
        <v>0</v>
      </c>
      <c r="BH476" s="46">
        <v>0</v>
      </c>
      <c r="BI476" s="46">
        <v>0</v>
      </c>
      <c r="BJ476" s="46">
        <v>0</v>
      </c>
      <c r="BK476" s="46">
        <v>0</v>
      </c>
      <c r="BL476" s="46">
        <v>0</v>
      </c>
      <c r="BM476" s="46">
        <v>0</v>
      </c>
      <c r="BN476" s="46">
        <v>0</v>
      </c>
      <c r="BO476" s="46">
        <v>0</v>
      </c>
      <c r="BP476" s="46">
        <v>0</v>
      </c>
      <c r="BQ476" s="46">
        <v>0</v>
      </c>
      <c r="BR476" s="44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525">
        <v>0</v>
      </c>
      <c r="CU476" s="525">
        <v>0</v>
      </c>
      <c r="CV476" s="44">
        <f t="shared" si="2086"/>
        <v>0</v>
      </c>
      <c r="CW476" s="44">
        <f t="shared" si="2087"/>
        <v>0</v>
      </c>
      <c r="CX476" s="44">
        <f t="shared" si="2088"/>
        <v>0</v>
      </c>
      <c r="CY476" s="44">
        <f t="shared" si="2089"/>
        <v>0</v>
      </c>
      <c r="CZ476" s="45">
        <f t="shared" si="2090"/>
        <v>0</v>
      </c>
      <c r="DA476" s="44">
        <f t="shared" si="2091"/>
        <v>0</v>
      </c>
      <c r="DB476" s="44">
        <f t="shared" si="2092"/>
        <v>0</v>
      </c>
      <c r="DC476" s="44">
        <f t="shared" si="2093"/>
        <v>0</v>
      </c>
      <c r="DD476" s="44">
        <f t="shared" si="2094"/>
        <v>0</v>
      </c>
      <c r="DE476" s="44">
        <f t="shared" si="2095"/>
        <v>0</v>
      </c>
      <c r="DF476" s="44">
        <f t="shared" si="2096"/>
        <v>0</v>
      </c>
      <c r="DG476" s="44">
        <f t="shared" si="2097"/>
        <v>0</v>
      </c>
      <c r="DH476" s="44">
        <f t="shared" si="2098"/>
        <v>0</v>
      </c>
      <c r="DI476" s="44">
        <f t="shared" si="2099"/>
        <v>0</v>
      </c>
    </row>
    <row r="477" spans="1:113" ht="12" hidden="1" outlineLevel="2">
      <c r="A477" s="1" t="s">
        <v>100</v>
      </c>
      <c r="B477" s="19" t="s">
        <v>422</v>
      </c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525">
        <v>0</v>
      </c>
      <c r="AQ477" s="525">
        <v>0</v>
      </c>
      <c r="AR477" s="525">
        <v>0</v>
      </c>
      <c r="AS477" s="525">
        <v>0</v>
      </c>
      <c r="AT477" s="525">
        <v>0</v>
      </c>
      <c r="AU477" s="525">
        <v>0</v>
      </c>
      <c r="AV477" s="525">
        <v>0</v>
      </c>
      <c r="AW477" s="525">
        <v>0</v>
      </c>
      <c r="AX477" s="525">
        <v>0</v>
      </c>
      <c r="AY477" s="525">
        <v>0</v>
      </c>
      <c r="AZ477" s="523">
        <v>0</v>
      </c>
      <c r="BA477" s="46">
        <v>0</v>
      </c>
      <c r="BB477" s="46">
        <v>0</v>
      </c>
      <c r="BC477" s="46">
        <v>0</v>
      </c>
      <c r="BD477" s="46">
        <v>0</v>
      </c>
      <c r="BE477" s="46">
        <v>0</v>
      </c>
      <c r="BF477" s="46">
        <v>0</v>
      </c>
      <c r="BG477" s="46">
        <v>0</v>
      </c>
      <c r="BH477" s="46">
        <v>0</v>
      </c>
      <c r="BI477" s="46">
        <v>0</v>
      </c>
      <c r="BJ477" s="46">
        <v>0</v>
      </c>
      <c r="BK477" s="46">
        <v>0</v>
      </c>
      <c r="BL477" s="46">
        <v>0</v>
      </c>
      <c r="BM477" s="46">
        <v>0</v>
      </c>
      <c r="BN477" s="46">
        <v>0</v>
      </c>
      <c r="BO477" s="46">
        <v>0</v>
      </c>
      <c r="BP477" s="46">
        <v>0</v>
      </c>
      <c r="BQ477" s="46">
        <v>0</v>
      </c>
      <c r="BR477" s="44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525">
        <v>0</v>
      </c>
      <c r="CU477" s="525">
        <v>0</v>
      </c>
      <c r="CV477" s="44">
        <f t="shared" si="2086"/>
        <v>0</v>
      </c>
      <c r="CW477" s="44">
        <f t="shared" si="2087"/>
        <v>0</v>
      </c>
      <c r="CX477" s="44">
        <f t="shared" si="2088"/>
        <v>0</v>
      </c>
      <c r="CY477" s="44">
        <f t="shared" si="2089"/>
        <v>0</v>
      </c>
      <c r="CZ477" s="45">
        <f t="shared" si="2090"/>
        <v>0</v>
      </c>
      <c r="DA477" s="44">
        <f t="shared" si="2091"/>
        <v>0</v>
      </c>
      <c r="DB477" s="44">
        <f t="shared" si="2092"/>
        <v>0</v>
      </c>
      <c r="DC477" s="44">
        <f t="shared" si="2093"/>
        <v>0</v>
      </c>
      <c r="DD477" s="44">
        <f t="shared" si="2094"/>
        <v>0</v>
      </c>
      <c r="DE477" s="44">
        <f t="shared" si="2095"/>
        <v>0</v>
      </c>
      <c r="DF477" s="44">
        <f t="shared" si="2096"/>
        <v>0</v>
      </c>
      <c r="DG477" s="44">
        <f t="shared" si="2097"/>
        <v>0</v>
      </c>
      <c r="DH477" s="44">
        <f t="shared" si="2098"/>
        <v>0</v>
      </c>
      <c r="DI477" s="44">
        <f t="shared" si="2099"/>
        <v>0</v>
      </c>
    </row>
    <row r="478" spans="1:113" s="24" customFormat="1" ht="12" hidden="1" outlineLevel="2">
      <c r="A478" s="1" t="s">
        <v>101</v>
      </c>
      <c r="B478" s="24" t="s">
        <v>495</v>
      </c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  <c r="AJ478" s="55"/>
      <c r="AK478" s="55"/>
      <c r="AL478" s="55"/>
      <c r="AM478" s="55"/>
      <c r="AN478" s="55"/>
      <c r="AO478" s="55"/>
      <c r="AP478" s="521">
        <v>-8.5</v>
      </c>
      <c r="AQ478" s="521">
        <v>-1.5</v>
      </c>
      <c r="AR478" s="521">
        <v>-9.6</v>
      </c>
      <c r="AS478" s="521">
        <v>-15.8</v>
      </c>
      <c r="AT478" s="521">
        <v>-22.3</v>
      </c>
      <c r="AU478" s="521">
        <v>-32.299999999999997</v>
      </c>
      <c r="AV478" s="521">
        <v>-26.8</v>
      </c>
      <c r="AW478" s="521">
        <v>-43.3</v>
      </c>
      <c r="AX478" s="521">
        <v>-28.8</v>
      </c>
      <c r="AY478" s="521">
        <v>-46.7</v>
      </c>
      <c r="AZ478" s="522">
        <v>-40.1</v>
      </c>
      <c r="BA478" s="526">
        <f t="shared" ref="BA478:BI478" si="2188">SUM(BA472:BA477)</f>
        <v>-43.977375357122568</v>
      </c>
      <c r="BB478" s="526">
        <f t="shared" si="2188"/>
        <v>-53.104365810233851</v>
      </c>
      <c r="BC478" s="526">
        <f t="shared" si="2188"/>
        <v>-64.646156150107572</v>
      </c>
      <c r="BD478" s="526">
        <f t="shared" si="2188"/>
        <v>-63.695814751189573</v>
      </c>
      <c r="BE478" s="526">
        <f t="shared" si="2188"/>
        <v>-69.851708397097724</v>
      </c>
      <c r="BF478" s="526">
        <f t="shared" si="2188"/>
        <v>-66.387341344430283</v>
      </c>
      <c r="BG478" s="526">
        <f t="shared" si="2188"/>
        <v>-67.404158651872066</v>
      </c>
      <c r="BH478" s="526">
        <f t="shared" si="2188"/>
        <v>-65.808117991112482</v>
      </c>
      <c r="BI478" s="526">
        <f t="shared" si="2188"/>
        <v>-71.305919900067693</v>
      </c>
      <c r="BJ478" s="526">
        <f t="shared" ref="BJ478:BK478" si="2189">SUM(BJ472:BJ477)</f>
        <v>-68.674854786599525</v>
      </c>
      <c r="BK478" s="526">
        <f t="shared" si="2189"/>
        <v>-74.083865489362211</v>
      </c>
      <c r="BL478" s="526">
        <f t="shared" ref="BL478:BM478" si="2190">SUM(BL472:BL477)</f>
        <v>-70.366353175507001</v>
      </c>
      <c r="BM478" s="526">
        <f t="shared" si="2190"/>
        <v>-75.401811632617324</v>
      </c>
      <c r="BN478" s="526">
        <f t="shared" ref="BN478:BO478" si="2191">SUM(BN472:BN477)</f>
        <v>-71.770171036508145</v>
      </c>
      <c r="BO478" s="526">
        <f t="shared" si="2191"/>
        <v>-76.654433943381676</v>
      </c>
      <c r="BP478" s="526">
        <f t="shared" ref="BP478:BQ478" si="2192">SUM(BP472:BP477)</f>
        <v>-73.751665274869993</v>
      </c>
      <c r="BQ478" s="526">
        <f t="shared" si="2192"/>
        <v>-78.817488083370279</v>
      </c>
      <c r="BR478" s="526"/>
      <c r="BS478" s="54"/>
      <c r="BT478" s="54"/>
      <c r="BU478" s="54"/>
      <c r="BV478" s="54"/>
      <c r="BW478" s="54"/>
      <c r="BX478" s="54"/>
      <c r="BY478" s="54"/>
      <c r="BZ478" s="54"/>
      <c r="CA478" s="54"/>
      <c r="CB478" s="54"/>
      <c r="CC478" s="55"/>
      <c r="CD478" s="55"/>
      <c r="CE478" s="55"/>
      <c r="CF478" s="55"/>
      <c r="CG478" s="55"/>
      <c r="CH478" s="55"/>
      <c r="CI478" s="55"/>
      <c r="CJ478" s="55"/>
      <c r="CK478" s="55"/>
      <c r="CL478" s="55"/>
      <c r="CM478" s="55"/>
      <c r="CN478" s="55"/>
      <c r="CO478" s="55"/>
      <c r="CP478" s="55"/>
      <c r="CQ478" s="55"/>
      <c r="CR478" s="55"/>
      <c r="CS478" s="55"/>
      <c r="CT478" s="521">
        <v>-1.9155</v>
      </c>
      <c r="CU478" s="521">
        <v>-23.503499999999999</v>
      </c>
      <c r="CV478" s="526">
        <f t="shared" si="2086"/>
        <v>-10</v>
      </c>
      <c r="CW478" s="526">
        <f t="shared" si="2087"/>
        <v>-25.4</v>
      </c>
      <c r="CX478" s="526">
        <f t="shared" si="2088"/>
        <v>-54.599999999999994</v>
      </c>
      <c r="CY478" s="526">
        <f t="shared" si="2089"/>
        <v>-70.099999999999994</v>
      </c>
      <c r="CZ478" s="524">
        <f t="shared" si="2090"/>
        <v>-75.5</v>
      </c>
      <c r="DA478" s="526">
        <f t="shared" si="2091"/>
        <v>-84.077375357122577</v>
      </c>
      <c r="DB478" s="526">
        <f t="shared" si="2092"/>
        <v>-117.75052196034142</v>
      </c>
      <c r="DC478" s="526">
        <f t="shared" si="2093"/>
        <v>-133.5475231482873</v>
      </c>
      <c r="DD478" s="526">
        <f t="shared" si="2094"/>
        <v>-133.79149999630235</v>
      </c>
      <c r="DE478" s="526">
        <f t="shared" si="2095"/>
        <v>-137.11403789118017</v>
      </c>
      <c r="DF478" s="526">
        <f t="shared" si="2096"/>
        <v>-142.75872027596174</v>
      </c>
      <c r="DG478" s="526">
        <f t="shared" si="2097"/>
        <v>-145.76816480812431</v>
      </c>
      <c r="DH478" s="526">
        <f t="shared" si="2098"/>
        <v>-148.42460497988981</v>
      </c>
      <c r="DI478" s="526">
        <f t="shared" si="2099"/>
        <v>-152.56915335824027</v>
      </c>
    </row>
    <row r="479" spans="1:113" ht="12" hidden="1" outlineLevel="2">
      <c r="A479" s="1" t="s">
        <v>102</v>
      </c>
      <c r="B479" s="19" t="s">
        <v>526</v>
      </c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4">
        <f t="shared" ref="AP479:AR479" si="2193">AP480-AP478</f>
        <v>0</v>
      </c>
      <c r="AQ479" s="44">
        <f t="shared" si="2193"/>
        <v>0</v>
      </c>
      <c r="AR479" s="44">
        <f t="shared" si="2193"/>
        <v>0</v>
      </c>
      <c r="AS479" s="44">
        <f t="shared" ref="AS479:AT479" si="2194">AS480-AS478</f>
        <v>0</v>
      </c>
      <c r="AT479" s="44">
        <f t="shared" si="2194"/>
        <v>0</v>
      </c>
      <c r="AU479" s="44">
        <f t="shared" ref="AU479:AV479" si="2195">AU480-AU478</f>
        <v>0</v>
      </c>
      <c r="AV479" s="44">
        <f t="shared" si="2195"/>
        <v>0</v>
      </c>
      <c r="AW479" s="44">
        <f t="shared" ref="AW479:AX479" si="2196">AW480-AW478</f>
        <v>0</v>
      </c>
      <c r="AX479" s="44">
        <f t="shared" si="2196"/>
        <v>0</v>
      </c>
      <c r="AY479" s="44">
        <f t="shared" ref="AY479:AZ479" si="2197">AY480-AY478</f>
        <v>0</v>
      </c>
      <c r="AZ479" s="45">
        <f t="shared" si="2197"/>
        <v>0</v>
      </c>
      <c r="BA479" s="46">
        <v>0</v>
      </c>
      <c r="BB479" s="46">
        <v>0</v>
      </c>
      <c r="BC479" s="46">
        <v>0</v>
      </c>
      <c r="BD479" s="46">
        <v>0</v>
      </c>
      <c r="BE479" s="46">
        <v>0</v>
      </c>
      <c r="BF479" s="46">
        <v>0</v>
      </c>
      <c r="BG479" s="46">
        <v>0</v>
      </c>
      <c r="BH479" s="46">
        <v>0</v>
      </c>
      <c r="BI479" s="46">
        <v>0</v>
      </c>
      <c r="BJ479" s="46">
        <v>0</v>
      </c>
      <c r="BK479" s="46">
        <v>0</v>
      </c>
      <c r="BL479" s="46">
        <v>0</v>
      </c>
      <c r="BM479" s="46">
        <v>0</v>
      </c>
      <c r="BN479" s="46">
        <v>0</v>
      </c>
      <c r="BO479" s="46">
        <v>0</v>
      </c>
      <c r="BP479" s="46">
        <v>0</v>
      </c>
      <c r="BQ479" s="46">
        <v>0</v>
      </c>
      <c r="BR479" s="44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4">
        <f t="shared" ref="CT479:CU479" si="2198">CT480-CT478</f>
        <v>0</v>
      </c>
      <c r="CU479" s="44">
        <f t="shared" si="2198"/>
        <v>0</v>
      </c>
      <c r="CV479" s="44">
        <f t="shared" si="2086"/>
        <v>0</v>
      </c>
      <c r="CW479" s="44">
        <f t="shared" si="2087"/>
        <v>0</v>
      </c>
      <c r="CX479" s="44">
        <f t="shared" si="2088"/>
        <v>0</v>
      </c>
      <c r="CY479" s="44">
        <f t="shared" si="2089"/>
        <v>0</v>
      </c>
      <c r="CZ479" s="45">
        <f t="shared" si="2090"/>
        <v>0</v>
      </c>
      <c r="DA479" s="44">
        <f t="shared" si="2091"/>
        <v>0</v>
      </c>
      <c r="DB479" s="44">
        <f t="shared" si="2092"/>
        <v>0</v>
      </c>
      <c r="DC479" s="44">
        <f t="shared" si="2093"/>
        <v>0</v>
      </c>
      <c r="DD479" s="44">
        <f t="shared" si="2094"/>
        <v>0</v>
      </c>
      <c r="DE479" s="44">
        <f t="shared" si="2095"/>
        <v>0</v>
      </c>
      <c r="DF479" s="44">
        <f t="shared" si="2096"/>
        <v>0</v>
      </c>
      <c r="DG479" s="44">
        <f t="shared" si="2097"/>
        <v>0</v>
      </c>
      <c r="DH479" s="44">
        <f t="shared" si="2098"/>
        <v>0</v>
      </c>
      <c r="DI479" s="44">
        <f t="shared" si="2099"/>
        <v>0</v>
      </c>
    </row>
    <row r="480" spans="1:113" s="24" customFormat="1" ht="12" hidden="1" outlineLevel="2">
      <c r="A480" s="1" t="s">
        <v>103</v>
      </c>
      <c r="B480" s="24" t="s">
        <v>504</v>
      </c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  <c r="AJ480" s="55"/>
      <c r="AK480" s="55"/>
      <c r="AL480" s="55"/>
      <c r="AM480" s="55"/>
      <c r="AN480" s="55"/>
      <c r="AO480" s="55"/>
      <c r="AP480" s="521">
        <v>-8.5</v>
      </c>
      <c r="AQ480" s="521">
        <v>-1.5</v>
      </c>
      <c r="AR480" s="521">
        <v>-9.6</v>
      </c>
      <c r="AS480" s="521">
        <v>-15.8</v>
      </c>
      <c r="AT480" s="521">
        <v>-22.3</v>
      </c>
      <c r="AU480" s="521">
        <v>-32.299999999999997</v>
      </c>
      <c r="AV480" s="521">
        <v>-26.8</v>
      </c>
      <c r="AW480" s="521">
        <v>-43.3</v>
      </c>
      <c r="AX480" s="521">
        <v>-28.8</v>
      </c>
      <c r="AY480" s="521">
        <v>-46.7</v>
      </c>
      <c r="AZ480" s="522">
        <v>-40.1</v>
      </c>
      <c r="BA480" s="526">
        <f t="shared" ref="BA480:BI480" si="2199">BA478+BA479</f>
        <v>-43.977375357122568</v>
      </c>
      <c r="BB480" s="526">
        <f t="shared" si="2199"/>
        <v>-53.104365810233851</v>
      </c>
      <c r="BC480" s="526">
        <f t="shared" si="2199"/>
        <v>-64.646156150107572</v>
      </c>
      <c r="BD480" s="526">
        <f t="shared" si="2199"/>
        <v>-63.695814751189573</v>
      </c>
      <c r="BE480" s="526">
        <f t="shared" si="2199"/>
        <v>-69.851708397097724</v>
      </c>
      <c r="BF480" s="526">
        <f t="shared" si="2199"/>
        <v>-66.387341344430283</v>
      </c>
      <c r="BG480" s="526">
        <f t="shared" si="2199"/>
        <v>-67.404158651872066</v>
      </c>
      <c r="BH480" s="526">
        <f t="shared" si="2199"/>
        <v>-65.808117991112482</v>
      </c>
      <c r="BI480" s="526">
        <f t="shared" si="2199"/>
        <v>-71.305919900067693</v>
      </c>
      <c r="BJ480" s="526">
        <f t="shared" ref="BJ480:BK480" si="2200">BJ478+BJ479</f>
        <v>-68.674854786599525</v>
      </c>
      <c r="BK480" s="526">
        <f t="shared" si="2200"/>
        <v>-74.083865489362211</v>
      </c>
      <c r="BL480" s="526">
        <f t="shared" ref="BL480:BM480" si="2201">BL478+BL479</f>
        <v>-70.366353175507001</v>
      </c>
      <c r="BM480" s="526">
        <f t="shared" si="2201"/>
        <v>-75.401811632617324</v>
      </c>
      <c r="BN480" s="526">
        <f t="shared" ref="BN480:BO480" si="2202">BN478+BN479</f>
        <v>-71.770171036508145</v>
      </c>
      <c r="BO480" s="526">
        <f t="shared" si="2202"/>
        <v>-76.654433943381676</v>
      </c>
      <c r="BP480" s="526">
        <f t="shared" ref="BP480:BQ480" si="2203">BP478+BP479</f>
        <v>-73.751665274869993</v>
      </c>
      <c r="BQ480" s="526">
        <f t="shared" si="2203"/>
        <v>-78.817488083370279</v>
      </c>
      <c r="BR480" s="526"/>
      <c r="BS480" s="54"/>
      <c r="BT480" s="54"/>
      <c r="BU480" s="54"/>
      <c r="BV480" s="54"/>
      <c r="BW480" s="54"/>
      <c r="BX480" s="54"/>
      <c r="BY480" s="54"/>
      <c r="BZ480" s="54"/>
      <c r="CA480" s="54"/>
      <c r="CB480" s="54"/>
      <c r="CC480" s="55"/>
      <c r="CD480" s="55"/>
      <c r="CE480" s="55"/>
      <c r="CF480" s="55"/>
      <c r="CG480" s="55"/>
      <c r="CH480" s="55"/>
      <c r="CI480" s="55"/>
      <c r="CJ480" s="55"/>
      <c r="CK480" s="55"/>
      <c r="CL480" s="55"/>
      <c r="CM480" s="55"/>
      <c r="CN480" s="55"/>
      <c r="CO480" s="55"/>
      <c r="CP480" s="55"/>
      <c r="CQ480" s="55"/>
      <c r="CR480" s="55"/>
      <c r="CS480" s="55"/>
      <c r="CT480" s="521">
        <v>-1.9155</v>
      </c>
      <c r="CU480" s="521">
        <v>-23.503499999999999</v>
      </c>
      <c r="CV480" s="526">
        <f t="shared" si="2086"/>
        <v>-10</v>
      </c>
      <c r="CW480" s="526">
        <f t="shared" ref="CW480:DF480" si="2204">CW478+CW479</f>
        <v>-25.4</v>
      </c>
      <c r="CX480" s="526">
        <f t="shared" si="2204"/>
        <v>-54.599999999999994</v>
      </c>
      <c r="CY480" s="526">
        <f t="shared" si="2204"/>
        <v>-70.099999999999994</v>
      </c>
      <c r="CZ480" s="524">
        <f t="shared" si="2204"/>
        <v>-75.5</v>
      </c>
      <c r="DA480" s="526">
        <f t="shared" si="2204"/>
        <v>-84.077375357122577</v>
      </c>
      <c r="DB480" s="526">
        <f t="shared" si="2204"/>
        <v>-117.75052196034142</v>
      </c>
      <c r="DC480" s="526">
        <f t="shared" si="2204"/>
        <v>-133.5475231482873</v>
      </c>
      <c r="DD480" s="526">
        <f t="shared" si="2204"/>
        <v>-133.79149999630235</v>
      </c>
      <c r="DE480" s="526">
        <f t="shared" si="2204"/>
        <v>-137.11403789118017</v>
      </c>
      <c r="DF480" s="526">
        <f t="shared" si="2204"/>
        <v>-142.75872027596174</v>
      </c>
      <c r="DG480" s="526">
        <f t="shared" ref="DG480:DH480" si="2205">DG478+DG479</f>
        <v>-145.76816480812431</v>
      </c>
      <c r="DH480" s="526">
        <f t="shared" si="2205"/>
        <v>-148.42460497988981</v>
      </c>
      <c r="DI480" s="526">
        <f t="shared" ref="DI480" si="2206">DI478+DI479</f>
        <v>-152.56915335824027</v>
      </c>
    </row>
    <row r="481" spans="1:113" ht="12" hidden="1" outlineLevel="1">
      <c r="A481" s="60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394"/>
      <c r="AL481" s="394"/>
      <c r="AM481" s="394"/>
      <c r="AN481" s="394"/>
      <c r="AO481" s="394"/>
      <c r="AP481" s="44"/>
      <c r="AQ481" s="44"/>
      <c r="AR481" s="44"/>
      <c r="AS481" s="44"/>
      <c r="AT481" s="44"/>
      <c r="AU481" s="44"/>
      <c r="AV481" s="44"/>
      <c r="AW481" s="44"/>
      <c r="AX481" s="44"/>
      <c r="AY481" s="42"/>
      <c r="AZ481" s="43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4"/>
      <c r="CU481" s="572"/>
      <c r="CV481" s="44"/>
      <c r="CW481" s="44"/>
      <c r="CX481" s="44"/>
      <c r="CY481" s="44"/>
      <c r="CZ481" s="45"/>
      <c r="DA481" s="44"/>
      <c r="DB481" s="44"/>
      <c r="DC481" s="529"/>
      <c r="DD481" s="529"/>
      <c r="DE481" s="529"/>
      <c r="DF481" s="529"/>
      <c r="DG481" s="529"/>
      <c r="DH481" s="529"/>
      <c r="DI481" s="529"/>
    </row>
    <row r="482" spans="1:113" ht="12" collapsed="1"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4"/>
      <c r="AQ482" s="44"/>
      <c r="AR482" s="44"/>
      <c r="AS482" s="44"/>
      <c r="AT482" s="44"/>
      <c r="AU482" s="44"/>
      <c r="AV482" s="44"/>
      <c r="AW482" s="44"/>
      <c r="AX482" s="44"/>
      <c r="AY482" s="675"/>
      <c r="AZ482" s="690">
        <f>-AZ480-[3]JDO!M$195</f>
        <v>0</v>
      </c>
      <c r="BA482" s="675">
        <f>-BA480-[3]JDO!N$195</f>
        <v>0</v>
      </c>
      <c r="BB482" s="675">
        <f>-BB480-[3]JDO!O$195</f>
        <v>0</v>
      </c>
      <c r="BC482" s="675">
        <f>-BC480-[3]JDO!P$195</f>
        <v>0</v>
      </c>
      <c r="BD482" s="675">
        <f>-BD480-[3]JDO!Q$195</f>
        <v>0</v>
      </c>
      <c r="BE482" s="675">
        <f>-BE480-[3]JDO!R$195</f>
        <v>0</v>
      </c>
      <c r="BF482" s="675">
        <f>-BF480-[3]JDO!S$195</f>
        <v>0</v>
      </c>
      <c r="BG482" s="675">
        <f>-BG480-[3]JDO!T$195</f>
        <v>0</v>
      </c>
      <c r="BH482" s="675">
        <f>-BH480-[3]JDO!U$195</f>
        <v>0</v>
      </c>
      <c r="BI482" s="675">
        <f>-BI480-[3]JDO!V$195</f>
        <v>0</v>
      </c>
      <c r="BJ482" s="675">
        <f>-BJ480-[3]JDO!W$195</f>
        <v>0</v>
      </c>
      <c r="BK482" s="675">
        <f>-BK480-[3]JDO!X$195</f>
        <v>0</v>
      </c>
      <c r="BL482" s="675">
        <f>-BL480-[3]JDO!Y$195</f>
        <v>0</v>
      </c>
      <c r="BM482" s="675">
        <f>-BM480-[3]JDO!Z$195</f>
        <v>0</v>
      </c>
      <c r="BN482" s="675">
        <f>-BN480-[3]JDO!AA$195</f>
        <v>0</v>
      </c>
      <c r="BO482" s="675">
        <f>-BO480-[3]JDO!AB$195</f>
        <v>0</v>
      </c>
      <c r="BP482" s="675">
        <f>-BP480-[3]JDO!AC$195</f>
        <v>0</v>
      </c>
      <c r="BQ482" s="675">
        <f>-BQ480-[3]JDO!AD$195</f>
        <v>0</v>
      </c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4"/>
      <c r="CU482" s="44"/>
      <c r="CV482" s="44"/>
      <c r="CW482" s="44"/>
      <c r="CX482" s="44"/>
      <c r="CY482" s="44"/>
      <c r="CZ482" s="45"/>
      <c r="DA482" s="44"/>
      <c r="DB482" s="44"/>
      <c r="DC482" s="529"/>
      <c r="DD482" s="529"/>
      <c r="DE482" s="529"/>
      <c r="DF482" s="529"/>
      <c r="DG482" s="529"/>
      <c r="DH482" s="529"/>
      <c r="DI482" s="529"/>
    </row>
    <row r="483" spans="1:113" s="36" customFormat="1" ht="12" collapsed="1">
      <c r="A483" s="1" t="s">
        <v>286</v>
      </c>
      <c r="B483" s="2" t="s">
        <v>346</v>
      </c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  <c r="AJ483" s="55"/>
      <c r="AK483" s="55"/>
      <c r="AL483" s="55"/>
      <c r="AM483" s="55"/>
      <c r="AN483" s="55"/>
      <c r="AO483" s="55"/>
      <c r="AP483" s="527">
        <f t="shared" ref="AP483:AR483" si="2207">AP454+AP472</f>
        <v>-6.5999999999999943</v>
      </c>
      <c r="AQ483" s="527">
        <f t="shared" si="2207"/>
        <v>-0.69999999999999574</v>
      </c>
      <c r="AR483" s="527">
        <f t="shared" si="2207"/>
        <v>3.0000000000000089</v>
      </c>
      <c r="AS483" s="527">
        <f t="shared" ref="AS483:AT483" si="2208">AS454+AS472</f>
        <v>12.599999999999991</v>
      </c>
      <c r="AT483" s="527">
        <f t="shared" si="2208"/>
        <v>53.199999999999989</v>
      </c>
      <c r="AU483" s="527">
        <f t="shared" ref="AU483:AV483" si="2209">AU454+AU472</f>
        <v>54.299999999999983</v>
      </c>
      <c r="AV483" s="527">
        <f t="shared" si="2209"/>
        <v>67.400000000000006</v>
      </c>
      <c r="AW483" s="527">
        <f t="shared" ref="AW483:AX483" si="2210">AW454+AW472</f>
        <v>36.90000000000002</v>
      </c>
      <c r="AX483" s="527">
        <f t="shared" si="2210"/>
        <v>56.7</v>
      </c>
      <c r="AY483" s="527">
        <f t="shared" ref="AY483:BI486" si="2211">AY454+AY472</f>
        <v>68.90000000000002</v>
      </c>
      <c r="AZ483" s="528">
        <f t="shared" si="2211"/>
        <v>86.499999999999972</v>
      </c>
      <c r="BA483" s="527">
        <f t="shared" si="2211"/>
        <v>105.93201488607964</v>
      </c>
      <c r="BB483" s="527">
        <f t="shared" si="2211"/>
        <v>114.97731301660008</v>
      </c>
      <c r="BC483" s="527">
        <f t="shared" si="2211"/>
        <v>118.92933278287944</v>
      </c>
      <c r="BD483" s="527">
        <f t="shared" si="2211"/>
        <v>139.26601209311312</v>
      </c>
      <c r="BE483" s="527">
        <f t="shared" si="2211"/>
        <v>151.7476525978681</v>
      </c>
      <c r="BF483" s="527">
        <f t="shared" si="2211"/>
        <v>173.3521933873738</v>
      </c>
      <c r="BG483" s="527">
        <f t="shared" si="2211"/>
        <v>188.71365225595957</v>
      </c>
      <c r="BH483" s="527">
        <f t="shared" si="2211"/>
        <v>207.85433697939484</v>
      </c>
      <c r="BI483" s="527">
        <f t="shared" si="2211"/>
        <v>216.32453593833236</v>
      </c>
      <c r="BJ483" s="527">
        <f t="shared" ref="BJ483:BK483" si="2212">BJ454+BJ472</f>
        <v>234.23595646400773</v>
      </c>
      <c r="BK483" s="527">
        <f t="shared" si="2212"/>
        <v>240.87277229253709</v>
      </c>
      <c r="BL483" s="527">
        <f t="shared" ref="BL483:BM483" si="2213">BL454+BL472</f>
        <v>256.00389529607679</v>
      </c>
      <c r="BM483" s="527">
        <f t="shared" si="2213"/>
        <v>261.60115060653595</v>
      </c>
      <c r="BN483" s="527">
        <f t="shared" ref="BN483:BO483" si="2214">BN454+BN472</f>
        <v>275.52389982218153</v>
      </c>
      <c r="BO483" s="527">
        <f t="shared" si="2214"/>
        <v>277.27872601044868</v>
      </c>
      <c r="BP483" s="527">
        <f t="shared" ref="BP483:BQ483" si="2215">BP454+BP472</f>
        <v>291.44751423635432</v>
      </c>
      <c r="BQ483" s="527">
        <f t="shared" si="2215"/>
        <v>292.81430057312986</v>
      </c>
      <c r="BR483" s="527"/>
      <c r="BS483" s="52"/>
      <c r="BT483" s="52"/>
      <c r="BU483" s="52"/>
      <c r="BV483" s="52"/>
      <c r="BW483" s="52"/>
      <c r="BX483" s="52"/>
      <c r="BY483" s="52"/>
      <c r="BZ483" s="52"/>
      <c r="CA483" s="52"/>
      <c r="CB483" s="52"/>
      <c r="CC483" s="52"/>
      <c r="CD483" s="52"/>
      <c r="CE483" s="52"/>
      <c r="CF483" s="52"/>
      <c r="CG483" s="52"/>
      <c r="CH483" s="52"/>
      <c r="CI483" s="52"/>
      <c r="CJ483" s="52"/>
      <c r="CK483" s="52"/>
      <c r="CL483" s="52"/>
      <c r="CM483" s="52"/>
      <c r="CN483" s="52"/>
      <c r="CO483" s="52"/>
      <c r="CP483" s="52"/>
      <c r="CQ483" s="52"/>
      <c r="CR483" s="52"/>
      <c r="CS483" s="52"/>
      <c r="CT483" s="527">
        <f t="shared" ref="CT483:DF486" si="2216">CT454+CT472</f>
        <v>-32.113500000000002</v>
      </c>
      <c r="CU483" s="527">
        <f t="shared" si="2216"/>
        <v>-54.991500000000002</v>
      </c>
      <c r="CV483" s="527">
        <f t="shared" si="2216"/>
        <v>-7.2999999999999972</v>
      </c>
      <c r="CW483" s="527">
        <f t="shared" si="2216"/>
        <v>15.600000000000001</v>
      </c>
      <c r="CX483" s="527">
        <f t="shared" si="2216"/>
        <v>107.5</v>
      </c>
      <c r="CY483" s="527">
        <f t="shared" si="2216"/>
        <v>104.29999999999998</v>
      </c>
      <c r="CZ483" s="528">
        <f t="shared" si="2216"/>
        <v>125.60000000000008</v>
      </c>
      <c r="DA483" s="527">
        <f t="shared" si="2216"/>
        <v>192.4320148860796</v>
      </c>
      <c r="DB483" s="527">
        <f t="shared" si="2216"/>
        <v>233.90664579947963</v>
      </c>
      <c r="DC483" s="527">
        <f t="shared" si="2216"/>
        <v>291.01366469098127</v>
      </c>
      <c r="DD483" s="527">
        <f t="shared" si="2216"/>
        <v>362.06584564333343</v>
      </c>
      <c r="DE483" s="527">
        <f>DE454+DE472</f>
        <v>424.17887291772718</v>
      </c>
      <c r="DF483" s="527">
        <f>DF454+DF472</f>
        <v>475.10872875654479</v>
      </c>
      <c r="DG483" s="527">
        <f>DG454+DG472</f>
        <v>517.6050459026128</v>
      </c>
      <c r="DH483" s="527">
        <f>DH454+DH472</f>
        <v>552.80262583263038</v>
      </c>
      <c r="DI483" s="527">
        <f>DI454+DI472</f>
        <v>584.26181480948412</v>
      </c>
    </row>
    <row r="484" spans="1:113" ht="12" hidden="1" outlineLevel="2">
      <c r="A484" s="1" t="s">
        <v>105</v>
      </c>
      <c r="B484" s="19" t="s">
        <v>854</v>
      </c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4">
        <f t="shared" ref="AP484:AR484" si="2217">AP455+AP473</f>
        <v>0</v>
      </c>
      <c r="AQ484" s="44">
        <f t="shared" si="2217"/>
        <v>0</v>
      </c>
      <c r="AR484" s="44">
        <f t="shared" si="2217"/>
        <v>0</v>
      </c>
      <c r="AS484" s="44">
        <f t="shared" ref="AS484:AT484" si="2218">AS455+AS473</f>
        <v>0</v>
      </c>
      <c r="AT484" s="44">
        <f t="shared" si="2218"/>
        <v>0</v>
      </c>
      <c r="AU484" s="44">
        <f t="shared" ref="AU484:AV484" si="2219">AU455+AU473</f>
        <v>0</v>
      </c>
      <c r="AV484" s="44">
        <f t="shared" si="2219"/>
        <v>0</v>
      </c>
      <c r="AW484" s="44">
        <f t="shared" ref="AW484:AX484" si="2220">AW455+AW473</f>
        <v>0</v>
      </c>
      <c r="AX484" s="44">
        <f t="shared" si="2220"/>
        <v>0</v>
      </c>
      <c r="AY484" s="44">
        <f t="shared" si="2211"/>
        <v>0</v>
      </c>
      <c r="AZ484" s="45">
        <f t="shared" si="2211"/>
        <v>0</v>
      </c>
      <c r="BA484" s="44">
        <f t="shared" si="2211"/>
        <v>0</v>
      </c>
      <c r="BB484" s="44">
        <f t="shared" si="2211"/>
        <v>0</v>
      </c>
      <c r="BC484" s="44">
        <f t="shared" si="2211"/>
        <v>0</v>
      </c>
      <c r="BD484" s="44">
        <f t="shared" si="2211"/>
        <v>0</v>
      </c>
      <c r="BE484" s="44">
        <f t="shared" si="2211"/>
        <v>0</v>
      </c>
      <c r="BF484" s="44">
        <f t="shared" si="2211"/>
        <v>0</v>
      </c>
      <c r="BG484" s="44">
        <f t="shared" si="2211"/>
        <v>0</v>
      </c>
      <c r="BH484" s="44">
        <f t="shared" si="2211"/>
        <v>0</v>
      </c>
      <c r="BI484" s="44">
        <f t="shared" si="2211"/>
        <v>0</v>
      </c>
      <c r="BJ484" s="44">
        <f t="shared" ref="BJ484:BK484" si="2221">BJ455+BJ473</f>
        <v>0</v>
      </c>
      <c r="BK484" s="44">
        <f t="shared" si="2221"/>
        <v>0</v>
      </c>
      <c r="BL484" s="44">
        <f t="shared" ref="BL484:BM484" si="2222">BL455+BL473</f>
        <v>0</v>
      </c>
      <c r="BM484" s="44">
        <f t="shared" si="2222"/>
        <v>0</v>
      </c>
      <c r="BN484" s="44">
        <f t="shared" ref="BN484:BO484" si="2223">BN455+BN473</f>
        <v>0</v>
      </c>
      <c r="BO484" s="44">
        <f t="shared" si="2223"/>
        <v>0</v>
      </c>
      <c r="BP484" s="44">
        <f t="shared" ref="BP484:BQ484" si="2224">BP455+BP473</f>
        <v>0</v>
      </c>
      <c r="BQ484" s="44">
        <f t="shared" si="2224"/>
        <v>0</v>
      </c>
      <c r="BR484" s="44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4">
        <f t="shared" si="2216"/>
        <v>0</v>
      </c>
      <c r="CU484" s="44">
        <f t="shared" si="2216"/>
        <v>0</v>
      </c>
      <c r="CV484" s="44">
        <f t="shared" si="2216"/>
        <v>0</v>
      </c>
      <c r="CW484" s="44">
        <f t="shared" si="2216"/>
        <v>0</v>
      </c>
      <c r="CX484" s="44">
        <f t="shared" si="2216"/>
        <v>0</v>
      </c>
      <c r="CY484" s="44">
        <f t="shared" si="2216"/>
        <v>0</v>
      </c>
      <c r="CZ484" s="45">
        <f t="shared" si="2216"/>
        <v>0</v>
      </c>
      <c r="DA484" s="44">
        <f t="shared" si="2216"/>
        <v>0</v>
      </c>
      <c r="DB484" s="44">
        <f t="shared" si="2216"/>
        <v>0</v>
      </c>
      <c r="DC484" s="44">
        <f t="shared" si="2216"/>
        <v>0</v>
      </c>
      <c r="DD484" s="44">
        <f t="shared" si="2216"/>
        <v>0</v>
      </c>
      <c r="DE484" s="44">
        <f t="shared" si="2216"/>
        <v>0</v>
      </c>
      <c r="DF484" s="44">
        <f t="shared" si="2216"/>
        <v>0</v>
      </c>
      <c r="DG484" s="44">
        <f t="shared" ref="DG484:DH484" si="2225">DG455+DG473</f>
        <v>0</v>
      </c>
      <c r="DH484" s="44">
        <f t="shared" si="2225"/>
        <v>0</v>
      </c>
      <c r="DI484" s="44">
        <f t="shared" ref="DI484" si="2226">DI455+DI473</f>
        <v>0</v>
      </c>
    </row>
    <row r="485" spans="1:113" ht="12" hidden="1" outlineLevel="2">
      <c r="A485" s="1" t="s">
        <v>179</v>
      </c>
      <c r="B485" s="19" t="s">
        <v>444</v>
      </c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4">
        <f t="shared" ref="AP485:AR485" si="2227">AP456+AP474</f>
        <v>0</v>
      </c>
      <c r="AQ485" s="44">
        <f t="shared" si="2227"/>
        <v>0</v>
      </c>
      <c r="AR485" s="44">
        <f t="shared" si="2227"/>
        <v>0</v>
      </c>
      <c r="AS485" s="44">
        <f t="shared" ref="AS485:AT485" si="2228">AS456+AS474</f>
        <v>0</v>
      </c>
      <c r="AT485" s="44">
        <f t="shared" si="2228"/>
        <v>0</v>
      </c>
      <c r="AU485" s="44">
        <f t="shared" ref="AU485:AV485" si="2229">AU456+AU474</f>
        <v>0</v>
      </c>
      <c r="AV485" s="44">
        <f t="shared" si="2229"/>
        <v>0</v>
      </c>
      <c r="AW485" s="44">
        <f t="shared" ref="AW485:AX485" si="2230">AW456+AW474</f>
        <v>0</v>
      </c>
      <c r="AX485" s="44">
        <f t="shared" si="2230"/>
        <v>0</v>
      </c>
      <c r="AY485" s="44">
        <f t="shared" si="2211"/>
        <v>0</v>
      </c>
      <c r="AZ485" s="45">
        <f t="shared" si="2211"/>
        <v>0</v>
      </c>
      <c r="BA485" s="44">
        <f t="shared" si="2211"/>
        <v>0</v>
      </c>
      <c r="BB485" s="44">
        <f t="shared" si="2211"/>
        <v>0</v>
      </c>
      <c r="BC485" s="44">
        <f t="shared" si="2211"/>
        <v>0</v>
      </c>
      <c r="BD485" s="44">
        <f t="shared" si="2211"/>
        <v>0</v>
      </c>
      <c r="BE485" s="44">
        <f t="shared" si="2211"/>
        <v>0</v>
      </c>
      <c r="BF485" s="44">
        <f t="shared" si="2211"/>
        <v>0</v>
      </c>
      <c r="BG485" s="44">
        <f t="shared" si="2211"/>
        <v>0</v>
      </c>
      <c r="BH485" s="44">
        <f t="shared" si="2211"/>
        <v>0</v>
      </c>
      <c r="BI485" s="44">
        <f t="shared" si="2211"/>
        <v>0</v>
      </c>
      <c r="BJ485" s="44">
        <f t="shared" ref="BJ485:BK485" si="2231">BJ456+BJ474</f>
        <v>0</v>
      </c>
      <c r="BK485" s="44">
        <f t="shared" si="2231"/>
        <v>0</v>
      </c>
      <c r="BL485" s="44">
        <f t="shared" ref="BL485:BM485" si="2232">BL456+BL474</f>
        <v>0</v>
      </c>
      <c r="BM485" s="44">
        <f t="shared" si="2232"/>
        <v>0</v>
      </c>
      <c r="BN485" s="44">
        <f t="shared" ref="BN485:BO485" si="2233">BN456+BN474</f>
        <v>0</v>
      </c>
      <c r="BO485" s="44">
        <f t="shared" si="2233"/>
        <v>0</v>
      </c>
      <c r="BP485" s="44">
        <f t="shared" ref="BP485:BQ485" si="2234">BP456+BP474</f>
        <v>0</v>
      </c>
      <c r="BQ485" s="44">
        <f t="shared" si="2234"/>
        <v>0</v>
      </c>
      <c r="BR485" s="44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4">
        <f t="shared" si="2216"/>
        <v>0</v>
      </c>
      <c r="CU485" s="44">
        <f t="shared" si="2216"/>
        <v>0</v>
      </c>
      <c r="CV485" s="44">
        <f t="shared" si="2216"/>
        <v>0</v>
      </c>
      <c r="CW485" s="44">
        <f t="shared" si="2216"/>
        <v>0</v>
      </c>
      <c r="CX485" s="44">
        <f t="shared" si="2216"/>
        <v>0</v>
      </c>
      <c r="CY485" s="44">
        <f t="shared" si="2216"/>
        <v>0</v>
      </c>
      <c r="CZ485" s="45">
        <f t="shared" si="2216"/>
        <v>0</v>
      </c>
      <c r="DA485" s="44">
        <f t="shared" si="2216"/>
        <v>0</v>
      </c>
      <c r="DB485" s="44">
        <f t="shared" si="2216"/>
        <v>0</v>
      </c>
      <c r="DC485" s="44">
        <f t="shared" si="2216"/>
        <v>0</v>
      </c>
      <c r="DD485" s="44">
        <f t="shared" si="2216"/>
        <v>0</v>
      </c>
      <c r="DE485" s="44">
        <f t="shared" si="2216"/>
        <v>0</v>
      </c>
      <c r="DF485" s="44">
        <f t="shared" si="2216"/>
        <v>0</v>
      </c>
      <c r="DG485" s="44">
        <f t="shared" ref="DG485:DH485" si="2235">DG456+DG474</f>
        <v>0</v>
      </c>
      <c r="DH485" s="44">
        <f t="shared" si="2235"/>
        <v>0</v>
      </c>
      <c r="DI485" s="44">
        <f t="shared" ref="DI485" si="2236">DI456+DI474</f>
        <v>0</v>
      </c>
    </row>
    <row r="486" spans="1:113" ht="12" hidden="1" outlineLevel="2">
      <c r="A486" s="1" t="s">
        <v>280</v>
      </c>
      <c r="B486" s="19" t="s">
        <v>367</v>
      </c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4">
        <f t="shared" ref="AP486:AR486" si="2237">AP457+AP475</f>
        <v>0</v>
      </c>
      <c r="AQ486" s="44">
        <f t="shared" si="2237"/>
        <v>0</v>
      </c>
      <c r="AR486" s="44">
        <f t="shared" si="2237"/>
        <v>0</v>
      </c>
      <c r="AS486" s="44">
        <f t="shared" ref="AS486:AT486" si="2238">AS457+AS475</f>
        <v>0</v>
      </c>
      <c r="AT486" s="44">
        <f t="shared" si="2238"/>
        <v>0</v>
      </c>
      <c r="AU486" s="44">
        <f t="shared" ref="AU486:AV486" si="2239">AU457+AU475</f>
        <v>0</v>
      </c>
      <c r="AV486" s="44">
        <f t="shared" si="2239"/>
        <v>0</v>
      </c>
      <c r="AW486" s="44">
        <f t="shared" ref="AW486:AX486" si="2240">AW457+AW475</f>
        <v>0</v>
      </c>
      <c r="AX486" s="44">
        <f t="shared" si="2240"/>
        <v>0</v>
      </c>
      <c r="AY486" s="44">
        <f t="shared" si="2211"/>
        <v>0</v>
      </c>
      <c r="AZ486" s="45">
        <f t="shared" si="2211"/>
        <v>0</v>
      </c>
      <c r="BA486" s="44">
        <f t="shared" si="2211"/>
        <v>0</v>
      </c>
      <c r="BB486" s="44">
        <f t="shared" si="2211"/>
        <v>0</v>
      </c>
      <c r="BC486" s="44">
        <f t="shared" si="2211"/>
        <v>0</v>
      </c>
      <c r="BD486" s="44">
        <f t="shared" si="2211"/>
        <v>0</v>
      </c>
      <c r="BE486" s="44">
        <f t="shared" si="2211"/>
        <v>0</v>
      </c>
      <c r="BF486" s="44">
        <f t="shared" si="2211"/>
        <v>0</v>
      </c>
      <c r="BG486" s="44">
        <f t="shared" si="2211"/>
        <v>0</v>
      </c>
      <c r="BH486" s="44">
        <f t="shared" si="2211"/>
        <v>0</v>
      </c>
      <c r="BI486" s="44">
        <f t="shared" si="2211"/>
        <v>0</v>
      </c>
      <c r="BJ486" s="44">
        <f t="shared" ref="BJ486:BK486" si="2241">BJ457+BJ475</f>
        <v>0</v>
      </c>
      <c r="BK486" s="44">
        <f t="shared" si="2241"/>
        <v>0</v>
      </c>
      <c r="BL486" s="44">
        <f t="shared" ref="BL486:BM486" si="2242">BL457+BL475</f>
        <v>0</v>
      </c>
      <c r="BM486" s="44">
        <f t="shared" si="2242"/>
        <v>0</v>
      </c>
      <c r="BN486" s="44">
        <f t="shared" ref="BN486:BO486" si="2243">BN457+BN475</f>
        <v>0</v>
      </c>
      <c r="BO486" s="44">
        <f t="shared" si="2243"/>
        <v>0</v>
      </c>
      <c r="BP486" s="44">
        <f t="shared" ref="BP486:BQ486" si="2244">BP457+BP475</f>
        <v>0</v>
      </c>
      <c r="BQ486" s="44">
        <f t="shared" si="2244"/>
        <v>0</v>
      </c>
      <c r="BR486" s="44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4">
        <f t="shared" si="2216"/>
        <v>0</v>
      </c>
      <c r="CU486" s="44">
        <f t="shared" si="2216"/>
        <v>0</v>
      </c>
      <c r="CV486" s="44">
        <f t="shared" si="2216"/>
        <v>0</v>
      </c>
      <c r="CW486" s="44">
        <f t="shared" si="2216"/>
        <v>0</v>
      </c>
      <c r="CX486" s="44">
        <f t="shared" si="2216"/>
        <v>0</v>
      </c>
      <c r="CY486" s="44">
        <f t="shared" si="2216"/>
        <v>0</v>
      </c>
      <c r="CZ486" s="45">
        <f t="shared" si="2216"/>
        <v>0</v>
      </c>
      <c r="DA486" s="44">
        <f t="shared" si="2216"/>
        <v>0</v>
      </c>
      <c r="DB486" s="44">
        <f t="shared" si="2216"/>
        <v>0</v>
      </c>
      <c r="DC486" s="44">
        <f t="shared" si="2216"/>
        <v>0</v>
      </c>
      <c r="DD486" s="44">
        <f t="shared" si="2216"/>
        <v>0</v>
      </c>
      <c r="DE486" s="44">
        <f t="shared" si="2216"/>
        <v>0</v>
      </c>
      <c r="DF486" s="44">
        <f t="shared" si="2216"/>
        <v>0</v>
      </c>
      <c r="DG486" s="44">
        <f t="shared" ref="DG486:DH486" si="2245">DG457+DG475</f>
        <v>0</v>
      </c>
      <c r="DH486" s="44">
        <f t="shared" si="2245"/>
        <v>0</v>
      </c>
      <c r="DI486" s="44">
        <f t="shared" ref="DI486" si="2246">DI457+DI475</f>
        <v>0</v>
      </c>
    </row>
    <row r="487" spans="1:113" ht="12" hidden="1" outlineLevel="2">
      <c r="A487" s="1" t="s">
        <v>281</v>
      </c>
      <c r="B487" s="19" t="s">
        <v>368</v>
      </c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4">
        <f t="shared" ref="AP487:AR487" si="2247">AP458</f>
        <v>0</v>
      </c>
      <c r="AQ487" s="44">
        <f t="shared" si="2247"/>
        <v>0</v>
      </c>
      <c r="AR487" s="44">
        <f t="shared" si="2247"/>
        <v>0</v>
      </c>
      <c r="AS487" s="44">
        <f t="shared" ref="AS487:AT487" si="2248">AS458</f>
        <v>0</v>
      </c>
      <c r="AT487" s="44">
        <f t="shared" si="2248"/>
        <v>0</v>
      </c>
      <c r="AU487" s="44">
        <f t="shared" ref="AU487:AV487" si="2249">AU458</f>
        <v>0</v>
      </c>
      <c r="AV487" s="44">
        <f t="shared" si="2249"/>
        <v>0</v>
      </c>
      <c r="AW487" s="44">
        <f t="shared" ref="AW487:AX487" si="2250">AW458</f>
        <v>0</v>
      </c>
      <c r="AX487" s="44">
        <f t="shared" si="2250"/>
        <v>0</v>
      </c>
      <c r="AY487" s="44">
        <f t="shared" ref="AY487:BI487" si="2251">AY458</f>
        <v>0</v>
      </c>
      <c r="AZ487" s="45">
        <f t="shared" si="2251"/>
        <v>0</v>
      </c>
      <c r="BA487" s="44">
        <f t="shared" si="2251"/>
        <v>0</v>
      </c>
      <c r="BB487" s="44">
        <f t="shared" si="2251"/>
        <v>0</v>
      </c>
      <c r="BC487" s="44">
        <f t="shared" si="2251"/>
        <v>0</v>
      </c>
      <c r="BD487" s="44">
        <f t="shared" si="2251"/>
        <v>0</v>
      </c>
      <c r="BE487" s="44">
        <f t="shared" si="2251"/>
        <v>0</v>
      </c>
      <c r="BF487" s="44">
        <f t="shared" si="2251"/>
        <v>0</v>
      </c>
      <c r="BG487" s="44">
        <f t="shared" si="2251"/>
        <v>0</v>
      </c>
      <c r="BH487" s="44">
        <f t="shared" si="2251"/>
        <v>0</v>
      </c>
      <c r="BI487" s="44">
        <f t="shared" si="2251"/>
        <v>0</v>
      </c>
      <c r="BJ487" s="44">
        <f t="shared" ref="BJ487:BK487" si="2252">BJ458</f>
        <v>0</v>
      </c>
      <c r="BK487" s="44">
        <f t="shared" si="2252"/>
        <v>0</v>
      </c>
      <c r="BL487" s="44">
        <f t="shared" ref="BL487:BM487" si="2253">BL458</f>
        <v>0</v>
      </c>
      <c r="BM487" s="44">
        <f t="shared" si="2253"/>
        <v>0</v>
      </c>
      <c r="BN487" s="44">
        <f t="shared" ref="BN487:BO487" si="2254">BN458</f>
        <v>0</v>
      </c>
      <c r="BO487" s="44">
        <f t="shared" si="2254"/>
        <v>0</v>
      </c>
      <c r="BP487" s="44">
        <f t="shared" ref="BP487:BQ487" si="2255">BP458</f>
        <v>0</v>
      </c>
      <c r="BQ487" s="44">
        <f t="shared" si="2255"/>
        <v>0</v>
      </c>
      <c r="BR487" s="44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4">
        <f t="shared" ref="CT487:DF487" si="2256">CT458</f>
        <v>0</v>
      </c>
      <c r="CU487" s="44">
        <f t="shared" si="2256"/>
        <v>0</v>
      </c>
      <c r="CV487" s="44">
        <f t="shared" si="2256"/>
        <v>0</v>
      </c>
      <c r="CW487" s="44">
        <f t="shared" si="2256"/>
        <v>0</v>
      </c>
      <c r="CX487" s="44">
        <f t="shared" si="2256"/>
        <v>0</v>
      </c>
      <c r="CY487" s="44">
        <f t="shared" si="2256"/>
        <v>0</v>
      </c>
      <c r="CZ487" s="45">
        <f t="shared" si="2256"/>
        <v>0</v>
      </c>
      <c r="DA487" s="44">
        <f t="shared" si="2256"/>
        <v>0</v>
      </c>
      <c r="DB487" s="44">
        <f t="shared" si="2256"/>
        <v>0</v>
      </c>
      <c r="DC487" s="44">
        <f t="shared" si="2256"/>
        <v>0</v>
      </c>
      <c r="DD487" s="44">
        <f t="shared" si="2256"/>
        <v>0</v>
      </c>
      <c r="DE487" s="44">
        <f t="shared" si="2256"/>
        <v>0</v>
      </c>
      <c r="DF487" s="44">
        <f t="shared" si="2256"/>
        <v>0</v>
      </c>
      <c r="DG487" s="44">
        <f t="shared" ref="DG487:DH487" si="2257">DG458</f>
        <v>0</v>
      </c>
      <c r="DH487" s="44">
        <f t="shared" si="2257"/>
        <v>0</v>
      </c>
      <c r="DI487" s="44">
        <f t="shared" ref="DI487" si="2258">DI458</f>
        <v>0</v>
      </c>
    </row>
    <row r="488" spans="1:113" ht="12" hidden="1" outlineLevel="2">
      <c r="A488" s="1" t="s">
        <v>686</v>
      </c>
      <c r="B488" s="19" t="s">
        <v>358</v>
      </c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4">
        <f t="shared" ref="AP488:AR488" si="2259">AP459+AP476</f>
        <v>0</v>
      </c>
      <c r="AQ488" s="44">
        <f t="shared" si="2259"/>
        <v>0</v>
      </c>
      <c r="AR488" s="44">
        <f t="shared" si="2259"/>
        <v>0</v>
      </c>
      <c r="AS488" s="44">
        <f t="shared" ref="AS488:AT488" si="2260">AS459+AS476</f>
        <v>0</v>
      </c>
      <c r="AT488" s="44">
        <f t="shared" si="2260"/>
        <v>0</v>
      </c>
      <c r="AU488" s="44">
        <f t="shared" ref="AU488:AV488" si="2261">AU459+AU476</f>
        <v>0</v>
      </c>
      <c r="AV488" s="44">
        <f t="shared" si="2261"/>
        <v>0</v>
      </c>
      <c r="AW488" s="44">
        <f t="shared" ref="AW488:AX488" si="2262">AW459+AW476</f>
        <v>0</v>
      </c>
      <c r="AX488" s="44">
        <f t="shared" si="2262"/>
        <v>0</v>
      </c>
      <c r="AY488" s="44">
        <f t="shared" ref="AY488:BI489" si="2263">AY459+AY476</f>
        <v>0</v>
      </c>
      <c r="AZ488" s="45">
        <f t="shared" si="2263"/>
        <v>0</v>
      </c>
      <c r="BA488" s="44">
        <f t="shared" si="2263"/>
        <v>0</v>
      </c>
      <c r="BB488" s="44">
        <f t="shared" si="2263"/>
        <v>0</v>
      </c>
      <c r="BC488" s="44">
        <f t="shared" si="2263"/>
        <v>0</v>
      </c>
      <c r="BD488" s="44">
        <f t="shared" si="2263"/>
        <v>0</v>
      </c>
      <c r="BE488" s="44">
        <f t="shared" si="2263"/>
        <v>0</v>
      </c>
      <c r="BF488" s="44">
        <f t="shared" si="2263"/>
        <v>0</v>
      </c>
      <c r="BG488" s="44">
        <f t="shared" si="2263"/>
        <v>0</v>
      </c>
      <c r="BH488" s="44">
        <f t="shared" si="2263"/>
        <v>0</v>
      </c>
      <c r="BI488" s="44">
        <f t="shared" si="2263"/>
        <v>0</v>
      </c>
      <c r="BJ488" s="44">
        <f t="shared" ref="BJ488:BK488" si="2264">BJ459+BJ476</f>
        <v>0</v>
      </c>
      <c r="BK488" s="44">
        <f t="shared" si="2264"/>
        <v>0</v>
      </c>
      <c r="BL488" s="44">
        <f t="shared" ref="BL488:BM488" si="2265">BL459+BL476</f>
        <v>0</v>
      </c>
      <c r="BM488" s="44">
        <f t="shared" si="2265"/>
        <v>0</v>
      </c>
      <c r="BN488" s="44">
        <f t="shared" ref="BN488:BO488" si="2266">BN459+BN476</f>
        <v>0</v>
      </c>
      <c r="BO488" s="44">
        <f t="shared" si="2266"/>
        <v>0</v>
      </c>
      <c r="BP488" s="44">
        <f t="shared" ref="BP488:BQ488" si="2267">BP459+BP476</f>
        <v>0</v>
      </c>
      <c r="BQ488" s="44">
        <f t="shared" si="2267"/>
        <v>0</v>
      </c>
      <c r="BR488" s="44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4">
        <f t="shared" ref="CT488:DD489" si="2268">CT459+CT476</f>
        <v>0</v>
      </c>
      <c r="CU488" s="44">
        <f t="shared" si="2268"/>
        <v>0</v>
      </c>
      <c r="CV488" s="44">
        <f t="shared" si="2268"/>
        <v>0</v>
      </c>
      <c r="CW488" s="44">
        <f t="shared" si="2268"/>
        <v>0</v>
      </c>
      <c r="CX488" s="44">
        <f t="shared" si="2268"/>
        <v>0</v>
      </c>
      <c r="CY488" s="44">
        <f t="shared" si="2268"/>
        <v>0</v>
      </c>
      <c r="CZ488" s="45">
        <f t="shared" si="2268"/>
        <v>0</v>
      </c>
      <c r="DA488" s="44">
        <f t="shared" si="2268"/>
        <v>0</v>
      </c>
      <c r="DB488" s="44">
        <f t="shared" si="2268"/>
        <v>0</v>
      </c>
      <c r="DC488" s="44">
        <f t="shared" si="2268"/>
        <v>0</v>
      </c>
      <c r="DD488" s="44">
        <f t="shared" si="2268"/>
        <v>0</v>
      </c>
      <c r="DE488" s="44">
        <f t="shared" ref="DE488:DG489" si="2269">DE459+DE476</f>
        <v>0</v>
      </c>
      <c r="DF488" s="44">
        <f t="shared" si="2269"/>
        <v>0</v>
      </c>
      <c r="DG488" s="44">
        <f t="shared" si="2269"/>
        <v>0</v>
      </c>
      <c r="DH488" s="44">
        <f t="shared" ref="DH488:DI488" si="2270">DH459+DH476</f>
        <v>0</v>
      </c>
      <c r="DI488" s="44">
        <f t="shared" si="2270"/>
        <v>0</v>
      </c>
    </row>
    <row r="489" spans="1:113" ht="12" hidden="1" outlineLevel="2">
      <c r="A489" s="1" t="s">
        <v>282</v>
      </c>
      <c r="B489" s="19" t="s">
        <v>422</v>
      </c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4">
        <f t="shared" ref="AP489:AR489" si="2271">AP460+AP477</f>
        <v>0</v>
      </c>
      <c r="AQ489" s="44">
        <f t="shared" si="2271"/>
        <v>0</v>
      </c>
      <c r="AR489" s="44">
        <f t="shared" si="2271"/>
        <v>0</v>
      </c>
      <c r="AS489" s="44">
        <f t="shared" ref="AS489:AT489" si="2272">AS460+AS477</f>
        <v>0</v>
      </c>
      <c r="AT489" s="44">
        <f t="shared" si="2272"/>
        <v>0</v>
      </c>
      <c r="AU489" s="44">
        <f t="shared" ref="AU489:AV489" si="2273">AU460+AU477</f>
        <v>0</v>
      </c>
      <c r="AV489" s="44">
        <f t="shared" si="2273"/>
        <v>0</v>
      </c>
      <c r="AW489" s="44">
        <f t="shared" ref="AW489:AX489" si="2274">AW460+AW477</f>
        <v>5.8</v>
      </c>
      <c r="AX489" s="44">
        <f t="shared" si="2274"/>
        <v>0</v>
      </c>
      <c r="AY489" s="44">
        <f t="shared" si="2263"/>
        <v>0</v>
      </c>
      <c r="AZ489" s="45">
        <f t="shared" si="2263"/>
        <v>0</v>
      </c>
      <c r="BA489" s="44">
        <f t="shared" si="2263"/>
        <v>0</v>
      </c>
      <c r="BB489" s="44">
        <f t="shared" si="2263"/>
        <v>0</v>
      </c>
      <c r="BC489" s="44">
        <f t="shared" si="2263"/>
        <v>0</v>
      </c>
      <c r="BD489" s="44">
        <f t="shared" si="2263"/>
        <v>0</v>
      </c>
      <c r="BE489" s="44">
        <f t="shared" si="2263"/>
        <v>0</v>
      </c>
      <c r="BF489" s="44">
        <f t="shared" si="2263"/>
        <v>0</v>
      </c>
      <c r="BG489" s="44">
        <f t="shared" si="2263"/>
        <v>0</v>
      </c>
      <c r="BH489" s="44">
        <f t="shared" si="2263"/>
        <v>0</v>
      </c>
      <c r="BI489" s="44">
        <f t="shared" si="2263"/>
        <v>0</v>
      </c>
      <c r="BJ489" s="44">
        <f t="shared" ref="BJ489:BK489" si="2275">BJ460+BJ477</f>
        <v>0</v>
      </c>
      <c r="BK489" s="44">
        <f t="shared" si="2275"/>
        <v>0</v>
      </c>
      <c r="BL489" s="44">
        <f t="shared" ref="BL489:BM489" si="2276">BL460+BL477</f>
        <v>0</v>
      </c>
      <c r="BM489" s="44">
        <f t="shared" si="2276"/>
        <v>0</v>
      </c>
      <c r="BN489" s="44">
        <f t="shared" ref="BN489:BO489" si="2277">BN460+BN477</f>
        <v>0</v>
      </c>
      <c r="BO489" s="44">
        <f t="shared" si="2277"/>
        <v>0</v>
      </c>
      <c r="BP489" s="44">
        <f t="shared" ref="BP489:BQ489" si="2278">BP460+BP477</f>
        <v>0</v>
      </c>
      <c r="BQ489" s="44">
        <f t="shared" si="2278"/>
        <v>0</v>
      </c>
      <c r="BR489" s="44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4">
        <f t="shared" si="2268"/>
        <v>0</v>
      </c>
      <c r="CU489" s="44">
        <f t="shared" si="2268"/>
        <v>0</v>
      </c>
      <c r="CV489" s="44">
        <f t="shared" si="2268"/>
        <v>0</v>
      </c>
      <c r="CW489" s="44">
        <f t="shared" si="2268"/>
        <v>0</v>
      </c>
      <c r="CX489" s="44">
        <f t="shared" si="2268"/>
        <v>0</v>
      </c>
      <c r="CY489" s="44">
        <f t="shared" si="2268"/>
        <v>5.8</v>
      </c>
      <c r="CZ489" s="45">
        <f t="shared" si="2268"/>
        <v>0</v>
      </c>
      <c r="DA489" s="44">
        <f t="shared" si="2268"/>
        <v>0</v>
      </c>
      <c r="DB489" s="44">
        <f t="shared" si="2268"/>
        <v>0</v>
      </c>
      <c r="DC489" s="44">
        <f t="shared" si="2268"/>
        <v>0</v>
      </c>
      <c r="DD489" s="44">
        <f t="shared" si="2268"/>
        <v>0</v>
      </c>
      <c r="DE489" s="44">
        <f t="shared" si="2269"/>
        <v>0</v>
      </c>
      <c r="DF489" s="44">
        <f t="shared" si="2269"/>
        <v>0</v>
      </c>
      <c r="DG489" s="44">
        <f t="shared" si="2269"/>
        <v>0</v>
      </c>
      <c r="DH489" s="44">
        <f t="shared" ref="DH489:DI489" si="2279">DH460+DH477</f>
        <v>0</v>
      </c>
      <c r="DI489" s="44">
        <f t="shared" si="2279"/>
        <v>0</v>
      </c>
    </row>
    <row r="490" spans="1:113" s="24" customFormat="1" ht="12" hidden="1" outlineLevel="2">
      <c r="A490" s="1" t="s">
        <v>283</v>
      </c>
      <c r="B490" s="24" t="s">
        <v>347</v>
      </c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  <c r="AJ490" s="55"/>
      <c r="AK490" s="55"/>
      <c r="AL490" s="55"/>
      <c r="AM490" s="55"/>
      <c r="AN490" s="55"/>
      <c r="AO490" s="55"/>
      <c r="AP490" s="526">
        <f t="shared" ref="AP490:AR490" si="2280">SUM(AP483:AP489)</f>
        <v>-6.5999999999999943</v>
      </c>
      <c r="AQ490" s="526">
        <f t="shared" si="2280"/>
        <v>-0.69999999999999574</v>
      </c>
      <c r="AR490" s="526">
        <f t="shared" si="2280"/>
        <v>3.0000000000000089</v>
      </c>
      <c r="AS490" s="526">
        <f t="shared" ref="AS490:AT490" si="2281">SUM(AS483:AS489)</f>
        <v>12.599999999999991</v>
      </c>
      <c r="AT490" s="526">
        <f t="shared" si="2281"/>
        <v>53.199999999999989</v>
      </c>
      <c r="AU490" s="526">
        <f t="shared" ref="AU490:AV490" si="2282">SUM(AU483:AU489)</f>
        <v>54.299999999999983</v>
      </c>
      <c r="AV490" s="526">
        <f t="shared" si="2282"/>
        <v>67.400000000000006</v>
      </c>
      <c r="AW490" s="526">
        <f t="shared" ref="AW490:AX490" si="2283">SUM(AW483:AW489)</f>
        <v>42.700000000000017</v>
      </c>
      <c r="AX490" s="526">
        <f t="shared" si="2283"/>
        <v>56.7</v>
      </c>
      <c r="AY490" s="526">
        <f t="shared" ref="AY490:BI490" si="2284">SUM(AY483:AY489)</f>
        <v>68.90000000000002</v>
      </c>
      <c r="AZ490" s="524">
        <f t="shared" si="2284"/>
        <v>86.499999999999972</v>
      </c>
      <c r="BA490" s="526">
        <f t="shared" si="2284"/>
        <v>105.93201488607964</v>
      </c>
      <c r="BB490" s="526">
        <f t="shared" si="2284"/>
        <v>114.97731301660008</v>
      </c>
      <c r="BC490" s="526">
        <f t="shared" si="2284"/>
        <v>118.92933278287944</v>
      </c>
      <c r="BD490" s="526">
        <f t="shared" si="2284"/>
        <v>139.26601209311312</v>
      </c>
      <c r="BE490" s="526">
        <f t="shared" si="2284"/>
        <v>151.7476525978681</v>
      </c>
      <c r="BF490" s="526">
        <f t="shared" si="2284"/>
        <v>173.3521933873738</v>
      </c>
      <c r="BG490" s="526">
        <f t="shared" si="2284"/>
        <v>188.71365225595957</v>
      </c>
      <c r="BH490" s="526">
        <f t="shared" si="2284"/>
        <v>207.85433697939484</v>
      </c>
      <c r="BI490" s="526">
        <f t="shared" si="2284"/>
        <v>216.32453593833236</v>
      </c>
      <c r="BJ490" s="526">
        <f t="shared" ref="BJ490:BK490" si="2285">SUM(BJ483:BJ489)</f>
        <v>234.23595646400773</v>
      </c>
      <c r="BK490" s="526">
        <f t="shared" si="2285"/>
        <v>240.87277229253709</v>
      </c>
      <c r="BL490" s="526">
        <f t="shared" ref="BL490:BM490" si="2286">SUM(BL483:BL489)</f>
        <v>256.00389529607679</v>
      </c>
      <c r="BM490" s="526">
        <f t="shared" si="2286"/>
        <v>261.60115060653595</v>
      </c>
      <c r="BN490" s="526">
        <f t="shared" ref="BN490:BO490" si="2287">SUM(BN483:BN489)</f>
        <v>275.52389982218153</v>
      </c>
      <c r="BO490" s="526">
        <f t="shared" si="2287"/>
        <v>277.27872601044868</v>
      </c>
      <c r="BP490" s="526">
        <f t="shared" ref="BP490:BQ490" si="2288">SUM(BP483:BP489)</f>
        <v>291.44751423635432</v>
      </c>
      <c r="BQ490" s="526">
        <f t="shared" si="2288"/>
        <v>292.81430057312986</v>
      </c>
      <c r="BR490" s="526"/>
      <c r="BS490" s="55"/>
      <c r="BT490" s="55"/>
      <c r="BU490" s="55"/>
      <c r="BV490" s="55"/>
      <c r="BW490" s="55"/>
      <c r="BX490" s="55"/>
      <c r="BY490" s="55"/>
      <c r="BZ490" s="55"/>
      <c r="CA490" s="55"/>
      <c r="CB490" s="55"/>
      <c r="CC490" s="55"/>
      <c r="CD490" s="55"/>
      <c r="CE490" s="55"/>
      <c r="CF490" s="55"/>
      <c r="CG490" s="55"/>
      <c r="CH490" s="55"/>
      <c r="CI490" s="55"/>
      <c r="CJ490" s="55"/>
      <c r="CK490" s="55"/>
      <c r="CL490" s="55"/>
      <c r="CM490" s="55"/>
      <c r="CN490" s="55"/>
      <c r="CO490" s="55"/>
      <c r="CP490" s="55"/>
      <c r="CQ490" s="55"/>
      <c r="CR490" s="55"/>
      <c r="CS490" s="55"/>
      <c r="CT490" s="526">
        <f t="shared" ref="CT490:CV490" si="2289">SUM(CT483:CT489)</f>
        <v>-32.113500000000002</v>
      </c>
      <c r="CU490" s="526">
        <f t="shared" si="2289"/>
        <v>-54.991500000000002</v>
      </c>
      <c r="CV490" s="526">
        <f t="shared" si="2289"/>
        <v>-7.2999999999999972</v>
      </c>
      <c r="CW490" s="526">
        <f t="shared" ref="CW490:DF490" si="2290">SUM(CW483:CW489)</f>
        <v>15.600000000000001</v>
      </c>
      <c r="CX490" s="526">
        <f t="shared" si="2290"/>
        <v>107.5</v>
      </c>
      <c r="CY490" s="526">
        <f t="shared" si="2290"/>
        <v>110.09999999999998</v>
      </c>
      <c r="CZ490" s="524">
        <f t="shared" si="2290"/>
        <v>125.60000000000008</v>
      </c>
      <c r="DA490" s="526">
        <f t="shared" si="2290"/>
        <v>192.4320148860796</v>
      </c>
      <c r="DB490" s="526">
        <f t="shared" si="2290"/>
        <v>233.90664579947963</v>
      </c>
      <c r="DC490" s="526">
        <f t="shared" si="2290"/>
        <v>291.01366469098127</v>
      </c>
      <c r="DD490" s="526">
        <f t="shared" si="2290"/>
        <v>362.06584564333343</v>
      </c>
      <c r="DE490" s="526">
        <f t="shared" si="2290"/>
        <v>424.17887291772718</v>
      </c>
      <c r="DF490" s="526">
        <f t="shared" si="2290"/>
        <v>475.10872875654479</v>
      </c>
      <c r="DG490" s="526">
        <f t="shared" ref="DG490:DH490" si="2291">SUM(DG483:DG489)</f>
        <v>517.6050459026128</v>
      </c>
      <c r="DH490" s="526">
        <f t="shared" si="2291"/>
        <v>552.80262583263038</v>
      </c>
      <c r="DI490" s="526">
        <f t="shared" ref="DI490" si="2292">SUM(DI483:DI489)</f>
        <v>584.26181480948412</v>
      </c>
    </row>
    <row r="491" spans="1:113" ht="12" hidden="1" outlineLevel="2">
      <c r="A491" s="1" t="s">
        <v>284</v>
      </c>
      <c r="B491" s="19" t="s">
        <v>526</v>
      </c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4">
        <f t="shared" ref="AP491:AR491" si="2293">AP462+AP479</f>
        <v>2.0999999999999943</v>
      </c>
      <c r="AQ491" s="44">
        <f t="shared" si="2293"/>
        <v>0.79999999999999716</v>
      </c>
      <c r="AR491" s="44">
        <f t="shared" si="2293"/>
        <v>-22.799999999999997</v>
      </c>
      <c r="AS491" s="44">
        <f t="shared" ref="AS491:AT491" si="2294">AS462+AS479</f>
        <v>0</v>
      </c>
      <c r="AT491" s="44">
        <f t="shared" si="2294"/>
        <v>0</v>
      </c>
      <c r="AU491" s="44">
        <f t="shared" ref="AU491:AV491" si="2295">AU462+AU479</f>
        <v>0</v>
      </c>
      <c r="AV491" s="44">
        <f t="shared" si="2295"/>
        <v>0</v>
      </c>
      <c r="AW491" s="44">
        <f t="shared" ref="AW491:AX491" si="2296">AW462+AW479</f>
        <v>-5.7999999999999972</v>
      </c>
      <c r="AX491" s="44">
        <f t="shared" si="2296"/>
        <v>0</v>
      </c>
      <c r="AY491" s="44">
        <f t="shared" ref="AY491:BI491" si="2297">AY462+AY479</f>
        <v>0</v>
      </c>
      <c r="AZ491" s="45">
        <f t="shared" si="2297"/>
        <v>0</v>
      </c>
      <c r="BA491" s="44">
        <f t="shared" si="2297"/>
        <v>0</v>
      </c>
      <c r="BB491" s="44">
        <f t="shared" si="2297"/>
        <v>0</v>
      </c>
      <c r="BC491" s="44">
        <f t="shared" si="2297"/>
        <v>0</v>
      </c>
      <c r="BD491" s="44">
        <f t="shared" si="2297"/>
        <v>0</v>
      </c>
      <c r="BE491" s="44">
        <f t="shared" si="2297"/>
        <v>0</v>
      </c>
      <c r="BF491" s="44">
        <f t="shared" si="2297"/>
        <v>0</v>
      </c>
      <c r="BG491" s="44">
        <f t="shared" si="2297"/>
        <v>0</v>
      </c>
      <c r="BH491" s="44">
        <f t="shared" si="2297"/>
        <v>0</v>
      </c>
      <c r="BI491" s="44">
        <f t="shared" si="2297"/>
        <v>0</v>
      </c>
      <c r="BJ491" s="44">
        <f t="shared" ref="BJ491:BK491" si="2298">BJ462+BJ479</f>
        <v>0</v>
      </c>
      <c r="BK491" s="44">
        <f t="shared" si="2298"/>
        <v>0</v>
      </c>
      <c r="BL491" s="44">
        <f t="shared" ref="BL491:BM491" si="2299">BL462+BL479</f>
        <v>0</v>
      </c>
      <c r="BM491" s="44">
        <f t="shared" si="2299"/>
        <v>0</v>
      </c>
      <c r="BN491" s="44">
        <f t="shared" ref="BN491:BO491" si="2300">BN462+BN479</f>
        <v>0</v>
      </c>
      <c r="BO491" s="44">
        <f t="shared" si="2300"/>
        <v>0</v>
      </c>
      <c r="BP491" s="44">
        <f t="shared" ref="BP491:BQ491" si="2301">BP462+BP479</f>
        <v>0</v>
      </c>
      <c r="BQ491" s="44">
        <f t="shared" si="2301"/>
        <v>0</v>
      </c>
      <c r="BR491" s="44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4">
        <f t="shared" ref="CT491:DF491" si="2302">CT462+CT479</f>
        <v>4.1479999999999997</v>
      </c>
      <c r="CU491" s="44">
        <f t="shared" si="2302"/>
        <v>4.1480000000000032</v>
      </c>
      <c r="CV491" s="44">
        <f t="shared" si="2302"/>
        <v>2.8999999999999915</v>
      </c>
      <c r="CW491" s="44">
        <f t="shared" si="2302"/>
        <v>-22.799999999999997</v>
      </c>
      <c r="CX491" s="44">
        <f t="shared" si="2302"/>
        <v>0</v>
      </c>
      <c r="CY491" s="44">
        <f t="shared" si="2302"/>
        <v>-5.7999999999999972</v>
      </c>
      <c r="CZ491" s="45">
        <f t="shared" si="2302"/>
        <v>0</v>
      </c>
      <c r="DA491" s="44">
        <f t="shared" si="2302"/>
        <v>0</v>
      </c>
      <c r="DB491" s="44">
        <f t="shared" si="2302"/>
        <v>0</v>
      </c>
      <c r="DC491" s="44">
        <f t="shared" si="2302"/>
        <v>0</v>
      </c>
      <c r="DD491" s="44">
        <f t="shared" si="2302"/>
        <v>0</v>
      </c>
      <c r="DE491" s="44">
        <f t="shared" si="2302"/>
        <v>0</v>
      </c>
      <c r="DF491" s="44">
        <f t="shared" si="2302"/>
        <v>0</v>
      </c>
      <c r="DG491" s="44">
        <f t="shared" ref="DG491:DH491" si="2303">DG462+DG479</f>
        <v>0</v>
      </c>
      <c r="DH491" s="44">
        <f t="shared" si="2303"/>
        <v>0</v>
      </c>
      <c r="DI491" s="44">
        <f t="shared" ref="DI491" si="2304">DI462+DI479</f>
        <v>0</v>
      </c>
    </row>
    <row r="492" spans="1:113" ht="12" hidden="1" outlineLevel="2">
      <c r="A492" s="1" t="s">
        <v>687</v>
      </c>
      <c r="B492" s="19" t="s">
        <v>250</v>
      </c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1">
        <v>0</v>
      </c>
      <c r="AQ492" s="41">
        <v>0</v>
      </c>
      <c r="AR492" s="41">
        <v>0</v>
      </c>
      <c r="AS492" s="41">
        <v>0</v>
      </c>
      <c r="AT492" s="41">
        <v>0</v>
      </c>
      <c r="AU492" s="41">
        <v>0</v>
      </c>
      <c r="AV492" s="41">
        <v>0</v>
      </c>
      <c r="AW492" s="41">
        <v>0</v>
      </c>
      <c r="AX492" s="41">
        <v>0</v>
      </c>
      <c r="AY492" s="46">
        <v>0</v>
      </c>
      <c r="AZ492" s="531">
        <v>0</v>
      </c>
      <c r="BA492" s="46">
        <v>0</v>
      </c>
      <c r="BB492" s="46">
        <v>0</v>
      </c>
      <c r="BC492" s="46">
        <v>0</v>
      </c>
      <c r="BD492" s="46">
        <v>0</v>
      </c>
      <c r="BE492" s="46">
        <v>0</v>
      </c>
      <c r="BF492" s="46">
        <v>0</v>
      </c>
      <c r="BG492" s="46">
        <v>0</v>
      </c>
      <c r="BH492" s="46">
        <v>0</v>
      </c>
      <c r="BI492" s="46">
        <v>0</v>
      </c>
      <c r="BJ492" s="46">
        <v>0</v>
      </c>
      <c r="BK492" s="46">
        <v>0</v>
      </c>
      <c r="BL492" s="46">
        <v>0</v>
      </c>
      <c r="BM492" s="46">
        <v>0</v>
      </c>
      <c r="BN492" s="46">
        <v>0</v>
      </c>
      <c r="BO492" s="46">
        <v>0</v>
      </c>
      <c r="BP492" s="46">
        <v>0</v>
      </c>
      <c r="BQ492" s="46">
        <v>0</v>
      </c>
      <c r="BR492" s="44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4">
        <f>SUM(AL492:AM492)</f>
        <v>0</v>
      </c>
      <c r="CU492" s="46">
        <v>0</v>
      </c>
      <c r="CV492" s="44">
        <f>SUM(AP492:AQ492)</f>
        <v>0</v>
      </c>
      <c r="CW492" s="44">
        <f>SUM(AR492:AS492)</f>
        <v>0</v>
      </c>
      <c r="CX492" s="44">
        <f>SUM(AT492:AU492)</f>
        <v>0</v>
      </c>
      <c r="CY492" s="44">
        <f>SUM(AV492:AW492)</f>
        <v>0</v>
      </c>
      <c r="CZ492" s="45">
        <f>SUM(AX492:AY492)</f>
        <v>0</v>
      </c>
      <c r="DA492" s="44">
        <f>SUM(AZ492:BA492)</f>
        <v>0</v>
      </c>
      <c r="DB492" s="44">
        <f>SUM(BB492:BC492)</f>
        <v>0</v>
      </c>
      <c r="DC492" s="44">
        <f>SUM(BC492:BD492)</f>
        <v>0</v>
      </c>
      <c r="DD492" s="44">
        <f>SUM(BE492:BF492)</f>
        <v>0</v>
      </c>
      <c r="DE492" s="44">
        <f>SUM(BG492:BH492)</f>
        <v>0</v>
      </c>
      <c r="DF492" s="44">
        <f>SUM(BI492:BJ492)</f>
        <v>0</v>
      </c>
      <c r="DG492" s="44">
        <f>SUM(BK492:BL492)</f>
        <v>0</v>
      </c>
      <c r="DH492" s="44">
        <f>SUM(BM492:BN492)</f>
        <v>0</v>
      </c>
      <c r="DI492" s="44">
        <f>SUM(BO492:BP492)</f>
        <v>0</v>
      </c>
    </row>
    <row r="493" spans="1:113" s="24" customFormat="1" ht="12" hidden="1" outlineLevel="2">
      <c r="A493" s="1" t="s">
        <v>285</v>
      </c>
      <c r="B493" s="24" t="s">
        <v>155</v>
      </c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  <c r="AJ493" s="55"/>
      <c r="AK493" s="55"/>
      <c r="AL493" s="55"/>
      <c r="AM493" s="55"/>
      <c r="AN493" s="55"/>
      <c r="AO493" s="55"/>
      <c r="AP493" s="526">
        <f t="shared" ref="AP493:AR493" si="2305">AP490+AP491+AP492</f>
        <v>-4.5</v>
      </c>
      <c r="AQ493" s="526">
        <f t="shared" si="2305"/>
        <v>0.10000000000000142</v>
      </c>
      <c r="AR493" s="526">
        <f t="shared" si="2305"/>
        <v>-19.79999999999999</v>
      </c>
      <c r="AS493" s="526">
        <f t="shared" ref="AS493:AT493" si="2306">AS490+AS491+AS492</f>
        <v>12.599999999999991</v>
      </c>
      <c r="AT493" s="526">
        <f t="shared" si="2306"/>
        <v>53.199999999999989</v>
      </c>
      <c r="AU493" s="526">
        <f t="shared" ref="AU493:AV493" si="2307">AU490+AU491+AU492</f>
        <v>54.299999999999983</v>
      </c>
      <c r="AV493" s="526">
        <f t="shared" si="2307"/>
        <v>67.400000000000006</v>
      </c>
      <c r="AW493" s="526">
        <f t="shared" ref="AW493:AX493" si="2308">AW490+AW491+AW492</f>
        <v>36.90000000000002</v>
      </c>
      <c r="AX493" s="526">
        <f t="shared" si="2308"/>
        <v>56.7</v>
      </c>
      <c r="AY493" s="526">
        <f t="shared" ref="AY493:BI493" si="2309">AY490+AY491+AY492</f>
        <v>68.90000000000002</v>
      </c>
      <c r="AZ493" s="524">
        <f t="shared" si="2309"/>
        <v>86.499999999999972</v>
      </c>
      <c r="BA493" s="526">
        <f t="shared" si="2309"/>
        <v>105.93201488607964</v>
      </c>
      <c r="BB493" s="526">
        <f t="shared" si="2309"/>
        <v>114.97731301660008</v>
      </c>
      <c r="BC493" s="526">
        <f t="shared" si="2309"/>
        <v>118.92933278287944</v>
      </c>
      <c r="BD493" s="526">
        <f t="shared" si="2309"/>
        <v>139.26601209311312</v>
      </c>
      <c r="BE493" s="526">
        <f t="shared" si="2309"/>
        <v>151.7476525978681</v>
      </c>
      <c r="BF493" s="526">
        <f t="shared" si="2309"/>
        <v>173.3521933873738</v>
      </c>
      <c r="BG493" s="526">
        <f t="shared" si="2309"/>
        <v>188.71365225595957</v>
      </c>
      <c r="BH493" s="526">
        <f t="shared" si="2309"/>
        <v>207.85433697939484</v>
      </c>
      <c r="BI493" s="526">
        <f t="shared" si="2309"/>
        <v>216.32453593833236</v>
      </c>
      <c r="BJ493" s="526">
        <f t="shared" ref="BJ493:BK493" si="2310">BJ490+BJ491+BJ492</f>
        <v>234.23595646400773</v>
      </c>
      <c r="BK493" s="526">
        <f t="shared" si="2310"/>
        <v>240.87277229253709</v>
      </c>
      <c r="BL493" s="526">
        <f t="shared" ref="BL493:BM493" si="2311">BL490+BL491+BL492</f>
        <v>256.00389529607679</v>
      </c>
      <c r="BM493" s="526">
        <f t="shared" si="2311"/>
        <v>261.60115060653595</v>
      </c>
      <c r="BN493" s="526">
        <f t="shared" ref="BN493:BO493" si="2312">BN490+BN491+BN492</f>
        <v>275.52389982218153</v>
      </c>
      <c r="BO493" s="526">
        <f t="shared" si="2312"/>
        <v>277.27872601044868</v>
      </c>
      <c r="BP493" s="526">
        <f t="shared" ref="BP493:BQ493" si="2313">BP490+BP491+BP492</f>
        <v>291.44751423635432</v>
      </c>
      <c r="BQ493" s="526">
        <f t="shared" si="2313"/>
        <v>292.81430057312986</v>
      </c>
      <c r="BR493" s="526"/>
      <c r="BS493" s="55"/>
      <c r="BT493" s="55"/>
      <c r="BU493" s="55"/>
      <c r="BV493" s="55"/>
      <c r="BW493" s="55"/>
      <c r="BX493" s="55"/>
      <c r="BY493" s="55"/>
      <c r="BZ493" s="55"/>
      <c r="CA493" s="55"/>
      <c r="CB493" s="55"/>
      <c r="CC493" s="55"/>
      <c r="CD493" s="55"/>
      <c r="CE493" s="55"/>
      <c r="CF493" s="55"/>
      <c r="CG493" s="55"/>
      <c r="CH493" s="55"/>
      <c r="CI493" s="55"/>
      <c r="CJ493" s="55"/>
      <c r="CK493" s="55"/>
      <c r="CL493" s="55"/>
      <c r="CM493" s="55"/>
      <c r="CN493" s="55"/>
      <c r="CO493" s="55"/>
      <c r="CP493" s="55"/>
      <c r="CQ493" s="55"/>
      <c r="CR493" s="55"/>
      <c r="CS493" s="55"/>
      <c r="CT493" s="526">
        <f t="shared" ref="CT493:DF493" si="2314">CT490+CT491+CT492</f>
        <v>-27.965500000000002</v>
      </c>
      <c r="CU493" s="526">
        <f t="shared" si="2314"/>
        <v>-50.843499999999999</v>
      </c>
      <c r="CV493" s="526">
        <f t="shared" si="2314"/>
        <v>-4.4000000000000057</v>
      </c>
      <c r="CW493" s="526">
        <f t="shared" si="2314"/>
        <v>-7.1999999999999957</v>
      </c>
      <c r="CX493" s="526">
        <f t="shared" si="2314"/>
        <v>107.5</v>
      </c>
      <c r="CY493" s="526">
        <f t="shared" si="2314"/>
        <v>104.29999999999998</v>
      </c>
      <c r="CZ493" s="524">
        <f t="shared" si="2314"/>
        <v>125.60000000000008</v>
      </c>
      <c r="DA493" s="526">
        <f t="shared" si="2314"/>
        <v>192.4320148860796</v>
      </c>
      <c r="DB493" s="526">
        <f t="shared" si="2314"/>
        <v>233.90664579947963</v>
      </c>
      <c r="DC493" s="526">
        <f t="shared" si="2314"/>
        <v>291.01366469098127</v>
      </c>
      <c r="DD493" s="526">
        <f t="shared" si="2314"/>
        <v>362.06584564333343</v>
      </c>
      <c r="DE493" s="526">
        <f t="shared" si="2314"/>
        <v>424.17887291772718</v>
      </c>
      <c r="DF493" s="526">
        <f t="shared" si="2314"/>
        <v>475.10872875654479</v>
      </c>
      <c r="DG493" s="526">
        <f t="shared" ref="DG493:DH493" si="2315">DG490+DG491+DG492</f>
        <v>517.6050459026128</v>
      </c>
      <c r="DH493" s="526">
        <f t="shared" si="2315"/>
        <v>552.80262583263038</v>
      </c>
      <c r="DI493" s="526">
        <f t="shared" ref="DI493" si="2316">DI490+DI491+DI492</f>
        <v>584.26181480948412</v>
      </c>
    </row>
    <row r="494" spans="1:113" ht="12" collapsed="1"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4"/>
      <c r="AQ494" s="44"/>
      <c r="AR494" s="44"/>
      <c r="AS494" s="44"/>
      <c r="AT494" s="44"/>
      <c r="AU494" s="44"/>
      <c r="AV494" s="44"/>
      <c r="AW494" s="44"/>
      <c r="AX494" s="44"/>
      <c r="AY494" s="44"/>
      <c r="AZ494" s="45"/>
      <c r="BA494" s="44"/>
      <c r="BB494" s="44"/>
      <c r="BC494" s="44"/>
      <c r="BD494" s="44"/>
      <c r="BE494" s="44"/>
      <c r="BF494" s="44"/>
      <c r="BG494" s="44"/>
      <c r="BH494" s="44"/>
      <c r="BI494" s="44"/>
      <c r="BJ494" s="44"/>
      <c r="BK494" s="44"/>
      <c r="BL494" s="44"/>
      <c r="BM494" s="44"/>
      <c r="BN494" s="44"/>
      <c r="BO494" s="44"/>
      <c r="BP494" s="44"/>
      <c r="BQ494" s="44"/>
      <c r="BR494" s="44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4"/>
      <c r="CU494" s="44"/>
      <c r="CV494" s="44"/>
      <c r="CW494" s="44"/>
      <c r="CX494" s="44"/>
      <c r="CY494" s="44"/>
      <c r="CZ494" s="658"/>
      <c r="DA494" s="44"/>
      <c r="DB494" s="44"/>
      <c r="DC494" s="529"/>
      <c r="DD494" s="529"/>
      <c r="DE494" s="529"/>
      <c r="DF494" s="529"/>
      <c r="DG494" s="529"/>
      <c r="DH494" s="529"/>
      <c r="DI494" s="529"/>
    </row>
    <row r="495" spans="1:113" s="36" customFormat="1" ht="12" collapsed="1">
      <c r="A495" s="1" t="s">
        <v>359</v>
      </c>
      <c r="B495" s="2" t="s">
        <v>74</v>
      </c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  <c r="AJ495" s="55"/>
      <c r="AK495" s="55"/>
      <c r="AL495" s="55"/>
      <c r="AM495" s="55"/>
      <c r="AN495" s="55"/>
      <c r="AO495" s="55"/>
      <c r="AP495" s="527">
        <f t="shared" ref="AP495:AR495" si="2317">AP500</f>
        <v>0.1</v>
      </c>
      <c r="AQ495" s="527">
        <f t="shared" si="2317"/>
        <v>2</v>
      </c>
      <c r="AR495" s="527">
        <f t="shared" si="2317"/>
        <v>-2.2999999999999998</v>
      </c>
      <c r="AS495" s="527">
        <f t="shared" ref="AS495:AT495" si="2318">AS500</f>
        <v>-4.2</v>
      </c>
      <c r="AT495" s="527">
        <f t="shared" si="2318"/>
        <v>-17.100000000000001</v>
      </c>
      <c r="AU495" s="527">
        <f t="shared" ref="AU495:AV495" si="2319">AU500</f>
        <v>-17</v>
      </c>
      <c r="AV495" s="527">
        <f t="shared" si="2319"/>
        <v>-21.5</v>
      </c>
      <c r="AW495" s="527">
        <f t="shared" ref="AW495:AX495" si="2320">AW500</f>
        <v>-12.9</v>
      </c>
      <c r="AX495" s="527">
        <f t="shared" si="2320"/>
        <v>-15.8</v>
      </c>
      <c r="AY495" s="527">
        <f t="shared" ref="AY495:BI495" si="2321">AY500</f>
        <v>-23.4</v>
      </c>
      <c r="AZ495" s="528">
        <f t="shared" si="2321"/>
        <v>-26.6</v>
      </c>
      <c r="BA495" s="527">
        <f t="shared" si="2321"/>
        <v>-32.469693372047097</v>
      </c>
      <c r="BB495" s="527">
        <f t="shared" si="2321"/>
        <v>-35.127230648435742</v>
      </c>
      <c r="BC495" s="527">
        <f t="shared" si="2321"/>
        <v>-36.215700464363437</v>
      </c>
      <c r="BD495" s="527">
        <f t="shared" si="2321"/>
        <v>-42.269247184885472</v>
      </c>
      <c r="BE495" s="527">
        <f t="shared" si="2321"/>
        <v>-45.905857796008263</v>
      </c>
      <c r="BF495" s="527">
        <f t="shared" si="2321"/>
        <v>-52.268191395793039</v>
      </c>
      <c r="BG495" s="527">
        <f t="shared" si="2321"/>
        <v>-56.711179578815525</v>
      </c>
      <c r="BH495" s="527">
        <f t="shared" si="2321"/>
        <v>-62.255377600718653</v>
      </c>
      <c r="BI495" s="527">
        <f t="shared" si="2321"/>
        <v>-64.79232459063951</v>
      </c>
      <c r="BJ495" s="527">
        <f t="shared" ref="BJ495:BK495" si="2322">BJ500</f>
        <v>-70.157053873636002</v>
      </c>
      <c r="BK495" s="527">
        <f t="shared" si="2322"/>
        <v>-72.144876122023746</v>
      </c>
      <c r="BL495" s="527">
        <f t="shared" ref="BL495:BM495" si="2323">BL500</f>
        <v>-76.676866119430755</v>
      </c>
      <c r="BM495" s="527">
        <f t="shared" si="2323"/>
        <v>-78.353324970105618</v>
      </c>
      <c r="BN495" s="527">
        <f t="shared" ref="BN495:BO495" si="2324">BN500</f>
        <v>-82.523389555989382</v>
      </c>
      <c r="BO495" s="527">
        <f t="shared" si="2324"/>
        <v>-83.04898535813534</v>
      </c>
      <c r="BP495" s="527">
        <f t="shared" ref="BP495:BQ495" si="2325">BP500</f>
        <v>-87.292742183069024</v>
      </c>
      <c r="BQ495" s="527">
        <f t="shared" si="2325"/>
        <v>-87.702114442180942</v>
      </c>
      <c r="BR495" s="527"/>
      <c r="BS495" s="52"/>
      <c r="BT495" s="52"/>
      <c r="BU495" s="52"/>
      <c r="BV495" s="52"/>
      <c r="BW495" s="52"/>
      <c r="BX495" s="52"/>
      <c r="BY495" s="52"/>
      <c r="BZ495" s="52"/>
      <c r="CA495" s="52"/>
      <c r="CB495" s="52"/>
      <c r="CC495" s="52"/>
      <c r="CD495" s="52"/>
      <c r="CE495" s="52"/>
      <c r="CF495" s="52"/>
      <c r="CG495" s="52"/>
      <c r="CH495" s="52"/>
      <c r="CI495" s="52"/>
      <c r="CJ495" s="52"/>
      <c r="CK495" s="52"/>
      <c r="CL495" s="52"/>
      <c r="CM495" s="52"/>
      <c r="CN495" s="52"/>
      <c r="CO495" s="52"/>
      <c r="CP495" s="52"/>
      <c r="CQ495" s="52"/>
      <c r="CR495" s="52"/>
      <c r="CS495" s="52"/>
      <c r="CT495" s="527">
        <f t="shared" ref="CT495:DF495" si="2326">CT500</f>
        <v>9.0174900000000004</v>
      </c>
      <c r="CU495" s="527">
        <f t="shared" si="2326"/>
        <v>16.89349</v>
      </c>
      <c r="CV495" s="527">
        <f t="shared" si="2326"/>
        <v>2.1</v>
      </c>
      <c r="CW495" s="527">
        <f t="shared" si="2326"/>
        <v>-6.5</v>
      </c>
      <c r="CX495" s="527">
        <f t="shared" si="2326"/>
        <v>-34.1</v>
      </c>
      <c r="CY495" s="527">
        <f t="shared" si="2326"/>
        <v>-34.4</v>
      </c>
      <c r="CZ495" s="528">
        <f t="shared" si="2326"/>
        <v>-39.200000000000003</v>
      </c>
      <c r="DA495" s="527">
        <f t="shared" si="2326"/>
        <v>-59.069693372047098</v>
      </c>
      <c r="DB495" s="527">
        <f t="shared" si="2326"/>
        <v>-71.342931112799178</v>
      </c>
      <c r="DC495" s="527">
        <f t="shared" si="2326"/>
        <v>-88.175104980893735</v>
      </c>
      <c r="DD495" s="527">
        <f t="shared" si="2326"/>
        <v>-108.97937097460857</v>
      </c>
      <c r="DE495" s="527">
        <f t="shared" si="2326"/>
        <v>-127.04770219135816</v>
      </c>
      <c r="DF495" s="527">
        <f t="shared" si="2326"/>
        <v>-142.30192999565975</v>
      </c>
      <c r="DG495" s="527">
        <f t="shared" ref="DG495:DH495" si="2327">DG500</f>
        <v>-155.03019108953637</v>
      </c>
      <c r="DH495" s="527">
        <f t="shared" si="2327"/>
        <v>-165.57237491412474</v>
      </c>
      <c r="DI495" s="527">
        <f t="shared" ref="DI495" si="2328">DI500</f>
        <v>-174.99485662524995</v>
      </c>
    </row>
    <row r="496" spans="1:113" ht="12" hidden="1" outlineLevel="1"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4"/>
      <c r="AQ496" s="44"/>
      <c r="AR496" s="44"/>
      <c r="AS496" s="44"/>
      <c r="AT496" s="44"/>
      <c r="AU496" s="44"/>
      <c r="AV496" s="44"/>
      <c r="AW496" s="44"/>
      <c r="AX496" s="44"/>
      <c r="AY496" s="42"/>
      <c r="AZ496" s="43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4"/>
      <c r="CU496" s="44"/>
      <c r="CV496" s="44"/>
      <c r="CW496" s="44"/>
      <c r="CX496" s="44"/>
      <c r="CY496" s="44"/>
      <c r="CZ496" s="45"/>
      <c r="DA496" s="44"/>
      <c r="DB496" s="44"/>
      <c r="DC496" s="529"/>
      <c r="DD496" s="529"/>
      <c r="DE496" s="529"/>
      <c r="DF496" s="529"/>
      <c r="DG496" s="529"/>
      <c r="DH496" s="529"/>
      <c r="DI496" s="529"/>
    </row>
    <row r="497" spans="1:113" ht="12" hidden="1" outlineLevel="1">
      <c r="A497" s="1" t="s">
        <v>688</v>
      </c>
      <c r="B497" s="19" t="s">
        <v>75</v>
      </c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525">
        <v>0.1</v>
      </c>
      <c r="AQ497" s="525">
        <v>2</v>
      </c>
      <c r="AR497" s="525">
        <v>-2.2999999999999998</v>
      </c>
      <c r="AS497" s="525">
        <v>-4.2</v>
      </c>
      <c r="AT497" s="525">
        <v>-17.100000000000001</v>
      </c>
      <c r="AU497" s="525">
        <v>-17</v>
      </c>
      <c r="AV497" s="525">
        <v>-21.5</v>
      </c>
      <c r="AW497" s="525">
        <v>-12.9</v>
      </c>
      <c r="AX497" s="525">
        <v>-15.8</v>
      </c>
      <c r="AY497" s="525">
        <v>-23.4</v>
      </c>
      <c r="AZ497" s="523">
        <v>-26.6</v>
      </c>
      <c r="BA497" s="44">
        <f t="shared" ref="BA497:BI497" si="2329">-BA483*BA129</f>
        <v>-32.469693372047097</v>
      </c>
      <c r="BB497" s="44">
        <f t="shared" si="2329"/>
        <v>-35.127230648435742</v>
      </c>
      <c r="BC497" s="44">
        <f t="shared" si="2329"/>
        <v>-36.215700464363437</v>
      </c>
      <c r="BD497" s="44">
        <f t="shared" si="2329"/>
        <v>-42.269247184885472</v>
      </c>
      <c r="BE497" s="44">
        <f t="shared" si="2329"/>
        <v>-45.905857796008263</v>
      </c>
      <c r="BF497" s="44">
        <f t="shared" si="2329"/>
        <v>-52.268191395793039</v>
      </c>
      <c r="BG497" s="44">
        <f t="shared" si="2329"/>
        <v>-56.711179578815525</v>
      </c>
      <c r="BH497" s="44">
        <f t="shared" si="2329"/>
        <v>-62.255377600718653</v>
      </c>
      <c r="BI497" s="44">
        <f t="shared" si="2329"/>
        <v>-64.79232459063951</v>
      </c>
      <c r="BJ497" s="44">
        <f t="shared" ref="BJ497:BK497" si="2330">-BJ483*BJ129</f>
        <v>-70.157053873636002</v>
      </c>
      <c r="BK497" s="44">
        <f t="shared" si="2330"/>
        <v>-72.144876122023746</v>
      </c>
      <c r="BL497" s="44">
        <f t="shared" ref="BL497:BM497" si="2331">-BL483*BL129</f>
        <v>-76.676866119430755</v>
      </c>
      <c r="BM497" s="44">
        <f t="shared" si="2331"/>
        <v>-78.353324970105618</v>
      </c>
      <c r="BN497" s="44">
        <f t="shared" ref="BN497:BO497" si="2332">-BN483*BN129</f>
        <v>-82.523389555989382</v>
      </c>
      <c r="BO497" s="44">
        <f t="shared" si="2332"/>
        <v>-83.04898535813534</v>
      </c>
      <c r="BP497" s="44">
        <f t="shared" ref="BP497:BQ497" si="2333">-BP483*BP129</f>
        <v>-87.292742183069024</v>
      </c>
      <c r="BQ497" s="44">
        <f t="shared" si="2333"/>
        <v>-87.702114442180942</v>
      </c>
      <c r="BR497" s="44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2"/>
      <c r="CD497" s="42"/>
      <c r="CE497" s="42"/>
      <c r="CF497" s="42"/>
      <c r="CG497" s="42"/>
      <c r="CH497" s="42"/>
      <c r="CI497" s="42"/>
      <c r="CJ497" s="42"/>
      <c r="CK497" s="42"/>
      <c r="CL497" s="42"/>
      <c r="CM497" s="42"/>
      <c r="CN497" s="42"/>
      <c r="CO497" s="42"/>
      <c r="CP497" s="42"/>
      <c r="CQ497" s="42"/>
      <c r="CR497" s="42"/>
      <c r="CS497" s="42"/>
      <c r="CT497" s="525">
        <f t="shared" ref="CT497" si="2334">CT506</f>
        <v>9.0174900000000004</v>
      </c>
      <c r="CU497" s="525">
        <f>CU506</f>
        <v>16.89349</v>
      </c>
      <c r="CV497" s="44">
        <f t="shared" ref="CV497:CV509" si="2335">SUM(AP497:AQ497)</f>
        <v>2.1</v>
      </c>
      <c r="CW497" s="44">
        <f t="shared" ref="CW497:CW508" si="2336">SUM(AR497:AS497)</f>
        <v>-6.5</v>
      </c>
      <c r="CX497" s="44">
        <f t="shared" ref="CX497:CX508" si="2337">SUM(AT497:AU497)</f>
        <v>-34.1</v>
      </c>
      <c r="CY497" s="44">
        <f t="shared" ref="CY497:CY508" si="2338">SUM(AV497:AW497)</f>
        <v>-34.4</v>
      </c>
      <c r="CZ497" s="45">
        <f t="shared" ref="CZ497:CZ508" si="2339">SUM(AX497:AY497)</f>
        <v>-39.200000000000003</v>
      </c>
      <c r="DA497" s="44">
        <f t="shared" ref="DA497:DA508" si="2340">SUM(AZ497:BA497)</f>
        <v>-59.069693372047098</v>
      </c>
      <c r="DB497" s="44">
        <f t="shared" ref="DB497:DB508" si="2341">SUM(BB497:BC497)</f>
        <v>-71.342931112799178</v>
      </c>
      <c r="DC497" s="44">
        <f t="shared" ref="DC497:DC508" si="2342">SUM(BD497:BE497)</f>
        <v>-88.175104980893735</v>
      </c>
      <c r="DD497" s="44">
        <f t="shared" ref="DD497:DD508" si="2343">SUM(BF497:BG497)</f>
        <v>-108.97937097460857</v>
      </c>
      <c r="DE497" s="44">
        <f t="shared" ref="DE497:DE508" si="2344">SUM(BH497:BI497)</f>
        <v>-127.04770219135816</v>
      </c>
      <c r="DF497" s="44">
        <f t="shared" ref="DF497:DF508" si="2345">SUM(BJ497:BK497)</f>
        <v>-142.30192999565975</v>
      </c>
      <c r="DG497" s="44">
        <f t="shared" ref="DG497:DG508" si="2346">SUM(BL497:BM497)</f>
        <v>-155.03019108953637</v>
      </c>
      <c r="DH497" s="44">
        <f t="shared" ref="DH497:DH508" si="2347">SUM(BN497:BO497)</f>
        <v>-165.57237491412474</v>
      </c>
      <c r="DI497" s="44">
        <f t="shared" ref="DI497:DI508" si="2348">SUM(BP497:BQ497)</f>
        <v>-174.99485662524995</v>
      </c>
    </row>
    <row r="498" spans="1:113" ht="12" hidden="1" outlineLevel="1">
      <c r="A498" s="1" t="s">
        <v>689</v>
      </c>
      <c r="B498" s="19" t="s">
        <v>158</v>
      </c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525">
        <v>0</v>
      </c>
      <c r="AQ498" s="525">
        <v>0</v>
      </c>
      <c r="AR498" s="525">
        <v>0</v>
      </c>
      <c r="AS498" s="525">
        <v>0</v>
      </c>
      <c r="AT498" s="525">
        <v>0</v>
      </c>
      <c r="AU498" s="525">
        <v>0</v>
      </c>
      <c r="AV498" s="525">
        <v>0</v>
      </c>
      <c r="AW498" s="525">
        <v>0</v>
      </c>
      <c r="AX498" s="525">
        <v>0</v>
      </c>
      <c r="AY498" s="525">
        <v>0</v>
      </c>
      <c r="AZ498" s="523">
        <v>0</v>
      </c>
      <c r="BA498" s="44">
        <f t="shared" ref="BA498:BI499" si="2349">AZ498</f>
        <v>0</v>
      </c>
      <c r="BB498" s="44">
        <f t="shared" si="2349"/>
        <v>0</v>
      </c>
      <c r="BC498" s="44">
        <f t="shared" si="2349"/>
        <v>0</v>
      </c>
      <c r="BD498" s="44">
        <f t="shared" si="2349"/>
        <v>0</v>
      </c>
      <c r="BE498" s="44">
        <f t="shared" si="2349"/>
        <v>0</v>
      </c>
      <c r="BF498" s="44">
        <f t="shared" si="2349"/>
        <v>0</v>
      </c>
      <c r="BG498" s="44">
        <f t="shared" si="2349"/>
        <v>0</v>
      </c>
      <c r="BH498" s="44">
        <f t="shared" si="2349"/>
        <v>0</v>
      </c>
      <c r="BI498" s="44">
        <f t="shared" si="2349"/>
        <v>0</v>
      </c>
      <c r="BJ498" s="44">
        <f t="shared" ref="BJ498:BJ499" si="2350">BI498</f>
        <v>0</v>
      </c>
      <c r="BK498" s="44">
        <f t="shared" ref="BK498:BK499" si="2351">BJ498</f>
        <v>0</v>
      </c>
      <c r="BL498" s="44">
        <f t="shared" ref="BL498:BL499" si="2352">BK498</f>
        <v>0</v>
      </c>
      <c r="BM498" s="44">
        <f t="shared" ref="BM498:BM499" si="2353">BL498</f>
        <v>0</v>
      </c>
      <c r="BN498" s="44">
        <f t="shared" ref="BN498:BN499" si="2354">BM498</f>
        <v>0</v>
      </c>
      <c r="BO498" s="44">
        <f t="shared" ref="BO498:BO499" si="2355">BN498</f>
        <v>0</v>
      </c>
      <c r="BP498" s="44">
        <f t="shared" ref="BP498:BP499" si="2356">BO498</f>
        <v>0</v>
      </c>
      <c r="BQ498" s="44">
        <f t="shared" ref="BQ498:BQ499" si="2357">BP498</f>
        <v>0</v>
      </c>
      <c r="BR498" s="44"/>
      <c r="BS498" s="42"/>
      <c r="BT498" s="42"/>
      <c r="BU498" s="42"/>
      <c r="BV498" s="42"/>
      <c r="BW498" s="42"/>
      <c r="BX498" s="42"/>
      <c r="BY498" s="42"/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525">
        <v>0</v>
      </c>
      <c r="CU498" s="525">
        <v>0</v>
      </c>
      <c r="CV498" s="44">
        <f t="shared" si="2335"/>
        <v>0</v>
      </c>
      <c r="CW498" s="44">
        <f t="shared" si="2336"/>
        <v>0</v>
      </c>
      <c r="CX498" s="44">
        <f t="shared" si="2337"/>
        <v>0</v>
      </c>
      <c r="CY498" s="44">
        <f t="shared" si="2338"/>
        <v>0</v>
      </c>
      <c r="CZ498" s="45">
        <f t="shared" si="2339"/>
        <v>0</v>
      </c>
      <c r="DA498" s="44">
        <f t="shared" si="2340"/>
        <v>0</v>
      </c>
      <c r="DB498" s="44">
        <f t="shared" si="2341"/>
        <v>0</v>
      </c>
      <c r="DC498" s="44">
        <f t="shared" si="2342"/>
        <v>0</v>
      </c>
      <c r="DD498" s="44">
        <f t="shared" si="2343"/>
        <v>0</v>
      </c>
      <c r="DE498" s="44">
        <f t="shared" si="2344"/>
        <v>0</v>
      </c>
      <c r="DF498" s="44">
        <f t="shared" si="2345"/>
        <v>0</v>
      </c>
      <c r="DG498" s="44">
        <f t="shared" si="2346"/>
        <v>0</v>
      </c>
      <c r="DH498" s="44">
        <f t="shared" si="2347"/>
        <v>0</v>
      </c>
      <c r="DI498" s="44">
        <f t="shared" si="2348"/>
        <v>0</v>
      </c>
    </row>
    <row r="499" spans="1:113" ht="12" hidden="1" outlineLevel="1">
      <c r="A499" s="1" t="s">
        <v>690</v>
      </c>
      <c r="B499" s="19" t="s">
        <v>256</v>
      </c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525">
        <v>0</v>
      </c>
      <c r="AQ499" s="525">
        <v>0</v>
      </c>
      <c r="AR499" s="525">
        <v>0</v>
      </c>
      <c r="AS499" s="525">
        <v>0</v>
      </c>
      <c r="AT499" s="525">
        <v>0</v>
      </c>
      <c r="AU499" s="525">
        <v>0</v>
      </c>
      <c r="AV499" s="525">
        <v>0</v>
      </c>
      <c r="AW499" s="525">
        <v>0</v>
      </c>
      <c r="AX499" s="525">
        <v>0</v>
      </c>
      <c r="AY499" s="525">
        <v>0</v>
      </c>
      <c r="AZ499" s="523">
        <v>0</v>
      </c>
      <c r="BA499" s="46">
        <f t="shared" si="2349"/>
        <v>0</v>
      </c>
      <c r="BB499" s="46">
        <f t="shared" si="2349"/>
        <v>0</v>
      </c>
      <c r="BC499" s="46">
        <f t="shared" si="2349"/>
        <v>0</v>
      </c>
      <c r="BD499" s="46">
        <f t="shared" si="2349"/>
        <v>0</v>
      </c>
      <c r="BE499" s="46">
        <f t="shared" si="2349"/>
        <v>0</v>
      </c>
      <c r="BF499" s="46">
        <f t="shared" si="2349"/>
        <v>0</v>
      </c>
      <c r="BG499" s="46">
        <f t="shared" si="2349"/>
        <v>0</v>
      </c>
      <c r="BH499" s="46">
        <f t="shared" si="2349"/>
        <v>0</v>
      </c>
      <c r="BI499" s="46">
        <f t="shared" si="2349"/>
        <v>0</v>
      </c>
      <c r="BJ499" s="46">
        <f t="shared" si="2350"/>
        <v>0</v>
      </c>
      <c r="BK499" s="46">
        <f t="shared" si="2351"/>
        <v>0</v>
      </c>
      <c r="BL499" s="46">
        <f t="shared" si="2352"/>
        <v>0</v>
      </c>
      <c r="BM499" s="46">
        <f t="shared" si="2353"/>
        <v>0</v>
      </c>
      <c r="BN499" s="46">
        <f t="shared" si="2354"/>
        <v>0</v>
      </c>
      <c r="BO499" s="46">
        <f t="shared" si="2355"/>
        <v>0</v>
      </c>
      <c r="BP499" s="46">
        <f t="shared" si="2356"/>
        <v>0</v>
      </c>
      <c r="BQ499" s="46">
        <f t="shared" si="2357"/>
        <v>0</v>
      </c>
      <c r="BR499" s="44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525">
        <v>0</v>
      </c>
      <c r="CU499" s="525">
        <v>0</v>
      </c>
      <c r="CV499" s="44">
        <f t="shared" si="2335"/>
        <v>0</v>
      </c>
      <c r="CW499" s="44">
        <f t="shared" si="2336"/>
        <v>0</v>
      </c>
      <c r="CX499" s="44">
        <f t="shared" si="2337"/>
        <v>0</v>
      </c>
      <c r="CY499" s="44">
        <f t="shared" si="2338"/>
        <v>0</v>
      </c>
      <c r="CZ499" s="45">
        <f t="shared" si="2339"/>
        <v>0</v>
      </c>
      <c r="DA499" s="44">
        <f t="shared" si="2340"/>
        <v>0</v>
      </c>
      <c r="DB499" s="44">
        <f t="shared" si="2341"/>
        <v>0</v>
      </c>
      <c r="DC499" s="44">
        <f t="shared" si="2342"/>
        <v>0</v>
      </c>
      <c r="DD499" s="44">
        <f t="shared" si="2343"/>
        <v>0</v>
      </c>
      <c r="DE499" s="44">
        <f t="shared" si="2344"/>
        <v>0</v>
      </c>
      <c r="DF499" s="44">
        <f t="shared" si="2345"/>
        <v>0</v>
      </c>
      <c r="DG499" s="44">
        <f t="shared" si="2346"/>
        <v>0</v>
      </c>
      <c r="DH499" s="44">
        <f t="shared" si="2347"/>
        <v>0</v>
      </c>
      <c r="DI499" s="44">
        <f t="shared" si="2348"/>
        <v>0</v>
      </c>
    </row>
    <row r="500" spans="1:113" s="24" customFormat="1" ht="12" hidden="1" outlineLevel="1">
      <c r="A500" s="111" t="s">
        <v>327</v>
      </c>
      <c r="B500" s="24" t="s">
        <v>166</v>
      </c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  <c r="AJ500" s="55"/>
      <c r="AK500" s="55"/>
      <c r="AL500" s="55"/>
      <c r="AM500" s="55"/>
      <c r="AN500" s="55"/>
      <c r="AO500" s="55"/>
      <c r="AP500" s="526">
        <f t="shared" ref="AP500:AR500" si="2358">SUM(AP497:AP499)</f>
        <v>0.1</v>
      </c>
      <c r="AQ500" s="526">
        <f t="shared" si="2358"/>
        <v>2</v>
      </c>
      <c r="AR500" s="526">
        <f t="shared" si="2358"/>
        <v>-2.2999999999999998</v>
      </c>
      <c r="AS500" s="526">
        <f t="shared" ref="AS500:AT500" si="2359">SUM(AS497:AS499)</f>
        <v>-4.2</v>
      </c>
      <c r="AT500" s="526">
        <f t="shared" si="2359"/>
        <v>-17.100000000000001</v>
      </c>
      <c r="AU500" s="526">
        <f t="shared" ref="AU500:AV500" si="2360">SUM(AU497:AU499)</f>
        <v>-17</v>
      </c>
      <c r="AV500" s="526">
        <f t="shared" si="2360"/>
        <v>-21.5</v>
      </c>
      <c r="AW500" s="526">
        <f t="shared" ref="AW500:AX500" si="2361">SUM(AW497:AW499)</f>
        <v>-12.9</v>
      </c>
      <c r="AX500" s="526">
        <f t="shared" si="2361"/>
        <v>-15.8</v>
      </c>
      <c r="AY500" s="526">
        <f t="shared" ref="AY500:AZ500" si="2362">SUM(AY497:AY499)</f>
        <v>-23.4</v>
      </c>
      <c r="AZ500" s="524">
        <f t="shared" si="2362"/>
        <v>-26.6</v>
      </c>
      <c r="BA500" s="526">
        <f t="shared" ref="BA500:BI500" si="2363">BA497+BA498+BA499</f>
        <v>-32.469693372047097</v>
      </c>
      <c r="BB500" s="526">
        <f t="shared" si="2363"/>
        <v>-35.127230648435742</v>
      </c>
      <c r="BC500" s="526">
        <f t="shared" si="2363"/>
        <v>-36.215700464363437</v>
      </c>
      <c r="BD500" s="526">
        <f t="shared" si="2363"/>
        <v>-42.269247184885472</v>
      </c>
      <c r="BE500" s="526">
        <f t="shared" si="2363"/>
        <v>-45.905857796008263</v>
      </c>
      <c r="BF500" s="526">
        <f t="shared" si="2363"/>
        <v>-52.268191395793039</v>
      </c>
      <c r="BG500" s="526">
        <f t="shared" si="2363"/>
        <v>-56.711179578815525</v>
      </c>
      <c r="BH500" s="526">
        <f t="shared" si="2363"/>
        <v>-62.255377600718653</v>
      </c>
      <c r="BI500" s="526">
        <f t="shared" si="2363"/>
        <v>-64.79232459063951</v>
      </c>
      <c r="BJ500" s="526">
        <f t="shared" ref="BJ500:BK500" si="2364">BJ497+BJ498+BJ499</f>
        <v>-70.157053873636002</v>
      </c>
      <c r="BK500" s="526">
        <f t="shared" si="2364"/>
        <v>-72.144876122023746</v>
      </c>
      <c r="BL500" s="526">
        <f t="shared" ref="BL500:BM500" si="2365">BL497+BL498+BL499</f>
        <v>-76.676866119430755</v>
      </c>
      <c r="BM500" s="526">
        <f t="shared" si="2365"/>
        <v>-78.353324970105618</v>
      </c>
      <c r="BN500" s="526">
        <f t="shared" ref="BN500:BO500" si="2366">BN497+BN498+BN499</f>
        <v>-82.523389555989382</v>
      </c>
      <c r="BO500" s="526">
        <f t="shared" si="2366"/>
        <v>-83.04898535813534</v>
      </c>
      <c r="BP500" s="526">
        <f t="shared" ref="BP500:BQ500" si="2367">BP497+BP498+BP499</f>
        <v>-87.292742183069024</v>
      </c>
      <c r="BQ500" s="526">
        <f t="shared" si="2367"/>
        <v>-87.702114442180942</v>
      </c>
      <c r="BR500" s="526"/>
      <c r="BS500" s="55"/>
      <c r="BT500" s="55"/>
      <c r="BU500" s="55"/>
      <c r="BV500" s="55"/>
      <c r="BW500" s="55"/>
      <c r="BX500" s="55"/>
      <c r="BY500" s="55"/>
      <c r="BZ500" s="55"/>
      <c r="CA500" s="55"/>
      <c r="CB500" s="55"/>
      <c r="CC500" s="55"/>
      <c r="CD500" s="55"/>
      <c r="CE500" s="55"/>
      <c r="CF500" s="55"/>
      <c r="CG500" s="55"/>
      <c r="CH500" s="55"/>
      <c r="CI500" s="55"/>
      <c r="CJ500" s="55"/>
      <c r="CK500" s="55"/>
      <c r="CL500" s="55"/>
      <c r="CM500" s="55"/>
      <c r="CN500" s="55"/>
      <c r="CO500" s="55"/>
      <c r="CP500" s="55"/>
      <c r="CQ500" s="55"/>
      <c r="CR500" s="55"/>
      <c r="CS500" s="55"/>
      <c r="CT500" s="526">
        <f t="shared" ref="CT500:CU500" si="2368">SUM(CT497:CT499)</f>
        <v>9.0174900000000004</v>
      </c>
      <c r="CU500" s="526">
        <f t="shared" si="2368"/>
        <v>16.89349</v>
      </c>
      <c r="CV500" s="526">
        <f t="shared" si="2335"/>
        <v>2.1</v>
      </c>
      <c r="CW500" s="526">
        <f t="shared" si="2336"/>
        <v>-6.5</v>
      </c>
      <c r="CX500" s="526">
        <f t="shared" si="2337"/>
        <v>-34.1</v>
      </c>
      <c r="CY500" s="526">
        <f t="shared" si="2338"/>
        <v>-34.4</v>
      </c>
      <c r="CZ500" s="524">
        <f t="shared" si="2339"/>
        <v>-39.200000000000003</v>
      </c>
      <c r="DA500" s="526">
        <f t="shared" si="2340"/>
        <v>-59.069693372047098</v>
      </c>
      <c r="DB500" s="526">
        <f t="shared" si="2341"/>
        <v>-71.342931112799178</v>
      </c>
      <c r="DC500" s="526">
        <f t="shared" si="2342"/>
        <v>-88.175104980893735</v>
      </c>
      <c r="DD500" s="526">
        <f t="shared" si="2343"/>
        <v>-108.97937097460857</v>
      </c>
      <c r="DE500" s="526">
        <f t="shared" si="2344"/>
        <v>-127.04770219135816</v>
      </c>
      <c r="DF500" s="526">
        <f t="shared" si="2345"/>
        <v>-142.30192999565975</v>
      </c>
      <c r="DG500" s="526">
        <f t="shared" si="2346"/>
        <v>-155.03019108953637</v>
      </c>
      <c r="DH500" s="526">
        <f t="shared" si="2347"/>
        <v>-165.57237491412474</v>
      </c>
      <c r="DI500" s="526">
        <f t="shared" si="2348"/>
        <v>-174.99485662524995</v>
      </c>
    </row>
    <row r="501" spans="1:113" ht="12" hidden="1" outlineLevel="2">
      <c r="A501" s="1" t="s">
        <v>430</v>
      </c>
      <c r="B501" s="19" t="s">
        <v>854</v>
      </c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4">
        <f t="shared" ref="AP501:AR501" si="2369">-AP385</f>
        <v>0</v>
      </c>
      <c r="AQ501" s="44">
        <f t="shared" si="2369"/>
        <v>0</v>
      </c>
      <c r="AR501" s="44">
        <f t="shared" si="2369"/>
        <v>0</v>
      </c>
      <c r="AS501" s="44">
        <f t="shared" ref="AS501:AT501" si="2370">-AS385</f>
        <v>0</v>
      </c>
      <c r="AT501" s="44">
        <f t="shared" si="2370"/>
        <v>0</v>
      </c>
      <c r="AU501" s="44">
        <f t="shared" ref="AU501:AV501" si="2371">-AU385</f>
        <v>0</v>
      </c>
      <c r="AV501" s="44">
        <f t="shared" si="2371"/>
        <v>0</v>
      </c>
      <c r="AW501" s="44">
        <f t="shared" ref="AW501:AX501" si="2372">-AW385</f>
        <v>0</v>
      </c>
      <c r="AX501" s="44">
        <f t="shared" si="2372"/>
        <v>0</v>
      </c>
      <c r="AY501" s="44">
        <f t="shared" ref="AY501:AZ501" si="2373">-AY385</f>
        <v>0</v>
      </c>
      <c r="AZ501" s="45">
        <f t="shared" si="2373"/>
        <v>0</v>
      </c>
      <c r="BA501" s="44">
        <f t="shared" ref="BA501:BI501" si="2374">-BA385</f>
        <v>0</v>
      </c>
      <c r="BB501" s="44">
        <f t="shared" si="2374"/>
        <v>0</v>
      </c>
      <c r="BC501" s="44">
        <f t="shared" si="2374"/>
        <v>0</v>
      </c>
      <c r="BD501" s="44">
        <f t="shared" si="2374"/>
        <v>0</v>
      </c>
      <c r="BE501" s="44">
        <f t="shared" si="2374"/>
        <v>0</v>
      </c>
      <c r="BF501" s="44">
        <f t="shared" si="2374"/>
        <v>0</v>
      </c>
      <c r="BG501" s="44">
        <f t="shared" si="2374"/>
        <v>0</v>
      </c>
      <c r="BH501" s="44">
        <f t="shared" si="2374"/>
        <v>0</v>
      </c>
      <c r="BI501" s="44">
        <f t="shared" si="2374"/>
        <v>0</v>
      </c>
      <c r="BJ501" s="44">
        <f t="shared" ref="BJ501:BK501" si="2375">-BJ385</f>
        <v>0</v>
      </c>
      <c r="BK501" s="44">
        <f t="shared" si="2375"/>
        <v>0</v>
      </c>
      <c r="BL501" s="44">
        <f t="shared" ref="BL501:BM501" si="2376">-BL385</f>
        <v>0</v>
      </c>
      <c r="BM501" s="44">
        <f t="shared" si="2376"/>
        <v>0</v>
      </c>
      <c r="BN501" s="44">
        <f t="shared" ref="BN501:BO501" si="2377">-BN385</f>
        <v>0</v>
      </c>
      <c r="BO501" s="44">
        <f t="shared" si="2377"/>
        <v>0</v>
      </c>
      <c r="BP501" s="44">
        <f t="shared" ref="BP501:BQ501" si="2378">-BP385</f>
        <v>0</v>
      </c>
      <c r="BQ501" s="44">
        <f t="shared" si="2378"/>
        <v>0</v>
      </c>
      <c r="BR501" s="44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/>
      <c r="CL501" s="42"/>
      <c r="CM501" s="42"/>
      <c r="CN501" s="42"/>
      <c r="CO501" s="42"/>
      <c r="CP501" s="42"/>
      <c r="CQ501" s="42"/>
      <c r="CR501" s="42"/>
      <c r="CS501" s="42"/>
      <c r="CT501" s="44">
        <f t="shared" ref="CT501:CU501" si="2379">-CT385</f>
        <v>0</v>
      </c>
      <c r="CU501" s="44">
        <f t="shared" si="2379"/>
        <v>0</v>
      </c>
      <c r="CV501" s="44">
        <f t="shared" si="2335"/>
        <v>0</v>
      </c>
      <c r="CW501" s="44">
        <f t="shared" si="2336"/>
        <v>0</v>
      </c>
      <c r="CX501" s="44">
        <f t="shared" si="2337"/>
        <v>0</v>
      </c>
      <c r="CY501" s="44">
        <f t="shared" si="2338"/>
        <v>0</v>
      </c>
      <c r="CZ501" s="45">
        <f t="shared" si="2339"/>
        <v>0</v>
      </c>
      <c r="DA501" s="44">
        <f t="shared" si="2340"/>
        <v>0</v>
      </c>
      <c r="DB501" s="44">
        <f t="shared" si="2341"/>
        <v>0</v>
      </c>
      <c r="DC501" s="44">
        <f t="shared" si="2342"/>
        <v>0</v>
      </c>
      <c r="DD501" s="44">
        <f t="shared" si="2343"/>
        <v>0</v>
      </c>
      <c r="DE501" s="44">
        <f t="shared" si="2344"/>
        <v>0</v>
      </c>
      <c r="DF501" s="44">
        <f t="shared" si="2345"/>
        <v>0</v>
      </c>
      <c r="DG501" s="44">
        <f t="shared" si="2346"/>
        <v>0</v>
      </c>
      <c r="DH501" s="44">
        <f t="shared" si="2347"/>
        <v>0</v>
      </c>
      <c r="DI501" s="44">
        <f t="shared" si="2348"/>
        <v>0</v>
      </c>
    </row>
    <row r="502" spans="1:113" ht="12" hidden="1" outlineLevel="2">
      <c r="A502" s="1" t="s">
        <v>54</v>
      </c>
      <c r="B502" s="19" t="s">
        <v>444</v>
      </c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4">
        <f t="shared" ref="AP502:AR502" si="2380">-AP412</f>
        <v>0</v>
      </c>
      <c r="AQ502" s="44">
        <f t="shared" si="2380"/>
        <v>0</v>
      </c>
      <c r="AR502" s="44">
        <f t="shared" si="2380"/>
        <v>0</v>
      </c>
      <c r="AS502" s="44">
        <f t="shared" ref="AS502:AT502" si="2381">-AS412</f>
        <v>0</v>
      </c>
      <c r="AT502" s="44">
        <f t="shared" si="2381"/>
        <v>0</v>
      </c>
      <c r="AU502" s="44">
        <f t="shared" ref="AU502:AV502" si="2382">-AU412</f>
        <v>0</v>
      </c>
      <c r="AV502" s="44">
        <f t="shared" si="2382"/>
        <v>0</v>
      </c>
      <c r="AW502" s="44">
        <f t="shared" ref="AW502:AX502" si="2383">-AW412</f>
        <v>0</v>
      </c>
      <c r="AX502" s="44">
        <f t="shared" si="2383"/>
        <v>0</v>
      </c>
      <c r="AY502" s="44">
        <f t="shared" ref="AY502:AZ502" si="2384">-AY412</f>
        <v>0</v>
      </c>
      <c r="AZ502" s="45">
        <f t="shared" si="2384"/>
        <v>0</v>
      </c>
      <c r="BA502" s="44">
        <f t="shared" ref="BA502:BI502" si="2385">-BA412</f>
        <v>0</v>
      </c>
      <c r="BB502" s="44">
        <f t="shared" si="2385"/>
        <v>0</v>
      </c>
      <c r="BC502" s="44">
        <f t="shared" si="2385"/>
        <v>0</v>
      </c>
      <c r="BD502" s="44">
        <f t="shared" si="2385"/>
        <v>0</v>
      </c>
      <c r="BE502" s="44">
        <f t="shared" si="2385"/>
        <v>0</v>
      </c>
      <c r="BF502" s="44">
        <f t="shared" si="2385"/>
        <v>0</v>
      </c>
      <c r="BG502" s="44">
        <f t="shared" si="2385"/>
        <v>0</v>
      </c>
      <c r="BH502" s="44">
        <f t="shared" si="2385"/>
        <v>0</v>
      </c>
      <c r="BI502" s="44">
        <f t="shared" si="2385"/>
        <v>0</v>
      </c>
      <c r="BJ502" s="44">
        <f t="shared" ref="BJ502:BK502" si="2386">-BJ412</f>
        <v>0</v>
      </c>
      <c r="BK502" s="44">
        <f t="shared" si="2386"/>
        <v>0</v>
      </c>
      <c r="BL502" s="44">
        <f t="shared" ref="BL502:BM502" si="2387">-BL412</f>
        <v>0</v>
      </c>
      <c r="BM502" s="44">
        <f t="shared" si="2387"/>
        <v>0</v>
      </c>
      <c r="BN502" s="44">
        <f t="shared" ref="BN502:BO502" si="2388">-BN412</f>
        <v>0</v>
      </c>
      <c r="BO502" s="44">
        <f t="shared" si="2388"/>
        <v>0</v>
      </c>
      <c r="BP502" s="44">
        <f t="shared" ref="BP502:BQ502" si="2389">-BP412</f>
        <v>0</v>
      </c>
      <c r="BQ502" s="44">
        <f t="shared" si="2389"/>
        <v>0</v>
      </c>
      <c r="BR502" s="44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/>
      <c r="CI502" s="42"/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4">
        <f t="shared" ref="CT502:CU502" si="2390">-CT412</f>
        <v>0</v>
      </c>
      <c r="CU502" s="44">
        <f t="shared" si="2390"/>
        <v>0</v>
      </c>
      <c r="CV502" s="44">
        <f t="shared" si="2335"/>
        <v>0</v>
      </c>
      <c r="CW502" s="44">
        <f t="shared" si="2336"/>
        <v>0</v>
      </c>
      <c r="CX502" s="44">
        <f t="shared" si="2337"/>
        <v>0</v>
      </c>
      <c r="CY502" s="44">
        <f t="shared" si="2338"/>
        <v>0</v>
      </c>
      <c r="CZ502" s="45">
        <f t="shared" si="2339"/>
        <v>0</v>
      </c>
      <c r="DA502" s="44">
        <f t="shared" si="2340"/>
        <v>0</v>
      </c>
      <c r="DB502" s="44">
        <f t="shared" si="2341"/>
        <v>0</v>
      </c>
      <c r="DC502" s="44">
        <f t="shared" si="2342"/>
        <v>0</v>
      </c>
      <c r="DD502" s="44">
        <f t="shared" si="2343"/>
        <v>0</v>
      </c>
      <c r="DE502" s="44">
        <f t="shared" si="2344"/>
        <v>0</v>
      </c>
      <c r="DF502" s="44">
        <f t="shared" si="2345"/>
        <v>0</v>
      </c>
      <c r="DG502" s="44">
        <f t="shared" si="2346"/>
        <v>0</v>
      </c>
      <c r="DH502" s="44">
        <f t="shared" si="2347"/>
        <v>0</v>
      </c>
      <c r="DI502" s="44">
        <f t="shared" si="2348"/>
        <v>0</v>
      </c>
    </row>
    <row r="503" spans="1:113" ht="12" hidden="1" outlineLevel="2">
      <c r="A503" s="1" t="s">
        <v>55</v>
      </c>
      <c r="B503" s="19" t="s">
        <v>367</v>
      </c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4">
        <f t="shared" ref="AP503:AR503" si="2391">-AP447</f>
        <v>0</v>
      </c>
      <c r="AQ503" s="44">
        <f t="shared" si="2391"/>
        <v>0</v>
      </c>
      <c r="AR503" s="44">
        <f t="shared" si="2391"/>
        <v>0</v>
      </c>
      <c r="AS503" s="44">
        <f t="shared" ref="AS503:AT503" si="2392">-AS447</f>
        <v>0</v>
      </c>
      <c r="AT503" s="44">
        <f t="shared" si="2392"/>
        <v>0</v>
      </c>
      <c r="AU503" s="44">
        <f t="shared" ref="AU503:AV503" si="2393">-AU447</f>
        <v>0</v>
      </c>
      <c r="AV503" s="44">
        <f t="shared" si="2393"/>
        <v>0</v>
      </c>
      <c r="AW503" s="44">
        <f t="shared" ref="AW503:AX503" si="2394">-AW447</f>
        <v>0</v>
      </c>
      <c r="AX503" s="44">
        <f t="shared" si="2394"/>
        <v>0</v>
      </c>
      <c r="AY503" s="44">
        <f t="shared" ref="AY503:AZ503" si="2395">-AY447</f>
        <v>0</v>
      </c>
      <c r="AZ503" s="45">
        <f t="shared" si="2395"/>
        <v>0</v>
      </c>
      <c r="BA503" s="44">
        <f t="shared" ref="BA503:BI503" si="2396">-BA447</f>
        <v>0</v>
      </c>
      <c r="BB503" s="44">
        <f t="shared" si="2396"/>
        <v>0</v>
      </c>
      <c r="BC503" s="44">
        <f t="shared" si="2396"/>
        <v>0</v>
      </c>
      <c r="BD503" s="44">
        <f t="shared" si="2396"/>
        <v>0</v>
      </c>
      <c r="BE503" s="44">
        <f t="shared" si="2396"/>
        <v>0</v>
      </c>
      <c r="BF503" s="44">
        <f t="shared" si="2396"/>
        <v>0</v>
      </c>
      <c r="BG503" s="44">
        <f t="shared" si="2396"/>
        <v>0</v>
      </c>
      <c r="BH503" s="44">
        <f t="shared" si="2396"/>
        <v>0</v>
      </c>
      <c r="BI503" s="44">
        <f t="shared" si="2396"/>
        <v>0</v>
      </c>
      <c r="BJ503" s="44">
        <f t="shared" ref="BJ503:BK503" si="2397">-BJ447</f>
        <v>0</v>
      </c>
      <c r="BK503" s="44">
        <f t="shared" si="2397"/>
        <v>0</v>
      </c>
      <c r="BL503" s="44">
        <f t="shared" ref="BL503:BM503" si="2398">-BL447</f>
        <v>0</v>
      </c>
      <c r="BM503" s="44">
        <f t="shared" si="2398"/>
        <v>0</v>
      </c>
      <c r="BN503" s="44">
        <f t="shared" ref="BN503:BO503" si="2399">-BN447</f>
        <v>0</v>
      </c>
      <c r="BO503" s="44">
        <f t="shared" si="2399"/>
        <v>0</v>
      </c>
      <c r="BP503" s="44">
        <f t="shared" ref="BP503:BQ503" si="2400">-BP447</f>
        <v>0</v>
      </c>
      <c r="BQ503" s="44">
        <f t="shared" si="2400"/>
        <v>0</v>
      </c>
      <c r="BR503" s="44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4">
        <f t="shared" ref="CT503:CU503" si="2401">-CT447</f>
        <v>0</v>
      </c>
      <c r="CU503" s="44">
        <f t="shared" si="2401"/>
        <v>0</v>
      </c>
      <c r="CV503" s="44">
        <f t="shared" si="2335"/>
        <v>0</v>
      </c>
      <c r="CW503" s="44">
        <f t="shared" si="2336"/>
        <v>0</v>
      </c>
      <c r="CX503" s="44">
        <f t="shared" si="2337"/>
        <v>0</v>
      </c>
      <c r="CY503" s="44">
        <f t="shared" si="2338"/>
        <v>0</v>
      </c>
      <c r="CZ503" s="45">
        <f t="shared" si="2339"/>
        <v>0</v>
      </c>
      <c r="DA503" s="44">
        <f t="shared" si="2340"/>
        <v>0</v>
      </c>
      <c r="DB503" s="44">
        <f t="shared" si="2341"/>
        <v>0</v>
      </c>
      <c r="DC503" s="44">
        <f t="shared" si="2342"/>
        <v>0</v>
      </c>
      <c r="DD503" s="44">
        <f t="shared" si="2343"/>
        <v>0</v>
      </c>
      <c r="DE503" s="44">
        <f t="shared" si="2344"/>
        <v>0</v>
      </c>
      <c r="DF503" s="44">
        <f t="shared" si="2345"/>
        <v>0</v>
      </c>
      <c r="DG503" s="44">
        <f t="shared" si="2346"/>
        <v>0</v>
      </c>
      <c r="DH503" s="44">
        <f t="shared" si="2347"/>
        <v>0</v>
      </c>
      <c r="DI503" s="44">
        <f t="shared" si="2348"/>
        <v>0</v>
      </c>
    </row>
    <row r="504" spans="1:113" ht="12" hidden="1" outlineLevel="2">
      <c r="A504" s="1" t="s">
        <v>691</v>
      </c>
      <c r="B504" s="19" t="s">
        <v>368</v>
      </c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4">
        <f t="shared" ref="AP504:AR504" si="2402">-AP476</f>
        <v>0</v>
      </c>
      <c r="AQ504" s="44">
        <f t="shared" si="2402"/>
        <v>0</v>
      </c>
      <c r="AR504" s="44">
        <f t="shared" si="2402"/>
        <v>0</v>
      </c>
      <c r="AS504" s="44">
        <f t="shared" ref="AS504:AT504" si="2403">-AS476</f>
        <v>0</v>
      </c>
      <c r="AT504" s="44">
        <f t="shared" si="2403"/>
        <v>0</v>
      </c>
      <c r="AU504" s="44">
        <f t="shared" ref="AU504:AV504" si="2404">-AU476</f>
        <v>0</v>
      </c>
      <c r="AV504" s="44">
        <f t="shared" si="2404"/>
        <v>0</v>
      </c>
      <c r="AW504" s="44">
        <f t="shared" ref="AW504:AX504" si="2405">-AW476</f>
        <v>0</v>
      </c>
      <c r="AX504" s="44">
        <f t="shared" si="2405"/>
        <v>0</v>
      </c>
      <c r="AY504" s="44">
        <f t="shared" ref="AY504:AZ504" si="2406">-AY476</f>
        <v>0</v>
      </c>
      <c r="AZ504" s="45">
        <f t="shared" si="2406"/>
        <v>0</v>
      </c>
      <c r="BA504" s="44">
        <f t="shared" ref="BA504:BI504" si="2407">-BA476</f>
        <v>0</v>
      </c>
      <c r="BB504" s="44">
        <f t="shared" si="2407"/>
        <v>0</v>
      </c>
      <c r="BC504" s="44">
        <f t="shared" si="2407"/>
        <v>0</v>
      </c>
      <c r="BD504" s="44">
        <f t="shared" si="2407"/>
        <v>0</v>
      </c>
      <c r="BE504" s="44">
        <f t="shared" si="2407"/>
        <v>0</v>
      </c>
      <c r="BF504" s="44">
        <f t="shared" si="2407"/>
        <v>0</v>
      </c>
      <c r="BG504" s="44">
        <f t="shared" si="2407"/>
        <v>0</v>
      </c>
      <c r="BH504" s="44">
        <f t="shared" si="2407"/>
        <v>0</v>
      </c>
      <c r="BI504" s="44">
        <f t="shared" si="2407"/>
        <v>0</v>
      </c>
      <c r="BJ504" s="44">
        <f t="shared" ref="BJ504:BK504" si="2408">-BJ476</f>
        <v>0</v>
      </c>
      <c r="BK504" s="44">
        <f t="shared" si="2408"/>
        <v>0</v>
      </c>
      <c r="BL504" s="44">
        <f t="shared" ref="BL504:BM504" si="2409">-BL476</f>
        <v>0</v>
      </c>
      <c r="BM504" s="44">
        <f t="shared" si="2409"/>
        <v>0</v>
      </c>
      <c r="BN504" s="44">
        <f t="shared" ref="BN504:BO504" si="2410">-BN476</f>
        <v>0</v>
      </c>
      <c r="BO504" s="44">
        <f t="shared" si="2410"/>
        <v>0</v>
      </c>
      <c r="BP504" s="44">
        <f t="shared" ref="BP504:BQ504" si="2411">-BP476</f>
        <v>0</v>
      </c>
      <c r="BQ504" s="44">
        <f t="shared" si="2411"/>
        <v>0</v>
      </c>
      <c r="BR504" s="44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4">
        <f t="shared" ref="CT504:CU504" si="2412">-CT476</f>
        <v>0</v>
      </c>
      <c r="CU504" s="44">
        <f t="shared" si="2412"/>
        <v>0</v>
      </c>
      <c r="CV504" s="44">
        <f t="shared" si="2335"/>
        <v>0</v>
      </c>
      <c r="CW504" s="44">
        <f t="shared" si="2336"/>
        <v>0</v>
      </c>
      <c r="CX504" s="44">
        <f t="shared" si="2337"/>
        <v>0</v>
      </c>
      <c r="CY504" s="44">
        <f t="shared" si="2338"/>
        <v>0</v>
      </c>
      <c r="CZ504" s="45">
        <f t="shared" si="2339"/>
        <v>0</v>
      </c>
      <c r="DA504" s="44">
        <f t="shared" si="2340"/>
        <v>0</v>
      </c>
      <c r="DB504" s="44">
        <f t="shared" si="2341"/>
        <v>0</v>
      </c>
      <c r="DC504" s="44">
        <f t="shared" si="2342"/>
        <v>0</v>
      </c>
      <c r="DD504" s="44">
        <f t="shared" si="2343"/>
        <v>0</v>
      </c>
      <c r="DE504" s="44">
        <f t="shared" si="2344"/>
        <v>0</v>
      </c>
      <c r="DF504" s="44">
        <f t="shared" si="2345"/>
        <v>0</v>
      </c>
      <c r="DG504" s="44">
        <f t="shared" si="2346"/>
        <v>0</v>
      </c>
      <c r="DH504" s="44">
        <f t="shared" si="2347"/>
        <v>0</v>
      </c>
      <c r="DI504" s="44">
        <f t="shared" si="2348"/>
        <v>0</v>
      </c>
    </row>
    <row r="505" spans="1:113" ht="12" hidden="1" outlineLevel="2">
      <c r="A505" s="1" t="s">
        <v>56</v>
      </c>
      <c r="B505" s="19" t="s">
        <v>422</v>
      </c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525">
        <v>0</v>
      </c>
      <c r="AQ505" s="525">
        <v>0</v>
      </c>
      <c r="AR505" s="525">
        <v>0</v>
      </c>
      <c r="AS505" s="525">
        <v>0</v>
      </c>
      <c r="AT505" s="525">
        <v>0</v>
      </c>
      <c r="AU505" s="525">
        <v>0</v>
      </c>
      <c r="AV505" s="525">
        <v>0</v>
      </c>
      <c r="AW505" s="525">
        <v>-1.3</v>
      </c>
      <c r="AX505" s="525">
        <v>0</v>
      </c>
      <c r="AY505" s="525">
        <v>0</v>
      </c>
      <c r="AZ505" s="523">
        <v>0</v>
      </c>
      <c r="BA505" s="46">
        <f t="shared" ref="BA505:BI505" si="2413">AZ505</f>
        <v>0</v>
      </c>
      <c r="BB505" s="46">
        <f t="shared" si="2413"/>
        <v>0</v>
      </c>
      <c r="BC505" s="46">
        <f t="shared" si="2413"/>
        <v>0</v>
      </c>
      <c r="BD505" s="46">
        <f t="shared" si="2413"/>
        <v>0</v>
      </c>
      <c r="BE505" s="46">
        <f t="shared" si="2413"/>
        <v>0</v>
      </c>
      <c r="BF505" s="46">
        <f t="shared" si="2413"/>
        <v>0</v>
      </c>
      <c r="BG505" s="46">
        <f t="shared" si="2413"/>
        <v>0</v>
      </c>
      <c r="BH505" s="46">
        <f t="shared" si="2413"/>
        <v>0</v>
      </c>
      <c r="BI505" s="46">
        <f t="shared" si="2413"/>
        <v>0</v>
      </c>
      <c r="BJ505" s="46">
        <f t="shared" ref="BJ505" si="2414">BI505</f>
        <v>0</v>
      </c>
      <c r="BK505" s="46">
        <f t="shared" ref="BK505" si="2415">BJ505</f>
        <v>0</v>
      </c>
      <c r="BL505" s="46">
        <f t="shared" ref="BL505" si="2416">BK505</f>
        <v>0</v>
      </c>
      <c r="BM505" s="46">
        <f t="shared" ref="BM505" si="2417">BL505</f>
        <v>0</v>
      </c>
      <c r="BN505" s="46">
        <f t="shared" ref="BN505" si="2418">BM505</f>
        <v>0</v>
      </c>
      <c r="BO505" s="46">
        <f t="shared" ref="BO505" si="2419">BN505</f>
        <v>0</v>
      </c>
      <c r="BP505" s="46">
        <f t="shared" ref="BP505" si="2420">BO505</f>
        <v>0</v>
      </c>
      <c r="BQ505" s="46">
        <f t="shared" ref="BQ505" si="2421">BP505</f>
        <v>0</v>
      </c>
      <c r="BR505" s="44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525">
        <v>0</v>
      </c>
      <c r="CU505" s="525">
        <v>0</v>
      </c>
      <c r="CV505" s="44">
        <f t="shared" si="2335"/>
        <v>0</v>
      </c>
      <c r="CW505" s="44">
        <f t="shared" si="2336"/>
        <v>0</v>
      </c>
      <c r="CX505" s="44">
        <f t="shared" si="2337"/>
        <v>0</v>
      </c>
      <c r="CY505" s="44">
        <f t="shared" si="2338"/>
        <v>-1.3</v>
      </c>
      <c r="CZ505" s="45">
        <f t="shared" si="2339"/>
        <v>0</v>
      </c>
      <c r="DA505" s="44">
        <f t="shared" si="2340"/>
        <v>0</v>
      </c>
      <c r="DB505" s="44">
        <f t="shared" si="2341"/>
        <v>0</v>
      </c>
      <c r="DC505" s="44">
        <f t="shared" si="2342"/>
        <v>0</v>
      </c>
      <c r="DD505" s="44">
        <f t="shared" si="2343"/>
        <v>0</v>
      </c>
      <c r="DE505" s="44">
        <f t="shared" si="2344"/>
        <v>0</v>
      </c>
      <c r="DF505" s="44">
        <f t="shared" si="2345"/>
        <v>0</v>
      </c>
      <c r="DG505" s="44">
        <f t="shared" si="2346"/>
        <v>0</v>
      </c>
      <c r="DH505" s="44">
        <f t="shared" si="2347"/>
        <v>0</v>
      </c>
      <c r="DI505" s="44">
        <f t="shared" si="2348"/>
        <v>0</v>
      </c>
    </row>
    <row r="506" spans="1:113" s="24" customFormat="1" ht="12" hidden="1" outlineLevel="2">
      <c r="A506" s="111" t="s">
        <v>57</v>
      </c>
      <c r="B506" s="24" t="s">
        <v>263</v>
      </c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  <c r="AJ506" s="55"/>
      <c r="AK506" s="55"/>
      <c r="AL506" s="55"/>
      <c r="AM506" s="55"/>
      <c r="AN506" s="55"/>
      <c r="AO506" s="55"/>
      <c r="AP506" s="521">
        <v>0.1</v>
      </c>
      <c r="AQ506" s="521">
        <v>2</v>
      </c>
      <c r="AR506" s="521">
        <v>-2.2999999999999998</v>
      </c>
      <c r="AS506" s="521">
        <v>-4.2</v>
      </c>
      <c r="AT506" s="521">
        <v>-17.100000000000001</v>
      </c>
      <c r="AU506" s="521">
        <v>-17</v>
      </c>
      <c r="AV506" s="521">
        <v>-21.5</v>
      </c>
      <c r="AW506" s="521">
        <f>-12.9-1.3</f>
        <v>-14.200000000000001</v>
      </c>
      <c r="AX506" s="521">
        <v>-15.8</v>
      </c>
      <c r="AY506" s="521">
        <v>-23.4</v>
      </c>
      <c r="AZ506" s="522">
        <v>-26.6</v>
      </c>
      <c r="BA506" s="526">
        <f t="shared" ref="BA506:BI506" si="2422">SUM(BA500:BA505)</f>
        <v>-32.469693372047097</v>
      </c>
      <c r="BB506" s="526">
        <f t="shared" si="2422"/>
        <v>-35.127230648435742</v>
      </c>
      <c r="BC506" s="526">
        <f t="shared" si="2422"/>
        <v>-36.215700464363437</v>
      </c>
      <c r="BD506" s="526">
        <f t="shared" si="2422"/>
        <v>-42.269247184885472</v>
      </c>
      <c r="BE506" s="526">
        <f t="shared" si="2422"/>
        <v>-45.905857796008263</v>
      </c>
      <c r="BF506" s="526">
        <f t="shared" si="2422"/>
        <v>-52.268191395793039</v>
      </c>
      <c r="BG506" s="526">
        <f t="shared" si="2422"/>
        <v>-56.711179578815525</v>
      </c>
      <c r="BH506" s="526">
        <f t="shared" si="2422"/>
        <v>-62.255377600718653</v>
      </c>
      <c r="BI506" s="526">
        <f t="shared" si="2422"/>
        <v>-64.79232459063951</v>
      </c>
      <c r="BJ506" s="526">
        <f t="shared" ref="BJ506:BK506" si="2423">SUM(BJ500:BJ505)</f>
        <v>-70.157053873636002</v>
      </c>
      <c r="BK506" s="526">
        <f t="shared" si="2423"/>
        <v>-72.144876122023746</v>
      </c>
      <c r="BL506" s="526">
        <f t="shared" ref="BL506:BM506" si="2424">SUM(BL500:BL505)</f>
        <v>-76.676866119430755</v>
      </c>
      <c r="BM506" s="526">
        <f t="shared" si="2424"/>
        <v>-78.353324970105618</v>
      </c>
      <c r="BN506" s="526">
        <f t="shared" ref="BN506:BO506" si="2425">SUM(BN500:BN505)</f>
        <v>-82.523389555989382</v>
      </c>
      <c r="BO506" s="526">
        <f t="shared" si="2425"/>
        <v>-83.04898535813534</v>
      </c>
      <c r="BP506" s="526">
        <f t="shared" ref="BP506:BQ506" si="2426">SUM(BP500:BP505)</f>
        <v>-87.292742183069024</v>
      </c>
      <c r="BQ506" s="526">
        <f t="shared" si="2426"/>
        <v>-87.702114442180942</v>
      </c>
      <c r="BR506" s="526"/>
      <c r="BS506" s="54"/>
      <c r="BT506" s="54"/>
      <c r="BU506" s="54"/>
      <c r="BV506" s="54"/>
      <c r="BW506" s="54"/>
      <c r="BX506" s="54"/>
      <c r="BY506" s="54"/>
      <c r="BZ506" s="54"/>
      <c r="CA506" s="54"/>
      <c r="CB506" s="54"/>
      <c r="CC506" s="55"/>
      <c r="CD506" s="55"/>
      <c r="CE506" s="55"/>
      <c r="CF506" s="55"/>
      <c r="CG506" s="55"/>
      <c r="CH506" s="55"/>
      <c r="CI506" s="55"/>
      <c r="CJ506" s="55"/>
      <c r="CK506" s="55"/>
      <c r="CL506" s="55"/>
      <c r="CM506" s="55"/>
      <c r="CN506" s="55"/>
      <c r="CO506" s="55"/>
      <c r="CP506" s="55"/>
      <c r="CQ506" s="55"/>
      <c r="CR506" s="55"/>
      <c r="CS506" s="55"/>
      <c r="CT506" s="521">
        <v>9.0174900000000004</v>
      </c>
      <c r="CU506" s="521">
        <v>16.89349</v>
      </c>
      <c r="CV506" s="526">
        <f t="shared" si="2335"/>
        <v>2.1</v>
      </c>
      <c r="CW506" s="526">
        <f t="shared" si="2336"/>
        <v>-6.5</v>
      </c>
      <c r="CX506" s="526">
        <f t="shared" si="2337"/>
        <v>-34.1</v>
      </c>
      <c r="CY506" s="526">
        <f t="shared" si="2338"/>
        <v>-35.700000000000003</v>
      </c>
      <c r="CZ506" s="524">
        <f t="shared" si="2339"/>
        <v>-39.200000000000003</v>
      </c>
      <c r="DA506" s="526">
        <f t="shared" si="2340"/>
        <v>-59.069693372047098</v>
      </c>
      <c r="DB506" s="526">
        <f t="shared" si="2341"/>
        <v>-71.342931112799178</v>
      </c>
      <c r="DC506" s="526">
        <f t="shared" si="2342"/>
        <v>-88.175104980893735</v>
      </c>
      <c r="DD506" s="526">
        <f t="shared" si="2343"/>
        <v>-108.97937097460857</v>
      </c>
      <c r="DE506" s="526">
        <f t="shared" si="2344"/>
        <v>-127.04770219135816</v>
      </c>
      <c r="DF506" s="526">
        <f t="shared" si="2345"/>
        <v>-142.30192999565975</v>
      </c>
      <c r="DG506" s="526">
        <f t="shared" si="2346"/>
        <v>-155.03019108953637</v>
      </c>
      <c r="DH506" s="526">
        <f t="shared" si="2347"/>
        <v>-165.57237491412474</v>
      </c>
      <c r="DI506" s="526">
        <f t="shared" si="2348"/>
        <v>-174.99485662524995</v>
      </c>
    </row>
    <row r="507" spans="1:113" ht="12" hidden="1" outlineLevel="2">
      <c r="A507" s="1" t="s">
        <v>325</v>
      </c>
      <c r="B507" s="19" t="s">
        <v>526</v>
      </c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4">
        <f t="shared" ref="AP507:AR507" si="2427">AP509-AP506-AP508</f>
        <v>31.2</v>
      </c>
      <c r="AQ507" s="44">
        <f t="shared" si="2427"/>
        <v>-0.19999999999999996</v>
      </c>
      <c r="AR507" s="44">
        <f t="shared" si="2427"/>
        <v>6</v>
      </c>
      <c r="AS507" s="44">
        <f t="shared" ref="AS507:AT507" si="2428">AS509-AS506-AS508</f>
        <v>0</v>
      </c>
      <c r="AT507" s="44">
        <f t="shared" si="2428"/>
        <v>0</v>
      </c>
      <c r="AU507" s="44">
        <f t="shared" ref="AU507:AV507" si="2429">AU509-AU506-AU508</f>
        <v>0</v>
      </c>
      <c r="AV507" s="44">
        <f t="shared" si="2429"/>
        <v>0</v>
      </c>
      <c r="AW507" s="44">
        <f t="shared" ref="AW507:AX507" si="2430">AW509-AW506-AW508</f>
        <v>1.3000000000000007</v>
      </c>
      <c r="AX507" s="44">
        <f t="shared" si="2430"/>
        <v>0</v>
      </c>
      <c r="AY507" s="44">
        <f t="shared" ref="AY507:AZ507" si="2431">AY509-AY506-AY508</f>
        <v>0</v>
      </c>
      <c r="AZ507" s="45">
        <f t="shared" si="2431"/>
        <v>0</v>
      </c>
      <c r="BA507" s="44">
        <f t="shared" ref="BA507:BI507" si="2432">BA522-BA505</f>
        <v>0</v>
      </c>
      <c r="BB507" s="44">
        <f t="shared" si="2432"/>
        <v>0</v>
      </c>
      <c r="BC507" s="44">
        <f t="shared" si="2432"/>
        <v>0</v>
      </c>
      <c r="BD507" s="44">
        <f t="shared" si="2432"/>
        <v>0</v>
      </c>
      <c r="BE507" s="44">
        <f t="shared" si="2432"/>
        <v>0</v>
      </c>
      <c r="BF507" s="44">
        <f t="shared" si="2432"/>
        <v>0</v>
      </c>
      <c r="BG507" s="44">
        <f t="shared" si="2432"/>
        <v>0</v>
      </c>
      <c r="BH507" s="44">
        <f t="shared" si="2432"/>
        <v>0</v>
      </c>
      <c r="BI507" s="44">
        <f t="shared" si="2432"/>
        <v>0</v>
      </c>
      <c r="BJ507" s="44">
        <f t="shared" ref="BJ507:BK507" si="2433">BJ522-BJ505</f>
        <v>0</v>
      </c>
      <c r="BK507" s="44">
        <f t="shared" si="2433"/>
        <v>0</v>
      </c>
      <c r="BL507" s="44">
        <f t="shared" ref="BL507:BM507" si="2434">BL522-BL505</f>
        <v>0</v>
      </c>
      <c r="BM507" s="44">
        <f t="shared" si="2434"/>
        <v>0</v>
      </c>
      <c r="BN507" s="44">
        <f t="shared" ref="BN507:BO507" si="2435">BN522-BN505</f>
        <v>0</v>
      </c>
      <c r="BO507" s="44">
        <f t="shared" si="2435"/>
        <v>0</v>
      </c>
      <c r="BP507" s="44">
        <f t="shared" ref="BP507:BQ507" si="2436">BP522-BP505</f>
        <v>0</v>
      </c>
      <c r="BQ507" s="44">
        <f t="shared" si="2436"/>
        <v>0</v>
      </c>
      <c r="BR507" s="44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4">
        <f t="shared" ref="CT507:CU507" si="2437">CT509-CT506-CT508</f>
        <v>-9.0174900000000004</v>
      </c>
      <c r="CU507" s="44">
        <f t="shared" si="2437"/>
        <v>-16.89349</v>
      </c>
      <c r="CV507" s="44">
        <f t="shared" si="2335"/>
        <v>31</v>
      </c>
      <c r="CW507" s="44">
        <f t="shared" si="2336"/>
        <v>6</v>
      </c>
      <c r="CX507" s="44">
        <f t="shared" si="2337"/>
        <v>0</v>
      </c>
      <c r="CY507" s="44">
        <f t="shared" si="2338"/>
        <v>1.3000000000000007</v>
      </c>
      <c r="CZ507" s="45">
        <f t="shared" si="2339"/>
        <v>0</v>
      </c>
      <c r="DA507" s="44">
        <f t="shared" si="2340"/>
        <v>0</v>
      </c>
      <c r="DB507" s="44">
        <f t="shared" si="2341"/>
        <v>0</v>
      </c>
      <c r="DC507" s="44">
        <f t="shared" si="2342"/>
        <v>0</v>
      </c>
      <c r="DD507" s="44">
        <f t="shared" si="2343"/>
        <v>0</v>
      </c>
      <c r="DE507" s="44">
        <f t="shared" si="2344"/>
        <v>0</v>
      </c>
      <c r="DF507" s="44">
        <f t="shared" si="2345"/>
        <v>0</v>
      </c>
      <c r="DG507" s="44">
        <f t="shared" si="2346"/>
        <v>0</v>
      </c>
      <c r="DH507" s="44">
        <f t="shared" si="2347"/>
        <v>0</v>
      </c>
      <c r="DI507" s="44">
        <f t="shared" si="2348"/>
        <v>0</v>
      </c>
    </row>
    <row r="508" spans="1:113" ht="12" hidden="1" outlineLevel="2">
      <c r="A508" s="1" t="s">
        <v>692</v>
      </c>
      <c r="B508" s="19" t="s">
        <v>264</v>
      </c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525">
        <v>0</v>
      </c>
      <c r="AQ508" s="525">
        <v>0</v>
      </c>
      <c r="AR508" s="525">
        <v>0</v>
      </c>
      <c r="AS508" s="525">
        <v>0</v>
      </c>
      <c r="AT508" s="525">
        <v>0</v>
      </c>
      <c r="AU508" s="525">
        <v>0</v>
      </c>
      <c r="AV508" s="525">
        <v>0</v>
      </c>
      <c r="AW508" s="525">
        <v>0</v>
      </c>
      <c r="AX508" s="525">
        <v>0</v>
      </c>
      <c r="AY508" s="525">
        <v>0</v>
      </c>
      <c r="AZ508" s="523">
        <v>0</v>
      </c>
      <c r="BA508" s="46">
        <f t="shared" ref="BA508:BI508" si="2438">-BA491*BA129</f>
        <v>0</v>
      </c>
      <c r="BB508" s="46">
        <f t="shared" si="2438"/>
        <v>0</v>
      </c>
      <c r="BC508" s="46">
        <f t="shared" si="2438"/>
        <v>0</v>
      </c>
      <c r="BD508" s="46">
        <f t="shared" si="2438"/>
        <v>0</v>
      </c>
      <c r="BE508" s="46">
        <f t="shared" si="2438"/>
        <v>0</v>
      </c>
      <c r="BF508" s="46">
        <f t="shared" si="2438"/>
        <v>0</v>
      </c>
      <c r="BG508" s="46">
        <f t="shared" si="2438"/>
        <v>0</v>
      </c>
      <c r="BH508" s="46">
        <f t="shared" si="2438"/>
        <v>0</v>
      </c>
      <c r="BI508" s="46">
        <f t="shared" si="2438"/>
        <v>0</v>
      </c>
      <c r="BJ508" s="46">
        <f t="shared" ref="BJ508:BK508" si="2439">-BJ491*BJ129</f>
        <v>0</v>
      </c>
      <c r="BK508" s="46">
        <f t="shared" si="2439"/>
        <v>0</v>
      </c>
      <c r="BL508" s="46">
        <f t="shared" ref="BL508:BM508" si="2440">-BL491*BL129</f>
        <v>0</v>
      </c>
      <c r="BM508" s="46">
        <f t="shared" si="2440"/>
        <v>0</v>
      </c>
      <c r="BN508" s="46">
        <f t="shared" ref="BN508:BO508" si="2441">-BN491*BN129</f>
        <v>0</v>
      </c>
      <c r="BO508" s="46">
        <f t="shared" si="2441"/>
        <v>0</v>
      </c>
      <c r="BP508" s="46">
        <f t="shared" ref="BP508:BQ508" si="2442">-BP491*BP129</f>
        <v>0</v>
      </c>
      <c r="BQ508" s="46">
        <f t="shared" si="2442"/>
        <v>0</v>
      </c>
      <c r="BR508" s="46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525">
        <v>0</v>
      </c>
      <c r="CU508" s="525">
        <v>0</v>
      </c>
      <c r="CV508" s="44">
        <f t="shared" si="2335"/>
        <v>0</v>
      </c>
      <c r="CW508" s="44">
        <f t="shared" si="2336"/>
        <v>0</v>
      </c>
      <c r="CX508" s="44">
        <f t="shared" si="2337"/>
        <v>0</v>
      </c>
      <c r="CY508" s="44">
        <f t="shared" si="2338"/>
        <v>0</v>
      </c>
      <c r="CZ508" s="45">
        <f t="shared" si="2339"/>
        <v>0</v>
      </c>
      <c r="DA508" s="44">
        <f t="shared" si="2340"/>
        <v>0</v>
      </c>
      <c r="DB508" s="44">
        <f t="shared" si="2341"/>
        <v>0</v>
      </c>
      <c r="DC508" s="44">
        <f t="shared" si="2342"/>
        <v>0</v>
      </c>
      <c r="DD508" s="44">
        <f t="shared" si="2343"/>
        <v>0</v>
      </c>
      <c r="DE508" s="44">
        <f t="shared" si="2344"/>
        <v>0</v>
      </c>
      <c r="DF508" s="44">
        <f t="shared" si="2345"/>
        <v>0</v>
      </c>
      <c r="DG508" s="44">
        <f t="shared" si="2346"/>
        <v>0</v>
      </c>
      <c r="DH508" s="44">
        <f t="shared" si="2347"/>
        <v>0</v>
      </c>
      <c r="DI508" s="44">
        <f t="shared" si="2348"/>
        <v>0</v>
      </c>
    </row>
    <row r="509" spans="1:113" s="24" customFormat="1" ht="12" hidden="1" outlineLevel="2">
      <c r="A509" s="111" t="s">
        <v>326</v>
      </c>
      <c r="B509" s="24" t="s">
        <v>2522</v>
      </c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  <c r="AJ509" s="55"/>
      <c r="AK509" s="55"/>
      <c r="AL509" s="55"/>
      <c r="AM509" s="55"/>
      <c r="AN509" s="55"/>
      <c r="AO509" s="55"/>
      <c r="AP509" s="521">
        <v>31.3</v>
      </c>
      <c r="AQ509" s="521">
        <v>1.8</v>
      </c>
      <c r="AR509" s="521">
        <v>3.7</v>
      </c>
      <c r="AS509" s="521">
        <f>AS506+0</f>
        <v>-4.2</v>
      </c>
      <c r="AT509" s="521">
        <f>AT506+0</f>
        <v>-17.100000000000001</v>
      </c>
      <c r="AU509" s="521">
        <f>AU506+0</f>
        <v>-17</v>
      </c>
      <c r="AV509" s="521">
        <f>AV506+0</f>
        <v>-21.5</v>
      </c>
      <c r="AW509" s="521">
        <v>-12.9</v>
      </c>
      <c r="AX509" s="521">
        <v>-15.8</v>
      </c>
      <c r="AY509" s="521">
        <v>-23.4</v>
      </c>
      <c r="AZ509" s="522">
        <v>-26.6</v>
      </c>
      <c r="BA509" s="526">
        <f t="shared" ref="BA509:BI509" si="2443">BA506+BA507+BA508</f>
        <v>-32.469693372047097</v>
      </c>
      <c r="BB509" s="526">
        <f t="shared" si="2443"/>
        <v>-35.127230648435742</v>
      </c>
      <c r="BC509" s="526">
        <f t="shared" si="2443"/>
        <v>-36.215700464363437</v>
      </c>
      <c r="BD509" s="526">
        <f t="shared" si="2443"/>
        <v>-42.269247184885472</v>
      </c>
      <c r="BE509" s="526">
        <f t="shared" si="2443"/>
        <v>-45.905857796008263</v>
      </c>
      <c r="BF509" s="526">
        <f t="shared" si="2443"/>
        <v>-52.268191395793039</v>
      </c>
      <c r="BG509" s="526">
        <f t="shared" si="2443"/>
        <v>-56.711179578815525</v>
      </c>
      <c r="BH509" s="526">
        <f t="shared" si="2443"/>
        <v>-62.255377600718653</v>
      </c>
      <c r="BI509" s="526">
        <f t="shared" si="2443"/>
        <v>-64.79232459063951</v>
      </c>
      <c r="BJ509" s="526">
        <f t="shared" ref="BJ509:BK509" si="2444">BJ506+BJ507+BJ508</f>
        <v>-70.157053873636002</v>
      </c>
      <c r="BK509" s="526">
        <f t="shared" si="2444"/>
        <v>-72.144876122023746</v>
      </c>
      <c r="BL509" s="526">
        <f t="shared" ref="BL509:BM509" si="2445">BL506+BL507+BL508</f>
        <v>-76.676866119430755</v>
      </c>
      <c r="BM509" s="526">
        <f t="shared" si="2445"/>
        <v>-78.353324970105618</v>
      </c>
      <c r="BN509" s="526">
        <f t="shared" ref="BN509:BO509" si="2446">BN506+BN507+BN508</f>
        <v>-82.523389555989382</v>
      </c>
      <c r="BO509" s="526">
        <f t="shared" si="2446"/>
        <v>-83.04898535813534</v>
      </c>
      <c r="BP509" s="526">
        <f t="shared" ref="BP509:BQ509" si="2447">BP506+BP507+BP508</f>
        <v>-87.292742183069024</v>
      </c>
      <c r="BQ509" s="526">
        <f t="shared" si="2447"/>
        <v>-87.702114442180942</v>
      </c>
      <c r="BR509" s="526"/>
      <c r="BS509" s="54"/>
      <c r="BT509" s="54"/>
      <c r="BU509" s="54"/>
      <c r="BV509" s="54"/>
      <c r="BW509" s="54"/>
      <c r="BX509" s="54"/>
      <c r="BY509" s="54"/>
      <c r="BZ509" s="54"/>
      <c r="CA509" s="54"/>
      <c r="CB509" s="54"/>
      <c r="CC509" s="55"/>
      <c r="CD509" s="55"/>
      <c r="CE509" s="55"/>
      <c r="CF509" s="55"/>
      <c r="CG509" s="55"/>
      <c r="CH509" s="55"/>
      <c r="CI509" s="55"/>
      <c r="CJ509" s="55"/>
      <c r="CK509" s="55"/>
      <c r="CL509" s="55"/>
      <c r="CM509" s="55"/>
      <c r="CN509" s="55"/>
      <c r="CO509" s="55"/>
      <c r="CP509" s="55"/>
      <c r="CQ509" s="55"/>
      <c r="CR509" s="55"/>
      <c r="CS509" s="55"/>
      <c r="CT509" s="521">
        <v>0</v>
      </c>
      <c r="CU509" s="521">
        <v>0</v>
      </c>
      <c r="CV509" s="526">
        <f t="shared" si="2335"/>
        <v>33.1</v>
      </c>
      <c r="CW509" s="526">
        <f t="shared" ref="CW509:DF509" si="2448">CW506+CW507+CW508</f>
        <v>-0.5</v>
      </c>
      <c r="CX509" s="526">
        <f t="shared" si="2448"/>
        <v>-34.1</v>
      </c>
      <c r="CY509" s="526">
        <f t="shared" si="2448"/>
        <v>-34.400000000000006</v>
      </c>
      <c r="CZ509" s="524">
        <f t="shared" si="2448"/>
        <v>-39.200000000000003</v>
      </c>
      <c r="DA509" s="526">
        <f t="shared" si="2448"/>
        <v>-59.069693372047098</v>
      </c>
      <c r="DB509" s="526">
        <f t="shared" si="2448"/>
        <v>-71.342931112799178</v>
      </c>
      <c r="DC509" s="526">
        <f t="shared" si="2448"/>
        <v>-88.175104980893735</v>
      </c>
      <c r="DD509" s="526">
        <f t="shared" si="2448"/>
        <v>-108.97937097460857</v>
      </c>
      <c r="DE509" s="526">
        <f t="shared" si="2448"/>
        <v>-127.04770219135816</v>
      </c>
      <c r="DF509" s="526">
        <f t="shared" si="2448"/>
        <v>-142.30192999565975</v>
      </c>
      <c r="DG509" s="526">
        <f t="shared" ref="DG509:DH509" si="2449">DG506+DG507+DG508</f>
        <v>-155.03019108953637</v>
      </c>
      <c r="DH509" s="526">
        <f t="shared" si="2449"/>
        <v>-165.57237491412474</v>
      </c>
      <c r="DI509" s="526">
        <f t="shared" ref="DI509" si="2450">DI506+DI507+DI508</f>
        <v>-174.99485662524995</v>
      </c>
    </row>
    <row r="510" spans="1:113" s="57" customFormat="1" ht="12" hidden="1" outlineLevel="2">
      <c r="A510" s="1"/>
      <c r="B510" s="57" t="s">
        <v>352</v>
      </c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58"/>
      <c r="AN510" s="58"/>
      <c r="AO510" s="58"/>
      <c r="AP510" s="90" t="str">
        <f t="shared" ref="AP510:AR510" si="2451">IF(ABS(AP493+AP509-AP525)&gt;1,"Error: "&amp;TEXT(AP493+AP509-AP525,"0.0"),"OK")</f>
        <v>OK</v>
      </c>
      <c r="AQ510" s="90" t="str">
        <f t="shared" si="2451"/>
        <v>OK</v>
      </c>
      <c r="AR510" s="90" t="str">
        <f t="shared" si="2451"/>
        <v>OK</v>
      </c>
      <c r="AS510" s="90" t="str">
        <f t="shared" ref="AS510:AT510" si="2452">IF(ABS(AS493+AS509-AS525)&gt;1,"Error: "&amp;TEXT(AS493+AS509-AS525,"0.0"),"OK")</f>
        <v>OK</v>
      </c>
      <c r="AT510" s="90" t="str">
        <f t="shared" si="2452"/>
        <v>OK</v>
      </c>
      <c r="AU510" s="90" t="str">
        <f t="shared" ref="AU510:AV510" si="2453">IF(ABS(AU493+AU509-AU525)&gt;1,"Error: "&amp;TEXT(AU493+AU509-AU525,"0.0"),"OK")</f>
        <v>OK</v>
      </c>
      <c r="AV510" s="90" t="str">
        <f t="shared" si="2453"/>
        <v>OK</v>
      </c>
      <c r="AW510" s="90" t="str">
        <f t="shared" ref="AW510:AX510" si="2454">IF(ABS(AW493+AW509-AW525)&gt;1,"Error: "&amp;TEXT(AW493+AW509-AW525,"0.0"),"OK")</f>
        <v>OK</v>
      </c>
      <c r="AX510" s="90" t="str">
        <f t="shared" si="2454"/>
        <v>OK</v>
      </c>
      <c r="AY510" s="90" t="str">
        <f t="shared" ref="AY510:BI510" si="2455">IF(ABS(AY493+AY509-AY525)&gt;1,"Error: "&amp;TEXT(AY493+AY509-AY525,"0.0"),"OK")</f>
        <v>OK</v>
      </c>
      <c r="AZ510" s="540" t="str">
        <f t="shared" si="2455"/>
        <v>OK</v>
      </c>
      <c r="BA510" s="90" t="str">
        <f t="shared" si="2455"/>
        <v>OK</v>
      </c>
      <c r="BB510" s="90" t="str">
        <f t="shared" si="2455"/>
        <v>OK</v>
      </c>
      <c r="BC510" s="90" t="str">
        <f t="shared" si="2455"/>
        <v>OK</v>
      </c>
      <c r="BD510" s="90" t="str">
        <f t="shared" si="2455"/>
        <v>OK</v>
      </c>
      <c r="BE510" s="90" t="str">
        <f t="shared" si="2455"/>
        <v>OK</v>
      </c>
      <c r="BF510" s="90" t="str">
        <f t="shared" si="2455"/>
        <v>OK</v>
      </c>
      <c r="BG510" s="90" t="str">
        <f t="shared" si="2455"/>
        <v>OK</v>
      </c>
      <c r="BH510" s="90" t="str">
        <f t="shared" si="2455"/>
        <v>OK</v>
      </c>
      <c r="BI510" s="90" t="str">
        <f t="shared" si="2455"/>
        <v>OK</v>
      </c>
      <c r="BJ510" s="90" t="str">
        <f t="shared" ref="BJ510:BK510" si="2456">IF(ABS(BJ493+BJ509-BJ525)&gt;1,"Error: "&amp;TEXT(BJ493+BJ509-BJ525,"0.0"),"OK")</f>
        <v>OK</v>
      </c>
      <c r="BK510" s="90" t="str">
        <f t="shared" si="2456"/>
        <v>OK</v>
      </c>
      <c r="BL510" s="90" t="str">
        <f t="shared" ref="BL510:BM510" si="2457">IF(ABS(BL493+BL509-BL525)&gt;1,"Error: "&amp;TEXT(BL493+BL509-BL525,"0.0"),"OK")</f>
        <v>OK</v>
      </c>
      <c r="BM510" s="90" t="str">
        <f t="shared" si="2457"/>
        <v>OK</v>
      </c>
      <c r="BN510" s="90" t="str">
        <f t="shared" ref="BN510:BO510" si="2458">IF(ABS(BN493+BN509-BN525)&gt;1,"Error: "&amp;TEXT(BN493+BN509-BN525,"0.0"),"OK")</f>
        <v>OK</v>
      </c>
      <c r="BO510" s="90" t="str">
        <f t="shared" si="2458"/>
        <v>OK</v>
      </c>
      <c r="BP510" s="90" t="str">
        <f t="shared" ref="BP510:BQ510" si="2459">IF(ABS(BP493+BP509-BP525)&gt;1,"Error: "&amp;TEXT(BP493+BP509-BP525,"0.0"),"OK")</f>
        <v>OK</v>
      </c>
      <c r="BQ510" s="90" t="str">
        <f t="shared" si="2459"/>
        <v>OK</v>
      </c>
      <c r="BR510" s="90"/>
      <c r="BS510" s="58"/>
      <c r="BT510" s="58"/>
      <c r="BU510" s="58"/>
      <c r="BV510" s="58"/>
      <c r="BW510" s="58"/>
      <c r="BX510" s="58"/>
      <c r="BY510" s="58"/>
      <c r="BZ510" s="58"/>
      <c r="CA510" s="58"/>
      <c r="CB510" s="58"/>
      <c r="CC510" s="58"/>
      <c r="CD510" s="58"/>
      <c r="CE510" s="58"/>
      <c r="CF510" s="58"/>
      <c r="CG510" s="58"/>
      <c r="CH510" s="58"/>
      <c r="CI510" s="58"/>
      <c r="CJ510" s="58"/>
      <c r="CK510" s="58"/>
      <c r="CL510" s="58"/>
      <c r="CM510" s="58"/>
      <c r="CN510" s="58"/>
      <c r="CO510" s="58"/>
      <c r="CP510" s="58"/>
      <c r="CQ510" s="58"/>
      <c r="CR510" s="58"/>
      <c r="CS510" s="58"/>
      <c r="CT510" s="90" t="str">
        <f>IF(ABS(CT493+CT509-CT525)&gt;1,"Error: "&amp;TEXT(CT493+CT509-CT525,"0.0"),"OK")</f>
        <v>OK</v>
      </c>
      <c r="CU510" s="90" t="str">
        <f t="shared" ref="CU510:CX510" si="2460">IF(ABS(CU493+CU509-CU525)&gt;1,"Error: "&amp;TEXT(CU493+CU509-CU525,"0.0"),"OK")</f>
        <v>OK</v>
      </c>
      <c r="CV510" s="90" t="str">
        <f t="shared" si="2460"/>
        <v>OK</v>
      </c>
      <c r="CW510" s="90" t="str">
        <f t="shared" si="2460"/>
        <v>OK</v>
      </c>
      <c r="CX510" s="90" t="str">
        <f t="shared" si="2460"/>
        <v>OK</v>
      </c>
      <c r="CY510" s="90" t="str">
        <f>IF(ABS(CY493+CY509-CY525)&gt;1,"Error: "&amp;TEXT(CY493+CY509-CY525,"0.0"),"OK")</f>
        <v>OK</v>
      </c>
      <c r="CZ510" s="540" t="str">
        <f>IF(ABS(CZ493+CZ509-CZ525)&gt;1,"Error: "&amp;TEXT(CZ493+CZ509-CZ525,"0.0"),"OK")</f>
        <v>OK</v>
      </c>
      <c r="DA510" s="90" t="str">
        <f t="shared" ref="DA510:DD510" si="2461">IF(ABS(DA493+DA509-DA525)&gt;1,"Error: "&amp;TEXT(DA493+DA509-DA525,"0.0"),"OK")</f>
        <v>OK</v>
      </c>
      <c r="DB510" s="90" t="str">
        <f t="shared" si="2461"/>
        <v>OK</v>
      </c>
      <c r="DC510" s="90" t="str">
        <f t="shared" si="2461"/>
        <v>OK</v>
      </c>
      <c r="DD510" s="90" t="str">
        <f t="shared" si="2461"/>
        <v>OK</v>
      </c>
      <c r="DE510" s="90" t="str">
        <f>IF(ABS(DE493+DE509-DE525)&gt;1,"Error: "&amp;TEXT(DE493+DE509-DE525,"0.0"),"OK")</f>
        <v>OK</v>
      </c>
      <c r="DF510" s="90" t="str">
        <f>IF(ABS(DF493+DF509-DF525)&gt;1,"Error: "&amp;TEXT(DF493+DF509-DF525,"0.0"),"OK")</f>
        <v>OK</v>
      </c>
      <c r="DG510" s="90" t="str">
        <f>IF(ABS(DG493+DG509-DG525)&gt;1,"Error: "&amp;TEXT(DG493+DG509-DG525,"0.0"),"OK")</f>
        <v>OK</v>
      </c>
      <c r="DH510" s="90" t="str">
        <f>IF(ABS(DH493+DH509-DH525)&gt;1,"Error: "&amp;TEXT(DH493+DH509-DH525,"0.0"),"OK")</f>
        <v>OK</v>
      </c>
      <c r="DI510" s="90" t="str">
        <f>IF(ABS(DI493+DI509-DI525)&gt;1,"Error: "&amp;TEXT(DI493+DI509-DI525,"0.0"),"OK")</f>
        <v>OK</v>
      </c>
    </row>
    <row r="511" spans="1:113" ht="12" hidden="1" outlineLevel="1">
      <c r="A511" s="60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4"/>
      <c r="AA511" s="44"/>
      <c r="AB511" s="44"/>
      <c r="AC511" s="388"/>
      <c r="AD511" s="44"/>
      <c r="AE511" s="44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  <c r="AS511" s="44"/>
      <c r="AT511" s="44"/>
      <c r="AU511" s="44"/>
      <c r="AV511" s="44"/>
      <c r="AW511" s="44"/>
      <c r="AX511" s="44"/>
      <c r="AY511" s="44"/>
      <c r="AZ511" s="45"/>
      <c r="BA511" s="44"/>
      <c r="BB511" s="44"/>
      <c r="BC511" s="44"/>
      <c r="BD511" s="44"/>
      <c r="BE511" s="44"/>
      <c r="BF511" s="44"/>
      <c r="BG511" s="44"/>
      <c r="BH511" s="44"/>
      <c r="BI511" s="44"/>
      <c r="BJ511" s="44"/>
      <c r="BK511" s="44"/>
      <c r="BL511" s="44"/>
      <c r="BM511" s="44"/>
      <c r="BN511" s="44"/>
      <c r="BO511" s="44"/>
      <c r="BP511" s="44"/>
      <c r="BQ511" s="44"/>
      <c r="BR511" s="44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4"/>
      <c r="CU511" s="44"/>
      <c r="CV511" s="44"/>
      <c r="CW511" s="44"/>
      <c r="CX511" s="44"/>
      <c r="CY511" s="654"/>
      <c r="CZ511" s="45"/>
      <c r="DA511" s="44"/>
      <c r="DB511" s="44"/>
      <c r="DC511" s="529"/>
      <c r="DD511" s="529"/>
      <c r="DE511" s="529"/>
      <c r="DF511" s="529"/>
      <c r="DG511" s="529"/>
      <c r="DH511" s="529"/>
      <c r="DI511" s="529"/>
    </row>
    <row r="512" spans="1:113" ht="12" collapsed="1"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4"/>
      <c r="AQ512" s="44"/>
      <c r="AR512" s="44"/>
      <c r="AS512" s="44"/>
      <c r="AT512" s="44"/>
      <c r="AU512" s="44"/>
      <c r="AV512" s="44"/>
      <c r="AW512" s="44"/>
      <c r="AX512" s="44"/>
      <c r="AY512" s="44"/>
      <c r="AZ512" s="45"/>
      <c r="BA512" s="44"/>
      <c r="BB512" s="44"/>
      <c r="BC512" s="44"/>
      <c r="BD512" s="44"/>
      <c r="BE512" s="44"/>
      <c r="BF512" s="44"/>
      <c r="BG512" s="44"/>
      <c r="BH512" s="44"/>
      <c r="BI512" s="44"/>
      <c r="BJ512" s="44"/>
      <c r="BK512" s="44"/>
      <c r="BL512" s="44"/>
      <c r="BM512" s="44"/>
      <c r="BN512" s="44"/>
      <c r="BO512" s="44"/>
      <c r="BP512" s="44"/>
      <c r="BQ512" s="44"/>
      <c r="BR512" s="44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4"/>
      <c r="CU512" s="44"/>
      <c r="CV512" s="44"/>
      <c r="CW512" s="44"/>
      <c r="CX512" s="44"/>
      <c r="CY512" s="44"/>
      <c r="CZ512" s="45"/>
      <c r="DA512" s="44"/>
      <c r="DB512" s="44"/>
      <c r="DC512" s="529"/>
      <c r="DD512" s="529"/>
      <c r="DE512" s="529"/>
      <c r="DF512" s="529"/>
      <c r="DG512" s="529"/>
      <c r="DH512" s="529"/>
      <c r="DI512" s="529"/>
    </row>
    <row r="513" spans="1:120" s="36" customFormat="1" ht="12" collapsed="1">
      <c r="A513" s="1" t="s">
        <v>980</v>
      </c>
      <c r="B513" s="2" t="s">
        <v>353</v>
      </c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  <c r="AJ513" s="55"/>
      <c r="AK513" s="55"/>
      <c r="AL513" s="55"/>
      <c r="AM513" s="55"/>
      <c r="AN513" s="55"/>
      <c r="AO513" s="55"/>
      <c r="AP513" s="527">
        <f t="shared" ref="AP513:AR513" si="2462">AP515</f>
        <v>-6.4999999999999947</v>
      </c>
      <c r="AQ513" s="527">
        <f t="shared" si="2462"/>
        <v>1.3000000000000043</v>
      </c>
      <c r="AR513" s="527">
        <f t="shared" si="2462"/>
        <v>0.70000000000000906</v>
      </c>
      <c r="AS513" s="527">
        <f t="shared" ref="AS513:AT513" si="2463">AS515</f>
        <v>8.3999999999999915</v>
      </c>
      <c r="AT513" s="527">
        <f t="shared" si="2463"/>
        <v>36.099999999999987</v>
      </c>
      <c r="AU513" s="527">
        <f t="shared" ref="AU513:AV513" si="2464">AU515</f>
        <v>37.299999999999983</v>
      </c>
      <c r="AV513" s="527">
        <f t="shared" si="2464"/>
        <v>45.900000000000006</v>
      </c>
      <c r="AW513" s="527">
        <f t="shared" ref="AW513:AX513" si="2465">AW515</f>
        <v>24.000000000000021</v>
      </c>
      <c r="AX513" s="527">
        <f t="shared" si="2465"/>
        <v>40.900000000000006</v>
      </c>
      <c r="AY513" s="527">
        <f t="shared" ref="AY513:BI513" si="2466">AY515</f>
        <v>45.500000000000021</v>
      </c>
      <c r="AZ513" s="528">
        <f t="shared" si="2466"/>
        <v>59.89999999999997</v>
      </c>
      <c r="BA513" s="527">
        <f t="shared" si="2466"/>
        <v>73.462321514032539</v>
      </c>
      <c r="BB513" s="527">
        <f t="shared" si="2466"/>
        <v>79.850082368164337</v>
      </c>
      <c r="BC513" s="527">
        <f t="shared" si="2466"/>
        <v>82.713632318516005</v>
      </c>
      <c r="BD513" s="527">
        <f t="shared" si="2466"/>
        <v>96.996764908227647</v>
      </c>
      <c r="BE513" s="527">
        <f t="shared" si="2466"/>
        <v>105.84179480185983</v>
      </c>
      <c r="BF513" s="527">
        <f t="shared" si="2466"/>
        <v>121.08400199158076</v>
      </c>
      <c r="BG513" s="527">
        <f t="shared" si="2466"/>
        <v>132.00247267714406</v>
      </c>
      <c r="BH513" s="527">
        <f t="shared" si="2466"/>
        <v>145.5989593786762</v>
      </c>
      <c r="BI513" s="527">
        <f t="shared" si="2466"/>
        <v>151.53221134769285</v>
      </c>
      <c r="BJ513" s="527">
        <f t="shared" ref="BJ513:BK513" si="2467">BJ515</f>
        <v>164.07890259037174</v>
      </c>
      <c r="BK513" s="527">
        <f t="shared" si="2467"/>
        <v>168.72789617051336</v>
      </c>
      <c r="BL513" s="527">
        <f t="shared" ref="BL513:BM513" si="2468">BL515</f>
        <v>179.32702917664602</v>
      </c>
      <c r="BM513" s="527">
        <f t="shared" si="2468"/>
        <v>183.24782563643032</v>
      </c>
      <c r="BN513" s="527">
        <f t="shared" ref="BN513:BO513" si="2469">BN515</f>
        <v>193.00051026619215</v>
      </c>
      <c r="BO513" s="527">
        <f t="shared" si="2469"/>
        <v>194.22974065231335</v>
      </c>
      <c r="BP513" s="527">
        <f t="shared" ref="BP513:BQ513" si="2470">BP515</f>
        <v>204.15477205328528</v>
      </c>
      <c r="BQ513" s="527">
        <f t="shared" si="2470"/>
        <v>205.11218613094891</v>
      </c>
      <c r="BR513" s="527"/>
      <c r="BS513" s="52"/>
      <c r="BT513" s="52"/>
      <c r="BU513" s="52"/>
      <c r="BV513" s="52"/>
      <c r="BW513" s="52"/>
      <c r="BX513" s="52"/>
      <c r="BY513" s="52"/>
      <c r="BZ513" s="52"/>
      <c r="CA513" s="52"/>
      <c r="CB513" s="52"/>
      <c r="CC513" s="52"/>
      <c r="CD513" s="52"/>
      <c r="CE513" s="52"/>
      <c r="CF513" s="52"/>
      <c r="CG513" s="52"/>
      <c r="CH513" s="52"/>
      <c r="CI513" s="52"/>
      <c r="CJ513" s="52"/>
      <c r="CK513" s="52"/>
      <c r="CL513" s="52"/>
      <c r="CM513" s="52"/>
      <c r="CN513" s="52"/>
      <c r="CO513" s="52"/>
      <c r="CP513" s="52"/>
      <c r="CQ513" s="52"/>
      <c r="CR513" s="52"/>
      <c r="CS513" s="52"/>
      <c r="CT513" s="527">
        <f t="shared" ref="CT513:DF513" si="2471">CT515</f>
        <v>-23.09601</v>
      </c>
      <c r="CU513" s="527">
        <f t="shared" si="2471"/>
        <v>-38.098010000000002</v>
      </c>
      <c r="CV513" s="527">
        <f t="shared" si="2471"/>
        <v>-5.1999999999999975</v>
      </c>
      <c r="CW513" s="527">
        <f t="shared" si="2471"/>
        <v>9.1000000000000014</v>
      </c>
      <c r="CX513" s="527">
        <f t="shared" si="2471"/>
        <v>73.400000000000006</v>
      </c>
      <c r="CY513" s="527">
        <f t="shared" si="2471"/>
        <v>69.899999999999977</v>
      </c>
      <c r="CZ513" s="528">
        <f t="shared" si="2471"/>
        <v>86.400000000000077</v>
      </c>
      <c r="DA513" s="527">
        <f t="shared" si="2471"/>
        <v>133.36232151403249</v>
      </c>
      <c r="DB513" s="527">
        <f t="shared" si="2471"/>
        <v>162.56371468668044</v>
      </c>
      <c r="DC513" s="527">
        <f t="shared" si="2471"/>
        <v>202.83855971008754</v>
      </c>
      <c r="DD513" s="527">
        <f t="shared" si="2471"/>
        <v>253.08647466872486</v>
      </c>
      <c r="DE513" s="527">
        <f t="shared" si="2471"/>
        <v>297.13117072636902</v>
      </c>
      <c r="DF513" s="527">
        <f t="shared" si="2471"/>
        <v>332.80679876088504</v>
      </c>
      <c r="DG513" s="527">
        <f t="shared" ref="DG513:DH513" si="2472">DG515</f>
        <v>362.5748548130764</v>
      </c>
      <c r="DH513" s="527">
        <f t="shared" si="2472"/>
        <v>387.23025091850565</v>
      </c>
      <c r="DI513" s="527">
        <f t="shared" ref="DI513" si="2473">DI515</f>
        <v>409.26695818423417</v>
      </c>
    </row>
    <row r="514" spans="1:120" ht="12" hidden="1" outlineLevel="1"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08"/>
      <c r="V514" s="408"/>
      <c r="W514" s="408"/>
      <c r="X514" s="408"/>
      <c r="Y514" s="408"/>
      <c r="Z514" s="408"/>
      <c r="AA514" s="408"/>
      <c r="AB514" s="42"/>
      <c r="AC514" s="42"/>
      <c r="AD514" s="55"/>
      <c r="AE514" s="55"/>
      <c r="AF514" s="55"/>
      <c r="AG514" s="416"/>
      <c r="AH514" s="55"/>
      <c r="AI514" s="55"/>
      <c r="AJ514" s="55"/>
      <c r="AK514" s="416"/>
      <c r="AL514" s="55"/>
      <c r="AM514" s="55"/>
      <c r="AN514" s="55"/>
      <c r="AO514" s="55"/>
      <c r="AP514" s="44"/>
      <c r="AQ514" s="44"/>
      <c r="AR514" s="44"/>
      <c r="AS514" s="44"/>
      <c r="AT514" s="44"/>
      <c r="AU514" s="44"/>
      <c r="AV514" s="44"/>
      <c r="AW514" s="44"/>
      <c r="AX514" s="44"/>
      <c r="AY514" s="572"/>
      <c r="AZ514" s="573"/>
      <c r="BA514" s="574"/>
      <c r="BB514" s="574"/>
      <c r="BC514" s="574"/>
      <c r="BD514" s="574"/>
      <c r="BE514" s="574"/>
      <c r="BF514" s="574"/>
      <c r="BG514" s="574"/>
      <c r="BH514" s="574"/>
      <c r="BI514" s="574"/>
      <c r="BJ514" s="574"/>
      <c r="BK514" s="574"/>
      <c r="BL514" s="574"/>
      <c r="BM514" s="574"/>
      <c r="BN514" s="574"/>
      <c r="BO514" s="574"/>
      <c r="BP514" s="574"/>
      <c r="BQ514" s="574"/>
      <c r="BR514" s="44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285"/>
      <c r="CP514" s="55"/>
      <c r="CQ514" s="42"/>
      <c r="CR514" s="285"/>
      <c r="CS514" s="42"/>
      <c r="CT514" s="44"/>
      <c r="CU514" s="526"/>
      <c r="CV514" s="44"/>
      <c r="CW514" s="44"/>
      <c r="CX514" s="44"/>
      <c r="CY514" s="44"/>
      <c r="CZ514" s="658"/>
      <c r="DA514" s="44"/>
      <c r="DB514" s="44"/>
      <c r="DC514" s="529"/>
      <c r="DD514" s="529"/>
      <c r="DE514" s="529"/>
      <c r="DF514" s="529"/>
      <c r="DG514" s="529"/>
      <c r="DH514" s="529"/>
      <c r="DI514" s="529"/>
    </row>
    <row r="515" spans="1:120" s="24" customFormat="1" ht="12" hidden="1" outlineLevel="1">
      <c r="A515" s="1" t="s">
        <v>331</v>
      </c>
      <c r="B515" s="24" t="s">
        <v>354</v>
      </c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  <c r="AJ515" s="55"/>
      <c r="AK515" s="55"/>
      <c r="AL515" s="55"/>
      <c r="AM515" s="55"/>
      <c r="AN515" s="55"/>
      <c r="AO515" s="55"/>
      <c r="AP515" s="526">
        <f t="shared" ref="AP515:AR515" si="2474">AP381+AP408+AP443+AP472+AP500</f>
        <v>-6.4999999999999947</v>
      </c>
      <c r="AQ515" s="526">
        <f t="shared" si="2474"/>
        <v>1.3000000000000043</v>
      </c>
      <c r="AR515" s="526">
        <f t="shared" si="2474"/>
        <v>0.70000000000000906</v>
      </c>
      <c r="AS515" s="526">
        <f t="shared" ref="AS515:AT515" si="2475">AS381+AS408+AS443+AS472+AS500</f>
        <v>8.3999999999999915</v>
      </c>
      <c r="AT515" s="526">
        <f t="shared" si="2475"/>
        <v>36.099999999999987</v>
      </c>
      <c r="AU515" s="526">
        <f>AU381+AU408+AU443+AU472+AU500</f>
        <v>37.299999999999983</v>
      </c>
      <c r="AV515" s="526">
        <f>AV381+AV408+AV443+AV472+AV500</f>
        <v>45.900000000000006</v>
      </c>
      <c r="AW515" s="526">
        <f>AW381+AW408+AW443+AW472+AW500</f>
        <v>24.000000000000021</v>
      </c>
      <c r="AX515" s="526">
        <f>AX381+AX408+AX443+AX472+AX500</f>
        <v>40.900000000000006</v>
      </c>
      <c r="AY515" s="526">
        <f t="shared" ref="AY515:BI515" si="2476">AY381+AY408+AY443+AY472+AY500</f>
        <v>45.500000000000021</v>
      </c>
      <c r="AZ515" s="524">
        <f>AZ381+AZ408+AZ443+AZ472+AZ500</f>
        <v>59.89999999999997</v>
      </c>
      <c r="BA515" s="526">
        <f t="shared" si="2476"/>
        <v>73.462321514032539</v>
      </c>
      <c r="BB515" s="526">
        <f t="shared" si="2476"/>
        <v>79.850082368164337</v>
      </c>
      <c r="BC515" s="526">
        <f t="shared" si="2476"/>
        <v>82.713632318516005</v>
      </c>
      <c r="BD515" s="526">
        <f t="shared" si="2476"/>
        <v>96.996764908227647</v>
      </c>
      <c r="BE515" s="526">
        <f t="shared" si="2476"/>
        <v>105.84179480185983</v>
      </c>
      <c r="BF515" s="526">
        <f t="shared" si="2476"/>
        <v>121.08400199158076</v>
      </c>
      <c r="BG515" s="526">
        <f t="shared" si="2476"/>
        <v>132.00247267714406</v>
      </c>
      <c r="BH515" s="526">
        <f t="shared" si="2476"/>
        <v>145.5989593786762</v>
      </c>
      <c r="BI515" s="526">
        <f t="shared" si="2476"/>
        <v>151.53221134769285</v>
      </c>
      <c r="BJ515" s="526">
        <f t="shared" ref="BJ515:BK515" si="2477">BJ381+BJ408+BJ443+BJ472+BJ500</f>
        <v>164.07890259037174</v>
      </c>
      <c r="BK515" s="526">
        <f t="shared" si="2477"/>
        <v>168.72789617051336</v>
      </c>
      <c r="BL515" s="526">
        <f t="shared" ref="BL515:BM515" si="2478">BL381+BL408+BL443+BL472+BL500</f>
        <v>179.32702917664602</v>
      </c>
      <c r="BM515" s="526">
        <f t="shared" si="2478"/>
        <v>183.24782563643032</v>
      </c>
      <c r="BN515" s="526">
        <f t="shared" ref="BN515:BP515" si="2479">BN381+BN408+BN443+BN472+BN500</f>
        <v>193.00051026619215</v>
      </c>
      <c r="BO515" s="526">
        <f>BO381+BO408+BO443+BO472+BO500</f>
        <v>194.22974065231335</v>
      </c>
      <c r="BP515" s="526">
        <f t="shared" si="2479"/>
        <v>204.15477205328528</v>
      </c>
      <c r="BQ515" s="526">
        <f>BQ381+BQ408+BQ443+BQ472+BQ500</f>
        <v>205.11218613094891</v>
      </c>
      <c r="BR515" s="526"/>
      <c r="BS515" s="55"/>
      <c r="BT515" s="55"/>
      <c r="BU515" s="55"/>
      <c r="BV515" s="55"/>
      <c r="BW515" s="55"/>
      <c r="BX515" s="55"/>
      <c r="BY515" s="55"/>
      <c r="BZ515" s="55"/>
      <c r="CA515" s="55"/>
      <c r="CB515" s="55"/>
      <c r="CC515" s="55"/>
      <c r="CD515" s="55"/>
      <c r="CE515" s="55"/>
      <c r="CF515" s="55"/>
      <c r="CG515" s="55"/>
      <c r="CH515" s="55"/>
      <c r="CI515" s="55"/>
      <c r="CJ515" s="55"/>
      <c r="CK515" s="55"/>
      <c r="CL515" s="55"/>
      <c r="CM515" s="55"/>
      <c r="CN515" s="55"/>
      <c r="CO515" s="55"/>
      <c r="CP515" s="55"/>
      <c r="CQ515" s="55"/>
      <c r="CR515" s="55"/>
      <c r="CS515" s="55"/>
      <c r="CT515" s="526">
        <f t="shared" ref="CT515:DE515" si="2480">CT381+CT408+CT443+CT472+CT500</f>
        <v>-23.09601</v>
      </c>
      <c r="CU515" s="526">
        <f t="shared" si="2480"/>
        <v>-38.098010000000002</v>
      </c>
      <c r="CV515" s="526">
        <f t="shared" si="2480"/>
        <v>-5.1999999999999975</v>
      </c>
      <c r="CW515" s="526">
        <f t="shared" si="2480"/>
        <v>9.1000000000000014</v>
      </c>
      <c r="CX515" s="526">
        <f t="shared" si="2480"/>
        <v>73.400000000000006</v>
      </c>
      <c r="CY515" s="526">
        <f t="shared" si="2480"/>
        <v>69.899999999999977</v>
      </c>
      <c r="CZ515" s="524">
        <f t="shared" si="2480"/>
        <v>86.400000000000077</v>
      </c>
      <c r="DA515" s="526">
        <f t="shared" si="2480"/>
        <v>133.36232151403249</v>
      </c>
      <c r="DB515" s="526">
        <f t="shared" si="2480"/>
        <v>162.56371468668044</v>
      </c>
      <c r="DC515" s="526">
        <f t="shared" si="2480"/>
        <v>202.83855971008754</v>
      </c>
      <c r="DD515" s="526">
        <f t="shared" si="2480"/>
        <v>253.08647466872486</v>
      </c>
      <c r="DE515" s="526">
        <f t="shared" si="2480"/>
        <v>297.13117072636902</v>
      </c>
      <c r="DF515" s="526">
        <f>DF381+DF408+DF443+DF472+DF500</f>
        <v>332.80679876088504</v>
      </c>
      <c r="DG515" s="526">
        <f>DG381+DG408+DG443+DG472+DG500</f>
        <v>362.5748548130764</v>
      </c>
      <c r="DH515" s="526">
        <f>DH381+DH408+DH443+DH472+DH500</f>
        <v>387.23025091850565</v>
      </c>
      <c r="DI515" s="526">
        <f>DI381+DI408+DI443+DI472+DI500</f>
        <v>409.26695818423417</v>
      </c>
      <c r="DO515" s="649"/>
    </row>
    <row r="516" spans="1:120" ht="12" hidden="1" outlineLevel="2">
      <c r="A516" s="1" t="s">
        <v>395</v>
      </c>
      <c r="B516" s="19" t="s">
        <v>854</v>
      </c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4">
        <f t="shared" ref="AP516:AR516" si="2481">AP386</f>
        <v>0</v>
      </c>
      <c r="AQ516" s="44">
        <f t="shared" si="2481"/>
        <v>0</v>
      </c>
      <c r="AR516" s="44">
        <f t="shared" si="2481"/>
        <v>0</v>
      </c>
      <c r="AS516" s="44">
        <f t="shared" ref="AS516:AT516" si="2482">AS386</f>
        <v>0</v>
      </c>
      <c r="AT516" s="44">
        <f t="shared" si="2482"/>
        <v>0</v>
      </c>
      <c r="AU516" s="44">
        <f t="shared" ref="AU516:AV516" si="2483">AU386</f>
        <v>0</v>
      </c>
      <c r="AV516" s="44">
        <f t="shared" si="2483"/>
        <v>0</v>
      </c>
      <c r="AW516" s="44">
        <f t="shared" ref="AW516:AX516" si="2484">AW386</f>
        <v>0</v>
      </c>
      <c r="AX516" s="44">
        <f t="shared" si="2484"/>
        <v>0</v>
      </c>
      <c r="AY516" s="44">
        <f t="shared" ref="AY516:BI516" si="2485">AY386</f>
        <v>0</v>
      </c>
      <c r="AZ516" s="45">
        <f t="shared" si="2485"/>
        <v>0</v>
      </c>
      <c r="BA516" s="44">
        <f t="shared" si="2485"/>
        <v>0</v>
      </c>
      <c r="BB516" s="44">
        <f t="shared" si="2485"/>
        <v>0</v>
      </c>
      <c r="BC516" s="44">
        <f t="shared" si="2485"/>
        <v>0</v>
      </c>
      <c r="BD516" s="44">
        <f t="shared" si="2485"/>
        <v>0</v>
      </c>
      <c r="BE516" s="44">
        <f t="shared" si="2485"/>
        <v>0</v>
      </c>
      <c r="BF516" s="44">
        <f t="shared" si="2485"/>
        <v>0</v>
      </c>
      <c r="BG516" s="44">
        <f t="shared" si="2485"/>
        <v>0</v>
      </c>
      <c r="BH516" s="44">
        <f t="shared" si="2485"/>
        <v>0</v>
      </c>
      <c r="BI516" s="44">
        <f t="shared" si="2485"/>
        <v>0</v>
      </c>
      <c r="BJ516" s="44">
        <f t="shared" ref="BJ516:BK516" si="2486">BJ386</f>
        <v>0</v>
      </c>
      <c r="BK516" s="44">
        <f t="shared" si="2486"/>
        <v>0</v>
      </c>
      <c r="BL516" s="44">
        <f t="shared" ref="BL516:BM516" si="2487">BL386</f>
        <v>0</v>
      </c>
      <c r="BM516" s="44">
        <f t="shared" si="2487"/>
        <v>0</v>
      </c>
      <c r="BN516" s="44">
        <f t="shared" ref="BN516:BO516" si="2488">BN386</f>
        <v>0</v>
      </c>
      <c r="BO516" s="44">
        <f t="shared" si="2488"/>
        <v>0</v>
      </c>
      <c r="BP516" s="44">
        <f t="shared" ref="BP516:BQ516" si="2489">BP386</f>
        <v>0</v>
      </c>
      <c r="BQ516" s="44">
        <f t="shared" si="2489"/>
        <v>0</v>
      </c>
      <c r="BR516" s="44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4">
        <f t="shared" ref="CT516:CV516" si="2490">CT386</f>
        <v>0</v>
      </c>
      <c r="CU516" s="44">
        <f t="shared" si="2490"/>
        <v>0</v>
      </c>
      <c r="CV516" s="44">
        <f t="shared" si="2490"/>
        <v>0</v>
      </c>
      <c r="CW516" s="44">
        <f t="shared" ref="CW516:CW529" si="2491">SUM(AR516:AS516)</f>
        <v>0</v>
      </c>
      <c r="CX516" s="44">
        <f t="shared" ref="CX516:CX529" si="2492">SUM(AT516:AU516)</f>
        <v>0</v>
      </c>
      <c r="CY516" s="44">
        <f t="shared" ref="CY516:CY529" si="2493">SUM(AV516:AW516)</f>
        <v>0</v>
      </c>
      <c r="CZ516" s="45">
        <f t="shared" ref="CZ516:CZ529" si="2494">SUM(AX516:AY516)</f>
        <v>0</v>
      </c>
      <c r="DA516" s="44">
        <f t="shared" ref="DA516:DA529" si="2495">SUM(AZ516:BA516)</f>
        <v>0</v>
      </c>
      <c r="DB516" s="44">
        <f t="shared" ref="DB516:DB529" si="2496">SUM(BB516:BC516)</f>
        <v>0</v>
      </c>
      <c r="DC516" s="44">
        <f t="shared" ref="DC516:DC529" si="2497">SUM(BD516:BE516)</f>
        <v>0</v>
      </c>
      <c r="DD516" s="44">
        <f t="shared" ref="DD516:DD529" si="2498">SUM(BF516:BG516)</f>
        <v>0</v>
      </c>
      <c r="DE516" s="44">
        <f t="shared" ref="DE516:DE529" si="2499">SUM(BH516:BI516)</f>
        <v>0</v>
      </c>
      <c r="DF516" s="44">
        <f t="shared" ref="DF516:DF529" si="2500">SUM(BJ516:BK516)</f>
        <v>0</v>
      </c>
      <c r="DG516" s="44">
        <f t="shared" ref="DG516:DG529" si="2501">SUM(BL516:BM516)</f>
        <v>0</v>
      </c>
      <c r="DH516" s="44">
        <f t="shared" ref="DH516:DH529" si="2502">SUM(BN516:BO516)</f>
        <v>0</v>
      </c>
      <c r="DI516" s="44">
        <f t="shared" ref="DI516:DI529" si="2503">SUM(BP516:BQ516)</f>
        <v>0</v>
      </c>
      <c r="DO516" s="649"/>
    </row>
    <row r="517" spans="1:120" ht="12" hidden="1" outlineLevel="2">
      <c r="A517" s="1" t="s">
        <v>396</v>
      </c>
      <c r="B517" s="19" t="s">
        <v>444</v>
      </c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4">
        <f t="shared" ref="AP517:AR517" si="2504">AP413</f>
        <v>0</v>
      </c>
      <c r="AQ517" s="44">
        <f t="shared" si="2504"/>
        <v>0</v>
      </c>
      <c r="AR517" s="44">
        <f t="shared" si="2504"/>
        <v>0</v>
      </c>
      <c r="AS517" s="44">
        <f t="shared" ref="AS517:AT517" si="2505">AS413</f>
        <v>0</v>
      </c>
      <c r="AT517" s="44">
        <f t="shared" si="2505"/>
        <v>0</v>
      </c>
      <c r="AU517" s="44">
        <f t="shared" ref="AU517:AV517" si="2506">AU413</f>
        <v>0</v>
      </c>
      <c r="AV517" s="44">
        <f t="shared" si="2506"/>
        <v>0</v>
      </c>
      <c r="AW517" s="44">
        <f t="shared" ref="AW517:AX517" si="2507">AW413</f>
        <v>0</v>
      </c>
      <c r="AX517" s="44">
        <f t="shared" si="2507"/>
        <v>0</v>
      </c>
      <c r="AY517" s="44">
        <f t="shared" ref="AY517:BI517" si="2508">AY413</f>
        <v>0</v>
      </c>
      <c r="AZ517" s="45">
        <f t="shared" si="2508"/>
        <v>0</v>
      </c>
      <c r="BA517" s="44">
        <f t="shared" si="2508"/>
        <v>0</v>
      </c>
      <c r="BB517" s="44">
        <f t="shared" si="2508"/>
        <v>0</v>
      </c>
      <c r="BC517" s="44">
        <f t="shared" si="2508"/>
        <v>0</v>
      </c>
      <c r="BD517" s="44">
        <f t="shared" si="2508"/>
        <v>0</v>
      </c>
      <c r="BE517" s="44">
        <f t="shared" si="2508"/>
        <v>0</v>
      </c>
      <c r="BF517" s="44">
        <f t="shared" si="2508"/>
        <v>0</v>
      </c>
      <c r="BG517" s="44">
        <f t="shared" si="2508"/>
        <v>0</v>
      </c>
      <c r="BH517" s="44">
        <f t="shared" si="2508"/>
        <v>0</v>
      </c>
      <c r="BI517" s="44">
        <f t="shared" si="2508"/>
        <v>0</v>
      </c>
      <c r="BJ517" s="44">
        <f t="shared" ref="BJ517:BK517" si="2509">BJ413</f>
        <v>0</v>
      </c>
      <c r="BK517" s="44">
        <f t="shared" si="2509"/>
        <v>0</v>
      </c>
      <c r="BL517" s="44">
        <f t="shared" ref="BL517:BM517" si="2510">BL413</f>
        <v>0</v>
      </c>
      <c r="BM517" s="44">
        <f t="shared" si="2510"/>
        <v>0</v>
      </c>
      <c r="BN517" s="44">
        <f t="shared" ref="BN517:BO517" si="2511">BN413</f>
        <v>0</v>
      </c>
      <c r="BO517" s="44">
        <f t="shared" si="2511"/>
        <v>0</v>
      </c>
      <c r="BP517" s="44">
        <f t="shared" ref="BP517:BQ517" si="2512">BP413</f>
        <v>0</v>
      </c>
      <c r="BQ517" s="44">
        <f t="shared" si="2512"/>
        <v>0</v>
      </c>
      <c r="BR517" s="44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4">
        <f t="shared" ref="CT517:CV517" si="2513">CT413</f>
        <v>0</v>
      </c>
      <c r="CU517" s="44">
        <f t="shared" si="2513"/>
        <v>0</v>
      </c>
      <c r="CV517" s="44">
        <f t="shared" si="2513"/>
        <v>0</v>
      </c>
      <c r="CW517" s="44">
        <f t="shared" si="2491"/>
        <v>0</v>
      </c>
      <c r="CX517" s="44">
        <f t="shared" si="2492"/>
        <v>0</v>
      </c>
      <c r="CY517" s="44">
        <f t="shared" si="2493"/>
        <v>0</v>
      </c>
      <c r="CZ517" s="45">
        <f t="shared" si="2494"/>
        <v>0</v>
      </c>
      <c r="DA517" s="44">
        <f t="shared" si="2495"/>
        <v>0</v>
      </c>
      <c r="DB517" s="44">
        <f t="shared" si="2496"/>
        <v>0</v>
      </c>
      <c r="DC517" s="44">
        <f t="shared" si="2497"/>
        <v>0</v>
      </c>
      <c r="DD517" s="44">
        <f t="shared" si="2498"/>
        <v>0</v>
      </c>
      <c r="DE517" s="44">
        <f t="shared" si="2499"/>
        <v>0</v>
      </c>
      <c r="DF517" s="44">
        <f t="shared" si="2500"/>
        <v>0</v>
      </c>
      <c r="DG517" s="44">
        <f t="shared" si="2501"/>
        <v>0</v>
      </c>
      <c r="DH517" s="44">
        <f t="shared" si="2502"/>
        <v>0</v>
      </c>
      <c r="DI517" s="44">
        <f t="shared" si="2503"/>
        <v>0</v>
      </c>
      <c r="DO517" s="649"/>
      <c r="DP517" s="24"/>
    </row>
    <row r="518" spans="1:120" ht="12" hidden="1" outlineLevel="2">
      <c r="A518" s="1" t="s">
        <v>328</v>
      </c>
      <c r="B518" s="19" t="s">
        <v>367</v>
      </c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4">
        <f t="shared" ref="AP518:AR518" si="2514">AP448</f>
        <v>0</v>
      </c>
      <c r="AQ518" s="44">
        <f t="shared" si="2514"/>
        <v>0</v>
      </c>
      <c r="AR518" s="44">
        <f t="shared" si="2514"/>
        <v>0</v>
      </c>
      <c r="AS518" s="44">
        <f t="shared" ref="AS518:AT518" si="2515">AS448</f>
        <v>0</v>
      </c>
      <c r="AT518" s="44">
        <f t="shared" si="2515"/>
        <v>0</v>
      </c>
      <c r="AU518" s="44">
        <f t="shared" ref="AU518:AV518" si="2516">AU448</f>
        <v>0</v>
      </c>
      <c r="AV518" s="44">
        <f t="shared" si="2516"/>
        <v>0</v>
      </c>
      <c r="AW518" s="44">
        <f t="shared" ref="AW518:AX518" si="2517">AW448</f>
        <v>5.8</v>
      </c>
      <c r="AX518" s="44">
        <f t="shared" si="2517"/>
        <v>0</v>
      </c>
      <c r="AY518" s="44">
        <f t="shared" ref="AY518:BI518" si="2518">AY448</f>
        <v>0</v>
      </c>
      <c r="AZ518" s="45">
        <f t="shared" si="2518"/>
        <v>0</v>
      </c>
      <c r="BA518" s="44">
        <f t="shared" si="2518"/>
        <v>0</v>
      </c>
      <c r="BB518" s="44">
        <f t="shared" si="2518"/>
        <v>0</v>
      </c>
      <c r="BC518" s="44">
        <f t="shared" si="2518"/>
        <v>0</v>
      </c>
      <c r="BD518" s="44">
        <f t="shared" si="2518"/>
        <v>0</v>
      </c>
      <c r="BE518" s="44">
        <f t="shared" si="2518"/>
        <v>0</v>
      </c>
      <c r="BF518" s="44">
        <f t="shared" si="2518"/>
        <v>0</v>
      </c>
      <c r="BG518" s="44">
        <f t="shared" si="2518"/>
        <v>0</v>
      </c>
      <c r="BH518" s="44">
        <f t="shared" si="2518"/>
        <v>0</v>
      </c>
      <c r="BI518" s="44">
        <f t="shared" si="2518"/>
        <v>0</v>
      </c>
      <c r="BJ518" s="44">
        <f t="shared" ref="BJ518:BK518" si="2519">BJ448</f>
        <v>0</v>
      </c>
      <c r="BK518" s="44">
        <f t="shared" si="2519"/>
        <v>0</v>
      </c>
      <c r="BL518" s="44">
        <f t="shared" ref="BL518:BM518" si="2520">BL448</f>
        <v>0</v>
      </c>
      <c r="BM518" s="44">
        <f t="shared" si="2520"/>
        <v>0</v>
      </c>
      <c r="BN518" s="44">
        <f t="shared" ref="BN518:BO518" si="2521">BN448</f>
        <v>0</v>
      </c>
      <c r="BO518" s="44">
        <f t="shared" si="2521"/>
        <v>0</v>
      </c>
      <c r="BP518" s="44">
        <f t="shared" ref="BP518:BQ518" si="2522">BP448</f>
        <v>0</v>
      </c>
      <c r="BQ518" s="44">
        <f t="shared" si="2522"/>
        <v>0</v>
      </c>
      <c r="BR518" s="44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4">
        <f t="shared" ref="CT518:CV518" si="2523">CT448</f>
        <v>0</v>
      </c>
      <c r="CU518" s="44">
        <f t="shared" si="2523"/>
        <v>0</v>
      </c>
      <c r="CV518" s="44">
        <f t="shared" si="2523"/>
        <v>0</v>
      </c>
      <c r="CW518" s="44">
        <f t="shared" si="2491"/>
        <v>0</v>
      </c>
      <c r="CX518" s="44">
        <f t="shared" si="2492"/>
        <v>0</v>
      </c>
      <c r="CY518" s="44">
        <f t="shared" si="2493"/>
        <v>5.8</v>
      </c>
      <c r="CZ518" s="45">
        <f t="shared" si="2494"/>
        <v>0</v>
      </c>
      <c r="DA518" s="44">
        <f t="shared" si="2495"/>
        <v>0</v>
      </c>
      <c r="DB518" s="44">
        <f t="shared" si="2496"/>
        <v>0</v>
      </c>
      <c r="DC518" s="44">
        <f t="shared" si="2497"/>
        <v>0</v>
      </c>
      <c r="DD518" s="44">
        <f t="shared" si="2498"/>
        <v>0</v>
      </c>
      <c r="DE518" s="44">
        <f t="shared" si="2499"/>
        <v>0</v>
      </c>
      <c r="DF518" s="44">
        <f t="shared" si="2500"/>
        <v>0</v>
      </c>
      <c r="DG518" s="44">
        <f t="shared" si="2501"/>
        <v>0</v>
      </c>
      <c r="DH518" s="44">
        <f t="shared" si="2502"/>
        <v>0</v>
      </c>
      <c r="DI518" s="44">
        <f t="shared" si="2503"/>
        <v>0</v>
      </c>
    </row>
    <row r="519" spans="1:120" ht="12" hidden="1" outlineLevel="2">
      <c r="A519" s="1" t="s">
        <v>329</v>
      </c>
      <c r="B519" s="19" t="s">
        <v>368</v>
      </c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4">
        <f t="shared" ref="AP519:AR519" si="2524">AP477</f>
        <v>0</v>
      </c>
      <c r="AQ519" s="44">
        <f t="shared" si="2524"/>
        <v>0</v>
      </c>
      <c r="AR519" s="44">
        <f t="shared" si="2524"/>
        <v>0</v>
      </c>
      <c r="AS519" s="44">
        <f t="shared" ref="AS519:AT519" si="2525">AS477</f>
        <v>0</v>
      </c>
      <c r="AT519" s="44">
        <f t="shared" si="2525"/>
        <v>0</v>
      </c>
      <c r="AU519" s="44">
        <f t="shared" ref="AU519:AV519" si="2526">AU477</f>
        <v>0</v>
      </c>
      <c r="AV519" s="44">
        <f t="shared" si="2526"/>
        <v>0</v>
      </c>
      <c r="AW519" s="44">
        <f t="shared" ref="AW519:AX519" si="2527">AW477</f>
        <v>0</v>
      </c>
      <c r="AX519" s="44">
        <f t="shared" si="2527"/>
        <v>0</v>
      </c>
      <c r="AY519" s="44">
        <f t="shared" ref="AY519:BI519" si="2528">AY477</f>
        <v>0</v>
      </c>
      <c r="AZ519" s="45">
        <f t="shared" si="2528"/>
        <v>0</v>
      </c>
      <c r="BA519" s="44">
        <f t="shared" si="2528"/>
        <v>0</v>
      </c>
      <c r="BB519" s="44">
        <f t="shared" si="2528"/>
        <v>0</v>
      </c>
      <c r="BC519" s="44">
        <f t="shared" si="2528"/>
        <v>0</v>
      </c>
      <c r="BD519" s="44">
        <f t="shared" si="2528"/>
        <v>0</v>
      </c>
      <c r="BE519" s="44">
        <f t="shared" si="2528"/>
        <v>0</v>
      </c>
      <c r="BF519" s="44">
        <f t="shared" si="2528"/>
        <v>0</v>
      </c>
      <c r="BG519" s="44">
        <f t="shared" si="2528"/>
        <v>0</v>
      </c>
      <c r="BH519" s="44">
        <f t="shared" si="2528"/>
        <v>0</v>
      </c>
      <c r="BI519" s="44">
        <f t="shared" si="2528"/>
        <v>0</v>
      </c>
      <c r="BJ519" s="44">
        <f t="shared" ref="BJ519:BK519" si="2529">BJ477</f>
        <v>0</v>
      </c>
      <c r="BK519" s="44">
        <f t="shared" si="2529"/>
        <v>0</v>
      </c>
      <c r="BL519" s="44">
        <f t="shared" ref="BL519:BM519" si="2530">BL477</f>
        <v>0</v>
      </c>
      <c r="BM519" s="44">
        <f t="shared" si="2530"/>
        <v>0</v>
      </c>
      <c r="BN519" s="44">
        <f t="shared" ref="BN519:BO519" si="2531">BN477</f>
        <v>0</v>
      </c>
      <c r="BO519" s="44">
        <f t="shared" si="2531"/>
        <v>0</v>
      </c>
      <c r="BP519" s="44">
        <f t="shared" ref="BP519:BQ519" si="2532">BP477</f>
        <v>0</v>
      </c>
      <c r="BQ519" s="44">
        <f t="shared" si="2532"/>
        <v>0</v>
      </c>
      <c r="BR519" s="44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4">
        <f t="shared" ref="CT519:CV519" si="2533">CT477</f>
        <v>0</v>
      </c>
      <c r="CU519" s="44">
        <f t="shared" si="2533"/>
        <v>0</v>
      </c>
      <c r="CV519" s="44">
        <f t="shared" si="2533"/>
        <v>0</v>
      </c>
      <c r="CW519" s="44">
        <f t="shared" si="2491"/>
        <v>0</v>
      </c>
      <c r="CX519" s="44">
        <f t="shared" si="2492"/>
        <v>0</v>
      </c>
      <c r="CY519" s="44">
        <f t="shared" si="2493"/>
        <v>0</v>
      </c>
      <c r="CZ519" s="45">
        <f t="shared" si="2494"/>
        <v>0</v>
      </c>
      <c r="DA519" s="44">
        <f t="shared" si="2495"/>
        <v>0</v>
      </c>
      <c r="DB519" s="44">
        <f t="shared" si="2496"/>
        <v>0</v>
      </c>
      <c r="DC519" s="44">
        <f t="shared" si="2497"/>
        <v>0</v>
      </c>
      <c r="DD519" s="44">
        <f t="shared" si="2498"/>
        <v>0</v>
      </c>
      <c r="DE519" s="44">
        <f t="shared" si="2499"/>
        <v>0</v>
      </c>
      <c r="DF519" s="44">
        <f t="shared" si="2500"/>
        <v>0</v>
      </c>
      <c r="DG519" s="44">
        <f t="shared" si="2501"/>
        <v>0</v>
      </c>
      <c r="DH519" s="44">
        <f t="shared" si="2502"/>
        <v>0</v>
      </c>
      <c r="DI519" s="44">
        <f t="shared" si="2503"/>
        <v>0</v>
      </c>
    </row>
    <row r="520" spans="1:120" ht="12" hidden="1" outlineLevel="2">
      <c r="A520" s="1" t="s">
        <v>957</v>
      </c>
      <c r="B520" s="19" t="s">
        <v>358</v>
      </c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4">
        <f t="shared" ref="AP520:AR520" si="2534">AP505</f>
        <v>0</v>
      </c>
      <c r="AQ520" s="44">
        <f t="shared" si="2534"/>
        <v>0</v>
      </c>
      <c r="AR520" s="44">
        <f t="shared" si="2534"/>
        <v>0</v>
      </c>
      <c r="AS520" s="44">
        <f t="shared" ref="AS520:AT520" si="2535">AS505</f>
        <v>0</v>
      </c>
      <c r="AT520" s="44">
        <f t="shared" si="2535"/>
        <v>0</v>
      </c>
      <c r="AU520" s="44">
        <f t="shared" ref="AU520:AV520" si="2536">AU505</f>
        <v>0</v>
      </c>
      <c r="AV520" s="44">
        <f t="shared" si="2536"/>
        <v>0</v>
      </c>
      <c r="AW520" s="44">
        <f t="shared" ref="AW520:AX520" si="2537">AW505</f>
        <v>-1.3</v>
      </c>
      <c r="AX520" s="44">
        <f t="shared" si="2537"/>
        <v>0</v>
      </c>
      <c r="AY520" s="44">
        <f t="shared" ref="AY520:BI520" si="2538">AY505</f>
        <v>0</v>
      </c>
      <c r="AZ520" s="45">
        <f t="shared" si="2538"/>
        <v>0</v>
      </c>
      <c r="BA520" s="44">
        <f t="shared" si="2538"/>
        <v>0</v>
      </c>
      <c r="BB520" s="44">
        <f t="shared" si="2538"/>
        <v>0</v>
      </c>
      <c r="BC520" s="44">
        <f t="shared" si="2538"/>
        <v>0</v>
      </c>
      <c r="BD520" s="44">
        <f t="shared" si="2538"/>
        <v>0</v>
      </c>
      <c r="BE520" s="44">
        <f t="shared" si="2538"/>
        <v>0</v>
      </c>
      <c r="BF520" s="44">
        <f t="shared" si="2538"/>
        <v>0</v>
      </c>
      <c r="BG520" s="44">
        <f t="shared" si="2538"/>
        <v>0</v>
      </c>
      <c r="BH520" s="44">
        <f t="shared" si="2538"/>
        <v>0</v>
      </c>
      <c r="BI520" s="44">
        <f t="shared" si="2538"/>
        <v>0</v>
      </c>
      <c r="BJ520" s="44">
        <f t="shared" ref="BJ520:BK520" si="2539">BJ505</f>
        <v>0</v>
      </c>
      <c r="BK520" s="44">
        <f t="shared" si="2539"/>
        <v>0</v>
      </c>
      <c r="BL520" s="44">
        <f t="shared" ref="BL520:BM520" si="2540">BL505</f>
        <v>0</v>
      </c>
      <c r="BM520" s="44">
        <f t="shared" si="2540"/>
        <v>0</v>
      </c>
      <c r="BN520" s="44">
        <f t="shared" ref="BN520:BO520" si="2541">BN505</f>
        <v>0</v>
      </c>
      <c r="BO520" s="44">
        <f t="shared" si="2541"/>
        <v>0</v>
      </c>
      <c r="BP520" s="44">
        <f t="shared" ref="BP520:BQ520" si="2542">BP505</f>
        <v>0</v>
      </c>
      <c r="BQ520" s="44">
        <f t="shared" si="2542"/>
        <v>0</v>
      </c>
      <c r="BR520" s="44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4">
        <f t="shared" ref="CT520:CV520" si="2543">CT505</f>
        <v>0</v>
      </c>
      <c r="CU520" s="44">
        <f t="shared" si="2543"/>
        <v>0</v>
      </c>
      <c r="CV520" s="44">
        <f t="shared" si="2543"/>
        <v>0</v>
      </c>
      <c r="CW520" s="44">
        <f t="shared" si="2491"/>
        <v>0</v>
      </c>
      <c r="CX520" s="44">
        <f t="shared" si="2492"/>
        <v>0</v>
      </c>
      <c r="CY520" s="44">
        <f t="shared" si="2493"/>
        <v>-1.3</v>
      </c>
      <c r="CZ520" s="45">
        <f t="shared" si="2494"/>
        <v>0</v>
      </c>
      <c r="DA520" s="44">
        <f t="shared" si="2495"/>
        <v>0</v>
      </c>
      <c r="DB520" s="44">
        <f t="shared" si="2496"/>
        <v>0</v>
      </c>
      <c r="DC520" s="44">
        <f t="shared" si="2497"/>
        <v>0</v>
      </c>
      <c r="DD520" s="44">
        <f t="shared" si="2498"/>
        <v>0</v>
      </c>
      <c r="DE520" s="44">
        <f t="shared" si="2499"/>
        <v>0</v>
      </c>
      <c r="DF520" s="44">
        <f t="shared" si="2500"/>
        <v>0</v>
      </c>
      <c r="DG520" s="44">
        <f t="shared" si="2501"/>
        <v>0</v>
      </c>
      <c r="DH520" s="44">
        <f t="shared" si="2502"/>
        <v>0</v>
      </c>
      <c r="DI520" s="44">
        <f t="shared" si="2503"/>
        <v>0</v>
      </c>
    </row>
    <row r="521" spans="1:120" s="24" customFormat="1" ht="12" hidden="1" outlineLevel="2">
      <c r="A521" s="1" t="s">
        <v>330</v>
      </c>
      <c r="B521" s="24" t="s">
        <v>277</v>
      </c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  <c r="AJ521" s="55"/>
      <c r="AK521" s="55"/>
      <c r="AL521" s="55"/>
      <c r="AM521" s="55"/>
      <c r="AN521" s="55"/>
      <c r="AO521" s="55"/>
      <c r="AP521" s="526">
        <f t="shared" ref="AP521:AR521" si="2544">SUM(AP515:AP520)</f>
        <v>-6.4999999999999947</v>
      </c>
      <c r="AQ521" s="526">
        <f t="shared" si="2544"/>
        <v>1.3000000000000043</v>
      </c>
      <c r="AR521" s="526">
        <f t="shared" si="2544"/>
        <v>0.70000000000000906</v>
      </c>
      <c r="AS521" s="526">
        <f t="shared" ref="AS521:AT521" si="2545">SUM(AS515:AS520)</f>
        <v>8.3999999999999915</v>
      </c>
      <c r="AT521" s="526">
        <f t="shared" si="2545"/>
        <v>36.099999999999987</v>
      </c>
      <c r="AU521" s="526">
        <f t="shared" ref="AU521:AV521" si="2546">SUM(AU515:AU520)</f>
        <v>37.299999999999983</v>
      </c>
      <c r="AV521" s="526">
        <f t="shared" si="2546"/>
        <v>45.900000000000006</v>
      </c>
      <c r="AW521" s="526">
        <f t="shared" ref="AW521:AX521" si="2547">SUM(AW515:AW520)</f>
        <v>28.500000000000021</v>
      </c>
      <c r="AX521" s="526">
        <f t="shared" si="2547"/>
        <v>40.900000000000006</v>
      </c>
      <c r="AY521" s="526">
        <f t="shared" ref="AY521:BI521" si="2548">SUM(AY515:AY520)</f>
        <v>45.500000000000021</v>
      </c>
      <c r="AZ521" s="524">
        <f t="shared" si="2548"/>
        <v>59.89999999999997</v>
      </c>
      <c r="BA521" s="526">
        <f t="shared" si="2548"/>
        <v>73.462321514032539</v>
      </c>
      <c r="BB521" s="526">
        <f t="shared" si="2548"/>
        <v>79.850082368164337</v>
      </c>
      <c r="BC521" s="526">
        <f t="shared" si="2548"/>
        <v>82.713632318516005</v>
      </c>
      <c r="BD521" s="526">
        <f t="shared" si="2548"/>
        <v>96.996764908227647</v>
      </c>
      <c r="BE521" s="526">
        <f t="shared" si="2548"/>
        <v>105.84179480185983</v>
      </c>
      <c r="BF521" s="526">
        <f t="shared" si="2548"/>
        <v>121.08400199158076</v>
      </c>
      <c r="BG521" s="526">
        <f t="shared" si="2548"/>
        <v>132.00247267714406</v>
      </c>
      <c r="BH521" s="526">
        <f t="shared" si="2548"/>
        <v>145.5989593786762</v>
      </c>
      <c r="BI521" s="526">
        <f t="shared" si="2548"/>
        <v>151.53221134769285</v>
      </c>
      <c r="BJ521" s="526">
        <f t="shared" ref="BJ521:BK521" si="2549">SUM(BJ515:BJ520)</f>
        <v>164.07890259037174</v>
      </c>
      <c r="BK521" s="526">
        <f t="shared" si="2549"/>
        <v>168.72789617051336</v>
      </c>
      <c r="BL521" s="526">
        <f t="shared" ref="BL521:BM521" si="2550">SUM(BL515:BL520)</f>
        <v>179.32702917664602</v>
      </c>
      <c r="BM521" s="526">
        <f t="shared" si="2550"/>
        <v>183.24782563643032</v>
      </c>
      <c r="BN521" s="526">
        <f t="shared" ref="BN521:BO521" si="2551">SUM(BN515:BN520)</f>
        <v>193.00051026619215</v>
      </c>
      <c r="BO521" s="526">
        <f t="shared" si="2551"/>
        <v>194.22974065231335</v>
      </c>
      <c r="BP521" s="526">
        <f t="shared" ref="BP521:BQ521" si="2552">SUM(BP515:BP520)</f>
        <v>204.15477205328528</v>
      </c>
      <c r="BQ521" s="526">
        <f t="shared" si="2552"/>
        <v>205.11218613094891</v>
      </c>
      <c r="BR521" s="526"/>
      <c r="BS521" s="55"/>
      <c r="BT521" s="55"/>
      <c r="BU521" s="55"/>
      <c r="BV521" s="55"/>
      <c r="BW521" s="55"/>
      <c r="BX521" s="55"/>
      <c r="BY521" s="55"/>
      <c r="BZ521" s="55"/>
      <c r="CA521" s="55"/>
      <c r="CB521" s="55"/>
      <c r="CC521" s="55"/>
      <c r="CD521" s="55"/>
      <c r="CE521" s="55"/>
      <c r="CF521" s="55"/>
      <c r="CG521" s="55"/>
      <c r="CH521" s="55"/>
      <c r="CI521" s="55"/>
      <c r="CJ521" s="55"/>
      <c r="CK521" s="55"/>
      <c r="CL521" s="55"/>
      <c r="CM521" s="55"/>
      <c r="CN521" s="55"/>
      <c r="CO521" s="55"/>
      <c r="CP521" s="55"/>
      <c r="CQ521" s="55"/>
      <c r="CR521" s="55"/>
      <c r="CS521" s="55"/>
      <c r="CT521" s="526">
        <f t="shared" ref="CT521:CV521" si="2553">SUM(CT515:CT520)</f>
        <v>-23.09601</v>
      </c>
      <c r="CU521" s="526">
        <f t="shared" si="2553"/>
        <v>-38.098010000000002</v>
      </c>
      <c r="CV521" s="526">
        <f t="shared" si="2553"/>
        <v>-5.1999999999999975</v>
      </c>
      <c r="CW521" s="526">
        <f t="shared" si="2491"/>
        <v>9.1000000000000014</v>
      </c>
      <c r="CX521" s="526">
        <f t="shared" si="2492"/>
        <v>73.399999999999977</v>
      </c>
      <c r="CY521" s="526">
        <f t="shared" si="2493"/>
        <v>74.400000000000034</v>
      </c>
      <c r="CZ521" s="524">
        <f t="shared" si="2494"/>
        <v>86.400000000000034</v>
      </c>
      <c r="DA521" s="526">
        <f t="shared" si="2495"/>
        <v>133.36232151403252</v>
      </c>
      <c r="DB521" s="526">
        <f t="shared" si="2496"/>
        <v>162.56371468668033</v>
      </c>
      <c r="DC521" s="526">
        <f t="shared" si="2497"/>
        <v>202.83855971008748</v>
      </c>
      <c r="DD521" s="526">
        <f t="shared" si="2498"/>
        <v>253.0864746687248</v>
      </c>
      <c r="DE521" s="526">
        <f t="shared" si="2499"/>
        <v>297.13117072636908</v>
      </c>
      <c r="DF521" s="526">
        <f t="shared" si="2500"/>
        <v>332.8067987608851</v>
      </c>
      <c r="DG521" s="526">
        <f t="shared" si="2501"/>
        <v>362.57485481307634</v>
      </c>
      <c r="DH521" s="526">
        <f t="shared" si="2502"/>
        <v>387.23025091850548</v>
      </c>
      <c r="DI521" s="526">
        <f t="shared" si="2503"/>
        <v>409.26695818423423</v>
      </c>
    </row>
    <row r="522" spans="1:120" ht="12" hidden="1" outlineLevel="1">
      <c r="A522" s="1" t="s">
        <v>958</v>
      </c>
      <c r="B522" s="19" t="str">
        <f>B499</f>
        <v>Preference dividend</v>
      </c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4">
        <f t="shared" ref="AP522:AR522" si="2554">-AP499</f>
        <v>0</v>
      </c>
      <c r="AQ522" s="44">
        <f t="shared" si="2554"/>
        <v>0</v>
      </c>
      <c r="AR522" s="44">
        <f t="shared" si="2554"/>
        <v>0</v>
      </c>
      <c r="AS522" s="44">
        <f t="shared" ref="AS522:AT522" si="2555">-AS499</f>
        <v>0</v>
      </c>
      <c r="AT522" s="44">
        <f t="shared" si="2555"/>
        <v>0</v>
      </c>
      <c r="AU522" s="44">
        <f t="shared" ref="AU522:AV522" si="2556">-AU499</f>
        <v>0</v>
      </c>
      <c r="AV522" s="44">
        <f t="shared" si="2556"/>
        <v>0</v>
      </c>
      <c r="AW522" s="44">
        <f t="shared" ref="AW522:AX522" si="2557">-AW499</f>
        <v>0</v>
      </c>
      <c r="AX522" s="44">
        <f t="shared" si="2557"/>
        <v>0</v>
      </c>
      <c r="AY522" s="44">
        <f t="shared" ref="AY522:BI522" si="2558">-AY499</f>
        <v>0</v>
      </c>
      <c r="AZ522" s="45">
        <f t="shared" si="2558"/>
        <v>0</v>
      </c>
      <c r="BA522" s="44">
        <f t="shared" si="2558"/>
        <v>0</v>
      </c>
      <c r="BB522" s="44">
        <f t="shared" si="2558"/>
        <v>0</v>
      </c>
      <c r="BC522" s="44">
        <f t="shared" si="2558"/>
        <v>0</v>
      </c>
      <c r="BD522" s="44">
        <f t="shared" si="2558"/>
        <v>0</v>
      </c>
      <c r="BE522" s="44">
        <f t="shared" si="2558"/>
        <v>0</v>
      </c>
      <c r="BF522" s="44">
        <f t="shared" si="2558"/>
        <v>0</v>
      </c>
      <c r="BG522" s="44">
        <f t="shared" si="2558"/>
        <v>0</v>
      </c>
      <c r="BH522" s="44">
        <f t="shared" si="2558"/>
        <v>0</v>
      </c>
      <c r="BI522" s="44">
        <f t="shared" si="2558"/>
        <v>0</v>
      </c>
      <c r="BJ522" s="44">
        <f t="shared" ref="BJ522:BK522" si="2559">-BJ499</f>
        <v>0</v>
      </c>
      <c r="BK522" s="44">
        <f t="shared" si="2559"/>
        <v>0</v>
      </c>
      <c r="BL522" s="44">
        <f t="shared" ref="BL522:BM522" si="2560">-BL499</f>
        <v>0</v>
      </c>
      <c r="BM522" s="44">
        <f t="shared" si="2560"/>
        <v>0</v>
      </c>
      <c r="BN522" s="44">
        <f t="shared" ref="BN522:BO522" si="2561">-BN499</f>
        <v>0</v>
      </c>
      <c r="BO522" s="44">
        <f t="shared" si="2561"/>
        <v>0</v>
      </c>
      <c r="BP522" s="44">
        <f t="shared" ref="BP522:BQ522" si="2562">-BP499</f>
        <v>0</v>
      </c>
      <c r="BQ522" s="44">
        <f t="shared" si="2562"/>
        <v>0</v>
      </c>
      <c r="BR522" s="44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4">
        <f t="shared" ref="CT522:CU522" si="2563">-CT499</f>
        <v>0</v>
      </c>
      <c r="CU522" s="44">
        <f t="shared" si="2563"/>
        <v>0</v>
      </c>
      <c r="CV522" s="44">
        <f t="shared" ref="CV522:CV524" si="2564">SUM(AP522:AQ522)</f>
        <v>0</v>
      </c>
      <c r="CW522" s="44">
        <f t="shared" si="2491"/>
        <v>0</v>
      </c>
      <c r="CX522" s="44">
        <f t="shared" si="2492"/>
        <v>0</v>
      </c>
      <c r="CY522" s="44">
        <f t="shared" si="2493"/>
        <v>0</v>
      </c>
      <c r="CZ522" s="45">
        <f t="shared" si="2494"/>
        <v>0</v>
      </c>
      <c r="DA522" s="44">
        <f t="shared" si="2495"/>
        <v>0</v>
      </c>
      <c r="DB522" s="44">
        <f t="shared" si="2496"/>
        <v>0</v>
      </c>
      <c r="DC522" s="44">
        <f t="shared" si="2497"/>
        <v>0</v>
      </c>
      <c r="DD522" s="44">
        <f t="shared" si="2498"/>
        <v>0</v>
      </c>
      <c r="DE522" s="44">
        <f t="shared" si="2499"/>
        <v>0</v>
      </c>
      <c r="DF522" s="44">
        <f t="shared" si="2500"/>
        <v>0</v>
      </c>
      <c r="DG522" s="44">
        <f t="shared" si="2501"/>
        <v>0</v>
      </c>
      <c r="DH522" s="44">
        <f t="shared" si="2502"/>
        <v>0</v>
      </c>
      <c r="DI522" s="44">
        <f t="shared" si="2503"/>
        <v>0</v>
      </c>
    </row>
    <row r="523" spans="1:120" ht="12" hidden="1" outlineLevel="1">
      <c r="A523" s="1" t="s">
        <v>831</v>
      </c>
      <c r="B523" s="19" t="s">
        <v>278</v>
      </c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525">
        <f>2.1-0.6+31.8</f>
        <v>33.299999999999997</v>
      </c>
      <c r="AQ523" s="525">
        <f>-1.3+2.1-0.2</f>
        <v>0.60000000000000009</v>
      </c>
      <c r="AR523" s="525">
        <f>-23+1.1-1.7+0.8+6</f>
        <v>-16.799999999999997</v>
      </c>
      <c r="AS523" s="525">
        <v>0</v>
      </c>
      <c r="AT523" s="525">
        <v>0</v>
      </c>
      <c r="AU523" s="525">
        <v>0</v>
      </c>
      <c r="AV523" s="525">
        <v>0</v>
      </c>
      <c r="AW523" s="525">
        <v>0</v>
      </c>
      <c r="AX523" s="525">
        <v>0</v>
      </c>
      <c r="AY523" s="525">
        <v>0</v>
      </c>
      <c r="AZ523" s="523">
        <v>0</v>
      </c>
      <c r="BA523" s="46">
        <f t="shared" ref="BA523:BI523" si="2565">BA491+BA508</f>
        <v>0</v>
      </c>
      <c r="BB523" s="46">
        <f t="shared" si="2565"/>
        <v>0</v>
      </c>
      <c r="BC523" s="46">
        <f t="shared" si="2565"/>
        <v>0</v>
      </c>
      <c r="BD523" s="46">
        <f t="shared" si="2565"/>
        <v>0</v>
      </c>
      <c r="BE523" s="46">
        <f t="shared" si="2565"/>
        <v>0</v>
      </c>
      <c r="BF523" s="46">
        <f t="shared" si="2565"/>
        <v>0</v>
      </c>
      <c r="BG523" s="46">
        <f t="shared" si="2565"/>
        <v>0</v>
      </c>
      <c r="BH523" s="46">
        <f t="shared" si="2565"/>
        <v>0</v>
      </c>
      <c r="BI523" s="46">
        <f t="shared" si="2565"/>
        <v>0</v>
      </c>
      <c r="BJ523" s="46">
        <f t="shared" ref="BJ523:BK523" si="2566">BJ491+BJ508</f>
        <v>0</v>
      </c>
      <c r="BK523" s="46">
        <f t="shared" si="2566"/>
        <v>0</v>
      </c>
      <c r="BL523" s="46">
        <f t="shared" ref="BL523:BM523" si="2567">BL491+BL508</f>
        <v>0</v>
      </c>
      <c r="BM523" s="46">
        <f t="shared" si="2567"/>
        <v>0</v>
      </c>
      <c r="BN523" s="46">
        <f t="shared" ref="BN523:BO523" si="2568">BN491+BN508</f>
        <v>0</v>
      </c>
      <c r="BO523" s="46">
        <f t="shared" si="2568"/>
        <v>0</v>
      </c>
      <c r="BP523" s="46">
        <f t="shared" ref="BP523:BQ523" si="2569">BP491+BP508</f>
        <v>0</v>
      </c>
      <c r="BQ523" s="46">
        <f t="shared" si="2569"/>
        <v>0</v>
      </c>
      <c r="BR523" s="46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525">
        <f>-(-4.148+1.244+7.773)</f>
        <v>-4.8689999999999998</v>
      </c>
      <c r="CU523" s="525">
        <f>-(-4.148+1.244+15.649)</f>
        <v>-12.744999999999999</v>
      </c>
      <c r="CV523" s="44">
        <f t="shared" si="2564"/>
        <v>33.9</v>
      </c>
      <c r="CW523" s="44">
        <f t="shared" si="2491"/>
        <v>-16.799999999999997</v>
      </c>
      <c r="CX523" s="44">
        <f t="shared" si="2492"/>
        <v>0</v>
      </c>
      <c r="CY523" s="44">
        <f t="shared" si="2493"/>
        <v>0</v>
      </c>
      <c r="CZ523" s="45">
        <f t="shared" si="2494"/>
        <v>0</v>
      </c>
      <c r="DA523" s="44">
        <f t="shared" si="2495"/>
        <v>0</v>
      </c>
      <c r="DB523" s="44">
        <f t="shared" si="2496"/>
        <v>0</v>
      </c>
      <c r="DC523" s="44">
        <f t="shared" si="2497"/>
        <v>0</v>
      </c>
      <c r="DD523" s="44">
        <f t="shared" si="2498"/>
        <v>0</v>
      </c>
      <c r="DE523" s="44">
        <f t="shared" si="2499"/>
        <v>0</v>
      </c>
      <c r="DF523" s="44">
        <f t="shared" si="2500"/>
        <v>0</v>
      </c>
      <c r="DG523" s="44">
        <f t="shared" si="2501"/>
        <v>0</v>
      </c>
      <c r="DH523" s="44">
        <f t="shared" si="2502"/>
        <v>0</v>
      </c>
      <c r="DI523" s="44">
        <f t="shared" si="2503"/>
        <v>0</v>
      </c>
    </row>
    <row r="524" spans="1:120" ht="12" hidden="1" outlineLevel="1">
      <c r="A524" s="1" t="s">
        <v>832</v>
      </c>
      <c r="B524" s="19" t="s">
        <v>1067</v>
      </c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525">
        <v>0</v>
      </c>
      <c r="AQ524" s="525">
        <v>0</v>
      </c>
      <c r="AR524" s="525">
        <v>0</v>
      </c>
      <c r="AS524" s="525">
        <v>0</v>
      </c>
      <c r="AT524" s="525">
        <v>0</v>
      </c>
      <c r="AU524" s="525">
        <v>0</v>
      </c>
      <c r="AV524" s="525">
        <v>0</v>
      </c>
      <c r="AW524" s="525">
        <v>0</v>
      </c>
      <c r="AX524" s="525">
        <v>0</v>
      </c>
      <c r="AY524" s="525">
        <v>0</v>
      </c>
      <c r="AZ524" s="523">
        <v>0</v>
      </c>
      <c r="BA524" s="46">
        <v>0</v>
      </c>
      <c r="BB524" s="46">
        <v>0</v>
      </c>
      <c r="BC524" s="46">
        <v>0</v>
      </c>
      <c r="BD524" s="46">
        <v>0</v>
      </c>
      <c r="BE524" s="46">
        <v>0</v>
      </c>
      <c r="BF524" s="46">
        <v>0</v>
      </c>
      <c r="BG524" s="46">
        <v>0</v>
      </c>
      <c r="BH524" s="46">
        <v>0</v>
      </c>
      <c r="BI524" s="46">
        <v>0</v>
      </c>
      <c r="BJ524" s="46">
        <v>0</v>
      </c>
      <c r="BK524" s="46">
        <v>0</v>
      </c>
      <c r="BL524" s="46">
        <v>0</v>
      </c>
      <c r="BM524" s="46">
        <v>0</v>
      </c>
      <c r="BN524" s="46">
        <v>0</v>
      </c>
      <c r="BO524" s="46">
        <v>0</v>
      </c>
      <c r="BP524" s="46">
        <v>0</v>
      </c>
      <c r="BQ524" s="46">
        <v>0</v>
      </c>
      <c r="BR524" s="44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525">
        <v>0</v>
      </c>
      <c r="CU524" s="525">
        <v>0</v>
      </c>
      <c r="CV524" s="44">
        <f t="shared" si="2564"/>
        <v>0</v>
      </c>
      <c r="CW524" s="44">
        <f t="shared" si="2491"/>
        <v>0</v>
      </c>
      <c r="CX524" s="44">
        <f t="shared" si="2492"/>
        <v>0</v>
      </c>
      <c r="CY524" s="44">
        <f t="shared" si="2493"/>
        <v>0</v>
      </c>
      <c r="CZ524" s="45">
        <f t="shared" si="2494"/>
        <v>0</v>
      </c>
      <c r="DA524" s="44">
        <f t="shared" si="2495"/>
        <v>0</v>
      </c>
      <c r="DB524" s="44">
        <f t="shared" si="2496"/>
        <v>0</v>
      </c>
      <c r="DC524" s="44">
        <f t="shared" si="2497"/>
        <v>0</v>
      </c>
      <c r="DD524" s="44">
        <f t="shared" si="2498"/>
        <v>0</v>
      </c>
      <c r="DE524" s="44">
        <f t="shared" si="2499"/>
        <v>0</v>
      </c>
      <c r="DF524" s="44">
        <f t="shared" si="2500"/>
        <v>0</v>
      </c>
      <c r="DG524" s="44">
        <f t="shared" si="2501"/>
        <v>0</v>
      </c>
      <c r="DH524" s="44">
        <f t="shared" si="2502"/>
        <v>0</v>
      </c>
      <c r="DI524" s="44">
        <f t="shared" si="2503"/>
        <v>0</v>
      </c>
    </row>
    <row r="525" spans="1:120" s="24" customFormat="1" ht="12" hidden="1" outlineLevel="1">
      <c r="A525" s="1" t="s">
        <v>833</v>
      </c>
      <c r="B525" s="24" t="s">
        <v>424</v>
      </c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  <c r="AJ525" s="55"/>
      <c r="AK525" s="55"/>
      <c r="AL525" s="55"/>
      <c r="AM525" s="55"/>
      <c r="AN525" s="55"/>
      <c r="AO525" s="55"/>
      <c r="AP525" s="526">
        <f t="shared" ref="AP525:AR525" si="2570">SUM(AP522:AP524,AP515)</f>
        <v>26.800000000000004</v>
      </c>
      <c r="AQ525" s="526">
        <f t="shared" si="2570"/>
        <v>1.9000000000000044</v>
      </c>
      <c r="AR525" s="526">
        <f t="shared" si="2570"/>
        <v>-16.099999999999987</v>
      </c>
      <c r="AS525" s="526">
        <f t="shared" ref="AS525:AT525" si="2571">SUM(AS522:AS524,AS515)</f>
        <v>8.3999999999999915</v>
      </c>
      <c r="AT525" s="526">
        <f t="shared" si="2571"/>
        <v>36.099999999999987</v>
      </c>
      <c r="AU525" s="526">
        <f t="shared" ref="AU525:AV525" si="2572">SUM(AU522:AU524,AU515)</f>
        <v>37.299999999999983</v>
      </c>
      <c r="AV525" s="526">
        <f t="shared" si="2572"/>
        <v>45.900000000000006</v>
      </c>
      <c r="AW525" s="526">
        <f t="shared" ref="AW525:AX525" si="2573">SUM(AW522:AW524,AW515)</f>
        <v>24.000000000000021</v>
      </c>
      <c r="AX525" s="526">
        <f t="shared" si="2573"/>
        <v>40.900000000000006</v>
      </c>
      <c r="AY525" s="526">
        <f t="shared" ref="AY525:BI525" si="2574">SUM(AY522:AY524,AY515)</f>
        <v>45.500000000000021</v>
      </c>
      <c r="AZ525" s="524">
        <f t="shared" si="2574"/>
        <v>59.89999999999997</v>
      </c>
      <c r="BA525" s="526">
        <f t="shared" si="2574"/>
        <v>73.462321514032539</v>
      </c>
      <c r="BB525" s="526">
        <f t="shared" si="2574"/>
        <v>79.850082368164337</v>
      </c>
      <c r="BC525" s="526">
        <f t="shared" si="2574"/>
        <v>82.713632318516005</v>
      </c>
      <c r="BD525" s="526">
        <f t="shared" si="2574"/>
        <v>96.996764908227647</v>
      </c>
      <c r="BE525" s="526">
        <f t="shared" si="2574"/>
        <v>105.84179480185983</v>
      </c>
      <c r="BF525" s="526">
        <f t="shared" si="2574"/>
        <v>121.08400199158076</v>
      </c>
      <c r="BG525" s="526">
        <f t="shared" si="2574"/>
        <v>132.00247267714406</v>
      </c>
      <c r="BH525" s="526">
        <f t="shared" si="2574"/>
        <v>145.5989593786762</v>
      </c>
      <c r="BI525" s="526">
        <f t="shared" si="2574"/>
        <v>151.53221134769285</v>
      </c>
      <c r="BJ525" s="526">
        <f t="shared" ref="BJ525:BK525" si="2575">SUM(BJ522:BJ524,BJ515)</f>
        <v>164.07890259037174</v>
      </c>
      <c r="BK525" s="526">
        <f t="shared" si="2575"/>
        <v>168.72789617051336</v>
      </c>
      <c r="BL525" s="526">
        <f t="shared" ref="BL525:BM525" si="2576">SUM(BL522:BL524,BL515)</f>
        <v>179.32702917664602</v>
      </c>
      <c r="BM525" s="526">
        <f t="shared" si="2576"/>
        <v>183.24782563643032</v>
      </c>
      <c r="BN525" s="526">
        <f t="shared" ref="BN525:BO525" si="2577">SUM(BN522:BN524,BN515)</f>
        <v>193.00051026619215</v>
      </c>
      <c r="BO525" s="526">
        <f t="shared" si="2577"/>
        <v>194.22974065231335</v>
      </c>
      <c r="BP525" s="526">
        <f t="shared" ref="BP525:BQ525" si="2578">SUM(BP522:BP524,BP515)</f>
        <v>204.15477205328528</v>
      </c>
      <c r="BQ525" s="526">
        <f t="shared" si="2578"/>
        <v>205.11218613094891</v>
      </c>
      <c r="BR525" s="526"/>
      <c r="BS525" s="55"/>
      <c r="BT525" s="55"/>
      <c r="BU525" s="55"/>
      <c r="BV525" s="55"/>
      <c r="BW525" s="55"/>
      <c r="BX525" s="55"/>
      <c r="BY525" s="55"/>
      <c r="BZ525" s="55"/>
      <c r="CA525" s="55"/>
      <c r="CB525" s="55"/>
      <c r="CC525" s="55"/>
      <c r="CD525" s="55"/>
      <c r="CE525" s="55"/>
      <c r="CF525" s="55"/>
      <c r="CG525" s="55"/>
      <c r="CH525" s="55"/>
      <c r="CI525" s="55"/>
      <c r="CJ525" s="55"/>
      <c r="CK525" s="55"/>
      <c r="CL525" s="55"/>
      <c r="CM525" s="55"/>
      <c r="CN525" s="55"/>
      <c r="CO525" s="55"/>
      <c r="CP525" s="55"/>
      <c r="CQ525" s="55"/>
      <c r="CR525" s="55"/>
      <c r="CS525" s="55"/>
      <c r="CT525" s="526">
        <f t="shared" ref="CT525:CV525" si="2579">SUM(CT522:CT524,CT515)</f>
        <v>-27.965009999999999</v>
      </c>
      <c r="CU525" s="526">
        <f t="shared" si="2579"/>
        <v>-50.84301</v>
      </c>
      <c r="CV525" s="526">
        <f t="shared" si="2579"/>
        <v>28.700000000000003</v>
      </c>
      <c r="CW525" s="526">
        <f t="shared" si="2491"/>
        <v>-7.6999999999999957</v>
      </c>
      <c r="CX525" s="526">
        <f t="shared" si="2492"/>
        <v>73.399999999999977</v>
      </c>
      <c r="CY525" s="526">
        <f t="shared" si="2493"/>
        <v>69.900000000000034</v>
      </c>
      <c r="CZ525" s="524">
        <f t="shared" si="2494"/>
        <v>86.400000000000034</v>
      </c>
      <c r="DA525" s="526">
        <f t="shared" si="2495"/>
        <v>133.36232151403252</v>
      </c>
      <c r="DB525" s="526">
        <f t="shared" si="2496"/>
        <v>162.56371468668033</v>
      </c>
      <c r="DC525" s="526">
        <f t="shared" si="2497"/>
        <v>202.83855971008748</v>
      </c>
      <c r="DD525" s="526">
        <f t="shared" si="2498"/>
        <v>253.0864746687248</v>
      </c>
      <c r="DE525" s="526">
        <f t="shared" si="2499"/>
        <v>297.13117072636908</v>
      </c>
      <c r="DF525" s="526">
        <f t="shared" si="2500"/>
        <v>332.8067987608851</v>
      </c>
      <c r="DG525" s="526">
        <f t="shared" si="2501"/>
        <v>362.57485481307634</v>
      </c>
      <c r="DH525" s="526">
        <f t="shared" si="2502"/>
        <v>387.23025091850548</v>
      </c>
      <c r="DI525" s="526">
        <f t="shared" si="2503"/>
        <v>409.26695818423423</v>
      </c>
      <c r="DJ525" s="550"/>
      <c r="DK525" s="550"/>
    </row>
    <row r="526" spans="1:120" ht="12" hidden="1" outlineLevel="1">
      <c r="A526" s="1" t="s">
        <v>834</v>
      </c>
      <c r="B526" s="19" t="s">
        <v>425</v>
      </c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525">
        <v>0</v>
      </c>
      <c r="AQ526" s="525">
        <v>0</v>
      </c>
      <c r="AR526" s="525">
        <v>0</v>
      </c>
      <c r="AS526" s="525">
        <v>0</v>
      </c>
      <c r="AT526" s="525">
        <v>0</v>
      </c>
      <c r="AU526" s="525">
        <v>0</v>
      </c>
      <c r="AV526" s="525">
        <v>0</v>
      </c>
      <c r="AW526" s="525">
        <v>0</v>
      </c>
      <c r="AX526" s="525">
        <v>0</v>
      </c>
      <c r="AY526" s="525">
        <v>0</v>
      </c>
      <c r="AZ526" s="523">
        <v>0</v>
      </c>
      <c r="BA526" s="44">
        <f t="shared" ref="BA526:BI526" si="2580">(AZ19/BA19-1)*AZ167/AZ181*AZ538+(AZ17/BA17-1)*AZ173/AZ181*AZ538</f>
        <v>0</v>
      </c>
      <c r="BB526" s="44">
        <f t="shared" si="2580"/>
        <v>0</v>
      </c>
      <c r="BC526" s="44">
        <f t="shared" si="2580"/>
        <v>0</v>
      </c>
      <c r="BD526" s="44">
        <f t="shared" si="2580"/>
        <v>0</v>
      </c>
      <c r="BE526" s="44">
        <f t="shared" si="2580"/>
        <v>0</v>
      </c>
      <c r="BF526" s="44">
        <f t="shared" si="2580"/>
        <v>0</v>
      </c>
      <c r="BG526" s="44">
        <f t="shared" si="2580"/>
        <v>0</v>
      </c>
      <c r="BH526" s="44">
        <f t="shared" si="2580"/>
        <v>0</v>
      </c>
      <c r="BI526" s="44">
        <f t="shared" si="2580"/>
        <v>0</v>
      </c>
      <c r="BJ526" s="44">
        <f t="shared" ref="BJ526" si="2581">(BI19/BJ19-1)*BI167/BI181*BI538+(BI17/BJ17-1)*BI173/BI181*BI538</f>
        <v>0</v>
      </c>
      <c r="BK526" s="44">
        <f t="shared" ref="BK526" si="2582">(BJ19/BK19-1)*BJ167/BJ181*BJ538+(BJ17/BK17-1)*BJ173/BJ181*BJ538</f>
        <v>0</v>
      </c>
      <c r="BL526" s="44">
        <f t="shared" ref="BL526" si="2583">(BK19/BL19-1)*BK167/BK181*BK538+(BK17/BL17-1)*BK173/BK181*BK538</f>
        <v>0</v>
      </c>
      <c r="BM526" s="44">
        <f t="shared" ref="BM526" si="2584">(BL19/BM19-1)*BL167/BL181*BL538+(BL17/BM17-1)*BL173/BL181*BL538</f>
        <v>0</v>
      </c>
      <c r="BN526" s="44">
        <f t="shared" ref="BN526" si="2585">(BM19/BN19-1)*BM167/BM181*BM538+(BM17/BN17-1)*BM173/BM181*BM538</f>
        <v>0</v>
      </c>
      <c r="BO526" s="44">
        <f t="shared" ref="BO526" si="2586">(BN19/BO19-1)*BN167/BN181*BN538+(BN17/BO17-1)*BN173/BN181*BN538</f>
        <v>0</v>
      </c>
      <c r="BP526" s="44">
        <f t="shared" ref="BP526" si="2587">(BO19/BP19-1)*BO167/BO181*BO538+(BO17/BP17-1)*BO173/BO181*BO538</f>
        <v>0</v>
      </c>
      <c r="BQ526" s="44">
        <f t="shared" ref="BQ526" si="2588">(BP19/BQ19-1)*BP167/BP181*BP538+(BP17/BQ17-1)*BP173/BP181*BP538</f>
        <v>0</v>
      </c>
      <c r="BR526" s="44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525">
        <v>0</v>
      </c>
      <c r="CU526" s="525">
        <v>0</v>
      </c>
      <c r="CV526" s="44">
        <f t="shared" ref="CV526:CV528" si="2589">SUM(AP526:AQ526)</f>
        <v>0</v>
      </c>
      <c r="CW526" s="44">
        <f t="shared" si="2491"/>
        <v>0</v>
      </c>
      <c r="CX526" s="44">
        <f t="shared" si="2492"/>
        <v>0</v>
      </c>
      <c r="CY526" s="44">
        <f t="shared" si="2493"/>
        <v>0</v>
      </c>
      <c r="CZ526" s="45">
        <f t="shared" si="2494"/>
        <v>0</v>
      </c>
      <c r="DA526" s="44">
        <f t="shared" si="2495"/>
        <v>0</v>
      </c>
      <c r="DB526" s="44">
        <f t="shared" si="2496"/>
        <v>0</v>
      </c>
      <c r="DC526" s="44">
        <f t="shared" si="2497"/>
        <v>0</v>
      </c>
      <c r="DD526" s="44">
        <f t="shared" si="2498"/>
        <v>0</v>
      </c>
      <c r="DE526" s="44">
        <f t="shared" si="2499"/>
        <v>0</v>
      </c>
      <c r="DF526" s="44">
        <f t="shared" si="2500"/>
        <v>0</v>
      </c>
      <c r="DG526" s="44">
        <f t="shared" si="2501"/>
        <v>0</v>
      </c>
      <c r="DH526" s="44">
        <f t="shared" si="2502"/>
        <v>0</v>
      </c>
      <c r="DI526" s="44">
        <f t="shared" si="2503"/>
        <v>0</v>
      </c>
    </row>
    <row r="527" spans="1:120" ht="12" hidden="1" outlineLevel="1">
      <c r="A527" s="1" t="s">
        <v>835</v>
      </c>
      <c r="B527" s="19" t="s">
        <v>426</v>
      </c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/>
      <c r="AO527" s="42"/>
      <c r="AP527" s="525">
        <f>684.5-SUM(AP525:AP526,AP528,AP535:AP537,AP539:AP540,AP533)</f>
        <v>1</v>
      </c>
      <c r="AQ527" s="525">
        <f>1075.7-SUM(AQ525:AQ526,AQ528,AQ535:AQ537,AQ539:AQ540,AQ533)</f>
        <v>1.6000000000001364</v>
      </c>
      <c r="AR527" s="525">
        <f>1395.1-SUM(AR525:AR526,AR528,AR535:AR537,AR539:AR540,AR533)</f>
        <v>-31.500000000000455</v>
      </c>
      <c r="AS527" s="525">
        <f>1404.6-SUM(AS525:AS526,AS528,AS535:AS537,AS539:AS540,AS533)</f>
        <v>-3.7999999999999545</v>
      </c>
      <c r="AT527" s="525">
        <f>1442-SUM(AT525:AT526,AT528,AT535:AT537,AT539:AT540,AT533)</f>
        <v>1.2999999999999545</v>
      </c>
      <c r="AU527" s="525">
        <f>1477.1-SUM(AU525:AU526,AU528,AU535:AU537,AU539:AU540,AU533)</f>
        <v>-2.2000000000000455</v>
      </c>
      <c r="AV527" s="525">
        <f>1550.5-SUM(AV525:AV526,AV528,AV535:AV537,AV539:AV540,AV533)</f>
        <v>27.5</v>
      </c>
      <c r="AW527" s="525">
        <f>1565.3-SUM(AW525:AW526,AW528,AW535:AW537,AW539:AW540,AW533)</f>
        <v>-9.2000000000000455</v>
      </c>
      <c r="AX527" s="525">
        <f>1626.4-SUM(AX525:AX526,AX528,AX535:AX537,AX539:AX540,AX533)</f>
        <v>20.200000000000045</v>
      </c>
      <c r="AY527" s="525">
        <f>1686.6-SUM(AY525:AY526,AY528,AY535:AY537,AY539:AY540,AY533)</f>
        <v>14.699999999999818</v>
      </c>
      <c r="AZ527" s="523">
        <f>1725.3-SUM(AZ525:AZ526,AZ528,AZ535:AZ537,AZ539:AZ540,AZ533)</f>
        <v>-21.199999999999818</v>
      </c>
      <c r="BA527" s="46">
        <v>0</v>
      </c>
      <c r="BB527" s="46">
        <v>0</v>
      </c>
      <c r="BC527" s="46">
        <v>0</v>
      </c>
      <c r="BD527" s="46">
        <v>0</v>
      </c>
      <c r="BE527" s="46">
        <v>0</v>
      </c>
      <c r="BF527" s="46">
        <v>0</v>
      </c>
      <c r="BG527" s="46">
        <v>0</v>
      </c>
      <c r="BH527" s="46">
        <v>0</v>
      </c>
      <c r="BI527" s="46">
        <v>0</v>
      </c>
      <c r="BJ527" s="46">
        <v>0</v>
      </c>
      <c r="BK527" s="46">
        <v>0</v>
      </c>
      <c r="BL527" s="46">
        <v>0</v>
      </c>
      <c r="BM527" s="46">
        <v>0</v>
      </c>
      <c r="BN527" s="46">
        <v>0</v>
      </c>
      <c r="BO527" s="46">
        <v>0</v>
      </c>
      <c r="BP527" s="46">
        <v>0</v>
      </c>
      <c r="BQ527" s="46">
        <v>0</v>
      </c>
      <c r="BR527" s="44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2"/>
      <c r="CD527" s="42"/>
      <c r="CE527" s="42"/>
      <c r="CF527" s="42"/>
      <c r="CG527" s="42"/>
      <c r="CH527" s="42"/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525">
        <v>0</v>
      </c>
      <c r="CU527" s="525">
        <v>0</v>
      </c>
      <c r="CV527" s="44">
        <f t="shared" si="2589"/>
        <v>2.6000000000001364</v>
      </c>
      <c r="CW527" s="44">
        <f t="shared" si="2491"/>
        <v>-35.300000000000409</v>
      </c>
      <c r="CX527" s="44">
        <f t="shared" si="2492"/>
        <v>-0.90000000000009095</v>
      </c>
      <c r="CY527" s="44">
        <f t="shared" si="2493"/>
        <v>18.299999999999955</v>
      </c>
      <c r="CZ527" s="45">
        <f t="shared" si="2494"/>
        <v>34.899999999999864</v>
      </c>
      <c r="DA527" s="44">
        <f t="shared" si="2495"/>
        <v>-21.199999999999818</v>
      </c>
      <c r="DB527" s="44">
        <f t="shared" si="2496"/>
        <v>0</v>
      </c>
      <c r="DC527" s="44">
        <f t="shared" si="2497"/>
        <v>0</v>
      </c>
      <c r="DD527" s="44">
        <f t="shared" si="2498"/>
        <v>0</v>
      </c>
      <c r="DE527" s="44">
        <f t="shared" si="2499"/>
        <v>0</v>
      </c>
      <c r="DF527" s="44">
        <f t="shared" si="2500"/>
        <v>0</v>
      </c>
      <c r="DG527" s="44">
        <f t="shared" si="2501"/>
        <v>0</v>
      </c>
      <c r="DH527" s="44">
        <f t="shared" si="2502"/>
        <v>0</v>
      </c>
      <c r="DI527" s="44">
        <f t="shared" si="2503"/>
        <v>0</v>
      </c>
    </row>
    <row r="528" spans="1:120" ht="12" hidden="1" outlineLevel="1">
      <c r="A528" s="1" t="s">
        <v>836</v>
      </c>
      <c r="B528" s="19" t="s">
        <v>427</v>
      </c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525">
        <v>0</v>
      </c>
      <c r="AQ528" s="525">
        <v>0</v>
      </c>
      <c r="AR528" s="525">
        <v>0</v>
      </c>
      <c r="AS528" s="525">
        <v>0</v>
      </c>
      <c r="AT528" s="525">
        <v>0</v>
      </c>
      <c r="AU528" s="525">
        <v>0</v>
      </c>
      <c r="AV528" s="525">
        <v>0</v>
      </c>
      <c r="AW528" s="525">
        <v>0</v>
      </c>
      <c r="AX528" s="525">
        <v>0</v>
      </c>
      <c r="AY528" s="525">
        <v>0</v>
      </c>
      <c r="AZ528" s="523">
        <v>0</v>
      </c>
      <c r="BA528" s="46">
        <v>0</v>
      </c>
      <c r="BB528" s="46">
        <v>0</v>
      </c>
      <c r="BC528" s="46">
        <v>0</v>
      </c>
      <c r="BD528" s="46">
        <v>0</v>
      </c>
      <c r="BE528" s="46">
        <v>0</v>
      </c>
      <c r="BF528" s="46">
        <v>0</v>
      </c>
      <c r="BG528" s="46">
        <v>0</v>
      </c>
      <c r="BH528" s="46">
        <v>0</v>
      </c>
      <c r="BI528" s="46">
        <v>0</v>
      </c>
      <c r="BJ528" s="46">
        <v>0</v>
      </c>
      <c r="BK528" s="46">
        <v>0</v>
      </c>
      <c r="BL528" s="46">
        <v>0</v>
      </c>
      <c r="BM528" s="46">
        <v>0</v>
      </c>
      <c r="BN528" s="46">
        <v>0</v>
      </c>
      <c r="BO528" s="46">
        <v>0</v>
      </c>
      <c r="BP528" s="46">
        <v>0</v>
      </c>
      <c r="BQ528" s="46">
        <v>0</v>
      </c>
      <c r="BR528" s="44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525">
        <v>0</v>
      </c>
      <c r="CU528" s="525">
        <v>0</v>
      </c>
      <c r="CV528" s="44">
        <f t="shared" si="2589"/>
        <v>0</v>
      </c>
      <c r="CW528" s="44">
        <f t="shared" si="2491"/>
        <v>0</v>
      </c>
      <c r="CX528" s="44">
        <f t="shared" si="2492"/>
        <v>0</v>
      </c>
      <c r="CY528" s="44">
        <f t="shared" si="2493"/>
        <v>0</v>
      </c>
      <c r="CZ528" s="45">
        <f t="shared" si="2494"/>
        <v>0</v>
      </c>
      <c r="DA528" s="44">
        <f t="shared" si="2495"/>
        <v>0</v>
      </c>
      <c r="DB528" s="44">
        <f t="shared" si="2496"/>
        <v>0</v>
      </c>
      <c r="DC528" s="44">
        <f t="shared" si="2497"/>
        <v>0</v>
      </c>
      <c r="DD528" s="44">
        <f t="shared" si="2498"/>
        <v>0</v>
      </c>
      <c r="DE528" s="44">
        <f t="shared" si="2499"/>
        <v>0</v>
      </c>
      <c r="DF528" s="44">
        <f t="shared" si="2500"/>
        <v>0</v>
      </c>
      <c r="DG528" s="44">
        <f t="shared" si="2501"/>
        <v>0</v>
      </c>
      <c r="DH528" s="44">
        <f t="shared" si="2502"/>
        <v>0</v>
      </c>
      <c r="DI528" s="44">
        <f t="shared" si="2503"/>
        <v>0</v>
      </c>
    </row>
    <row r="529" spans="1:113" s="24" customFormat="1" ht="12" hidden="1" outlineLevel="1">
      <c r="A529" s="1" t="s">
        <v>837</v>
      </c>
      <c r="B529" s="24" t="s">
        <v>240</v>
      </c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  <c r="AJ529" s="55"/>
      <c r="AK529" s="55"/>
      <c r="AL529" s="55"/>
      <c r="AM529" s="55"/>
      <c r="AN529" s="55"/>
      <c r="AO529" s="55"/>
      <c r="AP529" s="526">
        <f t="shared" ref="AP529:AR529" si="2590">SUM(AP525:AP528)</f>
        <v>27.800000000000004</v>
      </c>
      <c r="AQ529" s="526">
        <f t="shared" si="2590"/>
        <v>3.5000000000001408</v>
      </c>
      <c r="AR529" s="526">
        <f t="shared" si="2590"/>
        <v>-47.600000000000442</v>
      </c>
      <c r="AS529" s="526">
        <f t="shared" ref="AS529:AT529" si="2591">SUM(AS525:AS528)</f>
        <v>4.6000000000000369</v>
      </c>
      <c r="AT529" s="526">
        <f t="shared" si="2591"/>
        <v>37.399999999999942</v>
      </c>
      <c r="AU529" s="526">
        <f t="shared" ref="AU529:AV529" si="2592">SUM(AU525:AU528)</f>
        <v>35.099999999999937</v>
      </c>
      <c r="AV529" s="526">
        <f t="shared" si="2592"/>
        <v>73.400000000000006</v>
      </c>
      <c r="AW529" s="526">
        <f t="shared" ref="AW529:AX529" si="2593">SUM(AW525:AW528)</f>
        <v>14.799999999999976</v>
      </c>
      <c r="AX529" s="526">
        <f t="shared" si="2593"/>
        <v>61.100000000000051</v>
      </c>
      <c r="AY529" s="526">
        <f t="shared" ref="AY529:BI529" si="2594">SUM(AY525:AY528)</f>
        <v>60.199999999999839</v>
      </c>
      <c r="AZ529" s="524">
        <f t="shared" si="2594"/>
        <v>38.700000000000152</v>
      </c>
      <c r="BA529" s="526">
        <f t="shared" si="2594"/>
        <v>73.462321514032539</v>
      </c>
      <c r="BB529" s="526">
        <f t="shared" si="2594"/>
        <v>79.850082368164337</v>
      </c>
      <c r="BC529" s="526">
        <f t="shared" si="2594"/>
        <v>82.713632318516005</v>
      </c>
      <c r="BD529" s="526">
        <f t="shared" si="2594"/>
        <v>96.996764908227647</v>
      </c>
      <c r="BE529" s="526">
        <f t="shared" si="2594"/>
        <v>105.84179480185983</v>
      </c>
      <c r="BF529" s="526">
        <f t="shared" si="2594"/>
        <v>121.08400199158076</v>
      </c>
      <c r="BG529" s="526">
        <f t="shared" si="2594"/>
        <v>132.00247267714406</v>
      </c>
      <c r="BH529" s="526">
        <f t="shared" si="2594"/>
        <v>145.5989593786762</v>
      </c>
      <c r="BI529" s="526">
        <f t="shared" si="2594"/>
        <v>151.53221134769285</v>
      </c>
      <c r="BJ529" s="526">
        <f t="shared" ref="BJ529:BK529" si="2595">SUM(BJ525:BJ528)</f>
        <v>164.07890259037174</v>
      </c>
      <c r="BK529" s="526">
        <f t="shared" si="2595"/>
        <v>168.72789617051336</v>
      </c>
      <c r="BL529" s="526">
        <f t="shared" ref="BL529:BM529" si="2596">SUM(BL525:BL528)</f>
        <v>179.32702917664602</v>
      </c>
      <c r="BM529" s="526">
        <f t="shared" si="2596"/>
        <v>183.24782563643032</v>
      </c>
      <c r="BN529" s="526">
        <f t="shared" ref="BN529:BO529" si="2597">SUM(BN525:BN528)</f>
        <v>193.00051026619215</v>
      </c>
      <c r="BO529" s="526">
        <f t="shared" si="2597"/>
        <v>194.22974065231335</v>
      </c>
      <c r="BP529" s="526">
        <f t="shared" ref="BP529:BQ529" si="2598">SUM(BP525:BP528)</f>
        <v>204.15477205328528</v>
      </c>
      <c r="BQ529" s="526">
        <f t="shared" si="2598"/>
        <v>205.11218613094891</v>
      </c>
      <c r="BR529" s="526"/>
      <c r="BS529" s="55"/>
      <c r="BT529" s="55"/>
      <c r="BU529" s="55"/>
      <c r="BV529" s="55"/>
      <c r="BW529" s="55"/>
      <c r="BX529" s="55"/>
      <c r="BY529" s="55"/>
      <c r="BZ529" s="55"/>
      <c r="CA529" s="55"/>
      <c r="CB529" s="55"/>
      <c r="CC529" s="55"/>
      <c r="CD529" s="55"/>
      <c r="CE529" s="55"/>
      <c r="CF529" s="55"/>
      <c r="CG529" s="55"/>
      <c r="CH529" s="55"/>
      <c r="CI529" s="55"/>
      <c r="CJ529" s="55"/>
      <c r="CK529" s="55"/>
      <c r="CL529" s="55"/>
      <c r="CM529" s="55"/>
      <c r="CN529" s="55"/>
      <c r="CO529" s="55"/>
      <c r="CP529" s="55"/>
      <c r="CQ529" s="55"/>
      <c r="CR529" s="55"/>
      <c r="CS529" s="55"/>
      <c r="CT529" s="526">
        <f t="shared" ref="CT529:CV529" si="2599">SUM(CT525:CT528)</f>
        <v>-27.965009999999999</v>
      </c>
      <c r="CU529" s="526">
        <f t="shared" si="2599"/>
        <v>-50.84301</v>
      </c>
      <c r="CV529" s="526">
        <f t="shared" si="2599"/>
        <v>31.300000000000139</v>
      </c>
      <c r="CW529" s="526">
        <f t="shared" si="2491"/>
        <v>-43.000000000000405</v>
      </c>
      <c r="CX529" s="526">
        <f t="shared" si="2492"/>
        <v>72.499999999999886</v>
      </c>
      <c r="CY529" s="526">
        <f t="shared" si="2493"/>
        <v>88.199999999999989</v>
      </c>
      <c r="CZ529" s="524">
        <f t="shared" si="2494"/>
        <v>121.2999999999999</v>
      </c>
      <c r="DA529" s="526">
        <f t="shared" si="2495"/>
        <v>112.1623215140327</v>
      </c>
      <c r="DB529" s="526">
        <f t="shared" si="2496"/>
        <v>162.56371468668033</v>
      </c>
      <c r="DC529" s="526">
        <f t="shared" si="2497"/>
        <v>202.83855971008748</v>
      </c>
      <c r="DD529" s="526">
        <f t="shared" si="2498"/>
        <v>253.0864746687248</v>
      </c>
      <c r="DE529" s="526">
        <f t="shared" si="2499"/>
        <v>297.13117072636908</v>
      </c>
      <c r="DF529" s="526">
        <f t="shared" si="2500"/>
        <v>332.8067987608851</v>
      </c>
      <c r="DG529" s="526">
        <f t="shared" si="2501"/>
        <v>362.57485481307634</v>
      </c>
      <c r="DH529" s="526">
        <f t="shared" si="2502"/>
        <v>387.23025091850548</v>
      </c>
      <c r="DI529" s="526">
        <f t="shared" si="2503"/>
        <v>409.26695818423423</v>
      </c>
    </row>
    <row r="530" spans="1:113" collapsed="1"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618"/>
      <c r="AH530" s="618"/>
      <c r="AI530" s="618"/>
      <c r="AJ530" s="42"/>
      <c r="AK530" s="42"/>
      <c r="AL530" s="42"/>
      <c r="AM530" s="428"/>
      <c r="AN530" s="428"/>
      <c r="AO530" s="428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3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8"/>
      <c r="CV530" s="42"/>
      <c r="CW530" s="42"/>
      <c r="CX530" s="42"/>
      <c r="CY530" s="42"/>
      <c r="CZ530" s="45"/>
      <c r="DA530" s="44"/>
      <c r="DB530" s="44"/>
      <c r="DC530" s="529"/>
      <c r="DD530" s="529"/>
      <c r="DE530" s="529"/>
      <c r="DF530" s="529"/>
      <c r="DG530" s="529"/>
      <c r="DH530" s="529"/>
      <c r="DI530" s="529"/>
    </row>
    <row r="531" spans="1:113" s="36" customFormat="1" ht="12" collapsed="1">
      <c r="A531" s="1" t="s">
        <v>838</v>
      </c>
      <c r="B531" s="2" t="s">
        <v>241</v>
      </c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  <c r="AJ531" s="55"/>
      <c r="AK531" s="55"/>
      <c r="AL531" s="55"/>
      <c r="AM531" s="55"/>
      <c r="AN531" s="55"/>
      <c r="AO531" s="55"/>
      <c r="AP531" s="527">
        <f t="shared" ref="AP531:BI531" si="2600">AP538</f>
        <v>684.5</v>
      </c>
      <c r="AQ531" s="527">
        <f t="shared" si="2600"/>
        <v>1075.7000000000003</v>
      </c>
      <c r="AR531" s="527">
        <f t="shared" si="2600"/>
        <v>1395.1</v>
      </c>
      <c r="AS531" s="527">
        <f t="shared" ref="AS531:AX531" si="2601">AS538</f>
        <v>1404.6000000000001</v>
      </c>
      <c r="AT531" s="527">
        <f t="shared" si="2601"/>
        <v>1442</v>
      </c>
      <c r="AU531" s="527">
        <f t="shared" si="2601"/>
        <v>1477.1</v>
      </c>
      <c r="AV531" s="527">
        <f t="shared" si="2601"/>
        <v>1550.5</v>
      </c>
      <c r="AW531" s="527">
        <f t="shared" si="2601"/>
        <v>1565.3</v>
      </c>
      <c r="AX531" s="527">
        <f t="shared" si="2601"/>
        <v>1626.4</v>
      </c>
      <c r="AY531" s="527">
        <f t="shared" si="2600"/>
        <v>1686.6</v>
      </c>
      <c r="AZ531" s="528">
        <f t="shared" si="2600"/>
        <v>1725.3</v>
      </c>
      <c r="BA531" s="527">
        <f t="shared" si="2600"/>
        <v>1798.7623215140325</v>
      </c>
      <c r="BB531" s="527">
        <f t="shared" si="2600"/>
        <v>1878.6124038821968</v>
      </c>
      <c r="BC531" s="527">
        <f t="shared" si="2600"/>
        <v>1961.3260362007127</v>
      </c>
      <c r="BD531" s="527">
        <f t="shared" si="2600"/>
        <v>2202.6292380154846</v>
      </c>
      <c r="BE531" s="527">
        <f t="shared" si="2600"/>
        <v>2308.4710328173446</v>
      </c>
      <c r="BF531" s="527">
        <f t="shared" si="2600"/>
        <v>2429.5550348089255</v>
      </c>
      <c r="BG531" s="527">
        <f t="shared" si="2600"/>
        <v>2561.5575074860694</v>
      </c>
      <c r="BH531" s="527">
        <f t="shared" si="2600"/>
        <v>2707.1564668647457</v>
      </c>
      <c r="BI531" s="527">
        <f t="shared" si="2600"/>
        <v>2822.9568300924384</v>
      </c>
      <c r="BJ531" s="527">
        <f t="shared" ref="BJ531:BK531" si="2602">BJ538</f>
        <v>2927.4826524828104</v>
      </c>
      <c r="BK531" s="527">
        <f t="shared" si="2602"/>
        <v>3048.5680844933236</v>
      </c>
      <c r="BL531" s="527">
        <f t="shared" ref="BL531:BM531" si="2603">BL538</f>
        <v>3156.4314174299698</v>
      </c>
      <c r="BM531" s="527">
        <f t="shared" si="2603"/>
        <v>3268.2155468264</v>
      </c>
      <c r="BN531" s="527">
        <f t="shared" ref="BN531:BO531" si="2604">BN538</f>
        <v>3365.9311287725923</v>
      </c>
      <c r="BO531" s="527">
        <f t="shared" si="2604"/>
        <v>3464.8759411049059</v>
      </c>
      <c r="BP531" s="527">
        <f t="shared" ref="BP531:BQ531" si="2605">BP538</f>
        <v>3561.8351687981913</v>
      </c>
      <c r="BQ531" s="527">
        <f t="shared" si="2605"/>
        <v>3659.7518105691402</v>
      </c>
      <c r="BR531" s="52"/>
      <c r="BS531" s="52"/>
      <c r="BT531" s="52"/>
      <c r="BU531" s="52"/>
      <c r="BV531" s="52"/>
      <c r="BW531" s="52"/>
      <c r="BX531" s="52"/>
      <c r="BY531" s="52"/>
      <c r="BZ531" s="52"/>
      <c r="CA531" s="52"/>
      <c r="CB531" s="52"/>
      <c r="CC531" s="52"/>
      <c r="CD531" s="52"/>
      <c r="CE531" s="52"/>
      <c r="CF531" s="52"/>
      <c r="CG531" s="52"/>
      <c r="CH531" s="52"/>
      <c r="CI531" s="52"/>
      <c r="CJ531" s="52"/>
      <c r="CK531" s="52"/>
      <c r="CL531" s="52"/>
      <c r="CM531" s="52"/>
      <c r="CN531" s="52"/>
      <c r="CO531" s="52"/>
      <c r="CP531" s="52"/>
      <c r="CQ531" s="52"/>
      <c r="CR531" s="52"/>
      <c r="CS531" s="52"/>
      <c r="CT531" s="527">
        <f t="shared" ref="CT531:DF531" si="2606">CT538</f>
        <v>0</v>
      </c>
      <c r="CU531" s="527">
        <f t="shared" si="2606"/>
        <v>0</v>
      </c>
      <c r="CV531" s="527">
        <f t="shared" si="2606"/>
        <v>1075.7000000000003</v>
      </c>
      <c r="CW531" s="527">
        <f t="shared" si="2606"/>
        <v>1404.6</v>
      </c>
      <c r="CX531" s="527">
        <f t="shared" si="2606"/>
        <v>1477.1</v>
      </c>
      <c r="CY531" s="527">
        <f t="shared" si="2606"/>
        <v>1565.3</v>
      </c>
      <c r="CZ531" s="528">
        <f t="shared" si="2606"/>
        <v>1686.6</v>
      </c>
      <c r="DA531" s="527">
        <f t="shared" si="2606"/>
        <v>1798.7623215140327</v>
      </c>
      <c r="DB531" s="527">
        <f t="shared" si="2606"/>
        <v>1961.3260362007131</v>
      </c>
      <c r="DC531" s="527">
        <f t="shared" si="2606"/>
        <v>2308.4710328173446</v>
      </c>
      <c r="DD531" s="527">
        <f t="shared" si="2606"/>
        <v>2561.5575074860694</v>
      </c>
      <c r="DE531" s="527">
        <f t="shared" si="2606"/>
        <v>2822.9568300924384</v>
      </c>
      <c r="DF531" s="527">
        <f t="shared" si="2606"/>
        <v>3048.5680844933236</v>
      </c>
      <c r="DG531" s="527">
        <f t="shared" ref="DG531:DH531" si="2607">DG538</f>
        <v>3268.2155468264</v>
      </c>
      <c r="DH531" s="527">
        <f t="shared" si="2607"/>
        <v>3464.8759411049055</v>
      </c>
      <c r="DI531" s="527">
        <f t="shared" ref="DI531" si="2608">DI538</f>
        <v>3659.7518105691397</v>
      </c>
    </row>
    <row r="532" spans="1:113" ht="12" hidden="1" outlineLevel="1"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42"/>
      <c r="AY532" s="42"/>
      <c r="AZ532" s="43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2"/>
      <c r="CZ532" s="45"/>
      <c r="DA532" s="44"/>
      <c r="DB532" s="44"/>
      <c r="DC532" s="529"/>
      <c r="DD532" s="529"/>
      <c r="DE532" s="529"/>
      <c r="DF532" s="529"/>
      <c r="DG532" s="529"/>
      <c r="DH532" s="529"/>
      <c r="DI532" s="529"/>
    </row>
    <row r="533" spans="1:113" s="24" customFormat="1" ht="12" hidden="1" outlineLevel="1">
      <c r="A533" s="1" t="s">
        <v>839</v>
      </c>
      <c r="B533" s="24" t="s">
        <v>242</v>
      </c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  <c r="AJ533" s="55"/>
      <c r="AK533" s="55"/>
      <c r="AL533" s="55"/>
      <c r="AM533" s="55"/>
      <c r="AN533" s="55"/>
      <c r="AO533" s="55"/>
      <c r="AP533" s="521">
        <v>543</v>
      </c>
      <c r="AQ533" s="526">
        <f t="shared" ref="AQ533:BI533" si="2609">AP538</f>
        <v>684.5</v>
      </c>
      <c r="AR533" s="526">
        <f t="shared" si="2609"/>
        <v>1075.7000000000003</v>
      </c>
      <c r="AS533" s="526">
        <f t="shared" si="2609"/>
        <v>1395.1</v>
      </c>
      <c r="AT533" s="526">
        <f t="shared" si="2609"/>
        <v>1404.6000000000001</v>
      </c>
      <c r="AU533" s="526">
        <f t="shared" si="2609"/>
        <v>1442</v>
      </c>
      <c r="AV533" s="526">
        <f t="shared" si="2609"/>
        <v>1477.1</v>
      </c>
      <c r="AW533" s="526">
        <f t="shared" si="2609"/>
        <v>1550.5</v>
      </c>
      <c r="AX533" s="526">
        <f t="shared" si="2609"/>
        <v>1565.3</v>
      </c>
      <c r="AY533" s="526">
        <f t="shared" si="2609"/>
        <v>1626.4</v>
      </c>
      <c r="AZ533" s="524">
        <f t="shared" si="2609"/>
        <v>1686.6</v>
      </c>
      <c r="BA533" s="526">
        <f t="shared" si="2609"/>
        <v>1725.3</v>
      </c>
      <c r="BB533" s="526">
        <f t="shared" si="2609"/>
        <v>1798.7623215140325</v>
      </c>
      <c r="BC533" s="526">
        <f t="shared" si="2609"/>
        <v>1878.6124038821968</v>
      </c>
      <c r="BD533" s="526">
        <f t="shared" si="2609"/>
        <v>1961.3260362007127</v>
      </c>
      <c r="BE533" s="526">
        <f t="shared" si="2609"/>
        <v>2202.6292380154846</v>
      </c>
      <c r="BF533" s="526">
        <f t="shared" si="2609"/>
        <v>2308.4710328173446</v>
      </c>
      <c r="BG533" s="526">
        <f t="shared" si="2609"/>
        <v>2429.5550348089255</v>
      </c>
      <c r="BH533" s="526">
        <f t="shared" si="2609"/>
        <v>2561.5575074860694</v>
      </c>
      <c r="BI533" s="526">
        <f t="shared" si="2609"/>
        <v>2707.1564668647457</v>
      </c>
      <c r="BJ533" s="526">
        <f t="shared" ref="BJ533" si="2610">BI538</f>
        <v>2822.9568300924384</v>
      </c>
      <c r="BK533" s="526">
        <f t="shared" ref="BK533" si="2611">BJ538</f>
        <v>2927.4826524828104</v>
      </c>
      <c r="BL533" s="526">
        <f t="shared" ref="BL533" si="2612">BK538</f>
        <v>3048.5680844933236</v>
      </c>
      <c r="BM533" s="526">
        <f t="shared" ref="BM533" si="2613">BL538</f>
        <v>3156.4314174299698</v>
      </c>
      <c r="BN533" s="526">
        <f t="shared" ref="BN533" si="2614">BM538</f>
        <v>3268.2155468264</v>
      </c>
      <c r="BO533" s="526">
        <f t="shared" ref="BO533" si="2615">BN538</f>
        <v>3365.9311287725923</v>
      </c>
      <c r="BP533" s="526">
        <f t="shared" ref="BP533" si="2616">BO538</f>
        <v>3464.8759411049059</v>
      </c>
      <c r="BQ533" s="526">
        <f t="shared" ref="BQ533" si="2617">BP538</f>
        <v>3561.8351687981913</v>
      </c>
      <c r="BR533" s="526"/>
      <c r="BS533" s="55"/>
      <c r="BT533" s="55"/>
      <c r="BU533" s="55"/>
      <c r="BV533" s="55"/>
      <c r="BW533" s="55"/>
      <c r="BX533" s="55"/>
      <c r="BY533" s="55"/>
      <c r="BZ533" s="55"/>
      <c r="CA533" s="55"/>
      <c r="CB533" s="55"/>
      <c r="CC533" s="55"/>
      <c r="CD533" s="55"/>
      <c r="CE533" s="55"/>
      <c r="CF533" s="55"/>
      <c r="CG533" s="55"/>
      <c r="CH533" s="55"/>
      <c r="CI533" s="55"/>
      <c r="CJ533" s="55"/>
      <c r="CK533" s="55"/>
      <c r="CL533" s="55"/>
      <c r="CM533" s="55"/>
      <c r="CN533" s="55"/>
      <c r="CO533" s="55"/>
      <c r="CP533" s="55"/>
      <c r="CQ533" s="55"/>
      <c r="CR533" s="55"/>
      <c r="CS533" s="55"/>
      <c r="CT533" s="526"/>
      <c r="CU533" s="526"/>
      <c r="CV533" s="526"/>
      <c r="CW533" s="526">
        <f t="shared" ref="CW533:DI533" si="2618">CV538</f>
        <v>1075.7000000000003</v>
      </c>
      <c r="CX533" s="526">
        <f t="shared" si="2618"/>
        <v>1404.6</v>
      </c>
      <c r="CY533" s="526">
        <f t="shared" si="2618"/>
        <v>1477.1</v>
      </c>
      <c r="CZ533" s="524">
        <f t="shared" si="2618"/>
        <v>1565.3</v>
      </c>
      <c r="DA533" s="526">
        <f t="shared" si="2618"/>
        <v>1686.6</v>
      </c>
      <c r="DB533" s="526">
        <f t="shared" si="2618"/>
        <v>1798.7623215140327</v>
      </c>
      <c r="DC533" s="526">
        <f t="shared" si="2618"/>
        <v>1961.3260362007131</v>
      </c>
      <c r="DD533" s="526">
        <f t="shared" si="2618"/>
        <v>2308.4710328173446</v>
      </c>
      <c r="DE533" s="526">
        <f t="shared" si="2618"/>
        <v>2561.5575074860694</v>
      </c>
      <c r="DF533" s="526">
        <f t="shared" si="2618"/>
        <v>2822.9568300924384</v>
      </c>
      <c r="DG533" s="526">
        <f t="shared" si="2618"/>
        <v>3048.5680844933236</v>
      </c>
      <c r="DH533" s="526">
        <f t="shared" si="2618"/>
        <v>3268.2155468264</v>
      </c>
      <c r="DI533" s="526">
        <f t="shared" si="2618"/>
        <v>3464.8759411049055</v>
      </c>
    </row>
    <row r="534" spans="1:113" ht="12" hidden="1" outlineLevel="1">
      <c r="A534" s="1" t="s">
        <v>975</v>
      </c>
      <c r="B534" s="19" t="s">
        <v>240</v>
      </c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4">
        <f t="shared" ref="AP534:BI534" si="2619">AP529</f>
        <v>27.800000000000004</v>
      </c>
      <c r="AQ534" s="44">
        <f t="shared" si="2619"/>
        <v>3.5000000000001408</v>
      </c>
      <c r="AR534" s="44">
        <f t="shared" si="2619"/>
        <v>-47.600000000000442</v>
      </c>
      <c r="AS534" s="44">
        <f t="shared" ref="AS534:AT534" si="2620">AS529</f>
        <v>4.6000000000000369</v>
      </c>
      <c r="AT534" s="44">
        <f t="shared" si="2620"/>
        <v>37.399999999999942</v>
      </c>
      <c r="AU534" s="44">
        <f t="shared" ref="AU534:AV534" si="2621">AU529</f>
        <v>35.099999999999937</v>
      </c>
      <c r="AV534" s="44">
        <f t="shared" si="2621"/>
        <v>73.400000000000006</v>
      </c>
      <c r="AW534" s="44">
        <f t="shared" ref="AW534:AX534" si="2622">AW529</f>
        <v>14.799999999999976</v>
      </c>
      <c r="AX534" s="44">
        <f t="shared" si="2622"/>
        <v>61.100000000000051</v>
      </c>
      <c r="AY534" s="44">
        <f t="shared" si="2619"/>
        <v>60.199999999999839</v>
      </c>
      <c r="AZ534" s="45">
        <f t="shared" si="2619"/>
        <v>38.700000000000152</v>
      </c>
      <c r="BA534" s="44">
        <f t="shared" si="2619"/>
        <v>73.462321514032539</v>
      </c>
      <c r="BB534" s="44">
        <f t="shared" si="2619"/>
        <v>79.850082368164337</v>
      </c>
      <c r="BC534" s="44">
        <f t="shared" si="2619"/>
        <v>82.713632318516005</v>
      </c>
      <c r="BD534" s="44">
        <f t="shared" si="2619"/>
        <v>96.996764908227647</v>
      </c>
      <c r="BE534" s="44">
        <f t="shared" si="2619"/>
        <v>105.84179480185983</v>
      </c>
      <c r="BF534" s="44">
        <f t="shared" si="2619"/>
        <v>121.08400199158076</v>
      </c>
      <c r="BG534" s="44">
        <f t="shared" si="2619"/>
        <v>132.00247267714406</v>
      </c>
      <c r="BH534" s="44">
        <f t="shared" si="2619"/>
        <v>145.5989593786762</v>
      </c>
      <c r="BI534" s="44">
        <f t="shared" si="2619"/>
        <v>151.53221134769285</v>
      </c>
      <c r="BJ534" s="44">
        <f t="shared" ref="BJ534:BK534" si="2623">BJ529</f>
        <v>164.07890259037174</v>
      </c>
      <c r="BK534" s="44">
        <f t="shared" si="2623"/>
        <v>168.72789617051336</v>
      </c>
      <c r="BL534" s="44">
        <f t="shared" ref="BL534:BM534" si="2624">BL529</f>
        <v>179.32702917664602</v>
      </c>
      <c r="BM534" s="44">
        <f t="shared" si="2624"/>
        <v>183.24782563643032</v>
      </c>
      <c r="BN534" s="44">
        <f t="shared" ref="BN534:BO534" si="2625">BN529</f>
        <v>193.00051026619215</v>
      </c>
      <c r="BO534" s="44">
        <f t="shared" si="2625"/>
        <v>194.22974065231335</v>
      </c>
      <c r="BP534" s="44">
        <f t="shared" ref="BP534:BQ534" si="2626">BP529</f>
        <v>204.15477205328528</v>
      </c>
      <c r="BQ534" s="44">
        <f t="shared" si="2626"/>
        <v>205.11218613094891</v>
      </c>
      <c r="BR534" s="44"/>
      <c r="BS534" s="42"/>
      <c r="BT534" s="42"/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4"/>
      <c r="CU534" s="44"/>
      <c r="CV534" s="44"/>
      <c r="CW534" s="44">
        <f>SUM(AR534:AS534)</f>
        <v>-43.000000000000405</v>
      </c>
      <c r="CX534" s="44">
        <f>SUM(AT534:AU534)</f>
        <v>72.499999999999886</v>
      </c>
      <c r="CY534" s="44">
        <f>SUM(AV534:AW534)</f>
        <v>88.199999999999989</v>
      </c>
      <c r="CZ534" s="45">
        <f>SUM(AX534:AY534)</f>
        <v>121.2999999999999</v>
      </c>
      <c r="DA534" s="44">
        <f t="shared" ref="DA534:DA537" si="2627">SUM(AZ534:BA534)</f>
        <v>112.1623215140327</v>
      </c>
      <c r="DB534" s="44">
        <f>SUM(BB534:BC534)</f>
        <v>162.56371468668033</v>
      </c>
      <c r="DC534" s="44">
        <f>SUM(BD534:BE534)</f>
        <v>202.83855971008748</v>
      </c>
      <c r="DD534" s="44">
        <f>SUM(BF534:BG534)</f>
        <v>253.0864746687248</v>
      </c>
      <c r="DE534" s="44">
        <f>SUM(BH534:BI534)</f>
        <v>297.13117072636908</v>
      </c>
      <c r="DF534" s="44">
        <f>SUM(BJ534:BK534)</f>
        <v>332.8067987608851</v>
      </c>
      <c r="DG534" s="44">
        <f>SUM(BL534:BM534)</f>
        <v>362.57485481307634</v>
      </c>
      <c r="DH534" s="44">
        <f>SUM(BN534:BO534)</f>
        <v>387.23025091850548</v>
      </c>
      <c r="DI534" s="44">
        <f>SUM(BP534:BQ534)</f>
        <v>409.26695818423423</v>
      </c>
    </row>
    <row r="535" spans="1:113" ht="12" hidden="1" outlineLevel="1">
      <c r="A535" s="1" t="s">
        <v>1001</v>
      </c>
      <c r="B535" s="19" t="s">
        <v>243</v>
      </c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525">
        <f t="shared" ref="AP535:BI535" si="2628">-AO543*AO135</f>
        <v>0</v>
      </c>
      <c r="AQ535" s="525">
        <f t="shared" si="2628"/>
        <v>0</v>
      </c>
      <c r="AR535" s="525">
        <v>0</v>
      </c>
      <c r="AS535" s="525">
        <v>0</v>
      </c>
      <c r="AT535" s="525">
        <v>0</v>
      </c>
      <c r="AU535" s="525">
        <v>0</v>
      </c>
      <c r="AV535" s="525">
        <v>0</v>
      </c>
      <c r="AW535" s="525">
        <v>0</v>
      </c>
      <c r="AX535" s="525">
        <v>0</v>
      </c>
      <c r="AY535" s="525">
        <v>0</v>
      </c>
      <c r="AZ535" s="523">
        <v>0</v>
      </c>
      <c r="BA535" s="44">
        <f t="shared" si="2628"/>
        <v>0</v>
      </c>
      <c r="BB535" s="44">
        <f t="shared" si="2628"/>
        <v>0</v>
      </c>
      <c r="BC535" s="44">
        <f t="shared" si="2628"/>
        <v>0</v>
      </c>
      <c r="BD535" s="44">
        <f t="shared" si="2628"/>
        <v>0</v>
      </c>
      <c r="BE535" s="44">
        <f t="shared" si="2628"/>
        <v>0</v>
      </c>
      <c r="BF535" s="44">
        <f t="shared" si="2628"/>
        <v>0</v>
      </c>
      <c r="BG535" s="44">
        <f t="shared" si="2628"/>
        <v>0</v>
      </c>
      <c r="BH535" s="44">
        <f t="shared" si="2628"/>
        <v>0</v>
      </c>
      <c r="BI535" s="44">
        <f t="shared" si="2628"/>
        <v>-35.731848119999995</v>
      </c>
      <c r="BJ535" s="44">
        <f t="shared" ref="BJ535" si="2629">-BI543*BI135</f>
        <v>-59.553080200000004</v>
      </c>
      <c r="BK535" s="44">
        <f t="shared" ref="BK535" si="2630">-BJ543*BJ135</f>
        <v>-47.642464160000003</v>
      </c>
      <c r="BL535" s="44">
        <f t="shared" ref="BL535" si="2631">-BK543*BK135</f>
        <v>-71.46369623999999</v>
      </c>
      <c r="BM535" s="44">
        <f t="shared" ref="BM535" si="2632">-BL543*BL135</f>
        <v>-71.46369623999999</v>
      </c>
      <c r="BN535" s="44">
        <f t="shared" ref="BN535" si="2633">-BM543*BM135</f>
        <v>-95.284928320000006</v>
      </c>
      <c r="BO535" s="44">
        <f t="shared" ref="BO535" si="2634">-BN543*BN135</f>
        <v>-95.284928320000006</v>
      </c>
      <c r="BP535" s="44">
        <f t="shared" ref="BP535" si="2635">-BO543*BO135</f>
        <v>-107.19554436</v>
      </c>
      <c r="BQ535" s="44">
        <f t="shared" ref="BQ535" si="2636">-BP543*BP135</f>
        <v>-107.19554436</v>
      </c>
      <c r="BR535" s="44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525"/>
      <c r="CU535" s="525"/>
      <c r="CV535" s="525"/>
      <c r="CW535" s="44">
        <f>SUM(AR535:AS535)</f>
        <v>0</v>
      </c>
      <c r="CX535" s="44">
        <f>SUM(AT535:AU535)</f>
        <v>0</v>
      </c>
      <c r="CY535" s="44">
        <f>SUM(AV535:AW535)</f>
        <v>0</v>
      </c>
      <c r="CZ535" s="45">
        <f>SUM(AX535:AY535)</f>
        <v>0</v>
      </c>
      <c r="DA535" s="44">
        <f t="shared" si="2627"/>
        <v>0</v>
      </c>
      <c r="DB535" s="44">
        <f>SUM(BB535:BC535)</f>
        <v>0</v>
      </c>
      <c r="DC535" s="44">
        <f>SUM(BD535:BE535)</f>
        <v>0</v>
      </c>
      <c r="DD535" s="44">
        <f>SUM(BF535:BG535)</f>
        <v>0</v>
      </c>
      <c r="DE535" s="44">
        <f>SUM(BH535:BI535)</f>
        <v>-35.731848119999995</v>
      </c>
      <c r="DF535" s="44">
        <f>SUM(BJ535:BK535)</f>
        <v>-107.19554436000001</v>
      </c>
      <c r="DG535" s="44">
        <f>SUM(BL535:BM535)</f>
        <v>-142.92739247999998</v>
      </c>
      <c r="DH535" s="44">
        <f>SUM(BN535:BO535)</f>
        <v>-190.56985664000001</v>
      </c>
      <c r="DI535" s="44">
        <f>SUM(BP535:BQ535)</f>
        <v>-214.39108872</v>
      </c>
    </row>
    <row r="536" spans="1:113" ht="12" hidden="1" outlineLevel="1">
      <c r="A536" s="1" t="s">
        <v>1002</v>
      </c>
      <c r="B536" s="19" t="str">
        <f>B499</f>
        <v>Preference dividend</v>
      </c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/>
      <c r="AN536" s="42"/>
      <c r="AO536" s="42"/>
      <c r="AP536" s="44">
        <f t="shared" ref="AP536:BI536" si="2637">-AP522</f>
        <v>0</v>
      </c>
      <c r="AQ536" s="44">
        <f t="shared" si="2637"/>
        <v>0</v>
      </c>
      <c r="AR536" s="44">
        <f t="shared" si="2637"/>
        <v>0</v>
      </c>
      <c r="AS536" s="44">
        <f t="shared" ref="AS536:AT536" si="2638">-AS522</f>
        <v>0</v>
      </c>
      <c r="AT536" s="44">
        <f t="shared" si="2638"/>
        <v>0</v>
      </c>
      <c r="AU536" s="44">
        <f t="shared" ref="AU536:AV536" si="2639">-AU522</f>
        <v>0</v>
      </c>
      <c r="AV536" s="44">
        <f t="shared" si="2639"/>
        <v>0</v>
      </c>
      <c r="AW536" s="44">
        <f t="shared" ref="AW536:AX536" si="2640">-AW522</f>
        <v>0</v>
      </c>
      <c r="AX536" s="44">
        <f t="shared" si="2640"/>
        <v>0</v>
      </c>
      <c r="AY536" s="44">
        <f t="shared" si="2637"/>
        <v>0</v>
      </c>
      <c r="AZ536" s="45">
        <f t="shared" si="2637"/>
        <v>0</v>
      </c>
      <c r="BA536" s="44">
        <f t="shared" si="2637"/>
        <v>0</v>
      </c>
      <c r="BB536" s="44">
        <f t="shared" si="2637"/>
        <v>0</v>
      </c>
      <c r="BC536" s="44">
        <f t="shared" si="2637"/>
        <v>0</v>
      </c>
      <c r="BD536" s="44">
        <f t="shared" si="2637"/>
        <v>0</v>
      </c>
      <c r="BE536" s="44">
        <f t="shared" si="2637"/>
        <v>0</v>
      </c>
      <c r="BF536" s="44">
        <f t="shared" si="2637"/>
        <v>0</v>
      </c>
      <c r="BG536" s="44">
        <f t="shared" si="2637"/>
        <v>0</v>
      </c>
      <c r="BH536" s="44">
        <f t="shared" si="2637"/>
        <v>0</v>
      </c>
      <c r="BI536" s="44">
        <f t="shared" si="2637"/>
        <v>0</v>
      </c>
      <c r="BJ536" s="44">
        <f t="shared" ref="BJ536:BK536" si="2641">-BJ522</f>
        <v>0</v>
      </c>
      <c r="BK536" s="44">
        <f t="shared" si="2641"/>
        <v>0</v>
      </c>
      <c r="BL536" s="44">
        <f t="shared" ref="BL536:BM536" si="2642">-BL522</f>
        <v>0</v>
      </c>
      <c r="BM536" s="44">
        <f t="shared" si="2642"/>
        <v>0</v>
      </c>
      <c r="BN536" s="44">
        <f t="shared" ref="BN536:BO536" si="2643">-BN522</f>
        <v>0</v>
      </c>
      <c r="BO536" s="44">
        <f t="shared" si="2643"/>
        <v>0</v>
      </c>
      <c r="BP536" s="44">
        <f t="shared" ref="BP536:BQ536" si="2644">-BP522</f>
        <v>0</v>
      </c>
      <c r="BQ536" s="44">
        <f t="shared" si="2644"/>
        <v>0</v>
      </c>
      <c r="BR536" s="44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4"/>
      <c r="CU536" s="44"/>
      <c r="CV536" s="44"/>
      <c r="CW536" s="44">
        <f>SUM(AR536:AS536)</f>
        <v>0</v>
      </c>
      <c r="CX536" s="44">
        <f>SUM(AT536:AU536)</f>
        <v>0</v>
      </c>
      <c r="CY536" s="44">
        <f>SUM(AV536:AW536)</f>
        <v>0</v>
      </c>
      <c r="CZ536" s="45">
        <f>SUM(AX536:AY536)</f>
        <v>0</v>
      </c>
      <c r="DA536" s="44">
        <f t="shared" si="2627"/>
        <v>0</v>
      </c>
      <c r="DB536" s="44">
        <f>SUM(BB536:BC536)</f>
        <v>0</v>
      </c>
      <c r="DC536" s="44">
        <f>SUM(BD536:BE536)</f>
        <v>0</v>
      </c>
      <c r="DD536" s="44">
        <f>SUM(BF536:BG536)</f>
        <v>0</v>
      </c>
      <c r="DE536" s="44">
        <f>SUM(BH536:BI536)</f>
        <v>0</v>
      </c>
      <c r="DF536" s="44">
        <f>SUM(BJ536:BK536)</f>
        <v>0</v>
      </c>
      <c r="DG536" s="44">
        <f>SUM(BL536:BM536)</f>
        <v>0</v>
      </c>
      <c r="DH536" s="44">
        <f>SUM(BN536:BO536)</f>
        <v>0</v>
      </c>
      <c r="DI536" s="44">
        <f>SUM(BP536:BQ536)</f>
        <v>0</v>
      </c>
    </row>
    <row r="537" spans="1:113" ht="12" hidden="1" outlineLevel="1">
      <c r="A537" s="1" t="s">
        <v>1003</v>
      </c>
      <c r="B537" s="19" t="s">
        <v>409</v>
      </c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525">
        <f>113.8-0.1</f>
        <v>113.7</v>
      </c>
      <c r="AQ537" s="525">
        <f>388.6-0.9</f>
        <v>387.70000000000005</v>
      </c>
      <c r="AR537" s="525">
        <f>373.6-6.6</f>
        <v>367</v>
      </c>
      <c r="AS537" s="525">
        <f>378.6-373.6-(6.7-6.6)</f>
        <v>4.8999999999999995</v>
      </c>
      <c r="AT537" s="525">
        <v>0</v>
      </c>
      <c r="AU537" s="525">
        <v>0</v>
      </c>
      <c r="AV537" s="525">
        <v>0</v>
      </c>
      <c r="AW537" s="525">
        <v>0</v>
      </c>
      <c r="AX537" s="525">
        <v>0</v>
      </c>
      <c r="AY537" s="525">
        <v>0</v>
      </c>
      <c r="AZ537" s="523">
        <v>0</v>
      </c>
      <c r="BA537" s="44">
        <f t="shared" ref="BA537:BI537" si="2645">BA141*BA143</f>
        <v>0</v>
      </c>
      <c r="BB537" s="44">
        <f t="shared" si="2645"/>
        <v>0</v>
      </c>
      <c r="BC537" s="44">
        <f t="shared" si="2645"/>
        <v>0</v>
      </c>
      <c r="BD537" s="44">
        <f t="shared" si="2645"/>
        <v>144.30643690654421</v>
      </c>
      <c r="BE537" s="44">
        <f t="shared" si="2645"/>
        <v>0</v>
      </c>
      <c r="BF537" s="44">
        <f t="shared" si="2645"/>
        <v>0</v>
      </c>
      <c r="BG537" s="44">
        <f t="shared" si="2645"/>
        <v>0</v>
      </c>
      <c r="BH537" s="44">
        <f t="shared" si="2645"/>
        <v>0</v>
      </c>
      <c r="BI537" s="44">
        <f t="shared" si="2645"/>
        <v>0</v>
      </c>
      <c r="BJ537" s="44">
        <f t="shared" ref="BJ537:BK537" si="2646">BJ141*BJ143</f>
        <v>0</v>
      </c>
      <c r="BK537" s="44">
        <f t="shared" si="2646"/>
        <v>0</v>
      </c>
      <c r="BL537" s="44">
        <f t="shared" ref="BL537:BM537" si="2647">BL141*BL143</f>
        <v>0</v>
      </c>
      <c r="BM537" s="44">
        <f t="shared" si="2647"/>
        <v>0</v>
      </c>
      <c r="BN537" s="44">
        <f t="shared" ref="BN537:BO537" si="2648">BN141*BN143</f>
        <v>0</v>
      </c>
      <c r="BO537" s="44">
        <f t="shared" si="2648"/>
        <v>0</v>
      </c>
      <c r="BP537" s="44">
        <f t="shared" ref="BP537:BQ537" si="2649">BP141*BP143</f>
        <v>0</v>
      </c>
      <c r="BQ537" s="44">
        <f t="shared" si="2649"/>
        <v>0</v>
      </c>
      <c r="BR537" s="44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525"/>
      <c r="CU537" s="525"/>
      <c r="CV537" s="525"/>
      <c r="CW537" s="44">
        <f>SUM(AR537:AS537)</f>
        <v>371.9</v>
      </c>
      <c r="CX537" s="44">
        <f>SUM(AT537:AU537)</f>
        <v>0</v>
      </c>
      <c r="CY537" s="44">
        <f>SUM(AV537:AW537)</f>
        <v>0</v>
      </c>
      <c r="CZ537" s="45">
        <f>SUM(AX537:AY537)</f>
        <v>0</v>
      </c>
      <c r="DA537" s="44">
        <f t="shared" si="2627"/>
        <v>0</v>
      </c>
      <c r="DB537" s="44">
        <f>SUM(BB537:BC537)</f>
        <v>0</v>
      </c>
      <c r="DC537" s="44">
        <f>SUM(BD537:BE537)</f>
        <v>144.30643690654421</v>
      </c>
      <c r="DD537" s="44">
        <f>SUM(BF537:BG537)</f>
        <v>0</v>
      </c>
      <c r="DE537" s="44">
        <f>SUM(BH537:BI537)</f>
        <v>0</v>
      </c>
      <c r="DF537" s="44">
        <f>SUM(BJ537:BK537)</f>
        <v>0</v>
      </c>
      <c r="DG537" s="44">
        <f>SUM(BL537:BM537)</f>
        <v>0</v>
      </c>
      <c r="DH537" s="44">
        <f>SUM(BN537:BO537)</f>
        <v>0</v>
      </c>
      <c r="DI537" s="44">
        <f>SUM(BP537:BQ537)</f>
        <v>0</v>
      </c>
    </row>
    <row r="538" spans="1:113" s="24" customFormat="1" ht="12" hidden="1" outlineLevel="1">
      <c r="A538" s="1" t="s">
        <v>1004</v>
      </c>
      <c r="B538" s="24" t="s">
        <v>150</v>
      </c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  <c r="AJ538" s="55"/>
      <c r="AK538" s="55"/>
      <c r="AL538" s="55"/>
      <c r="AM538" s="55"/>
      <c r="AN538" s="55"/>
      <c r="AO538" s="55"/>
      <c r="AP538" s="526">
        <f t="shared" ref="AP538:BI538" si="2650">SUM(AP533:AP537)</f>
        <v>684.5</v>
      </c>
      <c r="AQ538" s="526">
        <f t="shared" si="2650"/>
        <v>1075.7000000000003</v>
      </c>
      <c r="AR538" s="526">
        <f t="shared" si="2650"/>
        <v>1395.1</v>
      </c>
      <c r="AS538" s="526">
        <f t="shared" ref="AS538:AT538" si="2651">SUM(AS533:AS537)</f>
        <v>1404.6000000000001</v>
      </c>
      <c r="AT538" s="526">
        <f t="shared" si="2651"/>
        <v>1442</v>
      </c>
      <c r="AU538" s="526">
        <f t="shared" ref="AU538:AV538" si="2652">SUM(AU533:AU537)</f>
        <v>1477.1</v>
      </c>
      <c r="AV538" s="526">
        <f t="shared" si="2652"/>
        <v>1550.5</v>
      </c>
      <c r="AW538" s="526">
        <f t="shared" ref="AW538:AX538" si="2653">SUM(AW533:AW537)</f>
        <v>1565.3</v>
      </c>
      <c r="AX538" s="526">
        <f t="shared" si="2653"/>
        <v>1626.4</v>
      </c>
      <c r="AY538" s="526">
        <f t="shared" si="2650"/>
        <v>1686.6</v>
      </c>
      <c r="AZ538" s="524">
        <f t="shared" si="2650"/>
        <v>1725.3</v>
      </c>
      <c r="BA538" s="526">
        <f t="shared" si="2650"/>
        <v>1798.7623215140325</v>
      </c>
      <c r="BB538" s="526">
        <f t="shared" si="2650"/>
        <v>1878.6124038821968</v>
      </c>
      <c r="BC538" s="526">
        <f t="shared" si="2650"/>
        <v>1961.3260362007127</v>
      </c>
      <c r="BD538" s="526">
        <f t="shared" si="2650"/>
        <v>2202.6292380154846</v>
      </c>
      <c r="BE538" s="526">
        <f t="shared" si="2650"/>
        <v>2308.4710328173446</v>
      </c>
      <c r="BF538" s="526">
        <f t="shared" si="2650"/>
        <v>2429.5550348089255</v>
      </c>
      <c r="BG538" s="526">
        <f t="shared" si="2650"/>
        <v>2561.5575074860694</v>
      </c>
      <c r="BH538" s="526">
        <f t="shared" si="2650"/>
        <v>2707.1564668647457</v>
      </c>
      <c r="BI538" s="526">
        <f t="shared" si="2650"/>
        <v>2822.9568300924384</v>
      </c>
      <c r="BJ538" s="526">
        <f t="shared" ref="BJ538:BK538" si="2654">SUM(BJ533:BJ537)</f>
        <v>2927.4826524828104</v>
      </c>
      <c r="BK538" s="526">
        <f t="shared" si="2654"/>
        <v>3048.5680844933236</v>
      </c>
      <c r="BL538" s="526">
        <f t="shared" ref="BL538:BM538" si="2655">SUM(BL533:BL537)</f>
        <v>3156.4314174299698</v>
      </c>
      <c r="BM538" s="526">
        <f t="shared" si="2655"/>
        <v>3268.2155468264</v>
      </c>
      <c r="BN538" s="526">
        <f t="shared" ref="BN538:BO538" si="2656">SUM(BN533:BN537)</f>
        <v>3365.9311287725923</v>
      </c>
      <c r="BO538" s="526">
        <f t="shared" si="2656"/>
        <v>3464.8759411049059</v>
      </c>
      <c r="BP538" s="526">
        <f t="shared" ref="BP538:BQ538" si="2657">SUM(BP533:BP537)</f>
        <v>3561.8351687981913</v>
      </c>
      <c r="BQ538" s="526">
        <f t="shared" si="2657"/>
        <v>3659.7518105691402</v>
      </c>
      <c r="BR538" s="526"/>
      <c r="BS538" s="61"/>
      <c r="BT538" s="55"/>
      <c r="BU538" s="55"/>
      <c r="BV538" s="55"/>
      <c r="BW538" s="55"/>
      <c r="BX538" s="55"/>
      <c r="BY538" s="55"/>
      <c r="BZ538" s="55"/>
      <c r="CA538" s="55"/>
      <c r="CB538" s="55"/>
      <c r="CC538" s="55"/>
      <c r="CD538" s="55"/>
      <c r="CE538" s="55"/>
      <c r="CF538" s="55"/>
      <c r="CG538" s="55"/>
      <c r="CH538" s="55"/>
      <c r="CI538" s="55"/>
      <c r="CJ538" s="55"/>
      <c r="CK538" s="55"/>
      <c r="CL538" s="55"/>
      <c r="CM538" s="55"/>
      <c r="CN538" s="55"/>
      <c r="CO538" s="55"/>
      <c r="CP538" s="55"/>
      <c r="CQ538" s="55"/>
      <c r="CR538" s="55"/>
      <c r="CS538" s="55"/>
      <c r="CT538" s="526"/>
      <c r="CU538" s="526"/>
      <c r="CV538" s="526">
        <f>AQ538</f>
        <v>1075.7000000000003</v>
      </c>
      <c r="CW538" s="526">
        <f t="shared" ref="CW538:DF538" si="2658">SUM(CW533:CW537)</f>
        <v>1404.6</v>
      </c>
      <c r="CX538" s="526">
        <f t="shared" si="2658"/>
        <v>1477.1</v>
      </c>
      <c r="CY538" s="526">
        <f t="shared" si="2658"/>
        <v>1565.3</v>
      </c>
      <c r="CZ538" s="524">
        <f t="shared" si="2658"/>
        <v>1686.6</v>
      </c>
      <c r="DA538" s="526">
        <f t="shared" si="2658"/>
        <v>1798.7623215140327</v>
      </c>
      <c r="DB538" s="526">
        <f t="shared" si="2658"/>
        <v>1961.3260362007131</v>
      </c>
      <c r="DC538" s="526">
        <f t="shared" si="2658"/>
        <v>2308.4710328173446</v>
      </c>
      <c r="DD538" s="526">
        <f t="shared" si="2658"/>
        <v>2561.5575074860694</v>
      </c>
      <c r="DE538" s="526">
        <f t="shared" si="2658"/>
        <v>2822.9568300924384</v>
      </c>
      <c r="DF538" s="526">
        <f t="shared" si="2658"/>
        <v>3048.5680844933236</v>
      </c>
      <c r="DG538" s="526">
        <f t="shared" ref="DG538:DH538" si="2659">SUM(DG533:DG537)</f>
        <v>3268.2155468264</v>
      </c>
      <c r="DH538" s="526">
        <f t="shared" si="2659"/>
        <v>3464.8759411049055</v>
      </c>
      <c r="DI538" s="526">
        <f t="shared" ref="DI538" si="2660">SUM(DI533:DI537)</f>
        <v>3659.7518105691397</v>
      </c>
    </row>
    <row r="539" spans="1:113" ht="12" hidden="1" outlineLevel="1">
      <c r="A539" s="1" t="s">
        <v>1005</v>
      </c>
      <c r="B539" s="19" t="s">
        <v>151</v>
      </c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525">
        <v>0</v>
      </c>
      <c r="AQ539" s="525">
        <v>0</v>
      </c>
      <c r="AR539" s="525">
        <v>0</v>
      </c>
      <c r="AS539" s="525">
        <v>0</v>
      </c>
      <c r="AT539" s="525">
        <v>0</v>
      </c>
      <c r="AU539" s="525">
        <v>0</v>
      </c>
      <c r="AV539" s="525">
        <v>0</v>
      </c>
      <c r="AW539" s="525">
        <v>0</v>
      </c>
      <c r="AX539" s="525">
        <v>0</v>
      </c>
      <c r="AY539" s="525">
        <v>0</v>
      </c>
      <c r="AZ539" s="523">
        <v>0</v>
      </c>
      <c r="BA539" s="46">
        <f t="shared" ref="BA539:BI540" si="2661">AZ539</f>
        <v>0</v>
      </c>
      <c r="BB539" s="46">
        <f t="shared" si="2661"/>
        <v>0</v>
      </c>
      <c r="BC539" s="46">
        <f t="shared" si="2661"/>
        <v>0</v>
      </c>
      <c r="BD539" s="46">
        <f t="shared" si="2661"/>
        <v>0</v>
      </c>
      <c r="BE539" s="46">
        <f t="shared" si="2661"/>
        <v>0</v>
      </c>
      <c r="BF539" s="46">
        <f t="shared" si="2661"/>
        <v>0</v>
      </c>
      <c r="BG539" s="46">
        <f t="shared" si="2661"/>
        <v>0</v>
      </c>
      <c r="BH539" s="46">
        <f t="shared" si="2661"/>
        <v>0</v>
      </c>
      <c r="BI539" s="46">
        <f t="shared" si="2661"/>
        <v>0</v>
      </c>
      <c r="BJ539" s="46">
        <f t="shared" ref="BJ539:BJ540" si="2662">BI539</f>
        <v>0</v>
      </c>
      <c r="BK539" s="46">
        <f t="shared" ref="BK539:BK540" si="2663">BJ539</f>
        <v>0</v>
      </c>
      <c r="BL539" s="46">
        <f t="shared" ref="BL539:BL540" si="2664">BK539</f>
        <v>0</v>
      </c>
      <c r="BM539" s="46">
        <f t="shared" ref="BM539:BM540" si="2665">BL539</f>
        <v>0</v>
      </c>
      <c r="BN539" s="46">
        <f t="shared" ref="BN539:BN540" si="2666">BM539</f>
        <v>0</v>
      </c>
      <c r="BO539" s="46">
        <f t="shared" ref="BO539:BO540" si="2667">BN539</f>
        <v>0</v>
      </c>
      <c r="BP539" s="46">
        <f t="shared" ref="BP539:BP540" si="2668">BO539</f>
        <v>0</v>
      </c>
      <c r="BQ539" s="46">
        <f t="shared" ref="BQ539:BQ540" si="2669">BP539</f>
        <v>0</v>
      </c>
      <c r="BR539" s="44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525"/>
      <c r="CU539" s="525"/>
      <c r="CV539" s="44">
        <f t="shared" ref="CV539:CV540" si="2670">AQ539</f>
        <v>0</v>
      </c>
      <c r="CW539" s="44">
        <f>AS539</f>
        <v>0</v>
      </c>
      <c r="CX539" s="44">
        <f>AU539</f>
        <v>0</v>
      </c>
      <c r="CY539" s="44">
        <f>AW539</f>
        <v>0</v>
      </c>
      <c r="CZ539" s="45">
        <f>AY539</f>
        <v>0</v>
      </c>
      <c r="DA539" s="44">
        <f>BA539</f>
        <v>0</v>
      </c>
      <c r="DB539" s="44">
        <f>BC539</f>
        <v>0</v>
      </c>
      <c r="DC539" s="44">
        <f>BE539</f>
        <v>0</v>
      </c>
      <c r="DD539" s="44">
        <f>BG539</f>
        <v>0</v>
      </c>
      <c r="DE539" s="44">
        <f>BI539</f>
        <v>0</v>
      </c>
      <c r="DF539" s="44">
        <f>BK539</f>
        <v>0</v>
      </c>
      <c r="DG539" s="44">
        <f>BM539</f>
        <v>0</v>
      </c>
      <c r="DH539" s="44">
        <f>BO539</f>
        <v>0</v>
      </c>
      <c r="DI539" s="44">
        <f>BQ539</f>
        <v>0</v>
      </c>
    </row>
    <row r="540" spans="1:113" ht="12" hidden="1" outlineLevel="1">
      <c r="A540" s="1" t="s">
        <v>1006</v>
      </c>
      <c r="B540" s="19" t="s">
        <v>158</v>
      </c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525">
        <v>0</v>
      </c>
      <c r="AQ540" s="525">
        <v>0</v>
      </c>
      <c r="AR540" s="525">
        <v>0</v>
      </c>
      <c r="AS540" s="525">
        <v>0</v>
      </c>
      <c r="AT540" s="525">
        <v>0</v>
      </c>
      <c r="AU540" s="525">
        <v>0</v>
      </c>
      <c r="AV540" s="525">
        <v>0</v>
      </c>
      <c r="AW540" s="525">
        <v>0</v>
      </c>
      <c r="AX540" s="525">
        <v>0</v>
      </c>
      <c r="AY540" s="525">
        <v>0</v>
      </c>
      <c r="AZ540" s="523">
        <v>0</v>
      </c>
      <c r="BA540" s="46">
        <f t="shared" si="2661"/>
        <v>0</v>
      </c>
      <c r="BB540" s="46">
        <f t="shared" si="2661"/>
        <v>0</v>
      </c>
      <c r="BC540" s="46">
        <f t="shared" si="2661"/>
        <v>0</v>
      </c>
      <c r="BD540" s="46">
        <f t="shared" si="2661"/>
        <v>0</v>
      </c>
      <c r="BE540" s="46">
        <f t="shared" si="2661"/>
        <v>0</v>
      </c>
      <c r="BF540" s="46">
        <f t="shared" si="2661"/>
        <v>0</v>
      </c>
      <c r="BG540" s="46">
        <f t="shared" si="2661"/>
        <v>0</v>
      </c>
      <c r="BH540" s="46">
        <f t="shared" si="2661"/>
        <v>0</v>
      </c>
      <c r="BI540" s="46">
        <f t="shared" si="2661"/>
        <v>0</v>
      </c>
      <c r="BJ540" s="46">
        <f t="shared" si="2662"/>
        <v>0</v>
      </c>
      <c r="BK540" s="46">
        <f t="shared" si="2663"/>
        <v>0</v>
      </c>
      <c r="BL540" s="46">
        <f t="shared" si="2664"/>
        <v>0</v>
      </c>
      <c r="BM540" s="46">
        <f t="shared" si="2665"/>
        <v>0</v>
      </c>
      <c r="BN540" s="46">
        <f t="shared" si="2666"/>
        <v>0</v>
      </c>
      <c r="BO540" s="46">
        <f t="shared" si="2667"/>
        <v>0</v>
      </c>
      <c r="BP540" s="46">
        <f t="shared" si="2668"/>
        <v>0</v>
      </c>
      <c r="BQ540" s="46">
        <f t="shared" si="2669"/>
        <v>0</v>
      </c>
      <c r="BR540" s="44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525"/>
      <c r="CU540" s="525"/>
      <c r="CV540" s="44">
        <f t="shared" si="2670"/>
        <v>0</v>
      </c>
      <c r="CW540" s="44">
        <f>AS540</f>
        <v>0</v>
      </c>
      <c r="CX540" s="44">
        <f>AU540</f>
        <v>0</v>
      </c>
      <c r="CY540" s="44">
        <f>AW540</f>
        <v>0</v>
      </c>
      <c r="CZ540" s="45">
        <f>AY540</f>
        <v>0</v>
      </c>
      <c r="DA540" s="44">
        <f>BA540</f>
        <v>0</v>
      </c>
      <c r="DB540" s="44">
        <f>BC540</f>
        <v>0</v>
      </c>
      <c r="DC540" s="44">
        <f>BE540</f>
        <v>0</v>
      </c>
      <c r="DD540" s="44">
        <f>BG540</f>
        <v>0</v>
      </c>
      <c r="DE540" s="44">
        <f>BI540</f>
        <v>0</v>
      </c>
      <c r="DF540" s="44">
        <f>BK540</f>
        <v>0</v>
      </c>
      <c r="DG540" s="44">
        <f>BM540</f>
        <v>0</v>
      </c>
      <c r="DH540" s="44">
        <f>BO540</f>
        <v>0</v>
      </c>
      <c r="DI540" s="44">
        <f>BQ540</f>
        <v>0</v>
      </c>
    </row>
    <row r="541" spans="1:113" s="24" customFormat="1" ht="12" hidden="1" outlineLevel="1">
      <c r="A541" s="1" t="s">
        <v>979</v>
      </c>
      <c r="B541" s="24" t="s">
        <v>152</v>
      </c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  <c r="AJ541" s="55"/>
      <c r="AK541" s="55"/>
      <c r="AL541" s="55"/>
      <c r="AM541" s="55"/>
      <c r="AN541" s="55"/>
      <c r="AO541" s="55"/>
      <c r="AP541" s="526">
        <f t="shared" ref="AP541" si="2671">AP538+AP539+AP540</f>
        <v>684.5</v>
      </c>
      <c r="AQ541" s="526">
        <f t="shared" ref="AQ541:BI541" si="2672">AQ538+AQ539+AQ540</f>
        <v>1075.7000000000003</v>
      </c>
      <c r="AR541" s="526">
        <f t="shared" si="2672"/>
        <v>1395.1</v>
      </c>
      <c r="AS541" s="526">
        <f t="shared" ref="AS541:AT541" si="2673">AS538+AS539+AS540</f>
        <v>1404.6000000000001</v>
      </c>
      <c r="AT541" s="526">
        <f t="shared" si="2673"/>
        <v>1442</v>
      </c>
      <c r="AU541" s="526">
        <f t="shared" ref="AU541:AV541" si="2674">AU538+AU539+AU540</f>
        <v>1477.1</v>
      </c>
      <c r="AV541" s="526">
        <f t="shared" si="2674"/>
        <v>1550.5</v>
      </c>
      <c r="AW541" s="526">
        <f t="shared" ref="AW541:AX541" si="2675">AW538+AW539+AW540</f>
        <v>1565.3</v>
      </c>
      <c r="AX541" s="526">
        <f t="shared" si="2675"/>
        <v>1626.4</v>
      </c>
      <c r="AY541" s="526">
        <f t="shared" si="2672"/>
        <v>1686.6</v>
      </c>
      <c r="AZ541" s="524">
        <f t="shared" si="2672"/>
        <v>1725.3</v>
      </c>
      <c r="BA541" s="526">
        <f t="shared" si="2672"/>
        <v>1798.7623215140325</v>
      </c>
      <c r="BB541" s="526">
        <f t="shared" si="2672"/>
        <v>1878.6124038821968</v>
      </c>
      <c r="BC541" s="526">
        <f t="shared" si="2672"/>
        <v>1961.3260362007127</v>
      </c>
      <c r="BD541" s="526">
        <f t="shared" si="2672"/>
        <v>2202.6292380154846</v>
      </c>
      <c r="BE541" s="526">
        <f t="shared" si="2672"/>
        <v>2308.4710328173446</v>
      </c>
      <c r="BF541" s="526">
        <f t="shared" si="2672"/>
        <v>2429.5550348089255</v>
      </c>
      <c r="BG541" s="526">
        <f t="shared" si="2672"/>
        <v>2561.5575074860694</v>
      </c>
      <c r="BH541" s="526">
        <f t="shared" si="2672"/>
        <v>2707.1564668647457</v>
      </c>
      <c r="BI541" s="526">
        <f t="shared" si="2672"/>
        <v>2822.9568300924384</v>
      </c>
      <c r="BJ541" s="526">
        <f t="shared" ref="BJ541:BK541" si="2676">BJ538+BJ539+BJ540</f>
        <v>2927.4826524828104</v>
      </c>
      <c r="BK541" s="526">
        <f t="shared" si="2676"/>
        <v>3048.5680844933236</v>
      </c>
      <c r="BL541" s="526">
        <f t="shared" ref="BL541:BM541" si="2677">BL538+BL539+BL540</f>
        <v>3156.4314174299698</v>
      </c>
      <c r="BM541" s="526">
        <f t="shared" si="2677"/>
        <v>3268.2155468264</v>
      </c>
      <c r="BN541" s="526">
        <f t="shared" ref="BN541:BO541" si="2678">BN538+BN539+BN540</f>
        <v>3365.9311287725923</v>
      </c>
      <c r="BO541" s="526">
        <f t="shared" si="2678"/>
        <v>3464.8759411049059</v>
      </c>
      <c r="BP541" s="526">
        <f t="shared" ref="BP541:BQ541" si="2679">BP538+BP539+BP540</f>
        <v>3561.8351687981913</v>
      </c>
      <c r="BQ541" s="526">
        <f t="shared" si="2679"/>
        <v>3659.7518105691402</v>
      </c>
      <c r="BR541" s="526"/>
      <c r="BS541" s="55"/>
      <c r="BT541" s="55"/>
      <c r="BU541" s="55"/>
      <c r="BV541" s="55"/>
      <c r="BW541" s="55"/>
      <c r="BX541" s="55"/>
      <c r="BY541" s="55"/>
      <c r="BZ541" s="55"/>
      <c r="CA541" s="55"/>
      <c r="CB541" s="55"/>
      <c r="CC541" s="55"/>
      <c r="CD541" s="55"/>
      <c r="CE541" s="55"/>
      <c r="CF541" s="55"/>
      <c r="CG541" s="55"/>
      <c r="CH541" s="55"/>
      <c r="CI541" s="55"/>
      <c r="CJ541" s="55"/>
      <c r="CK541" s="55"/>
      <c r="CL541" s="55"/>
      <c r="CM541" s="55"/>
      <c r="CN541" s="55"/>
      <c r="CO541" s="55"/>
      <c r="CP541" s="55"/>
      <c r="CQ541" s="55"/>
      <c r="CR541" s="55"/>
      <c r="CS541" s="55"/>
      <c r="CT541" s="526"/>
      <c r="CU541" s="526"/>
      <c r="CV541" s="526">
        <f t="shared" ref="CV541" si="2680">CV538+CV539+CV540</f>
        <v>1075.7000000000003</v>
      </c>
      <c r="CW541" s="526">
        <f t="shared" ref="CW541:DF541" si="2681">SUM(CW538:CW540)</f>
        <v>1404.6</v>
      </c>
      <c r="CX541" s="526">
        <f t="shared" si="2681"/>
        <v>1477.1</v>
      </c>
      <c r="CY541" s="526">
        <f t="shared" si="2681"/>
        <v>1565.3</v>
      </c>
      <c r="CZ541" s="524">
        <f t="shared" si="2681"/>
        <v>1686.6</v>
      </c>
      <c r="DA541" s="526">
        <f t="shared" si="2681"/>
        <v>1798.7623215140327</v>
      </c>
      <c r="DB541" s="526">
        <f t="shared" si="2681"/>
        <v>1961.3260362007131</v>
      </c>
      <c r="DC541" s="526">
        <f t="shared" si="2681"/>
        <v>2308.4710328173446</v>
      </c>
      <c r="DD541" s="526">
        <f t="shared" si="2681"/>
        <v>2561.5575074860694</v>
      </c>
      <c r="DE541" s="526">
        <f t="shared" si="2681"/>
        <v>2822.9568300924384</v>
      </c>
      <c r="DF541" s="526">
        <f t="shared" si="2681"/>
        <v>3048.5680844933236</v>
      </c>
      <c r="DG541" s="526">
        <f t="shared" ref="DG541:DH541" si="2682">SUM(DG538:DG540)</f>
        <v>3268.2155468264</v>
      </c>
      <c r="DH541" s="526">
        <f t="shared" si="2682"/>
        <v>3464.8759411049055</v>
      </c>
      <c r="DI541" s="526">
        <f t="shared" ref="DI541" si="2683">SUM(DI538:DI540)</f>
        <v>3659.7518105691397</v>
      </c>
    </row>
    <row r="542" spans="1:113" ht="12" hidden="1" outlineLevel="1"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4"/>
      <c r="AQ542" s="44"/>
      <c r="AR542" s="44"/>
      <c r="AS542" s="44"/>
      <c r="AT542" s="44"/>
      <c r="AU542" s="44"/>
      <c r="AV542" s="44"/>
      <c r="AW542" s="44"/>
      <c r="AX542" s="44"/>
      <c r="AY542" s="44"/>
      <c r="AZ542" s="45"/>
      <c r="BA542" s="44"/>
      <c r="BB542" s="44"/>
      <c r="BC542" s="44"/>
      <c r="BD542" s="44"/>
      <c r="BE542" s="44"/>
      <c r="BF542" s="44"/>
      <c r="BG542" s="44"/>
      <c r="BH542" s="44"/>
      <c r="BI542" s="44"/>
      <c r="BJ542" s="44"/>
      <c r="BK542" s="44"/>
      <c r="BL542" s="44"/>
      <c r="BM542" s="44"/>
      <c r="BN542" s="44"/>
      <c r="BO542" s="44"/>
      <c r="BP542" s="44"/>
      <c r="BQ542" s="44"/>
      <c r="BR542" s="44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2"/>
      <c r="CZ542" s="45"/>
      <c r="DA542" s="44"/>
      <c r="DB542" s="44"/>
      <c r="DC542" s="529"/>
      <c r="DD542" s="529"/>
      <c r="DE542" s="529"/>
      <c r="DF542" s="529"/>
      <c r="DG542" s="529"/>
      <c r="DH542" s="529"/>
      <c r="DI542" s="529"/>
    </row>
    <row r="543" spans="1:113" s="24" customFormat="1" ht="12" hidden="1" outlineLevel="1">
      <c r="A543" s="1" t="s">
        <v>1007</v>
      </c>
      <c r="B543" s="24" t="s">
        <v>153</v>
      </c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  <c r="AJ543" s="55"/>
      <c r="AK543" s="55"/>
      <c r="AL543" s="55"/>
      <c r="AM543" s="55"/>
      <c r="AN543" s="55"/>
      <c r="AO543" s="55"/>
      <c r="AP543" s="521">
        <v>584.07896800000003</v>
      </c>
      <c r="AQ543" s="521">
        <v>801.39065700000003</v>
      </c>
      <c r="AR543" s="521">
        <v>1105.5063729999999</v>
      </c>
      <c r="AS543" s="521">
        <v>1105.519873</v>
      </c>
      <c r="AT543" s="521">
        <f>AS543</f>
        <v>1105.519873</v>
      </c>
      <c r="AU543" s="521">
        <v>1105.5198720000001</v>
      </c>
      <c r="AV543" s="521">
        <v>1109.300833</v>
      </c>
      <c r="AW543" s="521">
        <v>1109.300833</v>
      </c>
      <c r="AX543" s="521">
        <v>1113.267366</v>
      </c>
      <c r="AY543" s="521">
        <v>1117.685772</v>
      </c>
      <c r="AZ543" s="522">
        <v>1121.061604</v>
      </c>
      <c r="BA543" s="526">
        <f t="shared" ref="BA543:BI543" si="2684">AZ543+BA141</f>
        <v>1121.061604</v>
      </c>
      <c r="BB543" s="526">
        <f t="shared" si="2684"/>
        <v>1121.061604</v>
      </c>
      <c r="BC543" s="526">
        <f t="shared" si="2684"/>
        <v>1121.061604</v>
      </c>
      <c r="BD543" s="526">
        <f t="shared" si="2684"/>
        <v>1191.061604</v>
      </c>
      <c r="BE543" s="526">
        <f t="shared" si="2684"/>
        <v>1191.061604</v>
      </c>
      <c r="BF543" s="526">
        <f t="shared" si="2684"/>
        <v>1191.061604</v>
      </c>
      <c r="BG543" s="526">
        <f t="shared" si="2684"/>
        <v>1191.061604</v>
      </c>
      <c r="BH543" s="526">
        <f t="shared" si="2684"/>
        <v>1191.061604</v>
      </c>
      <c r="BI543" s="526">
        <f t="shared" si="2684"/>
        <v>1191.061604</v>
      </c>
      <c r="BJ543" s="526">
        <f t="shared" ref="BJ543" si="2685">BI543+BJ141</f>
        <v>1191.061604</v>
      </c>
      <c r="BK543" s="526">
        <f t="shared" ref="BK543" si="2686">BJ543+BK141</f>
        <v>1191.061604</v>
      </c>
      <c r="BL543" s="526">
        <f t="shared" ref="BL543" si="2687">BK543+BL141</f>
        <v>1191.061604</v>
      </c>
      <c r="BM543" s="526">
        <f t="shared" ref="BM543" si="2688">BL543+BM141</f>
        <v>1191.061604</v>
      </c>
      <c r="BN543" s="526">
        <f t="shared" ref="BN543" si="2689">BM543+BN141</f>
        <v>1191.061604</v>
      </c>
      <c r="BO543" s="526">
        <f t="shared" ref="BO543" si="2690">BN543+BO141</f>
        <v>1191.061604</v>
      </c>
      <c r="BP543" s="526">
        <f t="shared" ref="BP543" si="2691">BO543+BP141</f>
        <v>1191.061604</v>
      </c>
      <c r="BQ543" s="526">
        <f t="shared" ref="BQ543" si="2692">BP543+BQ141</f>
        <v>1191.061604</v>
      </c>
      <c r="BR543" s="526"/>
      <c r="BS543" s="54"/>
      <c r="BT543" s="54"/>
      <c r="BU543" s="54"/>
      <c r="BV543" s="54"/>
      <c r="BW543" s="54"/>
      <c r="BX543" s="54"/>
      <c r="BY543" s="54"/>
      <c r="BZ543" s="54"/>
      <c r="CA543" s="54"/>
      <c r="CB543" s="54"/>
      <c r="CC543" s="55"/>
      <c r="CD543" s="55"/>
      <c r="CE543" s="55"/>
      <c r="CF543" s="55"/>
      <c r="CG543" s="55"/>
      <c r="CH543" s="55"/>
      <c r="CI543" s="55"/>
      <c r="CJ543" s="55"/>
      <c r="CK543" s="55"/>
      <c r="CL543" s="55"/>
      <c r="CM543" s="55"/>
      <c r="CN543" s="55"/>
      <c r="CO543" s="55"/>
      <c r="CP543" s="55"/>
      <c r="CQ543" s="55"/>
      <c r="CR543" s="55"/>
      <c r="CS543" s="55"/>
      <c r="CT543" s="521"/>
      <c r="CU543" s="521"/>
      <c r="CV543" s="526">
        <v>1105.5063729999999</v>
      </c>
      <c r="CW543" s="526">
        <f>AS543</f>
        <v>1105.519873</v>
      </c>
      <c r="CX543" s="526">
        <f>AU543</f>
        <v>1105.5198720000001</v>
      </c>
      <c r="CY543" s="526">
        <f>AV543</f>
        <v>1109.300833</v>
      </c>
      <c r="CZ543" s="524">
        <f>AY543</f>
        <v>1117.685772</v>
      </c>
      <c r="DA543" s="526">
        <f>BA543</f>
        <v>1121.061604</v>
      </c>
      <c r="DB543" s="526">
        <f>BC543</f>
        <v>1121.061604</v>
      </c>
      <c r="DC543" s="526">
        <f>BE543</f>
        <v>1191.061604</v>
      </c>
      <c r="DD543" s="526">
        <f>BG543</f>
        <v>1191.061604</v>
      </c>
      <c r="DE543" s="526">
        <f>BI543</f>
        <v>1191.061604</v>
      </c>
      <c r="DF543" s="526">
        <f>BK543</f>
        <v>1191.061604</v>
      </c>
      <c r="DG543" s="526">
        <f>BM543</f>
        <v>1191.061604</v>
      </c>
      <c r="DH543" s="526">
        <f>BO543</f>
        <v>1191.061604</v>
      </c>
      <c r="DI543" s="526">
        <f>BQ543</f>
        <v>1191.061604</v>
      </c>
    </row>
    <row r="544" spans="1:113" ht="12" hidden="1" outlineLevel="1">
      <c r="A544" s="1" t="s">
        <v>1008</v>
      </c>
      <c r="B544" s="19" t="s">
        <v>154</v>
      </c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525">
        <f>AP525*100/5</f>
        <v>536.00000000000011</v>
      </c>
      <c r="AQ544" s="525">
        <v>637.34904400000005</v>
      </c>
      <c r="AR544" s="525">
        <f>AR525*100/-1.8</f>
        <v>894.44444444444366</v>
      </c>
      <c r="AS544" s="525">
        <v>1006.522485</v>
      </c>
      <c r="AT544" s="655">
        <v>1128.1249999999995</v>
      </c>
      <c r="AU544" s="525">
        <v>1105.5198720000001</v>
      </c>
      <c r="AV544" s="525">
        <v>1107.3898039999999</v>
      </c>
      <c r="AW544" s="525">
        <v>1109.300833</v>
      </c>
      <c r="AX544" s="525">
        <f>AX525/0.03674</f>
        <v>1113.2280892759936</v>
      </c>
      <c r="AY544" s="525">
        <f>(1115.401161*2)-AX544</f>
        <v>1117.5742327240064</v>
      </c>
      <c r="AZ544" s="523">
        <v>1119.5053439999999</v>
      </c>
      <c r="BA544" s="44">
        <f t="shared" ref="BA544:BI544" si="2693">AZ544*AVERAGE(AZ543:BA543)/AVERAGE(AY543:AZ543)</f>
        <v>1121.1934585255424</v>
      </c>
      <c r="BB544" s="44">
        <f t="shared" si="2693"/>
        <v>1121.1934585255424</v>
      </c>
      <c r="BC544" s="44">
        <f t="shared" si="2693"/>
        <v>1121.1934585255424</v>
      </c>
      <c r="BD544" s="44">
        <f t="shared" si="2693"/>
        <v>1156.1975750775478</v>
      </c>
      <c r="BE544" s="44">
        <f t="shared" si="2693"/>
        <v>1191.2016916295529</v>
      </c>
      <c r="BF544" s="44">
        <f t="shared" si="2693"/>
        <v>1191.2016916295529</v>
      </c>
      <c r="BG544" s="44">
        <f t="shared" si="2693"/>
        <v>1191.2016916295529</v>
      </c>
      <c r="BH544" s="44">
        <f t="shared" si="2693"/>
        <v>1191.2016916295529</v>
      </c>
      <c r="BI544" s="44">
        <f t="shared" si="2693"/>
        <v>1191.2016916295529</v>
      </c>
      <c r="BJ544" s="44">
        <f t="shared" ref="BJ544" si="2694">BI544*AVERAGE(BI543:BJ543)/AVERAGE(BH543:BI543)</f>
        <v>1191.2016916295529</v>
      </c>
      <c r="BK544" s="44">
        <f t="shared" ref="BK544" si="2695">BJ544*AVERAGE(BJ543:BK543)/AVERAGE(BI543:BJ543)</f>
        <v>1191.2016916295529</v>
      </c>
      <c r="BL544" s="44">
        <f t="shared" ref="BL544" si="2696">BK544*AVERAGE(BK543:BL543)/AVERAGE(BJ543:BK543)</f>
        <v>1191.2016916295529</v>
      </c>
      <c r="BM544" s="44">
        <f t="shared" ref="BM544" si="2697">BL544*AVERAGE(BL543:BM543)/AVERAGE(BK543:BL543)</f>
        <v>1191.2016916295529</v>
      </c>
      <c r="BN544" s="44">
        <f t="shared" ref="BN544" si="2698">BM544*AVERAGE(BM543:BN543)/AVERAGE(BL543:BM543)</f>
        <v>1191.2016916295529</v>
      </c>
      <c r="BO544" s="44">
        <f t="shared" ref="BO544" si="2699">BN544*AVERAGE(BN543:BO543)/AVERAGE(BM543:BN543)</f>
        <v>1191.2016916295529</v>
      </c>
      <c r="BP544" s="44">
        <f t="shared" ref="BP544" si="2700">BO544*AVERAGE(BO543:BP543)/AVERAGE(BN543:BO543)</f>
        <v>1191.2016916295529</v>
      </c>
      <c r="BQ544" s="44">
        <f t="shared" ref="BQ544" si="2701">BP544*AVERAGE(BP543:BQ543)/AVERAGE(BO543:BP543)</f>
        <v>1191.2016916295529</v>
      </c>
      <c r="BR544" s="44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2"/>
      <c r="CD544" s="42"/>
      <c r="CE544" s="42"/>
      <c r="CF544" s="42"/>
      <c r="CG544" s="113"/>
      <c r="CH544" s="113"/>
      <c r="CI544" s="113"/>
      <c r="CJ544" s="113"/>
      <c r="CK544" s="113"/>
      <c r="CL544" s="113"/>
      <c r="CM544" s="113"/>
      <c r="CN544" s="113"/>
      <c r="CO544" s="113"/>
      <c r="CP544" s="113"/>
      <c r="CQ544" s="113"/>
      <c r="CR544" s="113"/>
      <c r="CS544" s="113"/>
      <c r="CT544" s="525"/>
      <c r="CU544" s="44"/>
      <c r="CV544" s="44">
        <f>SUMPRODUCT(AP544:AQ544,AP$5:AQ$5)/SUM(AP$5:AQ$5)</f>
        <v>587.09102492054808</v>
      </c>
      <c r="CW544" s="44">
        <v>1006.522485</v>
      </c>
      <c r="CX544" s="525">
        <f>SUMPRODUCT(AT544:AU544,AT$5:AU$5)/SUM(AT$5:AU$5)</f>
        <v>1116.7295382136986</v>
      </c>
      <c r="CY544" s="525">
        <v>1108.340097</v>
      </c>
      <c r="CZ544" s="45">
        <f>SUMPRODUCT(AX544:AY544,AX$5:AY$5)/SUM(AX$5:AY$5)</f>
        <v>1115.4190218634851</v>
      </c>
      <c r="DA544" s="44">
        <f>SUMPRODUCT(AZ544:BA544,AZ$5:BA$5)/SUM(AZ$5:BA$5)</f>
        <v>1120.3563387197253</v>
      </c>
      <c r="DB544" s="44">
        <f>SUMPRODUCT(BB544:BC544,BB$5:BC$5)/SUM(BB$5:BC$5)</f>
        <v>1121.1934585255424</v>
      </c>
      <c r="DC544" s="44">
        <f>SUMPRODUCT(BD544:BE544,BD$5:BE$5)/SUM(BD$5:BE$5)</f>
        <v>1173.7952730162608</v>
      </c>
      <c r="DD544" s="44">
        <f>SUMPRODUCT(BF544:BG544,BF$5:BG$5)/SUM(BF$5:BG$5)</f>
        <v>1191.2016916295531</v>
      </c>
      <c r="DE544" s="44">
        <f>SUMPRODUCT(BH544:BI544,BH$5:BI$5)/SUM(BH$5:BI$5)</f>
        <v>1191.2016916295531</v>
      </c>
      <c r="DF544" s="44">
        <f>SUMPRODUCT(BJ544:BK544,BJ$5:BK$5)/SUM(BJ$5:BK$5)</f>
        <v>1191.2016916295531</v>
      </c>
      <c r="DG544" s="44">
        <f>SUMPRODUCT(BL544:BM544,BL$5:BM$5)/SUM(BL$5:BM$5)</f>
        <v>1191.2016916295529</v>
      </c>
      <c r="DH544" s="44">
        <f>SUMPRODUCT(BN544:BO544,BN$5:BO$5)/SUM(BN$5:BO$5)</f>
        <v>1191.2016916295531</v>
      </c>
      <c r="DI544" s="44">
        <f>SUMPRODUCT(BP544:BQ544,BP$5:BQ$5)/SUM(BP$5:BQ$5)</f>
        <v>1191.2016916295531</v>
      </c>
    </row>
    <row r="545" spans="1:113" ht="12" hidden="1" outlineLevel="1">
      <c r="A545" s="1" t="s">
        <v>1015</v>
      </c>
      <c r="B545" s="19" t="s">
        <v>437</v>
      </c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525">
        <f>AP525*100/4.1</f>
        <v>653.65853658536605</v>
      </c>
      <c r="AQ545" s="525">
        <v>750.80129199999999</v>
      </c>
      <c r="AR545" s="525">
        <f>AR525*100/-1.8</f>
        <v>894.44444444444366</v>
      </c>
      <c r="AS545" s="525">
        <f>AS544</f>
        <v>1006.522485</v>
      </c>
      <c r="AT545" s="655">
        <f>AT544</f>
        <v>1128.1249999999995</v>
      </c>
      <c r="AU545" s="525">
        <v>1167.536535</v>
      </c>
      <c r="AV545" s="525">
        <f>(AV521+AV546)*100/4</f>
        <v>1185.0000000000002</v>
      </c>
      <c r="AW545" s="525">
        <f>CY545*2-AV545</f>
        <v>1239.0595739999997</v>
      </c>
      <c r="AX545" s="525">
        <f>((AX525+AX546)*1000/3.47)/10</f>
        <v>1219.020172910663</v>
      </c>
      <c r="AY545" s="525">
        <f>(1217.157784*2)-AX545</f>
        <v>1215.295395089337</v>
      </c>
      <c r="AZ545" s="523">
        <v>1264.221951</v>
      </c>
      <c r="BA545" s="46">
        <f t="shared" ref="BA545:BI545" si="2702">AZ545*BA544/AZ544+0</f>
        <v>1266.1282853024047</v>
      </c>
      <c r="BB545" s="46">
        <f t="shared" si="2702"/>
        <v>1266.1282853024047</v>
      </c>
      <c r="BC545" s="46">
        <f t="shared" si="2702"/>
        <v>1266.1282853024047</v>
      </c>
      <c r="BD545" s="46">
        <f t="shared" si="2702"/>
        <v>1305.6573261931712</v>
      </c>
      <c r="BE545" s="46">
        <f t="shared" si="2702"/>
        <v>1345.1863670839375</v>
      </c>
      <c r="BF545" s="46">
        <f t="shared" si="2702"/>
        <v>1345.1863670839375</v>
      </c>
      <c r="BG545" s="46">
        <f t="shared" si="2702"/>
        <v>1345.1863670839375</v>
      </c>
      <c r="BH545" s="46">
        <f t="shared" si="2702"/>
        <v>1345.1863670839375</v>
      </c>
      <c r="BI545" s="46">
        <f t="shared" si="2702"/>
        <v>1345.1863670839375</v>
      </c>
      <c r="BJ545" s="46">
        <f t="shared" ref="BJ545" si="2703">BI545*BJ544/BI544+0</f>
        <v>1345.1863670839375</v>
      </c>
      <c r="BK545" s="46">
        <f t="shared" ref="BK545" si="2704">BJ545*BK544/BJ544+0</f>
        <v>1345.1863670839375</v>
      </c>
      <c r="BL545" s="46">
        <f t="shared" ref="BL545" si="2705">BK545*BL544/BK544+0</f>
        <v>1345.1863670839375</v>
      </c>
      <c r="BM545" s="46">
        <f t="shared" ref="BM545" si="2706">BL545*BM544/BL544+0</f>
        <v>1345.1863670839375</v>
      </c>
      <c r="BN545" s="46">
        <f t="shared" ref="BN545" si="2707">BM545*BN544/BM544+0</f>
        <v>1345.1863670839375</v>
      </c>
      <c r="BO545" s="46">
        <f t="shared" ref="BO545" si="2708">BN545*BO544/BN544+0</f>
        <v>1345.1863670839375</v>
      </c>
      <c r="BP545" s="46">
        <f t="shared" ref="BP545" si="2709">BO545*BP544/BO544+0</f>
        <v>1345.1863670839375</v>
      </c>
      <c r="BQ545" s="46">
        <f t="shared" ref="BQ545" si="2710">BP545*BQ544/BP544+0</f>
        <v>1345.1863670839375</v>
      </c>
      <c r="BR545" s="44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2"/>
      <c r="CD545" s="42"/>
      <c r="CE545" s="42"/>
      <c r="CF545" s="42"/>
      <c r="CG545" s="113"/>
      <c r="CH545" s="113"/>
      <c r="CI545" s="113"/>
      <c r="CJ545" s="113"/>
      <c r="CK545" s="113"/>
      <c r="CL545" s="113"/>
      <c r="CM545" s="113"/>
      <c r="CN545" s="113"/>
      <c r="CO545" s="113"/>
      <c r="CP545" s="113"/>
      <c r="CQ545" s="113"/>
      <c r="CR545" s="113"/>
      <c r="CS545" s="113"/>
      <c r="CT545" s="525"/>
      <c r="CU545" s="44"/>
      <c r="CV545" s="44">
        <f>SUMPRODUCT(AP545:AQ545,AP$5:AQ$5)/SUM(AP$5:AQ$5)</f>
        <v>702.62913109575686</v>
      </c>
      <c r="CW545" s="44">
        <v>1006.522485</v>
      </c>
      <c r="CX545" s="525">
        <f>SUMPRODUCT(AT545:AU545,AT$5:AU$5)/SUM(AT$5:AU$5)</f>
        <v>1147.9927327123285</v>
      </c>
      <c r="CY545" s="525">
        <v>1212.0297869999999</v>
      </c>
      <c r="CZ545" s="45">
        <f>SUMPRODUCT(AX545:AY545,AX$5:AY$5)/SUM(AX$5:AY$5)</f>
        <v>1217.1424766938851</v>
      </c>
      <c r="DA545" s="44">
        <f>SUMPRODUCT(AZ545:BA545,AZ$5:BA$5)/SUM(AZ$5:BA$5)</f>
        <v>1265.1829524017603</v>
      </c>
      <c r="DB545" s="44">
        <f>SUMPRODUCT(BB545:BC545,BB$5:BC$5)/SUM(BB$5:BC$5)</f>
        <v>1266.1282853024047</v>
      </c>
      <c r="DC545" s="44">
        <f>SUMPRODUCT(BD545:BE545,BD$5:BE$5)/SUM(BD$5:BE$5)</f>
        <v>1325.5298494825181</v>
      </c>
      <c r="DD545" s="44">
        <f>SUMPRODUCT(BF545:BG545,BF$5:BG$5)/SUM(BF$5:BG$5)</f>
        <v>1345.1863670839375</v>
      </c>
      <c r="DE545" s="44">
        <f>SUMPRODUCT(BH545:BI545,BH$5:BI$5)/SUM(BH$5:BI$5)</f>
        <v>1345.1863670839375</v>
      </c>
      <c r="DF545" s="44">
        <f>SUMPRODUCT(BJ545:BK545,BJ$5:BK$5)/SUM(BJ$5:BK$5)</f>
        <v>1345.1863670839375</v>
      </c>
      <c r="DG545" s="44">
        <f>SUMPRODUCT(BL545:BM545,BL$5:BM$5)/SUM(BL$5:BM$5)</f>
        <v>1345.1863670839377</v>
      </c>
      <c r="DH545" s="44">
        <f>SUMPRODUCT(BN545:BO545,BN$5:BO$5)/SUM(BN$5:BO$5)</f>
        <v>1345.1863670839375</v>
      </c>
      <c r="DI545" s="44">
        <f>SUMPRODUCT(BP545:BQ545,BP$5:BQ$5)/SUM(BP$5:BQ$5)</f>
        <v>1345.1863670839375</v>
      </c>
    </row>
    <row r="546" spans="1:113" ht="12" hidden="1" outlineLevel="1">
      <c r="A546" s="1" t="s">
        <v>1016</v>
      </c>
      <c r="B546" s="19" t="s">
        <v>438</v>
      </c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525">
        <v>0</v>
      </c>
      <c r="AQ546" s="525">
        <v>0</v>
      </c>
      <c r="AR546" s="525">
        <v>0</v>
      </c>
      <c r="AS546" s="525">
        <f>AS545-AS544</f>
        <v>0</v>
      </c>
      <c r="AT546" s="525">
        <f>AT545-AT544</f>
        <v>0</v>
      </c>
      <c r="AU546" s="525">
        <v>1.5</v>
      </c>
      <c r="AV546" s="525">
        <v>1.5</v>
      </c>
      <c r="AW546" s="525">
        <f>CY546-AV546</f>
        <v>2</v>
      </c>
      <c r="AX546" s="525">
        <v>1.4</v>
      </c>
      <c r="AY546" s="525">
        <f>2.4-AX546</f>
        <v>1</v>
      </c>
      <c r="AZ546" s="523">
        <v>1.4</v>
      </c>
      <c r="BA546" s="46">
        <f t="shared" ref="BA546:BI546" si="2711">AZ546</f>
        <v>1.4</v>
      </c>
      <c r="BB546" s="46">
        <f t="shared" si="2711"/>
        <v>1.4</v>
      </c>
      <c r="BC546" s="46">
        <f t="shared" si="2711"/>
        <v>1.4</v>
      </c>
      <c r="BD546" s="46">
        <f t="shared" si="2711"/>
        <v>1.4</v>
      </c>
      <c r="BE546" s="46">
        <f t="shared" si="2711"/>
        <v>1.4</v>
      </c>
      <c r="BF546" s="46">
        <f t="shared" si="2711"/>
        <v>1.4</v>
      </c>
      <c r="BG546" s="46">
        <f t="shared" si="2711"/>
        <v>1.4</v>
      </c>
      <c r="BH546" s="46">
        <f t="shared" si="2711"/>
        <v>1.4</v>
      </c>
      <c r="BI546" s="46">
        <f t="shared" si="2711"/>
        <v>1.4</v>
      </c>
      <c r="BJ546" s="46">
        <f t="shared" ref="BJ546" si="2712">BI546</f>
        <v>1.4</v>
      </c>
      <c r="BK546" s="46">
        <f t="shared" ref="BK546" si="2713">BJ546</f>
        <v>1.4</v>
      </c>
      <c r="BL546" s="46">
        <f t="shared" ref="BL546" si="2714">BK546</f>
        <v>1.4</v>
      </c>
      <c r="BM546" s="46">
        <f t="shared" ref="BM546" si="2715">BL546</f>
        <v>1.4</v>
      </c>
      <c r="BN546" s="46">
        <f t="shared" ref="BN546" si="2716">BM546</f>
        <v>1.4</v>
      </c>
      <c r="BO546" s="46">
        <f t="shared" ref="BO546" si="2717">BN546</f>
        <v>1.4</v>
      </c>
      <c r="BP546" s="46">
        <f t="shared" ref="BP546" si="2718">BO546</f>
        <v>1.4</v>
      </c>
      <c r="BQ546" s="46">
        <f t="shared" ref="BQ546" si="2719">BP546</f>
        <v>1.4</v>
      </c>
      <c r="BR546" s="44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525"/>
      <c r="CU546" s="525"/>
      <c r="CV546" s="44">
        <f>SUM(AP546:AQ546)</f>
        <v>0</v>
      </c>
      <c r="CW546" s="44">
        <f>SUM(AR546:AS546)</f>
        <v>0</v>
      </c>
      <c r="CX546" s="525">
        <v>1.5</v>
      </c>
      <c r="CY546" s="525">
        <v>3.5</v>
      </c>
      <c r="CZ546" s="45">
        <f t="shared" ref="CZ546" si="2720">SUM(AX546:AY546)</f>
        <v>2.4</v>
      </c>
      <c r="DA546" s="44">
        <f t="shared" ref="DA546" si="2721">SUM(AZ546:BA546)</f>
        <v>2.8</v>
      </c>
      <c r="DB546" s="44">
        <f t="shared" ref="DB546" si="2722">SUM(BB546:BC546)</f>
        <v>2.8</v>
      </c>
      <c r="DC546" s="44">
        <f t="shared" ref="DC546" si="2723">SUM(BD546:BE546)</f>
        <v>2.8</v>
      </c>
      <c r="DD546" s="44">
        <f t="shared" ref="DD546" si="2724">SUM(BF546:BG546)</f>
        <v>2.8</v>
      </c>
      <c r="DE546" s="44">
        <f t="shared" ref="DE546" si="2725">SUM(BH546:BI546)</f>
        <v>2.8</v>
      </c>
      <c r="DF546" s="44">
        <f t="shared" ref="DF546" si="2726">SUM(BJ546:BK546)</f>
        <v>2.8</v>
      </c>
      <c r="DG546" s="44">
        <f t="shared" ref="DG546" si="2727">SUM(BL546:BM546)</f>
        <v>2.8</v>
      </c>
      <c r="DH546" s="44">
        <f t="shared" ref="DH546" si="2728">SUM(BN546:BO546)</f>
        <v>2.8</v>
      </c>
      <c r="DI546" s="44">
        <f>SUM(BP546:BQ546)</f>
        <v>2.8</v>
      </c>
    </row>
    <row r="547" spans="1:113" ht="12" collapsed="1"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4"/>
      <c r="AQ547" s="44"/>
      <c r="AR547" s="44"/>
      <c r="AS547" s="44"/>
      <c r="AT547" s="44"/>
      <c r="AU547" s="44"/>
      <c r="AV547" s="44"/>
      <c r="AW547" s="44"/>
      <c r="AX547" s="44"/>
      <c r="AY547" s="44"/>
      <c r="AZ547" s="45"/>
      <c r="BA547" s="44"/>
      <c r="BB547" s="44"/>
      <c r="BC547" s="44"/>
      <c r="BD547" s="636"/>
      <c r="BE547" s="44"/>
      <c r="BF547" s="44"/>
      <c r="BG547" s="44"/>
      <c r="BH547" s="44"/>
      <c r="BI547" s="44"/>
      <c r="BJ547" s="44"/>
      <c r="BK547" s="44"/>
      <c r="BL547" s="44"/>
      <c r="BM547" s="44"/>
      <c r="BN547" s="44"/>
      <c r="BO547" s="44"/>
      <c r="BP547" s="44"/>
      <c r="BQ547" s="44"/>
      <c r="BR547" s="44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4"/>
      <c r="CW547" s="44"/>
      <c r="CX547" s="44"/>
      <c r="CY547" s="44"/>
      <c r="CZ547" s="45"/>
      <c r="DA547" s="44"/>
      <c r="DB547" s="44"/>
      <c r="DC547" s="529"/>
      <c r="DD547" s="529"/>
      <c r="DE547" s="529"/>
      <c r="DF547" s="529"/>
      <c r="DG547" s="529"/>
      <c r="DH547" s="529"/>
      <c r="DI547" s="529"/>
    </row>
    <row r="548" spans="1:113" s="36" customFormat="1" ht="12" collapsed="1">
      <c r="A548" s="1" t="s">
        <v>1017</v>
      </c>
      <c r="B548" s="2" t="s">
        <v>441</v>
      </c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27">
        <f t="shared" ref="AP548:BI548" si="2729">AP590</f>
        <v>629</v>
      </c>
      <c r="AQ548" s="527">
        <f t="shared" si="2729"/>
        <v>1004</v>
      </c>
      <c r="AR548" s="527">
        <f t="shared" si="2729"/>
        <v>1289</v>
      </c>
      <c r="AS548" s="527">
        <f t="shared" ref="AS548:AT548" si="2730">AS590</f>
        <v>1292</v>
      </c>
      <c r="AT548" s="527">
        <f t="shared" si="2730"/>
        <v>1336</v>
      </c>
      <c r="AU548" s="527">
        <f t="shared" ref="AU548:AV548" si="2731">AU590</f>
        <v>1366</v>
      </c>
      <c r="AV548" s="527">
        <f t="shared" si="2731"/>
        <v>1396</v>
      </c>
      <c r="AW548" s="527">
        <f t="shared" ref="AW548:AX548" si="2732">AW590</f>
        <v>1411</v>
      </c>
      <c r="AX548" s="527">
        <f t="shared" si="2732"/>
        <v>1464</v>
      </c>
      <c r="AY548" s="527">
        <f t="shared" si="2729"/>
        <v>1517</v>
      </c>
      <c r="AZ548" s="528">
        <f t="shared" si="2729"/>
        <v>1599</v>
      </c>
      <c r="BA548" s="527">
        <f t="shared" si="2729"/>
        <v>1674.9424170008717</v>
      </c>
      <c r="BB548" s="527">
        <f t="shared" si="2729"/>
        <v>1756.9179297917526</v>
      </c>
      <c r="BC548" s="527">
        <f t="shared" si="2729"/>
        <v>1841.1227940314488</v>
      </c>
      <c r="BD548" s="527">
        <f t="shared" si="2729"/>
        <v>2083.700241696215</v>
      </c>
      <c r="BE548" s="527">
        <f t="shared" si="2729"/>
        <v>2190.3595664323402</v>
      </c>
      <c r="BF548" s="527">
        <f t="shared" si="2729"/>
        <v>2312.1334508873515</v>
      </c>
      <c r="BG548" s="527">
        <f t="shared" si="2729"/>
        <v>2444.419117994863</v>
      </c>
      <c r="BH548" s="527">
        <f t="shared" si="2729"/>
        <v>2590.2766542291893</v>
      </c>
      <c r="BI548" s="527">
        <f t="shared" si="2729"/>
        <v>2705.9716962550974</v>
      </c>
      <c r="BJ548" s="527">
        <f t="shared" ref="BJ548:BK548" si="2733">BJ590</f>
        <v>2810.4212588154523</v>
      </c>
      <c r="BK548" s="527">
        <f t="shared" si="2733"/>
        <v>2931.1011447894625</v>
      </c>
      <c r="BL548" s="527">
        <f t="shared" ref="BL548:BM548" si="2734">BL590</f>
        <v>3038.6328555890741</v>
      </c>
      <c r="BM548" s="527">
        <f t="shared" si="2734"/>
        <v>3149.8339951469379</v>
      </c>
      <c r="BN548" s="527">
        <f t="shared" ref="BN548:BO548" si="2735">BN590</f>
        <v>3247.0621961268344</v>
      </c>
      <c r="BO548" s="527">
        <f t="shared" si="2735"/>
        <v>3345.2655764970837</v>
      </c>
      <c r="BP548" s="527">
        <f t="shared" ref="BP548:BQ548" si="2736">BP590</f>
        <v>3441.6392177745961</v>
      </c>
      <c r="BQ548" s="527">
        <f t="shared" si="2736"/>
        <v>3538.6865359430299</v>
      </c>
      <c r="BR548" s="527"/>
      <c r="BS548" s="52"/>
      <c r="BT548" s="52"/>
      <c r="BU548" s="52"/>
      <c r="BV548" s="52"/>
      <c r="BW548" s="52"/>
      <c r="BX548" s="52"/>
      <c r="BY548" s="52"/>
      <c r="BZ548" s="52"/>
      <c r="CA548" s="52"/>
      <c r="CB548" s="52"/>
      <c r="CC548" s="52"/>
      <c r="CD548" s="52"/>
      <c r="CE548" s="52"/>
      <c r="CF548" s="52"/>
      <c r="CG548" s="52"/>
      <c r="CH548" s="52"/>
      <c r="CI548" s="52"/>
      <c r="CJ548" s="52"/>
      <c r="CK548" s="52"/>
      <c r="CL548" s="52"/>
      <c r="CM548" s="52"/>
      <c r="CN548" s="52"/>
      <c r="CO548" s="52"/>
      <c r="CP548" s="52"/>
      <c r="CQ548" s="52"/>
      <c r="CR548" s="52"/>
      <c r="CS548" s="52"/>
      <c r="CT548" s="52">
        <f t="shared" ref="CT548:DF548" si="2737">CT590</f>
        <v>193.49680000000001</v>
      </c>
      <c r="CU548" s="52">
        <f t="shared" si="2737"/>
        <v>528.20460000000003</v>
      </c>
      <c r="CV548" s="527">
        <f t="shared" si="2737"/>
        <v>1004</v>
      </c>
      <c r="CW548" s="527">
        <f t="shared" si="2737"/>
        <v>1291.9999999999998</v>
      </c>
      <c r="CX548" s="527">
        <f t="shared" si="2737"/>
        <v>1366</v>
      </c>
      <c r="CY548" s="527">
        <f t="shared" si="2737"/>
        <v>1411</v>
      </c>
      <c r="CZ548" s="528">
        <f t="shared" si="2737"/>
        <v>1517</v>
      </c>
      <c r="DA548" s="527">
        <f t="shared" si="2737"/>
        <v>1674.942417000872</v>
      </c>
      <c r="DB548" s="527">
        <f t="shared" si="2737"/>
        <v>1841.1227940314493</v>
      </c>
      <c r="DC548" s="527">
        <f t="shared" si="2737"/>
        <v>2190.3595664323402</v>
      </c>
      <c r="DD548" s="527">
        <f t="shared" si="2737"/>
        <v>2444.419117994863</v>
      </c>
      <c r="DE548" s="527">
        <f t="shared" si="2737"/>
        <v>2705.9716962550974</v>
      </c>
      <c r="DF548" s="527">
        <f t="shared" si="2737"/>
        <v>2931.1011447894625</v>
      </c>
      <c r="DG548" s="527">
        <f t="shared" ref="DG548:DH548" si="2738">DG590</f>
        <v>3149.8339951469379</v>
      </c>
      <c r="DH548" s="527">
        <f t="shared" si="2738"/>
        <v>3345.2655764970832</v>
      </c>
      <c r="DI548" s="527">
        <f t="shared" ref="DI548" si="2739">DI590</f>
        <v>3538.6865359430294</v>
      </c>
    </row>
    <row r="549" spans="1:113" ht="12" hidden="1" outlineLevel="1"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4"/>
      <c r="AQ549" s="44"/>
      <c r="AR549" s="44"/>
      <c r="AS549" s="44"/>
      <c r="AT549" s="44"/>
      <c r="AU549" s="44"/>
      <c r="AV549" s="44"/>
      <c r="AW549" s="44"/>
      <c r="AX549" s="44"/>
      <c r="AY549" s="44"/>
      <c r="AZ549" s="45"/>
      <c r="BA549" s="44"/>
      <c r="BB549" s="44"/>
      <c r="BC549" s="44"/>
      <c r="BD549" s="44"/>
      <c r="BE549" s="44"/>
      <c r="BF549" s="44"/>
      <c r="BG549" s="44"/>
      <c r="BH549" s="44"/>
      <c r="BI549" s="44"/>
      <c r="BJ549" s="44"/>
      <c r="BK549" s="44"/>
      <c r="BL549" s="44"/>
      <c r="BM549" s="44"/>
      <c r="BN549" s="44"/>
      <c r="BO549" s="44"/>
      <c r="BP549" s="44"/>
      <c r="BQ549" s="44"/>
      <c r="BR549" s="44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4"/>
      <c r="CW549" s="44"/>
      <c r="CX549" s="44"/>
      <c r="CY549" s="44"/>
      <c r="CZ549" s="45"/>
      <c r="DA549" s="44"/>
      <c r="DB549" s="44"/>
      <c r="DC549" s="529"/>
      <c r="DD549" s="529"/>
      <c r="DE549" s="529"/>
      <c r="DF549" s="529"/>
      <c r="DG549" s="529"/>
      <c r="DH549" s="529"/>
      <c r="DI549" s="529"/>
    </row>
    <row r="550" spans="1:113" s="24" customFormat="1" ht="12" hidden="1" outlineLevel="1">
      <c r="A550" s="1" t="s">
        <v>1018</v>
      </c>
      <c r="B550" s="24" t="s">
        <v>152</v>
      </c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  <c r="AJ550" s="55"/>
      <c r="AK550" s="55"/>
      <c r="AL550" s="55"/>
      <c r="AM550" s="55"/>
      <c r="AN550" s="55"/>
      <c r="AO550" s="55"/>
      <c r="AP550" s="526">
        <f t="shared" ref="AP550:AR550" si="2740">AP541</f>
        <v>684.5</v>
      </c>
      <c r="AQ550" s="526">
        <f t="shared" si="2740"/>
        <v>1075.7000000000003</v>
      </c>
      <c r="AR550" s="526">
        <f t="shared" si="2740"/>
        <v>1395.1</v>
      </c>
      <c r="AS550" s="526">
        <f t="shared" ref="AS550:AT550" si="2741">AS541</f>
        <v>1404.6000000000001</v>
      </c>
      <c r="AT550" s="526">
        <f t="shared" si="2741"/>
        <v>1442</v>
      </c>
      <c r="AU550" s="526">
        <f t="shared" ref="AU550:AV550" si="2742">AU541</f>
        <v>1477.1</v>
      </c>
      <c r="AV550" s="526">
        <f t="shared" si="2742"/>
        <v>1550.5</v>
      </c>
      <c r="AW550" s="526">
        <f t="shared" ref="AW550:AX550" si="2743">AW541</f>
        <v>1565.3</v>
      </c>
      <c r="AX550" s="526">
        <f t="shared" si="2743"/>
        <v>1626.4</v>
      </c>
      <c r="AY550" s="526">
        <f t="shared" ref="AY550:BI550" si="2744">AY541</f>
        <v>1686.6</v>
      </c>
      <c r="AZ550" s="524">
        <f t="shared" si="2744"/>
        <v>1725.3</v>
      </c>
      <c r="BA550" s="526">
        <f t="shared" si="2744"/>
        <v>1798.7623215140325</v>
      </c>
      <c r="BB550" s="526">
        <f t="shared" si="2744"/>
        <v>1878.6124038821968</v>
      </c>
      <c r="BC550" s="526">
        <f t="shared" si="2744"/>
        <v>1961.3260362007127</v>
      </c>
      <c r="BD550" s="526">
        <f t="shared" si="2744"/>
        <v>2202.6292380154846</v>
      </c>
      <c r="BE550" s="526">
        <f t="shared" si="2744"/>
        <v>2308.4710328173446</v>
      </c>
      <c r="BF550" s="526">
        <f t="shared" si="2744"/>
        <v>2429.5550348089255</v>
      </c>
      <c r="BG550" s="526">
        <f t="shared" si="2744"/>
        <v>2561.5575074860694</v>
      </c>
      <c r="BH550" s="526">
        <f t="shared" si="2744"/>
        <v>2707.1564668647457</v>
      </c>
      <c r="BI550" s="526">
        <f t="shared" si="2744"/>
        <v>2822.9568300924384</v>
      </c>
      <c r="BJ550" s="526">
        <f t="shared" ref="BJ550:BK550" si="2745">BJ541</f>
        <v>2927.4826524828104</v>
      </c>
      <c r="BK550" s="526">
        <f t="shared" si="2745"/>
        <v>3048.5680844933236</v>
      </c>
      <c r="BL550" s="526">
        <f t="shared" ref="BL550:BM550" si="2746">BL541</f>
        <v>3156.4314174299698</v>
      </c>
      <c r="BM550" s="526">
        <f t="shared" si="2746"/>
        <v>3268.2155468264</v>
      </c>
      <c r="BN550" s="526">
        <f t="shared" ref="BN550:BO550" si="2747">BN541</f>
        <v>3365.9311287725923</v>
      </c>
      <c r="BO550" s="526">
        <f t="shared" si="2747"/>
        <v>3464.8759411049059</v>
      </c>
      <c r="BP550" s="526">
        <f t="shared" ref="BP550:BQ550" si="2748">BP541</f>
        <v>3561.8351687981913</v>
      </c>
      <c r="BQ550" s="526">
        <f t="shared" si="2748"/>
        <v>3659.7518105691402</v>
      </c>
      <c r="BR550" s="526"/>
      <c r="BS550" s="55"/>
      <c r="BT550" s="55"/>
      <c r="BU550" s="55"/>
      <c r="BV550" s="55"/>
      <c r="BW550" s="55"/>
      <c r="BX550" s="55"/>
      <c r="BY550" s="55"/>
      <c r="BZ550" s="55"/>
      <c r="CA550" s="55"/>
      <c r="CB550" s="55"/>
      <c r="CC550" s="55"/>
      <c r="CD550" s="55"/>
      <c r="CE550" s="55"/>
      <c r="CF550" s="55"/>
      <c r="CG550" s="55"/>
      <c r="CH550" s="55"/>
      <c r="CI550" s="55"/>
      <c r="CJ550" s="55"/>
      <c r="CK550" s="55"/>
      <c r="CL550" s="55"/>
      <c r="CM550" s="55"/>
      <c r="CN550" s="55"/>
      <c r="CO550" s="55"/>
      <c r="CP550" s="55"/>
      <c r="CQ550" s="55"/>
      <c r="CR550" s="55"/>
      <c r="CS550" s="55"/>
      <c r="CT550" s="55">
        <f t="shared" ref="CT550:DF550" si="2749">CT541</f>
        <v>0</v>
      </c>
      <c r="CU550" s="55">
        <f t="shared" si="2749"/>
        <v>0</v>
      </c>
      <c r="CV550" s="526">
        <f t="shared" si="2749"/>
        <v>1075.7000000000003</v>
      </c>
      <c r="CW550" s="526">
        <f t="shared" si="2749"/>
        <v>1404.6</v>
      </c>
      <c r="CX550" s="526">
        <f t="shared" si="2749"/>
        <v>1477.1</v>
      </c>
      <c r="CY550" s="526">
        <f t="shared" si="2749"/>
        <v>1565.3</v>
      </c>
      <c r="CZ550" s="524">
        <f t="shared" si="2749"/>
        <v>1686.6</v>
      </c>
      <c r="DA550" s="526">
        <f t="shared" si="2749"/>
        <v>1798.7623215140327</v>
      </c>
      <c r="DB550" s="526">
        <f t="shared" si="2749"/>
        <v>1961.3260362007131</v>
      </c>
      <c r="DC550" s="526">
        <f t="shared" si="2749"/>
        <v>2308.4710328173446</v>
      </c>
      <c r="DD550" s="526">
        <f t="shared" si="2749"/>
        <v>2561.5575074860694</v>
      </c>
      <c r="DE550" s="526">
        <f t="shared" si="2749"/>
        <v>2822.9568300924384</v>
      </c>
      <c r="DF550" s="526">
        <f t="shared" si="2749"/>
        <v>3048.5680844933236</v>
      </c>
      <c r="DG550" s="526">
        <f t="shared" ref="DG550:DH550" si="2750">DG541</f>
        <v>3268.2155468264</v>
      </c>
      <c r="DH550" s="526">
        <f t="shared" si="2750"/>
        <v>3464.8759411049055</v>
      </c>
      <c r="DI550" s="526">
        <f t="shared" ref="DI550" si="2751">DI541</f>
        <v>3659.7518105691397</v>
      </c>
    </row>
    <row r="551" spans="1:113" ht="12" hidden="1" outlineLevel="1"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4"/>
      <c r="AQ551" s="44"/>
      <c r="AR551" s="44"/>
      <c r="AS551" s="44"/>
      <c r="AT551" s="44"/>
      <c r="AU551" s="44"/>
      <c r="AV551" s="44"/>
      <c r="AW551" s="44"/>
      <c r="AX551" s="44"/>
      <c r="AY551" s="44"/>
      <c r="AZ551" s="45"/>
      <c r="BA551" s="44"/>
      <c r="BB551" s="44"/>
      <c r="BC551" s="44"/>
      <c r="BD551" s="44"/>
      <c r="BE551" s="44"/>
      <c r="BF551" s="44"/>
      <c r="BG551" s="44"/>
      <c r="BH551" s="44"/>
      <c r="BI551" s="44"/>
      <c r="BJ551" s="44"/>
      <c r="BK551" s="44"/>
      <c r="BL551" s="44"/>
      <c r="BM551" s="44"/>
      <c r="BN551" s="44"/>
      <c r="BO551" s="44"/>
      <c r="BP551" s="44"/>
      <c r="BQ551" s="44"/>
      <c r="BR551" s="44"/>
      <c r="BS551" s="42"/>
      <c r="BT551" s="42"/>
      <c r="BU551" s="42"/>
      <c r="BV551" s="42"/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4"/>
      <c r="CW551" s="44"/>
      <c r="CX551" s="44"/>
      <c r="CY551" s="44"/>
      <c r="CZ551" s="45"/>
      <c r="DA551" s="44"/>
      <c r="DB551" s="44"/>
      <c r="DC551" s="529"/>
      <c r="DD551" s="529"/>
      <c r="DE551" s="529"/>
      <c r="DF551" s="529"/>
      <c r="DG551" s="529"/>
      <c r="DH551" s="529"/>
      <c r="DI551" s="529"/>
    </row>
    <row r="552" spans="1:113" s="24" customFormat="1" ht="12" hidden="1" outlineLevel="1">
      <c r="A552" s="1"/>
      <c r="B552" s="62" t="s">
        <v>771</v>
      </c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  <c r="AJ552" s="55"/>
      <c r="AK552" s="55"/>
      <c r="AL552" s="55"/>
      <c r="AM552" s="55"/>
      <c r="AN552" s="55"/>
      <c r="AO552" s="55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4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5"/>
      <c r="BT552" s="55"/>
      <c r="BU552" s="55"/>
      <c r="BV552" s="55"/>
      <c r="BW552" s="55"/>
      <c r="BX552" s="55"/>
      <c r="BY552" s="55"/>
      <c r="BZ552" s="55"/>
      <c r="CA552" s="55"/>
      <c r="CB552" s="55"/>
      <c r="CC552" s="55"/>
      <c r="CD552" s="55"/>
      <c r="CE552" s="55"/>
      <c r="CF552" s="55"/>
      <c r="CG552" s="55"/>
      <c r="CH552" s="55"/>
      <c r="CI552" s="55"/>
      <c r="CJ552" s="55"/>
      <c r="CK552" s="55"/>
      <c r="CL552" s="55"/>
      <c r="CM552" s="55"/>
      <c r="CN552" s="55"/>
      <c r="CO552" s="55"/>
      <c r="CP552" s="55"/>
      <c r="CQ552" s="55"/>
      <c r="CR552" s="55"/>
      <c r="CS552" s="55"/>
      <c r="CT552" s="55"/>
      <c r="CU552" s="55"/>
      <c r="CV552" s="526"/>
      <c r="CW552" s="526"/>
      <c r="CX552" s="526"/>
      <c r="CY552" s="526"/>
      <c r="CZ552" s="524"/>
      <c r="DA552" s="526"/>
      <c r="DB552" s="526"/>
      <c r="DC552" s="541"/>
      <c r="DD552" s="541"/>
      <c r="DE552" s="541"/>
      <c r="DF552" s="541"/>
      <c r="DG552" s="541"/>
      <c r="DH552" s="541"/>
      <c r="DI552" s="541"/>
    </row>
    <row r="553" spans="1:113" ht="12" hidden="1" outlineLevel="1">
      <c r="A553" s="1" t="s">
        <v>1019</v>
      </c>
      <c r="B553" s="19" t="s">
        <v>442</v>
      </c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525">
        <v>0</v>
      </c>
      <c r="AQ553" s="525">
        <v>0</v>
      </c>
      <c r="AR553" s="525">
        <v>0</v>
      </c>
      <c r="AS553" s="525">
        <v>0</v>
      </c>
      <c r="AT553" s="525">
        <v>0</v>
      </c>
      <c r="AU553" s="525">
        <v>0</v>
      </c>
      <c r="AV553" s="525">
        <v>0</v>
      </c>
      <c r="AW553" s="525">
        <v>0</v>
      </c>
      <c r="AX553" s="525">
        <v>0</v>
      </c>
      <c r="AY553" s="525">
        <v>0</v>
      </c>
      <c r="AZ553" s="523">
        <v>0</v>
      </c>
      <c r="BA553" s="44">
        <f t="shared" ref="BA553:BI555" si="2752">AZ553</f>
        <v>0</v>
      </c>
      <c r="BB553" s="44">
        <f t="shared" si="2752"/>
        <v>0</v>
      </c>
      <c r="BC553" s="44">
        <f t="shared" si="2752"/>
        <v>0</v>
      </c>
      <c r="BD553" s="44">
        <f t="shared" si="2752"/>
        <v>0</v>
      </c>
      <c r="BE553" s="44">
        <f t="shared" si="2752"/>
        <v>0</v>
      </c>
      <c r="BF553" s="44">
        <f t="shared" si="2752"/>
        <v>0</v>
      </c>
      <c r="BG553" s="44">
        <f t="shared" si="2752"/>
        <v>0</v>
      </c>
      <c r="BH553" s="44">
        <f t="shared" si="2752"/>
        <v>0</v>
      </c>
      <c r="BI553" s="44">
        <f t="shared" si="2752"/>
        <v>0</v>
      </c>
      <c r="BJ553" s="44">
        <f t="shared" ref="BJ553:BJ555" si="2753">BI553</f>
        <v>0</v>
      </c>
      <c r="BK553" s="44">
        <f t="shared" ref="BK553:BK555" si="2754">BJ553</f>
        <v>0</v>
      </c>
      <c r="BL553" s="44">
        <f t="shared" ref="BL553:BL555" si="2755">BK553</f>
        <v>0</v>
      </c>
      <c r="BM553" s="44">
        <f t="shared" ref="BM553:BM555" si="2756">BL553</f>
        <v>0</v>
      </c>
      <c r="BN553" s="44">
        <f t="shared" ref="BN553:BN555" si="2757">BM553</f>
        <v>0</v>
      </c>
      <c r="BO553" s="44">
        <f t="shared" ref="BO553:BO555" si="2758">BN553</f>
        <v>0</v>
      </c>
      <c r="BP553" s="44">
        <f t="shared" ref="BP553:BP555" si="2759">BO553</f>
        <v>0</v>
      </c>
      <c r="BQ553" s="44">
        <f t="shared" ref="BQ553:BQ555" si="2760">BP553</f>
        <v>0</v>
      </c>
      <c r="BR553" s="44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113"/>
      <c r="CU553" s="113"/>
      <c r="CV553" s="44">
        <f t="shared" ref="CV553:CV562" si="2761">AQ553</f>
        <v>0</v>
      </c>
      <c r="CW553" s="44">
        <f>AS553</f>
        <v>0</v>
      </c>
      <c r="CX553" s="44">
        <f>AU553</f>
        <v>0</v>
      </c>
      <c r="CY553" s="44">
        <f>AW553</f>
        <v>0</v>
      </c>
      <c r="CZ553" s="45">
        <f>AY553</f>
        <v>0</v>
      </c>
      <c r="DA553" s="44">
        <f>BA553</f>
        <v>0</v>
      </c>
      <c r="DB553" s="44">
        <f t="shared" ref="DB553:DB561" si="2762">BC553</f>
        <v>0</v>
      </c>
      <c r="DC553" s="44">
        <f t="shared" ref="DC553:DC561" si="2763">BE553</f>
        <v>0</v>
      </c>
      <c r="DD553" s="44">
        <f t="shared" ref="DD553:DD561" si="2764">BG553</f>
        <v>0</v>
      </c>
      <c r="DE553" s="44">
        <f t="shared" ref="DE553:DE561" si="2765">BI553</f>
        <v>0</v>
      </c>
      <c r="DF553" s="44">
        <f t="shared" ref="DF553:DF561" si="2766">BK553</f>
        <v>0</v>
      </c>
      <c r="DG553" s="44">
        <f t="shared" ref="DG553:DG561" si="2767">BM553</f>
        <v>0</v>
      </c>
      <c r="DH553" s="44">
        <f t="shared" ref="DH553:DH561" si="2768">BO553</f>
        <v>0</v>
      </c>
      <c r="DI553" s="44">
        <f t="shared" ref="DI553:DI561" si="2769">BQ553</f>
        <v>0</v>
      </c>
    </row>
    <row r="554" spans="1:113" ht="12" hidden="1" outlineLevel="1">
      <c r="A554" s="1" t="s">
        <v>1020</v>
      </c>
      <c r="B554" s="19" t="s">
        <v>443</v>
      </c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525">
        <v>0</v>
      </c>
      <c r="AQ554" s="525">
        <v>0</v>
      </c>
      <c r="AR554" s="525">
        <v>0</v>
      </c>
      <c r="AS554" s="525">
        <v>0</v>
      </c>
      <c r="AT554" s="525">
        <v>0</v>
      </c>
      <c r="AU554" s="525">
        <v>0</v>
      </c>
      <c r="AV554" s="525">
        <v>0</v>
      </c>
      <c r="AW554" s="525">
        <v>0</v>
      </c>
      <c r="AX554" s="525">
        <v>0</v>
      </c>
      <c r="AY554" s="525">
        <v>0</v>
      </c>
      <c r="AZ554" s="523">
        <v>0</v>
      </c>
      <c r="BA554" s="44">
        <f t="shared" si="2752"/>
        <v>0</v>
      </c>
      <c r="BB554" s="44">
        <f t="shared" si="2752"/>
        <v>0</v>
      </c>
      <c r="BC554" s="44">
        <f t="shared" si="2752"/>
        <v>0</v>
      </c>
      <c r="BD554" s="44">
        <f t="shared" si="2752"/>
        <v>0</v>
      </c>
      <c r="BE554" s="44">
        <f t="shared" si="2752"/>
        <v>0</v>
      </c>
      <c r="BF554" s="44">
        <f t="shared" si="2752"/>
        <v>0</v>
      </c>
      <c r="BG554" s="44">
        <f t="shared" si="2752"/>
        <v>0</v>
      </c>
      <c r="BH554" s="44">
        <f t="shared" si="2752"/>
        <v>0</v>
      </c>
      <c r="BI554" s="44">
        <f t="shared" si="2752"/>
        <v>0</v>
      </c>
      <c r="BJ554" s="44">
        <f t="shared" si="2753"/>
        <v>0</v>
      </c>
      <c r="BK554" s="44">
        <f t="shared" si="2754"/>
        <v>0</v>
      </c>
      <c r="BL554" s="44">
        <f t="shared" si="2755"/>
        <v>0</v>
      </c>
      <c r="BM554" s="44">
        <f t="shared" si="2756"/>
        <v>0</v>
      </c>
      <c r="BN554" s="44">
        <f t="shared" si="2757"/>
        <v>0</v>
      </c>
      <c r="BO554" s="44">
        <f t="shared" si="2758"/>
        <v>0</v>
      </c>
      <c r="BP554" s="44">
        <f t="shared" si="2759"/>
        <v>0</v>
      </c>
      <c r="BQ554" s="44">
        <f t="shared" si="2760"/>
        <v>0</v>
      </c>
      <c r="BR554" s="44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2"/>
      <c r="CD554" s="42"/>
      <c r="CE554" s="42"/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113"/>
      <c r="CU554" s="113"/>
      <c r="CV554" s="44">
        <f t="shared" si="2761"/>
        <v>0</v>
      </c>
      <c r="CW554" s="44">
        <f>AS554</f>
        <v>0</v>
      </c>
      <c r="CX554" s="44">
        <f>AU554</f>
        <v>0</v>
      </c>
      <c r="CY554" s="44">
        <f>AW554</f>
        <v>0</v>
      </c>
      <c r="CZ554" s="45">
        <f>AY554</f>
        <v>0</v>
      </c>
      <c r="DA554" s="44">
        <f t="shared" ref="DA554:DA561" si="2770">BA554</f>
        <v>0</v>
      </c>
      <c r="DB554" s="44">
        <f t="shared" si="2762"/>
        <v>0</v>
      </c>
      <c r="DC554" s="44">
        <f t="shared" si="2763"/>
        <v>0</v>
      </c>
      <c r="DD554" s="44">
        <f t="shared" si="2764"/>
        <v>0</v>
      </c>
      <c r="DE554" s="44">
        <f t="shared" si="2765"/>
        <v>0</v>
      </c>
      <c r="DF554" s="44">
        <f t="shared" si="2766"/>
        <v>0</v>
      </c>
      <c r="DG554" s="44">
        <f t="shared" si="2767"/>
        <v>0</v>
      </c>
      <c r="DH554" s="44">
        <f t="shared" si="2768"/>
        <v>0</v>
      </c>
      <c r="DI554" s="44">
        <f t="shared" si="2769"/>
        <v>0</v>
      </c>
    </row>
    <row r="555" spans="1:113" ht="12" hidden="1" outlineLevel="1">
      <c r="A555" s="1" t="s">
        <v>1021</v>
      </c>
      <c r="B555" s="19" t="s">
        <v>267</v>
      </c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525">
        <v>0</v>
      </c>
      <c r="AQ555" s="525">
        <v>0</v>
      </c>
      <c r="AR555" s="525">
        <v>0</v>
      </c>
      <c r="AS555" s="525">
        <v>0</v>
      </c>
      <c r="AT555" s="525">
        <v>0</v>
      </c>
      <c r="AU555" s="525">
        <v>0</v>
      </c>
      <c r="AV555" s="525">
        <v>0</v>
      </c>
      <c r="AW555" s="525">
        <v>0</v>
      </c>
      <c r="AX555" s="525">
        <v>0</v>
      </c>
      <c r="AY555" s="525">
        <v>0</v>
      </c>
      <c r="AZ555" s="523">
        <v>0</v>
      </c>
      <c r="BA555" s="46">
        <f t="shared" si="2752"/>
        <v>0</v>
      </c>
      <c r="BB555" s="46">
        <f t="shared" si="2752"/>
        <v>0</v>
      </c>
      <c r="BC555" s="46">
        <f t="shared" si="2752"/>
        <v>0</v>
      </c>
      <c r="BD555" s="46">
        <f t="shared" si="2752"/>
        <v>0</v>
      </c>
      <c r="BE555" s="46">
        <f t="shared" si="2752"/>
        <v>0</v>
      </c>
      <c r="BF555" s="46">
        <f t="shared" si="2752"/>
        <v>0</v>
      </c>
      <c r="BG555" s="46">
        <f t="shared" si="2752"/>
        <v>0</v>
      </c>
      <c r="BH555" s="46">
        <f t="shared" si="2752"/>
        <v>0</v>
      </c>
      <c r="BI555" s="46">
        <f t="shared" si="2752"/>
        <v>0</v>
      </c>
      <c r="BJ555" s="46">
        <f t="shared" si="2753"/>
        <v>0</v>
      </c>
      <c r="BK555" s="46">
        <f t="shared" si="2754"/>
        <v>0</v>
      </c>
      <c r="BL555" s="46">
        <f t="shared" si="2755"/>
        <v>0</v>
      </c>
      <c r="BM555" s="46">
        <f t="shared" si="2756"/>
        <v>0</v>
      </c>
      <c r="BN555" s="46">
        <f t="shared" si="2757"/>
        <v>0</v>
      </c>
      <c r="BO555" s="46">
        <f t="shared" si="2758"/>
        <v>0</v>
      </c>
      <c r="BP555" s="46">
        <f t="shared" si="2759"/>
        <v>0</v>
      </c>
      <c r="BQ555" s="46">
        <f t="shared" si="2760"/>
        <v>0</v>
      </c>
      <c r="BR555" s="44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/>
      <c r="CR555" s="42"/>
      <c r="CS555" s="42"/>
      <c r="CT555" s="113"/>
      <c r="CU555" s="113"/>
      <c r="CV555" s="44">
        <f t="shared" si="2761"/>
        <v>0</v>
      </c>
      <c r="CW555" s="44">
        <f>AS555</f>
        <v>0</v>
      </c>
      <c r="CX555" s="44">
        <f>AU555</f>
        <v>0</v>
      </c>
      <c r="CY555" s="44">
        <f>AW555</f>
        <v>0</v>
      </c>
      <c r="CZ555" s="45">
        <f>AY555</f>
        <v>0</v>
      </c>
      <c r="DA555" s="44">
        <f t="shared" si="2770"/>
        <v>0</v>
      </c>
      <c r="DB555" s="44">
        <f t="shared" si="2762"/>
        <v>0</v>
      </c>
      <c r="DC555" s="44">
        <f t="shared" si="2763"/>
        <v>0</v>
      </c>
      <c r="DD555" s="44">
        <f t="shared" si="2764"/>
        <v>0</v>
      </c>
      <c r="DE555" s="44">
        <f t="shared" si="2765"/>
        <v>0</v>
      </c>
      <c r="DF555" s="44">
        <f t="shared" si="2766"/>
        <v>0</v>
      </c>
      <c r="DG555" s="44">
        <f t="shared" si="2767"/>
        <v>0</v>
      </c>
      <c r="DH555" s="44">
        <f t="shared" si="2768"/>
        <v>0</v>
      </c>
      <c r="DI555" s="44">
        <f t="shared" si="2769"/>
        <v>0</v>
      </c>
    </row>
    <row r="556" spans="1:113" ht="12" hidden="1" outlineLevel="1">
      <c r="A556" s="1" t="s">
        <v>1022</v>
      </c>
      <c r="B556" s="19" t="s">
        <v>268</v>
      </c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525">
        <v>0</v>
      </c>
      <c r="AQ556" s="525">
        <v>0</v>
      </c>
      <c r="AR556" s="525">
        <v>0</v>
      </c>
      <c r="AS556" s="525">
        <v>0</v>
      </c>
      <c r="AT556" s="525">
        <v>0</v>
      </c>
      <c r="AU556" s="525">
        <v>0</v>
      </c>
      <c r="AV556" s="525">
        <v>0</v>
      </c>
      <c r="AW556" s="525">
        <v>0</v>
      </c>
      <c r="AX556" s="525">
        <v>0</v>
      </c>
      <c r="AY556" s="525">
        <v>0</v>
      </c>
      <c r="AZ556" s="523">
        <v>0</v>
      </c>
      <c r="BA556" s="46">
        <f t="shared" ref="BA556:BI556" si="2771">(AZ556+AZ576)-((BA398+BA433)-(AZ398+AZ433))*20%-BA576</f>
        <v>0</v>
      </c>
      <c r="BB556" s="46">
        <f t="shared" si="2771"/>
        <v>0</v>
      </c>
      <c r="BC556" s="46">
        <f t="shared" si="2771"/>
        <v>0</v>
      </c>
      <c r="BD556" s="46">
        <f t="shared" si="2771"/>
        <v>0</v>
      </c>
      <c r="BE556" s="46">
        <f t="shared" si="2771"/>
        <v>0</v>
      </c>
      <c r="BF556" s="46">
        <f t="shared" si="2771"/>
        <v>0</v>
      </c>
      <c r="BG556" s="46">
        <f t="shared" si="2771"/>
        <v>0</v>
      </c>
      <c r="BH556" s="46">
        <f t="shared" si="2771"/>
        <v>0</v>
      </c>
      <c r="BI556" s="46">
        <f t="shared" si="2771"/>
        <v>0</v>
      </c>
      <c r="BJ556" s="46">
        <f t="shared" ref="BJ556" si="2772">(BI556+BI576)-((BJ398+BJ433)-(BI398+BI433))*20%-BJ576</f>
        <v>0</v>
      </c>
      <c r="BK556" s="46">
        <f t="shared" ref="BK556" si="2773">(BJ556+BJ576)-((BK398+BK433)-(BJ398+BJ433))*20%-BK576</f>
        <v>0</v>
      </c>
      <c r="BL556" s="46">
        <f t="shared" ref="BL556" si="2774">(BK556+BK576)-((BL398+BL433)-(BK398+BK433))*20%-BL576</f>
        <v>0</v>
      </c>
      <c r="BM556" s="46">
        <f t="shared" ref="BM556" si="2775">(BL556+BL576)-((BM398+BM433)-(BL398+BL433))*20%-BM576</f>
        <v>0</v>
      </c>
      <c r="BN556" s="46">
        <f t="shared" ref="BN556" si="2776">(BM556+BM576)-((BN398+BN433)-(BM398+BM433))*20%-BN576</f>
        <v>0</v>
      </c>
      <c r="BO556" s="46">
        <f t="shared" ref="BO556" si="2777">(BN556+BN576)-((BO398+BO433)-(BN398+BN433))*20%-BO576</f>
        <v>0</v>
      </c>
      <c r="BP556" s="46">
        <f t="shared" ref="BP556" si="2778">(BO556+BO576)-((BP398+BP433)-(BO398+BO433))*20%-BP576</f>
        <v>0</v>
      </c>
      <c r="BQ556" s="46">
        <f t="shared" ref="BQ556" si="2779">(BP556+BP576)-((BQ398+BQ433)-(BP398+BP433))*20%-BQ576</f>
        <v>0</v>
      </c>
      <c r="BR556" s="44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113"/>
      <c r="CU556" s="113"/>
      <c r="CV556" s="44">
        <f t="shared" si="2761"/>
        <v>0</v>
      </c>
      <c r="CW556" s="44">
        <f>AS556</f>
        <v>0</v>
      </c>
      <c r="CX556" s="44">
        <f>AU556</f>
        <v>0</v>
      </c>
      <c r="CY556" s="44">
        <f>AW556</f>
        <v>0</v>
      </c>
      <c r="CZ556" s="45">
        <f>AY556</f>
        <v>0</v>
      </c>
      <c r="DA556" s="44">
        <f t="shared" si="2770"/>
        <v>0</v>
      </c>
      <c r="DB556" s="44">
        <f t="shared" si="2762"/>
        <v>0</v>
      </c>
      <c r="DC556" s="44">
        <f t="shared" si="2763"/>
        <v>0</v>
      </c>
      <c r="DD556" s="44">
        <f t="shared" si="2764"/>
        <v>0</v>
      </c>
      <c r="DE556" s="44">
        <f t="shared" si="2765"/>
        <v>0</v>
      </c>
      <c r="DF556" s="44">
        <f t="shared" si="2766"/>
        <v>0</v>
      </c>
      <c r="DG556" s="44">
        <f t="shared" si="2767"/>
        <v>0</v>
      </c>
      <c r="DH556" s="44">
        <f t="shared" si="2768"/>
        <v>0</v>
      </c>
      <c r="DI556" s="44">
        <f t="shared" si="2769"/>
        <v>0</v>
      </c>
    </row>
    <row r="557" spans="1:113" ht="12" hidden="1" outlineLevel="2">
      <c r="A557" s="1" t="s">
        <v>1023</v>
      </c>
      <c r="B557" s="19" t="s">
        <v>801</v>
      </c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4"/>
      <c r="AQ557" s="44"/>
      <c r="AR557" s="44"/>
      <c r="AS557" s="44"/>
      <c r="AT557" s="44"/>
      <c r="AU557" s="44"/>
      <c r="AV557" s="44"/>
      <c r="AW557" s="44"/>
      <c r="AX557" s="44"/>
      <c r="AY557" s="44"/>
      <c r="AZ557" s="45"/>
      <c r="BA557" s="44"/>
      <c r="BB557" s="44"/>
      <c r="BC557" s="44"/>
      <c r="BD557" s="44"/>
      <c r="BE557" s="44"/>
      <c r="BF557" s="44"/>
      <c r="BG557" s="44"/>
      <c r="BH557" s="44"/>
      <c r="BI557" s="44"/>
      <c r="BJ557" s="44"/>
      <c r="BK557" s="44"/>
      <c r="BL557" s="44"/>
      <c r="BM557" s="44"/>
      <c r="BN557" s="44"/>
      <c r="BO557" s="44"/>
      <c r="BP557" s="44"/>
      <c r="BQ557" s="44"/>
      <c r="BR557" s="44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4">
        <f t="shared" si="2761"/>
        <v>0</v>
      </c>
      <c r="CW557" s="44"/>
      <c r="CX557" s="44"/>
      <c r="CY557" s="44"/>
      <c r="CZ557" s="45"/>
      <c r="DA557" s="44">
        <f t="shared" si="2770"/>
        <v>0</v>
      </c>
      <c r="DB557" s="44">
        <f t="shared" si="2762"/>
        <v>0</v>
      </c>
      <c r="DC557" s="44">
        <f t="shared" si="2763"/>
        <v>0</v>
      </c>
      <c r="DD557" s="44">
        <f t="shared" si="2764"/>
        <v>0</v>
      </c>
      <c r="DE557" s="44">
        <f t="shared" si="2765"/>
        <v>0</v>
      </c>
      <c r="DF557" s="44">
        <f t="shared" si="2766"/>
        <v>0</v>
      </c>
      <c r="DG557" s="44">
        <f t="shared" si="2767"/>
        <v>0</v>
      </c>
      <c r="DH557" s="44">
        <f t="shared" si="2768"/>
        <v>0</v>
      </c>
      <c r="DI557" s="44">
        <f t="shared" si="2769"/>
        <v>0</v>
      </c>
    </row>
    <row r="558" spans="1:113" ht="12" hidden="1" outlineLevel="2">
      <c r="A558" s="1" t="s">
        <v>62</v>
      </c>
      <c r="B558" s="19" t="s">
        <v>801</v>
      </c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4"/>
      <c r="AQ558" s="44"/>
      <c r="AR558" s="44"/>
      <c r="AS558" s="44"/>
      <c r="AT558" s="44"/>
      <c r="AU558" s="44"/>
      <c r="AV558" s="44"/>
      <c r="AW558" s="44"/>
      <c r="AX558" s="44"/>
      <c r="AY558" s="44"/>
      <c r="AZ558" s="45"/>
      <c r="BA558" s="44"/>
      <c r="BB558" s="44"/>
      <c r="BC558" s="44"/>
      <c r="BD558" s="44"/>
      <c r="BE558" s="44"/>
      <c r="BF558" s="44"/>
      <c r="BG558" s="44"/>
      <c r="BH558" s="44"/>
      <c r="BI558" s="44"/>
      <c r="BJ558" s="44"/>
      <c r="BK558" s="44"/>
      <c r="BL558" s="44"/>
      <c r="BM558" s="44"/>
      <c r="BN558" s="44"/>
      <c r="BO558" s="44"/>
      <c r="BP558" s="44"/>
      <c r="BQ558" s="44"/>
      <c r="BR558" s="44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4">
        <f t="shared" si="2761"/>
        <v>0</v>
      </c>
      <c r="CW558" s="44"/>
      <c r="CX558" s="44"/>
      <c r="CY558" s="44"/>
      <c r="CZ558" s="45"/>
      <c r="DA558" s="44">
        <f t="shared" si="2770"/>
        <v>0</v>
      </c>
      <c r="DB558" s="44">
        <f t="shared" si="2762"/>
        <v>0</v>
      </c>
      <c r="DC558" s="44">
        <f t="shared" si="2763"/>
        <v>0</v>
      </c>
      <c r="DD558" s="44">
        <f t="shared" si="2764"/>
        <v>0</v>
      </c>
      <c r="DE558" s="44">
        <f t="shared" si="2765"/>
        <v>0</v>
      </c>
      <c r="DF558" s="44">
        <f t="shared" si="2766"/>
        <v>0</v>
      </c>
      <c r="DG558" s="44">
        <f t="shared" si="2767"/>
        <v>0</v>
      </c>
      <c r="DH558" s="44">
        <f t="shared" si="2768"/>
        <v>0</v>
      </c>
      <c r="DI558" s="44">
        <f t="shared" si="2769"/>
        <v>0</v>
      </c>
    </row>
    <row r="559" spans="1:113" ht="12" hidden="1" outlineLevel="2">
      <c r="A559" s="1" t="s">
        <v>63</v>
      </c>
      <c r="B559" s="19" t="s">
        <v>801</v>
      </c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4"/>
      <c r="AQ559" s="44"/>
      <c r="AR559" s="44"/>
      <c r="AS559" s="44"/>
      <c r="AT559" s="44"/>
      <c r="AU559" s="44"/>
      <c r="AV559" s="44"/>
      <c r="AW559" s="44"/>
      <c r="AX559" s="44"/>
      <c r="AY559" s="44"/>
      <c r="AZ559" s="45"/>
      <c r="BA559" s="44"/>
      <c r="BB559" s="44"/>
      <c r="BC559" s="44"/>
      <c r="BD559" s="44"/>
      <c r="BE559" s="44"/>
      <c r="BF559" s="44"/>
      <c r="BG559" s="44"/>
      <c r="BH559" s="44"/>
      <c r="BI559" s="44"/>
      <c r="BJ559" s="44"/>
      <c r="BK559" s="44"/>
      <c r="BL559" s="44"/>
      <c r="BM559" s="44"/>
      <c r="BN559" s="44"/>
      <c r="BO559" s="44"/>
      <c r="BP559" s="44"/>
      <c r="BQ559" s="44"/>
      <c r="BR559" s="44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2"/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/>
      <c r="CT559" s="42"/>
      <c r="CU559" s="42"/>
      <c r="CV559" s="44">
        <f t="shared" si="2761"/>
        <v>0</v>
      </c>
      <c r="CW559" s="44"/>
      <c r="CX559" s="44"/>
      <c r="CY559" s="44"/>
      <c r="CZ559" s="45"/>
      <c r="DA559" s="44">
        <f t="shared" si="2770"/>
        <v>0</v>
      </c>
      <c r="DB559" s="44">
        <f t="shared" si="2762"/>
        <v>0</v>
      </c>
      <c r="DC559" s="44">
        <f t="shared" si="2763"/>
        <v>0</v>
      </c>
      <c r="DD559" s="44">
        <f t="shared" si="2764"/>
        <v>0</v>
      </c>
      <c r="DE559" s="44">
        <f t="shared" si="2765"/>
        <v>0</v>
      </c>
      <c r="DF559" s="44">
        <f t="shared" si="2766"/>
        <v>0</v>
      </c>
      <c r="DG559" s="44">
        <f t="shared" si="2767"/>
        <v>0</v>
      </c>
      <c r="DH559" s="44">
        <f t="shared" si="2768"/>
        <v>0</v>
      </c>
      <c r="DI559" s="44">
        <f t="shared" si="2769"/>
        <v>0</v>
      </c>
    </row>
    <row r="560" spans="1:113" ht="12" hidden="1" outlineLevel="2">
      <c r="A560" s="1" t="s">
        <v>64</v>
      </c>
      <c r="B560" s="19" t="s">
        <v>801</v>
      </c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4"/>
      <c r="AQ560" s="44"/>
      <c r="AR560" s="44"/>
      <c r="AS560" s="44"/>
      <c r="AT560" s="44"/>
      <c r="AU560" s="44"/>
      <c r="AV560" s="44"/>
      <c r="AW560" s="44"/>
      <c r="AX560" s="44"/>
      <c r="AY560" s="44"/>
      <c r="AZ560" s="45"/>
      <c r="BA560" s="44"/>
      <c r="BB560" s="44"/>
      <c r="BC560" s="44"/>
      <c r="BD560" s="44"/>
      <c r="BE560" s="44"/>
      <c r="BF560" s="44"/>
      <c r="BG560" s="44"/>
      <c r="BH560" s="44"/>
      <c r="BI560" s="44"/>
      <c r="BJ560" s="44"/>
      <c r="BK560" s="44"/>
      <c r="BL560" s="44"/>
      <c r="BM560" s="44"/>
      <c r="BN560" s="44"/>
      <c r="BO560" s="44"/>
      <c r="BP560" s="44"/>
      <c r="BQ560" s="44"/>
      <c r="BR560" s="44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4">
        <f t="shared" si="2761"/>
        <v>0</v>
      </c>
      <c r="CW560" s="44"/>
      <c r="CX560" s="44"/>
      <c r="CY560" s="44"/>
      <c r="CZ560" s="45"/>
      <c r="DA560" s="44">
        <f t="shared" si="2770"/>
        <v>0</v>
      </c>
      <c r="DB560" s="44">
        <f t="shared" si="2762"/>
        <v>0</v>
      </c>
      <c r="DC560" s="44">
        <f t="shared" si="2763"/>
        <v>0</v>
      </c>
      <c r="DD560" s="44">
        <f t="shared" si="2764"/>
        <v>0</v>
      </c>
      <c r="DE560" s="44">
        <f t="shared" si="2765"/>
        <v>0</v>
      </c>
      <c r="DF560" s="44">
        <f t="shared" si="2766"/>
        <v>0</v>
      </c>
      <c r="DG560" s="44">
        <f t="shared" si="2767"/>
        <v>0</v>
      </c>
      <c r="DH560" s="44">
        <f t="shared" si="2768"/>
        <v>0</v>
      </c>
      <c r="DI560" s="44">
        <f t="shared" si="2769"/>
        <v>0</v>
      </c>
    </row>
    <row r="561" spans="1:113" ht="12" hidden="1" outlineLevel="1" collapsed="1">
      <c r="A561" s="1" t="s">
        <v>1024</v>
      </c>
      <c r="B561" s="19" t="s">
        <v>269</v>
      </c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4">
        <f t="shared" ref="AP561:AR561" si="2780">AP562-SUM(AP553:AP560)</f>
        <v>0</v>
      </c>
      <c r="AQ561" s="44">
        <f t="shared" si="2780"/>
        <v>0</v>
      </c>
      <c r="AR561" s="44">
        <f t="shared" si="2780"/>
        <v>0</v>
      </c>
      <c r="AS561" s="44">
        <f t="shared" ref="AS561:AT561" si="2781">AS562-SUM(AS553:AS560)</f>
        <v>0</v>
      </c>
      <c r="AT561" s="44">
        <f t="shared" si="2781"/>
        <v>0</v>
      </c>
      <c r="AU561" s="44">
        <f t="shared" ref="AU561:AV561" si="2782">AU562-SUM(AU553:AU560)</f>
        <v>0</v>
      </c>
      <c r="AV561" s="44">
        <f t="shared" si="2782"/>
        <v>0</v>
      </c>
      <c r="AW561" s="44">
        <f t="shared" ref="AW561:AX561" si="2783">AW562-SUM(AW553:AW560)</f>
        <v>0</v>
      </c>
      <c r="AX561" s="44">
        <f t="shared" si="2783"/>
        <v>0</v>
      </c>
      <c r="AY561" s="44">
        <v>0</v>
      </c>
      <c r="AZ561" s="45">
        <f t="shared" ref="AZ561" si="2784">AZ562-SUM(AZ553:AZ560)</f>
        <v>0</v>
      </c>
      <c r="BA561" s="46">
        <f t="shared" ref="BA561:BI561" si="2785">AZ561</f>
        <v>0</v>
      </c>
      <c r="BB561" s="46">
        <f t="shared" si="2785"/>
        <v>0</v>
      </c>
      <c r="BC561" s="46">
        <f t="shared" si="2785"/>
        <v>0</v>
      </c>
      <c r="BD561" s="46">
        <f t="shared" si="2785"/>
        <v>0</v>
      </c>
      <c r="BE561" s="46">
        <f t="shared" si="2785"/>
        <v>0</v>
      </c>
      <c r="BF561" s="46">
        <f t="shared" si="2785"/>
        <v>0</v>
      </c>
      <c r="BG561" s="46">
        <f t="shared" si="2785"/>
        <v>0</v>
      </c>
      <c r="BH561" s="46">
        <f t="shared" si="2785"/>
        <v>0</v>
      </c>
      <c r="BI561" s="46">
        <f t="shared" si="2785"/>
        <v>0</v>
      </c>
      <c r="BJ561" s="46">
        <f t="shared" ref="BJ561" si="2786">BI561</f>
        <v>0</v>
      </c>
      <c r="BK561" s="46">
        <f t="shared" ref="BK561" si="2787">BJ561</f>
        <v>0</v>
      </c>
      <c r="BL561" s="46">
        <f t="shared" ref="BL561" si="2788">BK561</f>
        <v>0</v>
      </c>
      <c r="BM561" s="46">
        <f t="shared" ref="BM561" si="2789">BL561</f>
        <v>0</v>
      </c>
      <c r="BN561" s="46">
        <f t="shared" ref="BN561" si="2790">BM561</f>
        <v>0</v>
      </c>
      <c r="BO561" s="46">
        <f t="shared" ref="BO561" si="2791">BN561</f>
        <v>0</v>
      </c>
      <c r="BP561" s="46">
        <f t="shared" ref="BP561" si="2792">BO561</f>
        <v>0</v>
      </c>
      <c r="BQ561" s="46">
        <f t="shared" ref="BQ561" si="2793">BP561</f>
        <v>0</v>
      </c>
      <c r="BR561" s="44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4">
        <f t="shared" si="2761"/>
        <v>0</v>
      </c>
      <c r="CW561" s="44">
        <f>AS561</f>
        <v>0</v>
      </c>
      <c r="CX561" s="44">
        <f>AU561</f>
        <v>0</v>
      </c>
      <c r="CY561" s="44">
        <f>AW561</f>
        <v>0</v>
      </c>
      <c r="CZ561" s="45">
        <f>AY561</f>
        <v>0</v>
      </c>
      <c r="DA561" s="44">
        <f t="shared" si="2770"/>
        <v>0</v>
      </c>
      <c r="DB561" s="44">
        <f t="shared" si="2762"/>
        <v>0</v>
      </c>
      <c r="DC561" s="44">
        <f t="shared" si="2763"/>
        <v>0</v>
      </c>
      <c r="DD561" s="44">
        <f t="shared" si="2764"/>
        <v>0</v>
      </c>
      <c r="DE561" s="44">
        <f t="shared" si="2765"/>
        <v>0</v>
      </c>
      <c r="DF561" s="44">
        <f t="shared" si="2766"/>
        <v>0</v>
      </c>
      <c r="DG561" s="44">
        <f t="shared" si="2767"/>
        <v>0</v>
      </c>
      <c r="DH561" s="44">
        <f t="shared" si="2768"/>
        <v>0</v>
      </c>
      <c r="DI561" s="44">
        <f t="shared" si="2769"/>
        <v>0</v>
      </c>
    </row>
    <row r="562" spans="1:113" s="24" customFormat="1" ht="12" hidden="1" outlineLevel="1">
      <c r="A562" s="1" t="s">
        <v>1025</v>
      </c>
      <c r="B562" s="24" t="s">
        <v>166</v>
      </c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  <c r="AJ562" s="55"/>
      <c r="AK562" s="55"/>
      <c r="AL562" s="55"/>
      <c r="AM562" s="55"/>
      <c r="AN562" s="55"/>
      <c r="AO562" s="55"/>
      <c r="AP562" s="521">
        <v>0</v>
      </c>
      <c r="AQ562" s="521">
        <v>0</v>
      </c>
      <c r="AR562" s="521">
        <v>0</v>
      </c>
      <c r="AS562" s="521">
        <v>0</v>
      </c>
      <c r="AT562" s="521">
        <v>0</v>
      </c>
      <c r="AU562" s="521">
        <v>0</v>
      </c>
      <c r="AV562" s="521">
        <v>0</v>
      </c>
      <c r="AW562" s="521">
        <v>0</v>
      </c>
      <c r="AX562" s="521">
        <v>0</v>
      </c>
      <c r="AY562" s="521">
        <v>0</v>
      </c>
      <c r="AZ562" s="522">
        <v>0</v>
      </c>
      <c r="BA562" s="526">
        <f t="shared" ref="BA562:BI562" si="2794">SUM(BA553:BA561)</f>
        <v>0</v>
      </c>
      <c r="BB562" s="526">
        <f t="shared" si="2794"/>
        <v>0</v>
      </c>
      <c r="BC562" s="526">
        <f t="shared" si="2794"/>
        <v>0</v>
      </c>
      <c r="BD562" s="526">
        <f t="shared" si="2794"/>
        <v>0</v>
      </c>
      <c r="BE562" s="526">
        <f t="shared" si="2794"/>
        <v>0</v>
      </c>
      <c r="BF562" s="526">
        <f t="shared" si="2794"/>
        <v>0</v>
      </c>
      <c r="BG562" s="526">
        <f t="shared" si="2794"/>
        <v>0</v>
      </c>
      <c r="BH562" s="526">
        <f t="shared" si="2794"/>
        <v>0</v>
      </c>
      <c r="BI562" s="526">
        <f t="shared" si="2794"/>
        <v>0</v>
      </c>
      <c r="BJ562" s="526">
        <f t="shared" ref="BJ562:BK562" si="2795">SUM(BJ553:BJ561)</f>
        <v>0</v>
      </c>
      <c r="BK562" s="526">
        <f t="shared" si="2795"/>
        <v>0</v>
      </c>
      <c r="BL562" s="526">
        <f t="shared" ref="BL562:BM562" si="2796">SUM(BL553:BL561)</f>
        <v>0</v>
      </c>
      <c r="BM562" s="526">
        <f t="shared" si="2796"/>
        <v>0</v>
      </c>
      <c r="BN562" s="526">
        <f t="shared" ref="BN562:BO562" si="2797">SUM(BN553:BN561)</f>
        <v>0</v>
      </c>
      <c r="BO562" s="526">
        <f t="shared" si="2797"/>
        <v>0</v>
      </c>
      <c r="BP562" s="526">
        <f t="shared" ref="BP562:BQ562" si="2798">SUM(BP553:BP561)</f>
        <v>0</v>
      </c>
      <c r="BQ562" s="526">
        <f t="shared" si="2798"/>
        <v>0</v>
      </c>
      <c r="BR562" s="526"/>
      <c r="BS562" s="55"/>
      <c r="BT562" s="55"/>
      <c r="BU562" s="55"/>
      <c r="BV562" s="55"/>
      <c r="BW562" s="55"/>
      <c r="BX562" s="55"/>
      <c r="BY562" s="55"/>
      <c r="BZ562" s="55"/>
      <c r="CA562" s="55"/>
      <c r="CB562" s="55"/>
      <c r="CC562" s="55"/>
      <c r="CD562" s="55"/>
      <c r="CE562" s="55"/>
      <c r="CF562" s="55"/>
      <c r="CG562" s="55"/>
      <c r="CH562" s="55"/>
      <c r="CI562" s="55"/>
      <c r="CJ562" s="55"/>
      <c r="CK562" s="55"/>
      <c r="CL562" s="55"/>
      <c r="CM562" s="55"/>
      <c r="CN562" s="55"/>
      <c r="CO562" s="55"/>
      <c r="CP562" s="55"/>
      <c r="CQ562" s="55"/>
      <c r="CR562" s="55"/>
      <c r="CS562" s="55"/>
      <c r="CT562" s="117"/>
      <c r="CU562" s="117"/>
      <c r="CV562" s="526">
        <f t="shared" si="2761"/>
        <v>0</v>
      </c>
      <c r="CW562" s="526">
        <f t="shared" ref="CW562:DF562" si="2799">SUM(CW553:CW561)</f>
        <v>0</v>
      </c>
      <c r="CX562" s="526">
        <f t="shared" si="2799"/>
        <v>0</v>
      </c>
      <c r="CY562" s="526">
        <f t="shared" si="2799"/>
        <v>0</v>
      </c>
      <c r="CZ562" s="524">
        <f t="shared" si="2799"/>
        <v>0</v>
      </c>
      <c r="DA562" s="526">
        <f t="shared" si="2799"/>
        <v>0</v>
      </c>
      <c r="DB562" s="526">
        <f t="shared" si="2799"/>
        <v>0</v>
      </c>
      <c r="DC562" s="526">
        <f t="shared" si="2799"/>
        <v>0</v>
      </c>
      <c r="DD562" s="526">
        <f t="shared" si="2799"/>
        <v>0</v>
      </c>
      <c r="DE562" s="526">
        <f t="shared" si="2799"/>
        <v>0</v>
      </c>
      <c r="DF562" s="526">
        <f t="shared" si="2799"/>
        <v>0</v>
      </c>
      <c r="DG562" s="526">
        <f t="shared" ref="DG562:DH562" si="2800">SUM(DG553:DG561)</f>
        <v>0</v>
      </c>
      <c r="DH562" s="526">
        <f t="shared" si="2800"/>
        <v>0</v>
      </c>
      <c r="DI562" s="526">
        <f t="shared" ref="DI562" si="2801">SUM(DI553:DI561)</f>
        <v>0</v>
      </c>
    </row>
    <row r="563" spans="1:113" ht="12" hidden="1" outlineLevel="1"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4"/>
      <c r="AQ563" s="44"/>
      <c r="AR563" s="44"/>
      <c r="AS563" s="44"/>
      <c r="AT563" s="44"/>
      <c r="AU563" s="44"/>
      <c r="AV563" s="44"/>
      <c r="AW563" s="44"/>
      <c r="AX563" s="44"/>
      <c r="AY563" s="44"/>
      <c r="AZ563" s="45"/>
      <c r="BA563" s="44"/>
      <c r="BB563" s="44"/>
      <c r="BC563" s="44"/>
      <c r="BD563" s="44"/>
      <c r="BE563" s="44"/>
      <c r="BF563" s="44"/>
      <c r="BG563" s="44"/>
      <c r="BH563" s="44"/>
      <c r="BI563" s="44"/>
      <c r="BJ563" s="44"/>
      <c r="BK563" s="44"/>
      <c r="BL563" s="44"/>
      <c r="BM563" s="44"/>
      <c r="BN563" s="44"/>
      <c r="BO563" s="44"/>
      <c r="BP563" s="44"/>
      <c r="BQ563" s="44"/>
      <c r="BR563" s="44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4"/>
      <c r="CW563" s="44"/>
      <c r="CX563" s="44"/>
      <c r="CY563" s="44"/>
      <c r="CZ563" s="45"/>
      <c r="DA563" s="44"/>
      <c r="DB563" s="44"/>
      <c r="DC563" s="529"/>
      <c r="DD563" s="529"/>
      <c r="DE563" s="529"/>
      <c r="DF563" s="529"/>
      <c r="DG563" s="529"/>
      <c r="DH563" s="529"/>
      <c r="DI563" s="529"/>
    </row>
    <row r="564" spans="1:113" s="24" customFormat="1" ht="12" hidden="1" outlineLevel="1">
      <c r="A564" s="1" t="s">
        <v>1026</v>
      </c>
      <c r="B564" s="62" t="s">
        <v>906</v>
      </c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  <c r="AJ564" s="55"/>
      <c r="AK564" s="55"/>
      <c r="AL564" s="55"/>
      <c r="AM564" s="55"/>
      <c r="AN564" s="55"/>
      <c r="AO564" s="55"/>
      <c r="AP564" s="526">
        <f t="shared" ref="AP564:AR564" si="2802">AP550+AP562</f>
        <v>684.5</v>
      </c>
      <c r="AQ564" s="526">
        <f t="shared" si="2802"/>
        <v>1075.7000000000003</v>
      </c>
      <c r="AR564" s="526">
        <f t="shared" si="2802"/>
        <v>1395.1</v>
      </c>
      <c r="AS564" s="526">
        <f t="shared" ref="AS564:AT564" si="2803">AS550+AS562</f>
        <v>1404.6000000000001</v>
      </c>
      <c r="AT564" s="526">
        <f t="shared" si="2803"/>
        <v>1442</v>
      </c>
      <c r="AU564" s="526">
        <f t="shared" ref="AU564:AV564" si="2804">AU550+AU562</f>
        <v>1477.1</v>
      </c>
      <c r="AV564" s="526">
        <f t="shared" si="2804"/>
        <v>1550.5</v>
      </c>
      <c r="AW564" s="526">
        <f t="shared" ref="AW564:AX564" si="2805">AW550+AW562</f>
        <v>1565.3</v>
      </c>
      <c r="AX564" s="526">
        <f t="shared" si="2805"/>
        <v>1626.4</v>
      </c>
      <c r="AY564" s="526">
        <f t="shared" ref="AY564:BI564" si="2806">AY550+AY562</f>
        <v>1686.6</v>
      </c>
      <c r="AZ564" s="524">
        <f t="shared" si="2806"/>
        <v>1725.3</v>
      </c>
      <c r="BA564" s="526">
        <f t="shared" si="2806"/>
        <v>1798.7623215140325</v>
      </c>
      <c r="BB564" s="526">
        <f t="shared" si="2806"/>
        <v>1878.6124038821968</v>
      </c>
      <c r="BC564" s="526">
        <f t="shared" si="2806"/>
        <v>1961.3260362007127</v>
      </c>
      <c r="BD564" s="526">
        <f t="shared" si="2806"/>
        <v>2202.6292380154846</v>
      </c>
      <c r="BE564" s="526">
        <f t="shared" si="2806"/>
        <v>2308.4710328173446</v>
      </c>
      <c r="BF564" s="526">
        <f t="shared" si="2806"/>
        <v>2429.5550348089255</v>
      </c>
      <c r="BG564" s="526">
        <f t="shared" si="2806"/>
        <v>2561.5575074860694</v>
      </c>
      <c r="BH564" s="526">
        <f t="shared" si="2806"/>
        <v>2707.1564668647457</v>
      </c>
      <c r="BI564" s="526">
        <f t="shared" si="2806"/>
        <v>2822.9568300924384</v>
      </c>
      <c r="BJ564" s="526">
        <f t="shared" ref="BJ564:BK564" si="2807">BJ550+BJ562</f>
        <v>2927.4826524828104</v>
      </c>
      <c r="BK564" s="526">
        <f t="shared" si="2807"/>
        <v>3048.5680844933236</v>
      </c>
      <c r="BL564" s="526">
        <f t="shared" ref="BL564:BM564" si="2808">BL550+BL562</f>
        <v>3156.4314174299698</v>
      </c>
      <c r="BM564" s="526">
        <f t="shared" si="2808"/>
        <v>3268.2155468264</v>
      </c>
      <c r="BN564" s="526">
        <f t="shared" ref="BN564:BO564" si="2809">BN550+BN562</f>
        <v>3365.9311287725923</v>
      </c>
      <c r="BO564" s="526">
        <f t="shared" si="2809"/>
        <v>3464.8759411049059</v>
      </c>
      <c r="BP564" s="526">
        <f t="shared" ref="BP564:BQ564" si="2810">BP550+BP562</f>
        <v>3561.8351687981913</v>
      </c>
      <c r="BQ564" s="526">
        <f t="shared" si="2810"/>
        <v>3659.7518105691402</v>
      </c>
      <c r="BR564" s="526"/>
      <c r="BS564" s="55"/>
      <c r="BT564" s="55"/>
      <c r="BU564" s="55"/>
      <c r="BV564" s="55"/>
      <c r="BW564" s="55"/>
      <c r="BX564" s="55"/>
      <c r="BY564" s="55"/>
      <c r="BZ564" s="55"/>
      <c r="CA564" s="55"/>
      <c r="CB564" s="55"/>
      <c r="CC564" s="55"/>
      <c r="CD564" s="55"/>
      <c r="CE564" s="55"/>
      <c r="CF564" s="55"/>
      <c r="CG564" s="55"/>
      <c r="CH564" s="55"/>
      <c r="CI564" s="55"/>
      <c r="CJ564" s="55"/>
      <c r="CK564" s="55"/>
      <c r="CL564" s="55"/>
      <c r="CM564" s="55"/>
      <c r="CN564" s="55"/>
      <c r="CO564" s="55"/>
      <c r="CP564" s="55"/>
      <c r="CQ564" s="55"/>
      <c r="CR564" s="55"/>
      <c r="CS564" s="55"/>
      <c r="CT564" s="55"/>
      <c r="CU564" s="55"/>
      <c r="CV564" s="526">
        <f t="shared" ref="CV564:DF564" si="2811">CV550+CV562</f>
        <v>1075.7000000000003</v>
      </c>
      <c r="CW564" s="526">
        <f t="shared" si="2811"/>
        <v>1404.6</v>
      </c>
      <c r="CX564" s="526">
        <f t="shared" si="2811"/>
        <v>1477.1</v>
      </c>
      <c r="CY564" s="526">
        <f t="shared" si="2811"/>
        <v>1565.3</v>
      </c>
      <c r="CZ564" s="524">
        <f t="shared" si="2811"/>
        <v>1686.6</v>
      </c>
      <c r="DA564" s="526">
        <f t="shared" si="2811"/>
        <v>1798.7623215140327</v>
      </c>
      <c r="DB564" s="526">
        <f t="shared" si="2811"/>
        <v>1961.3260362007131</v>
      </c>
      <c r="DC564" s="526">
        <f t="shared" si="2811"/>
        <v>2308.4710328173446</v>
      </c>
      <c r="DD564" s="526">
        <f t="shared" si="2811"/>
        <v>2561.5575074860694</v>
      </c>
      <c r="DE564" s="526">
        <f t="shared" si="2811"/>
        <v>2822.9568300924384</v>
      </c>
      <c r="DF564" s="526">
        <f t="shared" si="2811"/>
        <v>3048.5680844933236</v>
      </c>
      <c r="DG564" s="526">
        <f t="shared" ref="DG564:DH564" si="2812">DG550+DG562</f>
        <v>3268.2155468264</v>
      </c>
      <c r="DH564" s="526">
        <f t="shared" si="2812"/>
        <v>3464.8759411049055</v>
      </c>
      <c r="DI564" s="526">
        <f t="shared" ref="DI564" si="2813">DI550+DI562</f>
        <v>3659.7518105691397</v>
      </c>
    </row>
    <row r="565" spans="1:113" ht="12" hidden="1" outlineLevel="1">
      <c r="A565" s="1" t="s">
        <v>1027</v>
      </c>
      <c r="B565" s="63" t="s">
        <v>907</v>
      </c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525">
        <v>0</v>
      </c>
      <c r="AQ565" s="525">
        <v>0</v>
      </c>
      <c r="AR565" s="525">
        <v>0</v>
      </c>
      <c r="AS565" s="525">
        <v>0</v>
      </c>
      <c r="AT565" s="525">
        <v>0</v>
      </c>
      <c r="AU565" s="525">
        <v>0</v>
      </c>
      <c r="AV565" s="525">
        <v>75</v>
      </c>
      <c r="AW565" s="525">
        <v>75</v>
      </c>
      <c r="AX565" s="525">
        <v>75</v>
      </c>
      <c r="AY565" s="525">
        <v>75</v>
      </c>
      <c r="AZ565" s="523">
        <v>75</v>
      </c>
      <c r="BA565" s="46">
        <f t="shared" ref="BA565:BI566" si="2814">AZ565</f>
        <v>75</v>
      </c>
      <c r="BB565" s="46">
        <f t="shared" si="2814"/>
        <v>75</v>
      </c>
      <c r="BC565" s="46">
        <f t="shared" si="2814"/>
        <v>75</v>
      </c>
      <c r="BD565" s="46">
        <f t="shared" si="2814"/>
        <v>75</v>
      </c>
      <c r="BE565" s="46">
        <f t="shared" si="2814"/>
        <v>75</v>
      </c>
      <c r="BF565" s="46">
        <f t="shared" si="2814"/>
        <v>75</v>
      </c>
      <c r="BG565" s="46">
        <f t="shared" si="2814"/>
        <v>75</v>
      </c>
      <c r="BH565" s="46">
        <f t="shared" si="2814"/>
        <v>75</v>
      </c>
      <c r="BI565" s="46">
        <f t="shared" si="2814"/>
        <v>75</v>
      </c>
      <c r="BJ565" s="46">
        <f t="shared" ref="BJ565:BJ566" si="2815">BI565</f>
        <v>75</v>
      </c>
      <c r="BK565" s="46">
        <f t="shared" ref="BK565:BK566" si="2816">BJ565</f>
        <v>75</v>
      </c>
      <c r="BL565" s="46">
        <f t="shared" ref="BL565:BL566" si="2817">BK565</f>
        <v>75</v>
      </c>
      <c r="BM565" s="46">
        <f t="shared" ref="BM565:BM566" si="2818">BL565</f>
        <v>75</v>
      </c>
      <c r="BN565" s="46">
        <f t="shared" ref="BN565:BN566" si="2819">BM565</f>
        <v>75</v>
      </c>
      <c r="BO565" s="46">
        <f t="shared" ref="BO565:BO566" si="2820">BN565</f>
        <v>75</v>
      </c>
      <c r="BP565" s="46">
        <f t="shared" ref="BP565:BP566" si="2821">BO565</f>
        <v>75</v>
      </c>
      <c r="BQ565" s="46">
        <f t="shared" ref="BQ565:BQ566" si="2822">BP565</f>
        <v>75</v>
      </c>
      <c r="BR565" s="44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113"/>
      <c r="CU565" s="113"/>
      <c r="CV565" s="44">
        <f t="shared" ref="CV565:CV567" si="2823">AQ565</f>
        <v>0</v>
      </c>
      <c r="CW565" s="44">
        <f>AS565</f>
        <v>0</v>
      </c>
      <c r="CX565" s="44">
        <f>AU565</f>
        <v>0</v>
      </c>
      <c r="CY565" s="44">
        <f>AW565</f>
        <v>75</v>
      </c>
      <c r="CZ565" s="45">
        <f>AY565</f>
        <v>75</v>
      </c>
      <c r="DA565" s="44">
        <f t="shared" ref="DA565:DA567" si="2824">BA565</f>
        <v>75</v>
      </c>
      <c r="DB565" s="44">
        <f>BC565</f>
        <v>75</v>
      </c>
      <c r="DC565" s="44">
        <f>BE565</f>
        <v>75</v>
      </c>
      <c r="DD565" s="44">
        <f>BG565</f>
        <v>75</v>
      </c>
      <c r="DE565" s="44">
        <f>BI565</f>
        <v>75</v>
      </c>
      <c r="DF565" s="44">
        <f>BK565</f>
        <v>75</v>
      </c>
      <c r="DG565" s="44">
        <f>BM565</f>
        <v>75</v>
      </c>
      <c r="DH565" s="44">
        <f>BO565</f>
        <v>75</v>
      </c>
      <c r="DI565" s="44">
        <f>BQ565</f>
        <v>75</v>
      </c>
    </row>
    <row r="566" spans="1:113" ht="12" hidden="1" outlineLevel="1">
      <c r="A566" s="1" t="s">
        <v>1028</v>
      </c>
      <c r="B566" s="63" t="s">
        <v>908</v>
      </c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525">
        <v>0</v>
      </c>
      <c r="AQ566" s="525">
        <v>0</v>
      </c>
      <c r="AR566" s="525">
        <v>0</v>
      </c>
      <c r="AS566" s="525">
        <v>0</v>
      </c>
      <c r="AT566" s="525">
        <v>0</v>
      </c>
      <c r="AU566" s="525">
        <v>0</v>
      </c>
      <c r="AV566" s="525">
        <v>0</v>
      </c>
      <c r="AW566" s="525">
        <v>0</v>
      </c>
      <c r="AX566" s="525">
        <v>0</v>
      </c>
      <c r="AY566" s="525">
        <v>0</v>
      </c>
      <c r="AZ566" s="523">
        <v>0</v>
      </c>
      <c r="BA566" s="46">
        <f t="shared" si="2814"/>
        <v>0</v>
      </c>
      <c r="BB566" s="46">
        <f t="shared" si="2814"/>
        <v>0</v>
      </c>
      <c r="BC566" s="46">
        <f t="shared" si="2814"/>
        <v>0</v>
      </c>
      <c r="BD566" s="46">
        <f t="shared" si="2814"/>
        <v>0</v>
      </c>
      <c r="BE566" s="46">
        <f t="shared" si="2814"/>
        <v>0</v>
      </c>
      <c r="BF566" s="46">
        <f t="shared" si="2814"/>
        <v>0</v>
      </c>
      <c r="BG566" s="46">
        <f t="shared" si="2814"/>
        <v>0</v>
      </c>
      <c r="BH566" s="46">
        <f t="shared" si="2814"/>
        <v>0</v>
      </c>
      <c r="BI566" s="46">
        <f t="shared" si="2814"/>
        <v>0</v>
      </c>
      <c r="BJ566" s="46">
        <f t="shared" si="2815"/>
        <v>0</v>
      </c>
      <c r="BK566" s="46">
        <f t="shared" si="2816"/>
        <v>0</v>
      </c>
      <c r="BL566" s="46">
        <f t="shared" si="2817"/>
        <v>0</v>
      </c>
      <c r="BM566" s="46">
        <f t="shared" si="2818"/>
        <v>0</v>
      </c>
      <c r="BN566" s="46">
        <f t="shared" si="2819"/>
        <v>0</v>
      </c>
      <c r="BO566" s="46">
        <f t="shared" si="2820"/>
        <v>0</v>
      </c>
      <c r="BP566" s="46">
        <f t="shared" si="2821"/>
        <v>0</v>
      </c>
      <c r="BQ566" s="46">
        <f t="shared" si="2822"/>
        <v>0</v>
      </c>
      <c r="BR566" s="44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2"/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113"/>
      <c r="CU566" s="113"/>
      <c r="CV566" s="44">
        <f t="shared" si="2823"/>
        <v>0</v>
      </c>
      <c r="CW566" s="44">
        <f>AS566</f>
        <v>0</v>
      </c>
      <c r="CX566" s="44">
        <f>AU566</f>
        <v>0</v>
      </c>
      <c r="CY566" s="44">
        <f>AW566</f>
        <v>0</v>
      </c>
      <c r="CZ566" s="45">
        <f>AY566</f>
        <v>0</v>
      </c>
      <c r="DA566" s="44">
        <f t="shared" si="2824"/>
        <v>0</v>
      </c>
      <c r="DB566" s="44">
        <f>BC566</f>
        <v>0</v>
      </c>
      <c r="DC566" s="44">
        <f>BE566</f>
        <v>0</v>
      </c>
      <c r="DD566" s="44">
        <f>BG566</f>
        <v>0</v>
      </c>
      <c r="DE566" s="44">
        <f>BI566</f>
        <v>0</v>
      </c>
      <c r="DF566" s="44">
        <f>BK566</f>
        <v>0</v>
      </c>
      <c r="DG566" s="44">
        <f>BM566</f>
        <v>0</v>
      </c>
      <c r="DH566" s="44">
        <f>BO566</f>
        <v>0</v>
      </c>
      <c r="DI566" s="44">
        <f>BQ566</f>
        <v>0</v>
      </c>
    </row>
    <row r="567" spans="1:113" ht="12" hidden="1" outlineLevel="1">
      <c r="A567" s="1" t="s">
        <v>1029</v>
      </c>
      <c r="B567" s="63" t="s">
        <v>524</v>
      </c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M567" s="42"/>
      <c r="AN567" s="42"/>
      <c r="AO567" s="42"/>
      <c r="AP567" s="525">
        <v>0</v>
      </c>
      <c r="AQ567" s="525">
        <v>0</v>
      </c>
      <c r="AR567" s="525">
        <v>0</v>
      </c>
      <c r="AS567" s="525">
        <v>0</v>
      </c>
      <c r="AT567" s="525">
        <v>0</v>
      </c>
      <c r="AU567" s="525">
        <v>0</v>
      </c>
      <c r="AV567" s="525">
        <v>0</v>
      </c>
      <c r="AW567" s="525">
        <v>0</v>
      </c>
      <c r="AX567" s="525">
        <v>0</v>
      </c>
      <c r="AY567" s="525">
        <v>0</v>
      </c>
      <c r="AZ567" s="523">
        <v>0</v>
      </c>
      <c r="BA567" s="44">
        <f t="shared" ref="BA567:BI567" si="2825">IF(SUM(BA565:BA566)/SUM(BA564:BA566,BA585)&gt;25%,((25%*(BA564+BA585))/(1-25%)-SUM(BA565:BA566)),0)</f>
        <v>0</v>
      </c>
      <c r="BB567" s="44">
        <f t="shared" si="2825"/>
        <v>0</v>
      </c>
      <c r="BC567" s="44">
        <f t="shared" si="2825"/>
        <v>0</v>
      </c>
      <c r="BD567" s="44">
        <f t="shared" si="2825"/>
        <v>0</v>
      </c>
      <c r="BE567" s="44">
        <f t="shared" si="2825"/>
        <v>0</v>
      </c>
      <c r="BF567" s="44">
        <f t="shared" si="2825"/>
        <v>0</v>
      </c>
      <c r="BG567" s="44">
        <f t="shared" si="2825"/>
        <v>0</v>
      </c>
      <c r="BH567" s="44">
        <f t="shared" si="2825"/>
        <v>0</v>
      </c>
      <c r="BI567" s="44">
        <f t="shared" si="2825"/>
        <v>0</v>
      </c>
      <c r="BJ567" s="44">
        <f t="shared" ref="BJ567:BK567" si="2826">IF(SUM(BJ565:BJ566)/SUM(BJ564:BJ566,BJ585)&gt;25%,((25%*(BJ564+BJ585))/(1-25%)-SUM(BJ565:BJ566)),0)</f>
        <v>0</v>
      </c>
      <c r="BK567" s="44">
        <f t="shared" si="2826"/>
        <v>0</v>
      </c>
      <c r="BL567" s="44">
        <f t="shared" ref="BL567:BM567" si="2827">IF(SUM(BL565:BL566)/SUM(BL564:BL566,BL585)&gt;25%,((25%*(BL564+BL585))/(1-25%)-SUM(BL565:BL566)),0)</f>
        <v>0</v>
      </c>
      <c r="BM567" s="44">
        <f t="shared" si="2827"/>
        <v>0</v>
      </c>
      <c r="BN567" s="44">
        <f t="shared" ref="BN567:BO567" si="2828">IF(SUM(BN565:BN566)/SUM(BN564:BN566,BN585)&gt;25%,((25%*(BN564+BN585))/(1-25%)-SUM(BN565:BN566)),0)</f>
        <v>0</v>
      </c>
      <c r="BO567" s="44">
        <f t="shared" si="2828"/>
        <v>0</v>
      </c>
      <c r="BP567" s="44">
        <f t="shared" ref="BP567:BQ567" si="2829">IF(SUM(BP565:BP566)/SUM(BP564:BP566,BP585)&gt;25%,((25%*(BP564+BP585))/(1-25%)-SUM(BP565:BP566)),0)</f>
        <v>0</v>
      </c>
      <c r="BQ567" s="44">
        <f t="shared" si="2829"/>
        <v>0</v>
      </c>
      <c r="BR567" s="44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113"/>
      <c r="CU567" s="113"/>
      <c r="CV567" s="44">
        <f t="shared" si="2823"/>
        <v>0</v>
      </c>
      <c r="CW567" s="44">
        <f>AS567</f>
        <v>0</v>
      </c>
      <c r="CX567" s="44">
        <f>AU567</f>
        <v>0</v>
      </c>
      <c r="CY567" s="44">
        <f>AW567</f>
        <v>0</v>
      </c>
      <c r="CZ567" s="45">
        <f>AY567</f>
        <v>0</v>
      </c>
      <c r="DA567" s="44">
        <f t="shared" si="2824"/>
        <v>0</v>
      </c>
      <c r="DB567" s="44">
        <f>BC567</f>
        <v>0</v>
      </c>
      <c r="DC567" s="44">
        <f>BE567</f>
        <v>0</v>
      </c>
      <c r="DD567" s="44">
        <f>BG567</f>
        <v>0</v>
      </c>
      <c r="DE567" s="44">
        <f>BI567</f>
        <v>0</v>
      </c>
      <c r="DF567" s="44">
        <f>BK567</f>
        <v>0</v>
      </c>
      <c r="DG567" s="44">
        <f>BM567</f>
        <v>0</v>
      </c>
      <c r="DH567" s="44">
        <f>BO567</f>
        <v>0</v>
      </c>
      <c r="DI567" s="44">
        <f>BQ567</f>
        <v>0</v>
      </c>
    </row>
    <row r="568" spans="1:113" s="24" customFormat="1" ht="12" hidden="1" outlineLevel="1">
      <c r="A568" s="1" t="s">
        <v>1030</v>
      </c>
      <c r="B568" s="62" t="s">
        <v>633</v>
      </c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  <c r="AJ568" s="55"/>
      <c r="AK568" s="55"/>
      <c r="AL568" s="55"/>
      <c r="AM568" s="55"/>
      <c r="AN568" s="55"/>
      <c r="AO568" s="55"/>
      <c r="AP568" s="526">
        <f t="shared" ref="AP568:AR568" si="2830">AP564+AP565+AP566+AP567</f>
        <v>684.5</v>
      </c>
      <c r="AQ568" s="526">
        <f t="shared" si="2830"/>
        <v>1075.7000000000003</v>
      </c>
      <c r="AR568" s="526">
        <f t="shared" si="2830"/>
        <v>1395.1</v>
      </c>
      <c r="AS568" s="526">
        <f t="shared" ref="AS568:AT568" si="2831">AS564+AS565+AS566+AS567</f>
        <v>1404.6000000000001</v>
      </c>
      <c r="AT568" s="526">
        <f t="shared" si="2831"/>
        <v>1442</v>
      </c>
      <c r="AU568" s="526">
        <f t="shared" ref="AU568:AV568" si="2832">AU564+AU565+AU566+AU567</f>
        <v>1477.1</v>
      </c>
      <c r="AV568" s="526">
        <f t="shared" si="2832"/>
        <v>1625.5</v>
      </c>
      <c r="AW568" s="526">
        <f t="shared" ref="AW568:AX568" si="2833">AW564+AW565+AW566+AW567</f>
        <v>1640.3</v>
      </c>
      <c r="AX568" s="526">
        <f t="shared" si="2833"/>
        <v>1701.4</v>
      </c>
      <c r="AY568" s="526">
        <f t="shared" ref="AY568:BI568" si="2834">AY564+AY565+AY566+AY567</f>
        <v>1761.6</v>
      </c>
      <c r="AZ568" s="524">
        <f t="shared" si="2834"/>
        <v>1800.3</v>
      </c>
      <c r="BA568" s="526">
        <f t="shared" si="2834"/>
        <v>1873.7623215140325</v>
      </c>
      <c r="BB568" s="526">
        <f t="shared" si="2834"/>
        <v>1953.6124038821968</v>
      </c>
      <c r="BC568" s="526">
        <f t="shared" si="2834"/>
        <v>2036.3260362007127</v>
      </c>
      <c r="BD568" s="526">
        <f t="shared" si="2834"/>
        <v>2277.6292380154846</v>
      </c>
      <c r="BE568" s="526">
        <f t="shared" si="2834"/>
        <v>2383.4710328173446</v>
      </c>
      <c r="BF568" s="526">
        <f t="shared" si="2834"/>
        <v>2504.5550348089255</v>
      </c>
      <c r="BG568" s="526">
        <f t="shared" si="2834"/>
        <v>2636.5575074860694</v>
      </c>
      <c r="BH568" s="526">
        <f t="shared" si="2834"/>
        <v>2782.1564668647457</v>
      </c>
      <c r="BI568" s="526">
        <f t="shared" si="2834"/>
        <v>2897.9568300924384</v>
      </c>
      <c r="BJ568" s="526">
        <f t="shared" ref="BJ568:BK568" si="2835">BJ564+BJ565+BJ566+BJ567</f>
        <v>3002.4826524828104</v>
      </c>
      <c r="BK568" s="526">
        <f t="shared" si="2835"/>
        <v>3123.5680844933236</v>
      </c>
      <c r="BL568" s="526">
        <f t="shared" ref="BL568:BM568" si="2836">BL564+BL565+BL566+BL567</f>
        <v>3231.4314174299698</v>
      </c>
      <c r="BM568" s="526">
        <f t="shared" si="2836"/>
        <v>3343.2155468264</v>
      </c>
      <c r="BN568" s="526">
        <f t="shared" ref="BN568:BO568" si="2837">BN564+BN565+BN566+BN567</f>
        <v>3440.9311287725923</v>
      </c>
      <c r="BO568" s="526">
        <f t="shared" si="2837"/>
        <v>3539.8759411049059</v>
      </c>
      <c r="BP568" s="526">
        <f t="shared" ref="BP568:BQ568" si="2838">BP564+BP565+BP566+BP567</f>
        <v>3636.8351687981913</v>
      </c>
      <c r="BQ568" s="526">
        <f t="shared" si="2838"/>
        <v>3734.7518105691402</v>
      </c>
      <c r="BR568" s="526"/>
      <c r="BS568" s="55"/>
      <c r="BT568" s="55"/>
      <c r="BU568" s="55"/>
      <c r="BV568" s="55"/>
      <c r="BW568" s="55"/>
      <c r="BX568" s="55"/>
      <c r="BY568" s="55"/>
      <c r="BZ568" s="55"/>
      <c r="CA568" s="55"/>
      <c r="CB568" s="55"/>
      <c r="CC568" s="55"/>
      <c r="CD568" s="55"/>
      <c r="CE568" s="55"/>
      <c r="CF568" s="55"/>
      <c r="CG568" s="55"/>
      <c r="CH568" s="55"/>
      <c r="CI568" s="55"/>
      <c r="CJ568" s="55"/>
      <c r="CK568" s="55"/>
      <c r="CL568" s="55"/>
      <c r="CM568" s="55"/>
      <c r="CN568" s="55"/>
      <c r="CO568" s="55"/>
      <c r="CP568" s="55"/>
      <c r="CQ568" s="55"/>
      <c r="CR568" s="55"/>
      <c r="CS568" s="55"/>
      <c r="CT568" s="55"/>
      <c r="CU568" s="55"/>
      <c r="CV568" s="526">
        <f t="shared" ref="CV568:DF568" si="2839">CV564+CV565+CV566+CV567</f>
        <v>1075.7000000000003</v>
      </c>
      <c r="CW568" s="526">
        <f t="shared" si="2839"/>
        <v>1404.6</v>
      </c>
      <c r="CX568" s="526">
        <f t="shared" si="2839"/>
        <v>1477.1</v>
      </c>
      <c r="CY568" s="526">
        <f t="shared" si="2839"/>
        <v>1640.3</v>
      </c>
      <c r="CZ568" s="524">
        <f t="shared" si="2839"/>
        <v>1761.6</v>
      </c>
      <c r="DA568" s="526">
        <f t="shared" si="2839"/>
        <v>1873.7623215140327</v>
      </c>
      <c r="DB568" s="526">
        <f t="shared" si="2839"/>
        <v>2036.3260362007131</v>
      </c>
      <c r="DC568" s="526">
        <f t="shared" si="2839"/>
        <v>2383.4710328173446</v>
      </c>
      <c r="DD568" s="526">
        <f t="shared" si="2839"/>
        <v>2636.5575074860694</v>
      </c>
      <c r="DE568" s="526">
        <f t="shared" si="2839"/>
        <v>2897.9568300924384</v>
      </c>
      <c r="DF568" s="526">
        <f t="shared" si="2839"/>
        <v>3123.5680844933236</v>
      </c>
      <c r="DG568" s="526">
        <f t="shared" ref="DG568:DH568" si="2840">DG564+DG565+DG566+DG567</f>
        <v>3343.2155468264</v>
      </c>
      <c r="DH568" s="526">
        <f t="shared" si="2840"/>
        <v>3539.8759411049055</v>
      </c>
      <c r="DI568" s="526">
        <f t="shared" ref="DI568" si="2841">DI564+DI565+DI566+DI567</f>
        <v>3734.7518105691397</v>
      </c>
    </row>
    <row r="569" spans="1:113" ht="12" hidden="1" outlineLevel="1"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4"/>
      <c r="AQ569" s="44"/>
      <c r="AR569" s="44"/>
      <c r="AS569" s="44"/>
      <c r="AT569" s="44"/>
      <c r="AU569" s="44"/>
      <c r="AV569" s="44"/>
      <c r="AW569" s="44"/>
      <c r="AX569" s="44"/>
      <c r="AY569" s="44"/>
      <c r="AZ569" s="45"/>
      <c r="BA569" s="44"/>
      <c r="BB569" s="44"/>
      <c r="BC569" s="44"/>
      <c r="BD569" s="44"/>
      <c r="BE569" s="44"/>
      <c r="BF569" s="44"/>
      <c r="BG569" s="44"/>
      <c r="BH569" s="44"/>
      <c r="BI569" s="44"/>
      <c r="BJ569" s="44"/>
      <c r="BK569" s="44"/>
      <c r="BL569" s="44"/>
      <c r="BM569" s="44"/>
      <c r="BN569" s="44"/>
      <c r="BO569" s="44"/>
      <c r="BP569" s="44"/>
      <c r="BQ569" s="44"/>
      <c r="BR569" s="44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4"/>
      <c r="CW569" s="44"/>
      <c r="CX569" s="44"/>
      <c r="CY569" s="44"/>
      <c r="CZ569" s="45"/>
      <c r="DA569" s="44"/>
      <c r="DB569" s="44"/>
      <c r="DC569" s="529"/>
      <c r="DD569" s="529"/>
      <c r="DE569" s="529"/>
      <c r="DF569" s="529"/>
      <c r="DG569" s="529"/>
      <c r="DH569" s="529"/>
      <c r="DI569" s="529"/>
    </row>
    <row r="570" spans="1:113" s="24" customFormat="1" ht="12" hidden="1" outlineLevel="1">
      <c r="A570" s="1"/>
      <c r="B570" s="62" t="s">
        <v>634</v>
      </c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15"/>
      <c r="AH570" s="515"/>
      <c r="AI570" s="515"/>
      <c r="AJ570" s="55"/>
      <c r="AK570" s="55"/>
      <c r="AL570" s="55"/>
      <c r="AM570" s="55"/>
      <c r="AN570" s="55"/>
      <c r="AO570" s="55"/>
      <c r="AP570" s="570"/>
      <c r="AQ570" s="570"/>
      <c r="AR570" s="570"/>
      <c r="AS570" s="570"/>
      <c r="AT570" s="570"/>
      <c r="AU570" s="570"/>
      <c r="AV570" s="570"/>
      <c r="AW570" s="570"/>
      <c r="AX570" s="570"/>
      <c r="AY570" s="526"/>
      <c r="AZ570" s="524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5"/>
      <c r="BT570" s="55"/>
      <c r="BU570" s="55"/>
      <c r="BV570" s="55"/>
      <c r="BW570" s="55"/>
      <c r="BX570" s="55"/>
      <c r="BY570" s="55"/>
      <c r="BZ570" s="55"/>
      <c r="CA570" s="55"/>
      <c r="CB570" s="55"/>
      <c r="CC570" s="55"/>
      <c r="CD570" s="55"/>
      <c r="CE570" s="55"/>
      <c r="CF570" s="55"/>
      <c r="CG570" s="55"/>
      <c r="CH570" s="55"/>
      <c r="CI570" s="55"/>
      <c r="CJ570" s="55"/>
      <c r="CK570" s="55"/>
      <c r="CL570" s="55"/>
      <c r="CM570" s="55"/>
      <c r="CN570" s="55"/>
      <c r="CO570" s="55"/>
      <c r="CP570" s="55"/>
      <c r="CQ570" s="55"/>
      <c r="CR570" s="55"/>
      <c r="CS570" s="55"/>
      <c r="CT570" s="55"/>
      <c r="CU570" s="55"/>
      <c r="CV570" s="549"/>
      <c r="CW570" s="549"/>
      <c r="CX570" s="549"/>
      <c r="CY570" s="549"/>
      <c r="CZ570" s="524"/>
      <c r="DA570" s="526"/>
      <c r="DB570" s="526"/>
      <c r="DC570" s="541"/>
      <c r="DD570" s="541"/>
      <c r="DE570" s="541"/>
      <c r="DF570" s="541"/>
      <c r="DG570" s="541"/>
      <c r="DH570" s="541"/>
      <c r="DI570" s="541"/>
    </row>
    <row r="571" spans="1:113" ht="12" hidden="1" outlineLevel="1">
      <c r="A571" s="1" t="s">
        <v>1031</v>
      </c>
      <c r="B571" s="19" t="s">
        <v>365</v>
      </c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525">
        <v>-10.9</v>
      </c>
      <c r="AQ571" s="525">
        <v>-16.100000000000001</v>
      </c>
      <c r="AR571" s="525">
        <v>-17.3</v>
      </c>
      <c r="AS571" s="525">
        <v>-23.8</v>
      </c>
      <c r="AT571" s="525">
        <v>-31</v>
      </c>
      <c r="AU571" s="525">
        <v>-38.299999999999997</v>
      </c>
      <c r="AV571" s="525">
        <v>-45</v>
      </c>
      <c r="AW571" s="525">
        <v>-48.3</v>
      </c>
      <c r="AX571" s="525">
        <v>-49.8</v>
      </c>
      <c r="AY571" s="525">
        <v>-49.8</v>
      </c>
      <c r="AZ571" s="523">
        <v>-44</v>
      </c>
      <c r="BA571" s="44">
        <f t="shared" ref="BA571:BI571" si="2842">AZ571-BA524</f>
        <v>-44</v>
      </c>
      <c r="BB571" s="44">
        <f t="shared" si="2842"/>
        <v>-44</v>
      </c>
      <c r="BC571" s="44">
        <f t="shared" si="2842"/>
        <v>-44</v>
      </c>
      <c r="BD571" s="44">
        <f t="shared" si="2842"/>
        <v>-44</v>
      </c>
      <c r="BE571" s="44">
        <f t="shared" si="2842"/>
        <v>-44</v>
      </c>
      <c r="BF571" s="44">
        <f t="shared" si="2842"/>
        <v>-44</v>
      </c>
      <c r="BG571" s="44">
        <f t="shared" si="2842"/>
        <v>-44</v>
      </c>
      <c r="BH571" s="44">
        <f t="shared" si="2842"/>
        <v>-44</v>
      </c>
      <c r="BI571" s="44">
        <f t="shared" si="2842"/>
        <v>-44</v>
      </c>
      <c r="BJ571" s="44">
        <f t="shared" ref="BJ571" si="2843">BI571-BJ524</f>
        <v>-44</v>
      </c>
      <c r="BK571" s="44">
        <f t="shared" ref="BK571" si="2844">BJ571-BK524</f>
        <v>-44</v>
      </c>
      <c r="BL571" s="44">
        <f t="shared" ref="BL571" si="2845">BK571-BL524</f>
        <v>-44</v>
      </c>
      <c r="BM571" s="44">
        <f t="shared" ref="BM571" si="2846">BL571-BM524</f>
        <v>-44</v>
      </c>
      <c r="BN571" s="44">
        <f t="shared" ref="BN571" si="2847">BM571-BN524</f>
        <v>-44</v>
      </c>
      <c r="BO571" s="44">
        <f t="shared" ref="BO571" si="2848">BN571-BO524</f>
        <v>-44</v>
      </c>
      <c r="BP571" s="44">
        <f t="shared" ref="BP571" si="2849">BO571-BP524</f>
        <v>-44</v>
      </c>
      <c r="BQ571" s="44">
        <f t="shared" ref="BQ571" si="2850">BP571-BQ524</f>
        <v>-44</v>
      </c>
      <c r="BR571" s="44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113"/>
      <c r="CU571" s="113"/>
      <c r="CV571" s="44">
        <f t="shared" ref="CV571:CV584" si="2851">AQ571</f>
        <v>-16.100000000000001</v>
      </c>
      <c r="CW571" s="44">
        <f t="shared" ref="CW571:CW578" si="2852">AS571</f>
        <v>-23.8</v>
      </c>
      <c r="CX571" s="44">
        <f t="shared" ref="CX571:CX578" si="2853">AU571</f>
        <v>-38.299999999999997</v>
      </c>
      <c r="CY571" s="44">
        <f t="shared" ref="CY571:CY578" si="2854">AW571</f>
        <v>-48.3</v>
      </c>
      <c r="CZ571" s="45">
        <f t="shared" ref="CZ571:CZ578" si="2855">AY571</f>
        <v>-49.8</v>
      </c>
      <c r="DA571" s="44">
        <f t="shared" ref="DA571:DA584" si="2856">BA571</f>
        <v>-44</v>
      </c>
      <c r="DB571" s="44">
        <f t="shared" ref="DB571:DB578" si="2857">BC571</f>
        <v>-44</v>
      </c>
      <c r="DC571" s="44">
        <f t="shared" ref="DC571:DC578" si="2858">BE571</f>
        <v>-44</v>
      </c>
      <c r="DD571" s="44">
        <f t="shared" ref="DD571:DD578" si="2859">BG571</f>
        <v>-44</v>
      </c>
      <c r="DE571" s="44">
        <f t="shared" ref="DE571:DE578" si="2860">BI571</f>
        <v>-44</v>
      </c>
      <c r="DF571" s="44">
        <f t="shared" ref="DF571:DF578" si="2861">BK571</f>
        <v>-44</v>
      </c>
      <c r="DG571" s="44">
        <f t="shared" ref="DG571:DG578" si="2862">BM571</f>
        <v>-44</v>
      </c>
      <c r="DH571" s="44">
        <f t="shared" ref="DH571:DH578" si="2863">BO571</f>
        <v>-44</v>
      </c>
      <c r="DI571" s="44">
        <f t="shared" ref="DI571:DI578" si="2864">BQ571</f>
        <v>-44</v>
      </c>
    </row>
    <row r="572" spans="1:113" ht="12" hidden="1" outlineLevel="1">
      <c r="A572" s="1" t="s">
        <v>1032</v>
      </c>
      <c r="B572" s="19" t="s">
        <v>366</v>
      </c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525">
        <v>0</v>
      </c>
      <c r="AQ572" s="525">
        <v>0</v>
      </c>
      <c r="AR572" s="525">
        <v>0</v>
      </c>
      <c r="AS572" s="525">
        <v>0</v>
      </c>
      <c r="AT572" s="525">
        <v>0</v>
      </c>
      <c r="AU572" s="525">
        <v>0</v>
      </c>
      <c r="AV572" s="525">
        <v>0</v>
      </c>
      <c r="AW572" s="525">
        <v>0</v>
      </c>
      <c r="AX572" s="525">
        <v>0</v>
      </c>
      <c r="AY572" s="525">
        <v>0</v>
      </c>
      <c r="AZ572" s="523">
        <v>0</v>
      </c>
      <c r="BA572" s="46">
        <f t="shared" ref="BA572:BI572" si="2865">-(BA106-AZ572-AZ106)</f>
        <v>2.4800954868392964</v>
      </c>
      <c r="BB572" s="46">
        <f t="shared" si="2865"/>
        <v>4.6055259095558228</v>
      </c>
      <c r="BC572" s="46">
        <f t="shared" si="2865"/>
        <v>6.0967578307362089</v>
      </c>
      <c r="BD572" s="46">
        <f t="shared" si="2865"/>
        <v>7.3710036807305954</v>
      </c>
      <c r="BE572" s="46">
        <f t="shared" si="2865"/>
        <v>8.1885336149954</v>
      </c>
      <c r="BF572" s="46">
        <f t="shared" si="2865"/>
        <v>8.878416078425893</v>
      </c>
      <c r="BG572" s="46">
        <f t="shared" si="2865"/>
        <v>9.161610508793693</v>
      </c>
      <c r="BH572" s="46">
        <f t="shared" si="2865"/>
        <v>9.420187364443791</v>
      </c>
      <c r="BI572" s="46">
        <f t="shared" si="2865"/>
        <v>9.3148661626590581</v>
      </c>
      <c r="BJ572" s="46">
        <f t="shared" ref="BJ572" si="2866">-(BJ106-BI572-BI106)</f>
        <v>9.2386063326418864</v>
      </c>
      <c r="BK572" s="46">
        <f t="shared" ref="BK572" si="2867">-(BK106-BJ572-BJ106)</f>
        <v>8.8330602961388252</v>
      </c>
      <c r="BL572" s="46">
        <f t="shared" ref="BL572" si="2868">-(BL106-BK572-BK106)</f>
        <v>8.5014381591043318</v>
      </c>
      <c r="BM572" s="46">
        <f t="shared" ref="BM572" si="2869">-(BM106-BL572-BL106)</f>
        <v>7.918448320537955</v>
      </c>
      <c r="BN572" s="46">
        <f t="shared" ref="BN572" si="2870">-(BN106-BM572-BM106)</f>
        <v>7.4310673542419394</v>
      </c>
      <c r="BO572" s="46">
        <f t="shared" ref="BO572" si="2871">-(BO106-BN572-BN106)</f>
        <v>6.6896353921777916</v>
      </c>
      <c r="BP572" s="46">
        <f t="shared" ref="BP572" si="2872">-(BP106-BO572-BO106)</f>
        <v>6.1040489764049681</v>
      </c>
      <c r="BQ572" s="46">
        <f t="shared" ref="BQ572" si="2873">-(BQ106-BP572-BP106)</f>
        <v>5.2347253738897024</v>
      </c>
      <c r="BR572" s="44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113"/>
      <c r="CU572" s="113"/>
      <c r="CV572" s="44">
        <f t="shared" si="2851"/>
        <v>0</v>
      </c>
      <c r="CW572" s="44">
        <f t="shared" si="2852"/>
        <v>0</v>
      </c>
      <c r="CX572" s="44">
        <f t="shared" si="2853"/>
        <v>0</v>
      </c>
      <c r="CY572" s="44">
        <f t="shared" si="2854"/>
        <v>0</v>
      </c>
      <c r="CZ572" s="45">
        <f t="shared" si="2855"/>
        <v>0</v>
      </c>
      <c r="DA572" s="44">
        <f t="shared" si="2856"/>
        <v>2.4800954868392964</v>
      </c>
      <c r="DB572" s="44">
        <f t="shared" si="2857"/>
        <v>6.0967578307362089</v>
      </c>
      <c r="DC572" s="44">
        <f t="shared" si="2858"/>
        <v>8.1885336149954</v>
      </c>
      <c r="DD572" s="44">
        <f t="shared" si="2859"/>
        <v>9.161610508793693</v>
      </c>
      <c r="DE572" s="44">
        <f t="shared" si="2860"/>
        <v>9.3148661626590581</v>
      </c>
      <c r="DF572" s="44">
        <f t="shared" si="2861"/>
        <v>8.8330602961388252</v>
      </c>
      <c r="DG572" s="44">
        <f t="shared" si="2862"/>
        <v>7.918448320537955</v>
      </c>
      <c r="DH572" s="44">
        <f t="shared" si="2863"/>
        <v>6.6896353921777916</v>
      </c>
      <c r="DI572" s="44">
        <f t="shared" si="2864"/>
        <v>5.2347253738897024</v>
      </c>
    </row>
    <row r="573" spans="1:113" ht="12" hidden="1" outlineLevel="1">
      <c r="A573" s="1" t="s">
        <v>1033</v>
      </c>
      <c r="B573" s="19" t="s">
        <v>299</v>
      </c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525">
        <v>0</v>
      </c>
      <c r="AQ573" s="525">
        <v>0</v>
      </c>
      <c r="AR573" s="525">
        <v>0</v>
      </c>
      <c r="AS573" s="525">
        <v>0</v>
      </c>
      <c r="AT573" s="525">
        <v>0</v>
      </c>
      <c r="AU573" s="525">
        <v>0</v>
      </c>
      <c r="AV573" s="525">
        <v>0</v>
      </c>
      <c r="AW573" s="525">
        <v>0</v>
      </c>
      <c r="AX573" s="525">
        <v>0</v>
      </c>
      <c r="AY573" s="525">
        <v>0</v>
      </c>
      <c r="AZ573" s="523">
        <v>0</v>
      </c>
      <c r="BA573" s="46">
        <f t="shared" ref="BA573:BI575" si="2874">AZ573</f>
        <v>0</v>
      </c>
      <c r="BB573" s="46">
        <f t="shared" si="2874"/>
        <v>0</v>
      </c>
      <c r="BC573" s="46">
        <f t="shared" si="2874"/>
        <v>0</v>
      </c>
      <c r="BD573" s="46">
        <f t="shared" si="2874"/>
        <v>0</v>
      </c>
      <c r="BE573" s="46">
        <f t="shared" si="2874"/>
        <v>0</v>
      </c>
      <c r="BF573" s="46">
        <f t="shared" si="2874"/>
        <v>0</v>
      </c>
      <c r="BG573" s="46">
        <f t="shared" si="2874"/>
        <v>0</v>
      </c>
      <c r="BH573" s="46">
        <f t="shared" si="2874"/>
        <v>0</v>
      </c>
      <c r="BI573" s="46">
        <f t="shared" si="2874"/>
        <v>0</v>
      </c>
      <c r="BJ573" s="46">
        <f t="shared" ref="BJ573:BJ575" si="2875">BI573</f>
        <v>0</v>
      </c>
      <c r="BK573" s="46">
        <f t="shared" ref="BK573:BK575" si="2876">BJ573</f>
        <v>0</v>
      </c>
      <c r="BL573" s="46">
        <f t="shared" ref="BL573:BL575" si="2877">BK573</f>
        <v>0</v>
      </c>
      <c r="BM573" s="46">
        <f t="shared" ref="BM573:BM575" si="2878">BL573</f>
        <v>0</v>
      </c>
      <c r="BN573" s="46">
        <f t="shared" ref="BN573:BN575" si="2879">BM573</f>
        <v>0</v>
      </c>
      <c r="BO573" s="46">
        <f t="shared" ref="BO573:BO575" si="2880">BN573</f>
        <v>0</v>
      </c>
      <c r="BP573" s="46">
        <f t="shared" ref="BP573:BP575" si="2881">BO573</f>
        <v>0</v>
      </c>
      <c r="BQ573" s="46">
        <f t="shared" ref="BQ573:BQ575" si="2882">BP573</f>
        <v>0</v>
      </c>
      <c r="BR573" s="44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113"/>
      <c r="CU573" s="113"/>
      <c r="CV573" s="44">
        <f t="shared" si="2851"/>
        <v>0</v>
      </c>
      <c r="CW573" s="44">
        <f t="shared" si="2852"/>
        <v>0</v>
      </c>
      <c r="CX573" s="44">
        <f t="shared" si="2853"/>
        <v>0</v>
      </c>
      <c r="CY573" s="44">
        <f t="shared" si="2854"/>
        <v>0</v>
      </c>
      <c r="CZ573" s="45">
        <f t="shared" si="2855"/>
        <v>0</v>
      </c>
      <c r="DA573" s="44">
        <f t="shared" si="2856"/>
        <v>0</v>
      </c>
      <c r="DB573" s="44">
        <f t="shared" si="2857"/>
        <v>0</v>
      </c>
      <c r="DC573" s="44">
        <f t="shared" si="2858"/>
        <v>0</v>
      </c>
      <c r="DD573" s="44">
        <f t="shared" si="2859"/>
        <v>0</v>
      </c>
      <c r="DE573" s="44">
        <f t="shared" si="2860"/>
        <v>0</v>
      </c>
      <c r="DF573" s="44">
        <f t="shared" si="2861"/>
        <v>0</v>
      </c>
      <c r="DG573" s="44">
        <f t="shared" si="2862"/>
        <v>0</v>
      </c>
      <c r="DH573" s="44">
        <f t="shared" si="2863"/>
        <v>0</v>
      </c>
      <c r="DI573" s="44">
        <f t="shared" si="2864"/>
        <v>0</v>
      </c>
    </row>
    <row r="574" spans="1:113" ht="12" hidden="1" outlineLevel="1">
      <c r="A574" s="1" t="s">
        <v>1034</v>
      </c>
      <c r="B574" s="19" t="s">
        <v>300</v>
      </c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525">
        <v>-31.3</v>
      </c>
      <c r="AQ574" s="525">
        <v>-32.200000000000003</v>
      </c>
      <c r="AR574" s="525">
        <v>-62.2</v>
      </c>
      <c r="AS574" s="525">
        <v>-56.6</v>
      </c>
      <c r="AT574" s="525">
        <v>-50.1</v>
      </c>
      <c r="AU574" s="525">
        <v>-63.9</v>
      </c>
      <c r="AV574" s="525">
        <v>-55.4</v>
      </c>
      <c r="AW574" s="525">
        <v>-68.3</v>
      </c>
      <c r="AX574" s="525">
        <v>-66.3</v>
      </c>
      <c r="AY574" s="525">
        <v>-62.6</v>
      </c>
      <c r="AZ574" s="523">
        <v>-74.099999999999994</v>
      </c>
      <c r="BA574" s="46">
        <f t="shared" si="2874"/>
        <v>-74.099999999999994</v>
      </c>
      <c r="BB574" s="46">
        <f t="shared" si="2874"/>
        <v>-74.099999999999994</v>
      </c>
      <c r="BC574" s="46">
        <f t="shared" si="2874"/>
        <v>-74.099999999999994</v>
      </c>
      <c r="BD574" s="46">
        <f t="shared" si="2874"/>
        <v>-74.099999999999994</v>
      </c>
      <c r="BE574" s="46">
        <f t="shared" si="2874"/>
        <v>-74.099999999999994</v>
      </c>
      <c r="BF574" s="46">
        <f t="shared" si="2874"/>
        <v>-74.099999999999994</v>
      </c>
      <c r="BG574" s="46">
        <f t="shared" si="2874"/>
        <v>-74.099999999999994</v>
      </c>
      <c r="BH574" s="46">
        <f t="shared" si="2874"/>
        <v>-74.099999999999994</v>
      </c>
      <c r="BI574" s="46">
        <f t="shared" si="2874"/>
        <v>-74.099999999999994</v>
      </c>
      <c r="BJ574" s="46">
        <f t="shared" si="2875"/>
        <v>-74.099999999999994</v>
      </c>
      <c r="BK574" s="46">
        <f t="shared" si="2876"/>
        <v>-74.099999999999994</v>
      </c>
      <c r="BL574" s="46">
        <f t="shared" si="2877"/>
        <v>-74.099999999999994</v>
      </c>
      <c r="BM574" s="46">
        <f t="shared" si="2878"/>
        <v>-74.099999999999994</v>
      </c>
      <c r="BN574" s="46">
        <f t="shared" si="2879"/>
        <v>-74.099999999999994</v>
      </c>
      <c r="BO574" s="46">
        <f t="shared" si="2880"/>
        <v>-74.099999999999994</v>
      </c>
      <c r="BP574" s="46">
        <f t="shared" si="2881"/>
        <v>-74.099999999999994</v>
      </c>
      <c r="BQ574" s="46">
        <f t="shared" si="2882"/>
        <v>-74.099999999999994</v>
      </c>
      <c r="BR574" s="44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113"/>
      <c r="CU574" s="113"/>
      <c r="CV574" s="44">
        <f t="shared" si="2851"/>
        <v>-32.200000000000003</v>
      </c>
      <c r="CW574" s="44">
        <f t="shared" si="2852"/>
        <v>-56.6</v>
      </c>
      <c r="CX574" s="44">
        <f t="shared" si="2853"/>
        <v>-63.9</v>
      </c>
      <c r="CY574" s="44">
        <f t="shared" si="2854"/>
        <v>-68.3</v>
      </c>
      <c r="CZ574" s="45">
        <f t="shared" si="2855"/>
        <v>-62.6</v>
      </c>
      <c r="DA574" s="44">
        <f t="shared" si="2856"/>
        <v>-74.099999999999994</v>
      </c>
      <c r="DB574" s="44">
        <f t="shared" si="2857"/>
        <v>-74.099999999999994</v>
      </c>
      <c r="DC574" s="44">
        <f t="shared" si="2858"/>
        <v>-74.099999999999994</v>
      </c>
      <c r="DD574" s="44">
        <f t="shared" si="2859"/>
        <v>-74.099999999999994</v>
      </c>
      <c r="DE574" s="44">
        <f t="shared" si="2860"/>
        <v>-74.099999999999994</v>
      </c>
      <c r="DF574" s="44">
        <f t="shared" si="2861"/>
        <v>-74.099999999999994</v>
      </c>
      <c r="DG574" s="44">
        <f t="shared" si="2862"/>
        <v>-74.099999999999994</v>
      </c>
      <c r="DH574" s="44">
        <f t="shared" si="2863"/>
        <v>-74.099999999999994</v>
      </c>
      <c r="DI574" s="44">
        <f t="shared" si="2864"/>
        <v>-74.099999999999994</v>
      </c>
    </row>
    <row r="575" spans="1:113" ht="12" hidden="1" outlineLevel="1">
      <c r="A575" s="1" t="s">
        <v>1035</v>
      </c>
      <c r="B575" s="19" t="s">
        <v>2551</v>
      </c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525">
        <v>0</v>
      </c>
      <c r="AQ575" s="525">
        <v>0</v>
      </c>
      <c r="AR575" s="525">
        <v>0</v>
      </c>
      <c r="AS575" s="525">
        <v>0</v>
      </c>
      <c r="AT575" s="525">
        <v>0</v>
      </c>
      <c r="AU575" s="525">
        <v>0</v>
      </c>
      <c r="AV575" s="525">
        <v>0</v>
      </c>
      <c r="AW575" s="525">
        <v>0</v>
      </c>
      <c r="AX575" s="525">
        <v>0</v>
      </c>
      <c r="AY575" s="525">
        <v>0</v>
      </c>
      <c r="AZ575" s="523">
        <v>0</v>
      </c>
      <c r="BA575" s="46">
        <f t="shared" ref="BA575:BE575" si="2883">AZ575</f>
        <v>0</v>
      </c>
      <c r="BB575" s="46">
        <f t="shared" si="2883"/>
        <v>0</v>
      </c>
      <c r="BC575" s="46">
        <f t="shared" si="2883"/>
        <v>0</v>
      </c>
      <c r="BD575" s="46">
        <f t="shared" si="2883"/>
        <v>0</v>
      </c>
      <c r="BE575" s="46">
        <f t="shared" si="2883"/>
        <v>0</v>
      </c>
      <c r="BF575" s="46">
        <f t="shared" si="2874"/>
        <v>0</v>
      </c>
      <c r="BG575" s="46">
        <f t="shared" si="2874"/>
        <v>0</v>
      </c>
      <c r="BH575" s="46">
        <f t="shared" si="2874"/>
        <v>0</v>
      </c>
      <c r="BI575" s="46">
        <f t="shared" si="2874"/>
        <v>0</v>
      </c>
      <c r="BJ575" s="46">
        <f t="shared" si="2875"/>
        <v>0</v>
      </c>
      <c r="BK575" s="46">
        <f t="shared" si="2876"/>
        <v>0</v>
      </c>
      <c r="BL575" s="46">
        <f t="shared" si="2877"/>
        <v>0</v>
      </c>
      <c r="BM575" s="46">
        <f t="shared" si="2878"/>
        <v>0</v>
      </c>
      <c r="BN575" s="46">
        <f t="shared" si="2879"/>
        <v>0</v>
      </c>
      <c r="BO575" s="46">
        <f t="shared" si="2880"/>
        <v>0</v>
      </c>
      <c r="BP575" s="46">
        <f t="shared" si="2881"/>
        <v>0</v>
      </c>
      <c r="BQ575" s="46">
        <f t="shared" si="2882"/>
        <v>0</v>
      </c>
      <c r="BR575" s="44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113"/>
      <c r="CU575" s="113"/>
      <c r="CV575" s="44">
        <f t="shared" si="2851"/>
        <v>0</v>
      </c>
      <c r="CW575" s="44">
        <f t="shared" si="2852"/>
        <v>0</v>
      </c>
      <c r="CX575" s="44">
        <f t="shared" si="2853"/>
        <v>0</v>
      </c>
      <c r="CY575" s="44">
        <f t="shared" si="2854"/>
        <v>0</v>
      </c>
      <c r="CZ575" s="45">
        <f t="shared" si="2855"/>
        <v>0</v>
      </c>
      <c r="DA575" s="44">
        <f t="shared" si="2856"/>
        <v>0</v>
      </c>
      <c r="DB575" s="44">
        <f t="shared" si="2857"/>
        <v>0</v>
      </c>
      <c r="DC575" s="44">
        <f t="shared" si="2858"/>
        <v>0</v>
      </c>
      <c r="DD575" s="44">
        <f t="shared" si="2859"/>
        <v>0</v>
      </c>
      <c r="DE575" s="44">
        <f t="shared" si="2860"/>
        <v>0</v>
      </c>
      <c r="DF575" s="44">
        <f t="shared" si="2861"/>
        <v>0</v>
      </c>
      <c r="DG575" s="44">
        <f t="shared" si="2862"/>
        <v>0</v>
      </c>
      <c r="DH575" s="44">
        <f t="shared" si="2863"/>
        <v>0</v>
      </c>
      <c r="DI575" s="44">
        <f t="shared" si="2864"/>
        <v>0</v>
      </c>
    </row>
    <row r="576" spans="1:113" ht="12" hidden="1" outlineLevel="1">
      <c r="A576" s="1" t="s">
        <v>1036</v>
      </c>
      <c r="B576" s="19" t="s">
        <v>2552</v>
      </c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525">
        <v>0</v>
      </c>
      <c r="AQ576" s="525">
        <v>0</v>
      </c>
      <c r="AR576" s="525">
        <v>0</v>
      </c>
      <c r="AS576" s="525">
        <v>0</v>
      </c>
      <c r="AT576" s="525">
        <v>0</v>
      </c>
      <c r="AU576" s="525">
        <v>0</v>
      </c>
      <c r="AV576" s="525">
        <v>0</v>
      </c>
      <c r="AW576" s="525">
        <v>0</v>
      </c>
      <c r="AX576" s="525">
        <v>0</v>
      </c>
      <c r="AY576" s="525">
        <v>0</v>
      </c>
      <c r="AZ576" s="523">
        <v>0</v>
      </c>
      <c r="BA576" s="46">
        <f t="shared" ref="BA576:BI576" si="2884">AZ576-((BA398+BA433)-(AZ398+AZ433))*20%</f>
        <v>0</v>
      </c>
      <c r="BB576" s="46">
        <f t="shared" si="2884"/>
        <v>0</v>
      </c>
      <c r="BC576" s="46">
        <f t="shared" si="2884"/>
        <v>0</v>
      </c>
      <c r="BD576" s="46">
        <f t="shared" si="2884"/>
        <v>0</v>
      </c>
      <c r="BE576" s="46">
        <f t="shared" si="2884"/>
        <v>0</v>
      </c>
      <c r="BF576" s="46">
        <f t="shared" si="2884"/>
        <v>0</v>
      </c>
      <c r="BG576" s="46">
        <f t="shared" si="2884"/>
        <v>0</v>
      </c>
      <c r="BH576" s="46">
        <f t="shared" si="2884"/>
        <v>0</v>
      </c>
      <c r="BI576" s="46">
        <f t="shared" si="2884"/>
        <v>0</v>
      </c>
      <c r="BJ576" s="46">
        <f t="shared" ref="BJ576" si="2885">BI576-((BJ398+BJ433)-(BI398+BI433))*20%</f>
        <v>0</v>
      </c>
      <c r="BK576" s="46">
        <f t="shared" ref="BK576" si="2886">BJ576-((BK398+BK433)-(BJ398+BJ433))*20%</f>
        <v>0</v>
      </c>
      <c r="BL576" s="46">
        <f t="shared" ref="BL576" si="2887">BK576-((BL398+BL433)-(BK398+BK433))*20%</f>
        <v>0</v>
      </c>
      <c r="BM576" s="46">
        <f t="shared" ref="BM576" si="2888">BL576-((BM398+BM433)-(BL398+BL433))*20%</f>
        <v>0</v>
      </c>
      <c r="BN576" s="46">
        <f t="shared" ref="BN576" si="2889">BM576-((BN398+BN433)-(BM398+BM433))*20%</f>
        <v>0</v>
      </c>
      <c r="BO576" s="46">
        <f t="shared" ref="BO576" si="2890">BN576-((BO398+BO433)-(BN398+BN433))*20%</f>
        <v>0</v>
      </c>
      <c r="BP576" s="46">
        <f t="shared" ref="BP576" si="2891">BO576-((BP398+BP433)-(BO398+BO433))*20%</f>
        <v>0</v>
      </c>
      <c r="BQ576" s="46">
        <f t="shared" ref="BQ576" si="2892">BP576-((BQ398+BQ433)-(BP398+BP433))*20%</f>
        <v>0</v>
      </c>
      <c r="BR576" s="44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113"/>
      <c r="CU576" s="113"/>
      <c r="CV576" s="44">
        <f t="shared" si="2851"/>
        <v>0</v>
      </c>
      <c r="CW576" s="44">
        <f t="shared" si="2852"/>
        <v>0</v>
      </c>
      <c r="CX576" s="44">
        <f t="shared" si="2853"/>
        <v>0</v>
      </c>
      <c r="CY576" s="44">
        <f t="shared" si="2854"/>
        <v>0</v>
      </c>
      <c r="CZ576" s="45">
        <f t="shared" si="2855"/>
        <v>0</v>
      </c>
      <c r="DA576" s="44">
        <f t="shared" si="2856"/>
        <v>0</v>
      </c>
      <c r="DB576" s="44">
        <f t="shared" si="2857"/>
        <v>0</v>
      </c>
      <c r="DC576" s="44">
        <f t="shared" si="2858"/>
        <v>0</v>
      </c>
      <c r="DD576" s="44">
        <f t="shared" si="2859"/>
        <v>0</v>
      </c>
      <c r="DE576" s="44">
        <f t="shared" si="2860"/>
        <v>0</v>
      </c>
      <c r="DF576" s="44">
        <f t="shared" si="2861"/>
        <v>0</v>
      </c>
      <c r="DG576" s="44">
        <f t="shared" si="2862"/>
        <v>0</v>
      </c>
      <c r="DH576" s="44">
        <f t="shared" si="2863"/>
        <v>0</v>
      </c>
      <c r="DI576" s="44">
        <f t="shared" si="2864"/>
        <v>0</v>
      </c>
    </row>
    <row r="577" spans="1:113" ht="12" hidden="1" outlineLevel="1">
      <c r="A577" s="1" t="s">
        <v>1037</v>
      </c>
      <c r="B577" s="19" t="s">
        <v>2553</v>
      </c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525">
        <v>0</v>
      </c>
      <c r="AQ577" s="525">
        <v>0</v>
      </c>
      <c r="AR577" s="525">
        <v>0</v>
      </c>
      <c r="AS577" s="525">
        <v>0</v>
      </c>
      <c r="AT577" s="525">
        <v>0</v>
      </c>
      <c r="AU577" s="525">
        <v>0</v>
      </c>
      <c r="AV577" s="525">
        <v>0</v>
      </c>
      <c r="AW577" s="525">
        <v>0</v>
      </c>
      <c r="AX577" s="525">
        <v>0</v>
      </c>
      <c r="AY577" s="525">
        <v>0</v>
      </c>
      <c r="AZ577" s="523">
        <v>0</v>
      </c>
      <c r="BA577" s="46">
        <f t="shared" ref="BA577:BI577" si="2893">AZ577</f>
        <v>0</v>
      </c>
      <c r="BB577" s="46">
        <f t="shared" si="2893"/>
        <v>0</v>
      </c>
      <c r="BC577" s="46">
        <f t="shared" si="2893"/>
        <v>0</v>
      </c>
      <c r="BD577" s="46">
        <f t="shared" si="2893"/>
        <v>0</v>
      </c>
      <c r="BE577" s="46">
        <f t="shared" si="2893"/>
        <v>0</v>
      </c>
      <c r="BF577" s="46">
        <f t="shared" si="2893"/>
        <v>0</v>
      </c>
      <c r="BG577" s="46">
        <f t="shared" si="2893"/>
        <v>0</v>
      </c>
      <c r="BH577" s="46">
        <f t="shared" si="2893"/>
        <v>0</v>
      </c>
      <c r="BI577" s="46">
        <f t="shared" si="2893"/>
        <v>0</v>
      </c>
      <c r="BJ577" s="46">
        <f t="shared" ref="BJ577" si="2894">BI577</f>
        <v>0</v>
      </c>
      <c r="BK577" s="46">
        <f t="shared" ref="BK577" si="2895">BJ577</f>
        <v>0</v>
      </c>
      <c r="BL577" s="46">
        <f t="shared" ref="BL577" si="2896">BK577</f>
        <v>0</v>
      </c>
      <c r="BM577" s="46">
        <f t="shared" ref="BM577" si="2897">BL577</f>
        <v>0</v>
      </c>
      <c r="BN577" s="46">
        <f t="shared" ref="BN577" si="2898">BM577</f>
        <v>0</v>
      </c>
      <c r="BO577" s="46">
        <f t="shared" ref="BO577" si="2899">BN577</f>
        <v>0</v>
      </c>
      <c r="BP577" s="46">
        <f t="shared" ref="BP577" si="2900">BO577</f>
        <v>0</v>
      </c>
      <c r="BQ577" s="46">
        <f t="shared" ref="BQ577" si="2901">BP577</f>
        <v>0</v>
      </c>
      <c r="BR577" s="44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113"/>
      <c r="CU577" s="113"/>
      <c r="CV577" s="44">
        <f t="shared" si="2851"/>
        <v>0</v>
      </c>
      <c r="CW577" s="44">
        <f t="shared" si="2852"/>
        <v>0</v>
      </c>
      <c r="CX577" s="44">
        <f t="shared" si="2853"/>
        <v>0</v>
      </c>
      <c r="CY577" s="44">
        <f t="shared" si="2854"/>
        <v>0</v>
      </c>
      <c r="CZ577" s="45">
        <f t="shared" si="2855"/>
        <v>0</v>
      </c>
      <c r="DA577" s="44">
        <f t="shared" si="2856"/>
        <v>0</v>
      </c>
      <c r="DB577" s="44">
        <f t="shared" si="2857"/>
        <v>0</v>
      </c>
      <c r="DC577" s="44">
        <f t="shared" si="2858"/>
        <v>0</v>
      </c>
      <c r="DD577" s="44">
        <f t="shared" si="2859"/>
        <v>0</v>
      </c>
      <c r="DE577" s="44">
        <f t="shared" si="2860"/>
        <v>0</v>
      </c>
      <c r="DF577" s="44">
        <f t="shared" si="2861"/>
        <v>0</v>
      </c>
      <c r="DG577" s="44">
        <f t="shared" si="2862"/>
        <v>0</v>
      </c>
      <c r="DH577" s="44">
        <f t="shared" si="2863"/>
        <v>0</v>
      </c>
      <c r="DI577" s="44">
        <f t="shared" si="2864"/>
        <v>0</v>
      </c>
    </row>
    <row r="578" spans="1:113" ht="12" hidden="1" outlineLevel="1">
      <c r="A578" s="1" t="s">
        <v>1038</v>
      </c>
      <c r="B578" s="19" t="s">
        <v>473</v>
      </c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525">
        <v>0</v>
      </c>
      <c r="AQ578" s="525">
        <v>0</v>
      </c>
      <c r="AR578" s="525">
        <v>0</v>
      </c>
      <c r="AS578" s="525">
        <v>0</v>
      </c>
      <c r="AT578" s="525">
        <v>0</v>
      </c>
      <c r="AU578" s="525">
        <v>0</v>
      </c>
      <c r="AV578" s="525">
        <v>0</v>
      </c>
      <c r="AW578" s="525">
        <v>0</v>
      </c>
      <c r="AX578" s="525">
        <v>0</v>
      </c>
      <c r="AY578" s="525">
        <v>0</v>
      </c>
      <c r="AZ578" s="523">
        <v>0</v>
      </c>
      <c r="BA578" s="46">
        <f t="shared" ref="BA578:BI578" si="2902">AZ578*BA161/AZ161</f>
        <v>0</v>
      </c>
      <c r="BB578" s="46">
        <f t="shared" si="2902"/>
        <v>0</v>
      </c>
      <c r="BC578" s="46">
        <f t="shared" si="2902"/>
        <v>0</v>
      </c>
      <c r="BD578" s="46">
        <f t="shared" si="2902"/>
        <v>0</v>
      </c>
      <c r="BE578" s="46">
        <f t="shared" si="2902"/>
        <v>0</v>
      </c>
      <c r="BF578" s="46">
        <f t="shared" si="2902"/>
        <v>0</v>
      </c>
      <c r="BG578" s="46">
        <f t="shared" si="2902"/>
        <v>0</v>
      </c>
      <c r="BH578" s="46">
        <f t="shared" si="2902"/>
        <v>0</v>
      </c>
      <c r="BI578" s="46">
        <f t="shared" si="2902"/>
        <v>0</v>
      </c>
      <c r="BJ578" s="46">
        <f t="shared" ref="BJ578" si="2903">BI578*BJ161/BI161</f>
        <v>0</v>
      </c>
      <c r="BK578" s="46">
        <f t="shared" ref="BK578" si="2904">BJ578*BK161/BJ161</f>
        <v>0</v>
      </c>
      <c r="BL578" s="46">
        <f t="shared" ref="BL578" si="2905">BK578*BL161/BK161</f>
        <v>0</v>
      </c>
      <c r="BM578" s="46">
        <f t="shared" ref="BM578" si="2906">BL578*BM161/BL161</f>
        <v>0</v>
      </c>
      <c r="BN578" s="46">
        <f t="shared" ref="BN578" si="2907">BM578*BN161/BM161</f>
        <v>0</v>
      </c>
      <c r="BO578" s="46">
        <f t="shared" ref="BO578" si="2908">BN578*BO161/BN161</f>
        <v>0</v>
      </c>
      <c r="BP578" s="46">
        <f t="shared" ref="BP578" si="2909">BO578*BP161/BO161</f>
        <v>0</v>
      </c>
      <c r="BQ578" s="46">
        <f t="shared" ref="BQ578" si="2910">BP578*BQ161/BP161</f>
        <v>0</v>
      </c>
      <c r="BR578" s="44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113"/>
      <c r="CU578" s="113"/>
      <c r="CV578" s="44">
        <f t="shared" si="2851"/>
        <v>0</v>
      </c>
      <c r="CW578" s="44">
        <f t="shared" si="2852"/>
        <v>0</v>
      </c>
      <c r="CX578" s="44">
        <f t="shared" si="2853"/>
        <v>0</v>
      </c>
      <c r="CY578" s="44">
        <f t="shared" si="2854"/>
        <v>0</v>
      </c>
      <c r="CZ578" s="45">
        <f t="shared" si="2855"/>
        <v>0</v>
      </c>
      <c r="DA578" s="44">
        <f t="shared" si="2856"/>
        <v>0</v>
      </c>
      <c r="DB578" s="44">
        <f t="shared" si="2857"/>
        <v>0</v>
      </c>
      <c r="DC578" s="44">
        <f t="shared" si="2858"/>
        <v>0</v>
      </c>
      <c r="DD578" s="44">
        <f t="shared" si="2859"/>
        <v>0</v>
      </c>
      <c r="DE578" s="44">
        <f t="shared" si="2860"/>
        <v>0</v>
      </c>
      <c r="DF578" s="44">
        <f t="shared" si="2861"/>
        <v>0</v>
      </c>
      <c r="DG578" s="44">
        <f t="shared" si="2862"/>
        <v>0</v>
      </c>
      <c r="DH578" s="44">
        <f t="shared" si="2863"/>
        <v>0</v>
      </c>
      <c r="DI578" s="44">
        <f t="shared" si="2864"/>
        <v>0</v>
      </c>
    </row>
    <row r="579" spans="1:113" ht="12" hidden="1" outlineLevel="2">
      <c r="A579" s="1" t="s">
        <v>1039</v>
      </c>
      <c r="B579" s="19" t="s">
        <v>1111</v>
      </c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6">
        <v>0</v>
      </c>
      <c r="AQ579" s="46">
        <v>0</v>
      </c>
      <c r="AR579" s="46">
        <v>0</v>
      </c>
      <c r="AS579" s="46">
        <v>0</v>
      </c>
      <c r="AT579" s="46">
        <v>0</v>
      </c>
      <c r="AU579" s="46">
        <v>0</v>
      </c>
      <c r="AV579" s="46">
        <v>0</v>
      </c>
      <c r="AW579" s="46">
        <v>0</v>
      </c>
      <c r="AX579" s="46">
        <v>0</v>
      </c>
      <c r="AY579" s="46">
        <v>0</v>
      </c>
      <c r="AZ579" s="531">
        <v>0</v>
      </c>
      <c r="BA579" s="46"/>
      <c r="BB579" s="46"/>
      <c r="BC579" s="46"/>
      <c r="BD579" s="46"/>
      <c r="BE579" s="46"/>
      <c r="BF579" s="46"/>
      <c r="BG579" s="46"/>
      <c r="BH579" s="46"/>
      <c r="BI579" s="46"/>
      <c r="BJ579" s="46"/>
      <c r="BK579" s="46"/>
      <c r="BL579" s="46"/>
      <c r="BM579" s="46"/>
      <c r="BN579" s="46"/>
      <c r="BO579" s="46"/>
      <c r="BP579" s="46"/>
      <c r="BQ579" s="46"/>
      <c r="BR579" s="44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1"/>
      <c r="CU579" s="41"/>
      <c r="CV579" s="44">
        <f t="shared" si="2851"/>
        <v>0</v>
      </c>
      <c r="CW579" s="44"/>
      <c r="CX579" s="44"/>
      <c r="CY579" s="44"/>
      <c r="CZ579" s="45"/>
      <c r="DA579" s="44"/>
      <c r="DB579" s="44"/>
      <c r="DC579" s="529"/>
      <c r="DD579" s="529"/>
      <c r="DE579" s="529"/>
      <c r="DF579" s="529"/>
      <c r="DG579" s="529"/>
      <c r="DH579" s="529"/>
      <c r="DI579" s="529"/>
    </row>
    <row r="580" spans="1:113" ht="12" hidden="1" outlineLevel="2">
      <c r="A580" s="1" t="s">
        <v>65</v>
      </c>
      <c r="B580" s="19" t="s">
        <v>801</v>
      </c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6">
        <v>0</v>
      </c>
      <c r="AQ580" s="46">
        <v>0</v>
      </c>
      <c r="AR580" s="46">
        <v>0</v>
      </c>
      <c r="AS580" s="46">
        <v>0</v>
      </c>
      <c r="AT580" s="46">
        <v>0</v>
      </c>
      <c r="AU580" s="46">
        <v>0</v>
      </c>
      <c r="AV580" s="46">
        <v>0</v>
      </c>
      <c r="AW580" s="46">
        <v>0</v>
      </c>
      <c r="AX580" s="46">
        <v>0</v>
      </c>
      <c r="AY580" s="46">
        <v>0</v>
      </c>
      <c r="AZ580" s="531">
        <v>0</v>
      </c>
      <c r="BA580" s="46"/>
      <c r="BB580" s="46"/>
      <c r="BC580" s="46"/>
      <c r="BD580" s="46"/>
      <c r="BE580" s="46"/>
      <c r="BF580" s="46"/>
      <c r="BG580" s="46"/>
      <c r="BH580" s="46"/>
      <c r="BI580" s="46"/>
      <c r="BJ580" s="46"/>
      <c r="BK580" s="46"/>
      <c r="BL580" s="46"/>
      <c r="BM580" s="46"/>
      <c r="BN580" s="46"/>
      <c r="BO580" s="46"/>
      <c r="BP580" s="46"/>
      <c r="BQ580" s="46"/>
      <c r="BR580" s="44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1"/>
      <c r="CU580" s="41"/>
      <c r="CV580" s="44">
        <f t="shared" si="2851"/>
        <v>0</v>
      </c>
      <c r="CW580" s="44"/>
      <c r="CX580" s="44"/>
      <c r="CY580" s="44"/>
      <c r="CZ580" s="45"/>
      <c r="DA580" s="44"/>
      <c r="DB580" s="44"/>
      <c r="DC580" s="529"/>
      <c r="DD580" s="529"/>
      <c r="DE580" s="529"/>
      <c r="DF580" s="529"/>
      <c r="DG580" s="529"/>
      <c r="DH580" s="529"/>
      <c r="DI580" s="529"/>
    </row>
    <row r="581" spans="1:113" ht="12" hidden="1" outlineLevel="2">
      <c r="A581" s="1" t="s">
        <v>66</v>
      </c>
      <c r="B581" s="19" t="s">
        <v>801</v>
      </c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6">
        <v>0</v>
      </c>
      <c r="AQ581" s="46">
        <v>0</v>
      </c>
      <c r="AR581" s="46">
        <v>0</v>
      </c>
      <c r="AS581" s="46">
        <v>0</v>
      </c>
      <c r="AT581" s="46">
        <v>0</v>
      </c>
      <c r="AU581" s="46">
        <v>0</v>
      </c>
      <c r="AV581" s="46">
        <v>0</v>
      </c>
      <c r="AW581" s="46">
        <v>0</v>
      </c>
      <c r="AX581" s="46">
        <v>0</v>
      </c>
      <c r="AY581" s="46">
        <v>0</v>
      </c>
      <c r="AZ581" s="531">
        <v>0</v>
      </c>
      <c r="BA581" s="46"/>
      <c r="BB581" s="46"/>
      <c r="BC581" s="46"/>
      <c r="BD581" s="46"/>
      <c r="BE581" s="46"/>
      <c r="BF581" s="46"/>
      <c r="BG581" s="46"/>
      <c r="BH581" s="46"/>
      <c r="BI581" s="46"/>
      <c r="BJ581" s="46"/>
      <c r="BK581" s="46"/>
      <c r="BL581" s="46"/>
      <c r="BM581" s="46"/>
      <c r="BN581" s="46"/>
      <c r="BO581" s="46"/>
      <c r="BP581" s="46"/>
      <c r="BQ581" s="46"/>
      <c r="BR581" s="44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1"/>
      <c r="CU581" s="41"/>
      <c r="CV581" s="44">
        <f t="shared" si="2851"/>
        <v>0</v>
      </c>
      <c r="CW581" s="44"/>
      <c r="CX581" s="44"/>
      <c r="CY581" s="44"/>
      <c r="CZ581" s="45"/>
      <c r="DA581" s="44"/>
      <c r="DB581" s="44"/>
      <c r="DC581" s="529"/>
      <c r="DD581" s="529"/>
      <c r="DE581" s="529"/>
      <c r="DF581" s="529"/>
      <c r="DG581" s="529"/>
      <c r="DH581" s="529"/>
      <c r="DI581" s="529"/>
    </row>
    <row r="582" spans="1:113" ht="12" hidden="1" outlineLevel="2">
      <c r="A582" s="1" t="s">
        <v>11</v>
      </c>
      <c r="B582" s="19" t="s">
        <v>801</v>
      </c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6">
        <v>0</v>
      </c>
      <c r="AQ582" s="46">
        <v>0</v>
      </c>
      <c r="AR582" s="46">
        <v>0</v>
      </c>
      <c r="AS582" s="46">
        <v>0</v>
      </c>
      <c r="AT582" s="46">
        <v>0</v>
      </c>
      <c r="AU582" s="46">
        <v>0</v>
      </c>
      <c r="AV582" s="46">
        <v>0</v>
      </c>
      <c r="AW582" s="46">
        <v>0</v>
      </c>
      <c r="AX582" s="46">
        <v>0</v>
      </c>
      <c r="AY582" s="46">
        <v>0</v>
      </c>
      <c r="AZ582" s="531">
        <v>0</v>
      </c>
      <c r="BA582" s="46"/>
      <c r="BB582" s="46"/>
      <c r="BC582" s="46"/>
      <c r="BD582" s="46"/>
      <c r="BE582" s="46"/>
      <c r="BF582" s="46"/>
      <c r="BG582" s="46"/>
      <c r="BH582" s="46"/>
      <c r="BI582" s="46"/>
      <c r="BJ582" s="46"/>
      <c r="BK582" s="46"/>
      <c r="BL582" s="46"/>
      <c r="BM582" s="46"/>
      <c r="BN582" s="46"/>
      <c r="BO582" s="46"/>
      <c r="BP582" s="46"/>
      <c r="BQ582" s="46"/>
      <c r="BR582" s="44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1"/>
      <c r="CU582" s="41"/>
      <c r="CV582" s="44">
        <f t="shared" si="2851"/>
        <v>0</v>
      </c>
      <c r="CW582" s="44"/>
      <c r="CX582" s="44"/>
      <c r="CY582" s="44"/>
      <c r="CZ582" s="45"/>
      <c r="DA582" s="44"/>
      <c r="DB582" s="44"/>
      <c r="DC582" s="529"/>
      <c r="DD582" s="529"/>
      <c r="DE582" s="529"/>
      <c r="DF582" s="529"/>
      <c r="DG582" s="529"/>
      <c r="DH582" s="529"/>
      <c r="DI582" s="529"/>
    </row>
    <row r="583" spans="1:113" ht="12" hidden="1" outlineLevel="1" collapsed="1">
      <c r="A583" s="1" t="s">
        <v>1040</v>
      </c>
      <c r="B583" s="19" t="s">
        <v>474</v>
      </c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4">
        <f t="shared" ref="AP583:AR583" si="2911">AP585-SUM(AP584,AP571:AP582)</f>
        <v>-13.299999999999997</v>
      </c>
      <c r="AQ583" s="44">
        <f t="shared" si="2911"/>
        <v>-23.400000000000269</v>
      </c>
      <c r="AR583" s="44">
        <f t="shared" si="2911"/>
        <v>-26.599999999999909</v>
      </c>
      <c r="AS583" s="44">
        <f t="shared" ref="AS583:AT583" si="2912">AS585-SUM(AS584,AS571:AS582)</f>
        <v>-32.200000000000131</v>
      </c>
      <c r="AT583" s="44">
        <f t="shared" si="2912"/>
        <v>-24.900000000000006</v>
      </c>
      <c r="AU583" s="44">
        <f t="shared" ref="AU583:AV583" si="2913">AU585-SUM(AU584,AU571:AU582)</f>
        <v>-8.8999999999999204</v>
      </c>
      <c r="AV583" s="44">
        <f t="shared" si="2913"/>
        <v>-54.099999999999994</v>
      </c>
      <c r="AW583" s="44">
        <f t="shared" ref="AW583:AX583" si="2914">AW585-SUM(AW584,AW571:AW582)</f>
        <v>-37.69999999999996</v>
      </c>
      <c r="AX583" s="44">
        <f t="shared" si="2914"/>
        <v>-46.300000000000097</v>
      </c>
      <c r="AY583" s="44">
        <f t="shared" ref="AY583:AZ583" si="2915">AY585-SUM(AY584,AY571:AY582)</f>
        <v>-57.199999999999903</v>
      </c>
      <c r="AZ583" s="45">
        <f t="shared" si="2915"/>
        <v>-8.1999999999999602</v>
      </c>
      <c r="BA583" s="46">
        <f t="shared" ref="BA583:BI584" si="2916">AZ583</f>
        <v>-8.1999999999999602</v>
      </c>
      <c r="BB583" s="46">
        <f t="shared" si="2916"/>
        <v>-8.1999999999999602</v>
      </c>
      <c r="BC583" s="46">
        <f t="shared" si="2916"/>
        <v>-8.1999999999999602</v>
      </c>
      <c r="BD583" s="46">
        <f t="shared" si="2916"/>
        <v>-8.1999999999999602</v>
      </c>
      <c r="BE583" s="46">
        <f t="shared" si="2916"/>
        <v>-8.1999999999999602</v>
      </c>
      <c r="BF583" s="46">
        <f t="shared" si="2916"/>
        <v>-8.1999999999999602</v>
      </c>
      <c r="BG583" s="46">
        <f t="shared" si="2916"/>
        <v>-8.1999999999999602</v>
      </c>
      <c r="BH583" s="46">
        <f t="shared" si="2916"/>
        <v>-8.1999999999999602</v>
      </c>
      <c r="BI583" s="46">
        <f t="shared" si="2916"/>
        <v>-8.1999999999999602</v>
      </c>
      <c r="BJ583" s="46">
        <f t="shared" ref="BJ583:BJ584" si="2917">BI583</f>
        <v>-8.1999999999999602</v>
      </c>
      <c r="BK583" s="46">
        <f t="shared" ref="BK583:BK584" si="2918">BJ583</f>
        <v>-8.1999999999999602</v>
      </c>
      <c r="BL583" s="46">
        <f t="shared" ref="BL583:BL584" si="2919">BK583</f>
        <v>-8.1999999999999602</v>
      </c>
      <c r="BM583" s="46">
        <f t="shared" ref="BM583:BM584" si="2920">BL583</f>
        <v>-8.1999999999999602</v>
      </c>
      <c r="BN583" s="46">
        <f t="shared" ref="BN583:BN584" si="2921">BM583</f>
        <v>-8.1999999999999602</v>
      </c>
      <c r="BO583" s="46">
        <f t="shared" ref="BO583:BO584" si="2922">BN583</f>
        <v>-8.1999999999999602</v>
      </c>
      <c r="BP583" s="46">
        <f t="shared" ref="BP583:BP584" si="2923">BO583</f>
        <v>-8.1999999999999602</v>
      </c>
      <c r="BQ583" s="46">
        <f t="shared" ref="BQ583:BQ584" si="2924">BP583</f>
        <v>-8.1999999999999602</v>
      </c>
      <c r="BR583" s="44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113"/>
      <c r="CU583" s="113"/>
      <c r="CV583" s="44">
        <f t="shared" si="2851"/>
        <v>-23.400000000000269</v>
      </c>
      <c r="CW583" s="44">
        <f>AS583</f>
        <v>-32.200000000000131</v>
      </c>
      <c r="CX583" s="44">
        <f>AU583</f>
        <v>-8.8999999999999204</v>
      </c>
      <c r="CY583" s="44">
        <f>AW583</f>
        <v>-37.69999999999996</v>
      </c>
      <c r="CZ583" s="45">
        <f>AY583</f>
        <v>-57.199999999999903</v>
      </c>
      <c r="DA583" s="44">
        <f t="shared" si="2856"/>
        <v>-8.1999999999999602</v>
      </c>
      <c r="DB583" s="44">
        <f>BC583</f>
        <v>-8.1999999999999602</v>
      </c>
      <c r="DC583" s="44">
        <f>BE583</f>
        <v>-8.1999999999999602</v>
      </c>
      <c r="DD583" s="44">
        <f>BG583</f>
        <v>-8.1999999999999602</v>
      </c>
      <c r="DE583" s="44">
        <f>BI583</f>
        <v>-8.1999999999999602</v>
      </c>
      <c r="DF583" s="44">
        <f>BK583</f>
        <v>-8.1999999999999602</v>
      </c>
      <c r="DG583" s="44">
        <f>BM583</f>
        <v>-8.1999999999999602</v>
      </c>
      <c r="DH583" s="44">
        <f>BO583</f>
        <v>-8.1999999999999602</v>
      </c>
      <c r="DI583" s="44">
        <f>BQ583</f>
        <v>-8.1999999999999602</v>
      </c>
    </row>
    <row r="584" spans="1:113" ht="12" hidden="1" outlineLevel="1">
      <c r="A584" s="1" t="s">
        <v>1041</v>
      </c>
      <c r="B584" s="19" t="s">
        <v>572</v>
      </c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525">
        <v>0</v>
      </c>
      <c r="AQ584" s="525">
        <v>0</v>
      </c>
      <c r="AR584" s="525">
        <v>0</v>
      </c>
      <c r="AS584" s="525">
        <v>0</v>
      </c>
      <c r="AT584" s="525">
        <v>0</v>
      </c>
      <c r="AU584" s="525">
        <v>0</v>
      </c>
      <c r="AV584" s="525">
        <v>0</v>
      </c>
      <c r="AW584" s="525">
        <v>0</v>
      </c>
      <c r="AX584" s="525">
        <v>0</v>
      </c>
      <c r="AY584" s="525">
        <v>0</v>
      </c>
      <c r="AZ584" s="523">
        <v>0</v>
      </c>
      <c r="BA584" s="46">
        <f t="shared" si="2916"/>
        <v>0</v>
      </c>
      <c r="BB584" s="46">
        <f t="shared" si="2916"/>
        <v>0</v>
      </c>
      <c r="BC584" s="46">
        <f t="shared" si="2916"/>
        <v>0</v>
      </c>
      <c r="BD584" s="46">
        <f t="shared" si="2916"/>
        <v>0</v>
      </c>
      <c r="BE584" s="46">
        <f t="shared" si="2916"/>
        <v>0</v>
      </c>
      <c r="BF584" s="46">
        <f t="shared" si="2916"/>
        <v>0</v>
      </c>
      <c r="BG584" s="46">
        <f t="shared" si="2916"/>
        <v>0</v>
      </c>
      <c r="BH584" s="46">
        <f t="shared" si="2916"/>
        <v>0</v>
      </c>
      <c r="BI584" s="46">
        <f t="shared" si="2916"/>
        <v>0</v>
      </c>
      <c r="BJ584" s="46">
        <f t="shared" si="2917"/>
        <v>0</v>
      </c>
      <c r="BK584" s="46">
        <f t="shared" si="2918"/>
        <v>0</v>
      </c>
      <c r="BL584" s="46">
        <f t="shared" si="2919"/>
        <v>0</v>
      </c>
      <c r="BM584" s="46">
        <f t="shared" si="2920"/>
        <v>0</v>
      </c>
      <c r="BN584" s="46">
        <f t="shared" si="2921"/>
        <v>0</v>
      </c>
      <c r="BO584" s="46">
        <f t="shared" si="2922"/>
        <v>0</v>
      </c>
      <c r="BP584" s="46">
        <f t="shared" si="2923"/>
        <v>0</v>
      </c>
      <c r="BQ584" s="46">
        <f t="shared" si="2924"/>
        <v>0</v>
      </c>
      <c r="BR584" s="44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4">
        <f t="shared" si="2851"/>
        <v>0</v>
      </c>
      <c r="CW584" s="44">
        <f>AS584</f>
        <v>0</v>
      </c>
      <c r="CX584" s="44">
        <f>AU584</f>
        <v>0</v>
      </c>
      <c r="CY584" s="44">
        <f>AW584</f>
        <v>0</v>
      </c>
      <c r="CZ584" s="45">
        <f>AY584</f>
        <v>0</v>
      </c>
      <c r="DA584" s="44">
        <f t="shared" si="2856"/>
        <v>0</v>
      </c>
      <c r="DB584" s="44">
        <f>BC584</f>
        <v>0</v>
      </c>
      <c r="DC584" s="44">
        <f>BE584</f>
        <v>0</v>
      </c>
      <c r="DD584" s="44">
        <f>BG584</f>
        <v>0</v>
      </c>
      <c r="DE584" s="44">
        <f>BI584</f>
        <v>0</v>
      </c>
      <c r="DF584" s="44">
        <f>BK584</f>
        <v>0</v>
      </c>
      <c r="DG584" s="44">
        <f>BM584</f>
        <v>0</v>
      </c>
      <c r="DH584" s="44">
        <f>BO584</f>
        <v>0</v>
      </c>
      <c r="DI584" s="44">
        <f>BQ584</f>
        <v>0</v>
      </c>
    </row>
    <row r="585" spans="1:113" s="24" customFormat="1" ht="12" hidden="1" outlineLevel="1">
      <c r="A585" s="1" t="s">
        <v>1042</v>
      </c>
      <c r="B585" s="24" t="s">
        <v>166</v>
      </c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55"/>
      <c r="AE585" s="55"/>
      <c r="AF585" s="55"/>
      <c r="AG585" s="55"/>
      <c r="AH585" s="55"/>
      <c r="AI585" s="55"/>
      <c r="AJ585" s="55"/>
      <c r="AK585" s="55"/>
      <c r="AL585" s="55"/>
      <c r="AM585" s="55"/>
      <c r="AN585" s="55"/>
      <c r="AO585" s="55"/>
      <c r="AP585" s="521">
        <f>629-AP568</f>
        <v>-55.5</v>
      </c>
      <c r="AQ585" s="521">
        <f>1004-AQ568</f>
        <v>-71.700000000000273</v>
      </c>
      <c r="AR585" s="521">
        <f>1289-AR568</f>
        <v>-106.09999999999991</v>
      </c>
      <c r="AS585" s="521">
        <f>1292-AS568</f>
        <v>-112.60000000000014</v>
      </c>
      <c r="AT585" s="521">
        <f>1336-AT568</f>
        <v>-106</v>
      </c>
      <c r="AU585" s="521">
        <f>1366-AU568</f>
        <v>-111.09999999999991</v>
      </c>
      <c r="AV585" s="521">
        <f>1471-AV568</f>
        <v>-154.5</v>
      </c>
      <c r="AW585" s="521">
        <f>1486-AW568</f>
        <v>-154.29999999999995</v>
      </c>
      <c r="AX585" s="521">
        <f>1539-AX568</f>
        <v>-162.40000000000009</v>
      </c>
      <c r="AY585" s="521">
        <f>1592-AY568</f>
        <v>-169.59999999999991</v>
      </c>
      <c r="AZ585" s="522">
        <f>1674-AZ568</f>
        <v>-126.29999999999995</v>
      </c>
      <c r="BA585" s="526">
        <f t="shared" ref="BA585:BI585" si="2925">SUM(BA571:BA584)</f>
        <v>-123.81990451316065</v>
      </c>
      <c r="BB585" s="526">
        <f t="shared" si="2925"/>
        <v>-121.69447409044413</v>
      </c>
      <c r="BC585" s="526">
        <f t="shared" si="2925"/>
        <v>-120.20324216926375</v>
      </c>
      <c r="BD585" s="526">
        <f t="shared" si="2925"/>
        <v>-118.92899631926936</v>
      </c>
      <c r="BE585" s="526">
        <f t="shared" si="2925"/>
        <v>-118.11146638500455</v>
      </c>
      <c r="BF585" s="526">
        <f t="shared" si="2925"/>
        <v>-117.42158392157407</v>
      </c>
      <c r="BG585" s="526">
        <f t="shared" si="2925"/>
        <v>-117.13838949120625</v>
      </c>
      <c r="BH585" s="526">
        <f t="shared" si="2925"/>
        <v>-116.87981263555616</v>
      </c>
      <c r="BI585" s="526">
        <f t="shared" si="2925"/>
        <v>-116.9851338373409</v>
      </c>
      <c r="BJ585" s="526">
        <f t="shared" ref="BJ585:BK585" si="2926">SUM(BJ571:BJ584)</f>
        <v>-117.06139366735806</v>
      </c>
      <c r="BK585" s="526">
        <f t="shared" si="2926"/>
        <v>-117.46693970386113</v>
      </c>
      <c r="BL585" s="526">
        <f t="shared" ref="BL585:BM585" si="2927">SUM(BL571:BL584)</f>
        <v>-117.79856184089562</v>
      </c>
      <c r="BM585" s="526">
        <f t="shared" si="2927"/>
        <v>-118.38155167946201</v>
      </c>
      <c r="BN585" s="526">
        <f t="shared" ref="BN585:BO585" si="2928">SUM(BN571:BN584)</f>
        <v>-118.86893264575801</v>
      </c>
      <c r="BO585" s="526">
        <f t="shared" si="2928"/>
        <v>-119.61036460782216</v>
      </c>
      <c r="BP585" s="526">
        <f t="shared" ref="BP585:BQ585" si="2929">SUM(BP571:BP584)</f>
        <v>-120.19595102359499</v>
      </c>
      <c r="BQ585" s="526">
        <f t="shared" si="2929"/>
        <v>-121.06527462611025</v>
      </c>
      <c r="BR585" s="526"/>
      <c r="BS585" s="54"/>
      <c r="BT585" s="54"/>
      <c r="BU585" s="54"/>
      <c r="BV585" s="54"/>
      <c r="BW585" s="54"/>
      <c r="BX585" s="54"/>
      <c r="BY585" s="54"/>
      <c r="BZ585" s="54"/>
      <c r="CA585" s="54"/>
      <c r="CB585" s="54"/>
      <c r="CC585" s="55"/>
      <c r="CD585" s="55"/>
      <c r="CE585" s="55"/>
      <c r="CF585" s="55"/>
      <c r="CG585" s="55"/>
      <c r="CH585" s="55"/>
      <c r="CI585" s="55"/>
      <c r="CJ585" s="55"/>
      <c r="CK585" s="55"/>
      <c r="CL585" s="55"/>
      <c r="CM585" s="55"/>
      <c r="CN585" s="55"/>
      <c r="CO585" s="55"/>
      <c r="CP585" s="55"/>
      <c r="CQ585" s="55"/>
      <c r="CR585" s="55"/>
      <c r="CS585" s="55"/>
      <c r="CT585" s="117"/>
      <c r="CU585" s="117"/>
      <c r="CV585" s="526">
        <f t="shared" ref="CV585:DF585" si="2930">SUM(CV571:CV584)</f>
        <v>-71.700000000000273</v>
      </c>
      <c r="CW585" s="526">
        <f t="shared" si="2930"/>
        <v>-112.60000000000014</v>
      </c>
      <c r="CX585" s="526">
        <f t="shared" si="2930"/>
        <v>-111.09999999999991</v>
      </c>
      <c r="CY585" s="526">
        <f t="shared" si="2930"/>
        <v>-154.29999999999995</v>
      </c>
      <c r="CZ585" s="524">
        <f t="shared" si="2930"/>
        <v>-169.59999999999991</v>
      </c>
      <c r="DA585" s="526">
        <f t="shared" si="2930"/>
        <v>-123.81990451316065</v>
      </c>
      <c r="DB585" s="526">
        <f t="shared" si="2930"/>
        <v>-120.20324216926375</v>
      </c>
      <c r="DC585" s="526">
        <f t="shared" si="2930"/>
        <v>-118.11146638500455</v>
      </c>
      <c r="DD585" s="526">
        <f t="shared" si="2930"/>
        <v>-117.13838949120625</v>
      </c>
      <c r="DE585" s="526">
        <f t="shared" si="2930"/>
        <v>-116.9851338373409</v>
      </c>
      <c r="DF585" s="526">
        <f t="shared" si="2930"/>
        <v>-117.46693970386113</v>
      </c>
      <c r="DG585" s="526">
        <f t="shared" ref="DG585:DH585" si="2931">SUM(DG571:DG584)</f>
        <v>-118.38155167946201</v>
      </c>
      <c r="DH585" s="526">
        <f t="shared" si="2931"/>
        <v>-119.61036460782216</v>
      </c>
      <c r="DI585" s="526">
        <f t="shared" ref="DI585" si="2932">SUM(DI571:DI584)</f>
        <v>-121.06527462611025</v>
      </c>
    </row>
    <row r="586" spans="1:113" ht="12" hidden="1" outlineLevel="1"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4"/>
      <c r="AQ586" s="44"/>
      <c r="AR586" s="44"/>
      <c r="AS586" s="44"/>
      <c r="AT586" s="44"/>
      <c r="AU586" s="44"/>
      <c r="AV586" s="44"/>
      <c r="AW586" s="44"/>
      <c r="AX586" s="44"/>
      <c r="AY586" s="44"/>
      <c r="AZ586" s="45"/>
      <c r="BA586" s="44"/>
      <c r="BB586" s="44"/>
      <c r="BC586" s="44"/>
      <c r="BD586" s="44"/>
      <c r="BE586" s="44">
        <f>SUM(BE572:BE584,BE553:BE561)</f>
        <v>-74.111466385004547</v>
      </c>
      <c r="BF586" s="44"/>
      <c r="BG586" s="44">
        <f t="shared" ref="BG586:BM586" si="2933">SUM(BG572:BG584,BG553:BG561)</f>
        <v>-73.138389491206254</v>
      </c>
      <c r="BH586" s="44">
        <f t="shared" si="2933"/>
        <v>-72.879812635556164</v>
      </c>
      <c r="BI586" s="44">
        <f t="shared" si="2933"/>
        <v>-72.985133837340896</v>
      </c>
      <c r="BJ586" s="44">
        <f t="shared" si="2933"/>
        <v>-73.061393667358061</v>
      </c>
      <c r="BK586" s="44">
        <f t="shared" si="2933"/>
        <v>-73.466939703861129</v>
      </c>
      <c r="BL586" s="44">
        <f t="shared" si="2933"/>
        <v>-73.798561840895616</v>
      </c>
      <c r="BM586" s="44">
        <f t="shared" si="2933"/>
        <v>-74.381551679462007</v>
      </c>
      <c r="BN586" s="44">
        <f t="shared" ref="BN586:BO586" si="2934">SUM(BN572:BN584,BN553:BN561)</f>
        <v>-74.868932645758008</v>
      </c>
      <c r="BO586" s="44">
        <f t="shared" si="2934"/>
        <v>-75.610364607822163</v>
      </c>
      <c r="BP586" s="44">
        <f t="shared" ref="BP586:BQ586" si="2935">SUM(BP572:BP584,BP553:BP561)</f>
        <v>-76.195951023594986</v>
      </c>
      <c r="BQ586" s="44">
        <f t="shared" si="2935"/>
        <v>-77.065274626110252</v>
      </c>
      <c r="BR586" s="44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4"/>
      <c r="CW586" s="44"/>
      <c r="CX586" s="44"/>
      <c r="CY586" s="44"/>
      <c r="CZ586" s="45"/>
      <c r="DA586" s="44"/>
      <c r="DB586" s="44"/>
      <c r="DC586" s="529"/>
      <c r="DD586" s="529"/>
      <c r="DE586" s="529"/>
      <c r="DF586" s="529"/>
      <c r="DG586" s="529"/>
      <c r="DH586" s="529"/>
      <c r="DI586" s="529"/>
    </row>
    <row r="587" spans="1:113" s="24" customFormat="1" ht="12" hidden="1" outlineLevel="1">
      <c r="A587" s="1" t="s">
        <v>1043</v>
      </c>
      <c r="B587" s="24" t="str">
        <f>"= Total Tier 1 capital"</f>
        <v>= Total Tier 1 capital</v>
      </c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55"/>
      <c r="AE587" s="55"/>
      <c r="AF587" s="55"/>
      <c r="AG587" s="55"/>
      <c r="AH587" s="55"/>
      <c r="AI587" s="55"/>
      <c r="AJ587" s="55"/>
      <c r="AK587" s="55"/>
      <c r="AL587" s="55"/>
      <c r="AM587" s="55"/>
      <c r="AN587" s="55"/>
      <c r="AO587" s="55"/>
      <c r="AP587" s="526">
        <f t="shared" ref="AP587:AR587" si="2936">AP568+AP585</f>
        <v>629</v>
      </c>
      <c r="AQ587" s="526">
        <f t="shared" si="2936"/>
        <v>1004</v>
      </c>
      <c r="AR587" s="526">
        <f t="shared" si="2936"/>
        <v>1289</v>
      </c>
      <c r="AS587" s="526">
        <f t="shared" ref="AS587:AT587" si="2937">AS568+AS585</f>
        <v>1292</v>
      </c>
      <c r="AT587" s="526">
        <f t="shared" si="2937"/>
        <v>1336</v>
      </c>
      <c r="AU587" s="526">
        <f t="shared" ref="AU587:AV587" si="2938">AU568+AU585</f>
        <v>1366</v>
      </c>
      <c r="AV587" s="526">
        <f t="shared" si="2938"/>
        <v>1471</v>
      </c>
      <c r="AW587" s="526">
        <f t="shared" ref="AW587:AX587" si="2939">AW568+AW585</f>
        <v>1486</v>
      </c>
      <c r="AX587" s="526">
        <f t="shared" si="2939"/>
        <v>1539</v>
      </c>
      <c r="AY587" s="526">
        <f t="shared" ref="AY587:BI587" si="2940">AY568+AY585</f>
        <v>1592</v>
      </c>
      <c r="AZ587" s="524">
        <f t="shared" si="2940"/>
        <v>1674</v>
      </c>
      <c r="BA587" s="526">
        <f t="shared" si="2940"/>
        <v>1749.9424170008717</v>
      </c>
      <c r="BB587" s="526">
        <f t="shared" si="2940"/>
        <v>1831.9179297917526</v>
      </c>
      <c r="BC587" s="526">
        <f t="shared" si="2940"/>
        <v>1916.1227940314488</v>
      </c>
      <c r="BD587" s="526">
        <f t="shared" si="2940"/>
        <v>2158.700241696215</v>
      </c>
      <c r="BE587" s="526">
        <f t="shared" si="2940"/>
        <v>2265.3595664323402</v>
      </c>
      <c r="BF587" s="526">
        <f t="shared" si="2940"/>
        <v>2387.1334508873515</v>
      </c>
      <c r="BG587" s="526">
        <f t="shared" si="2940"/>
        <v>2519.419117994863</v>
      </c>
      <c r="BH587" s="526">
        <f t="shared" si="2940"/>
        <v>2665.2766542291893</v>
      </c>
      <c r="BI587" s="526">
        <f t="shared" si="2940"/>
        <v>2780.9716962550974</v>
      </c>
      <c r="BJ587" s="526">
        <f t="shared" ref="BJ587:BK587" si="2941">BJ568+BJ585</f>
        <v>2885.4212588154523</v>
      </c>
      <c r="BK587" s="526">
        <f t="shared" si="2941"/>
        <v>3006.1011447894625</v>
      </c>
      <c r="BL587" s="526">
        <f t="shared" ref="BL587:BM587" si="2942">BL568+BL585</f>
        <v>3113.6328555890741</v>
      </c>
      <c r="BM587" s="526">
        <f t="shared" si="2942"/>
        <v>3224.8339951469379</v>
      </c>
      <c r="BN587" s="526">
        <f t="shared" ref="BN587:BO587" si="2943">BN568+BN585</f>
        <v>3322.0621961268344</v>
      </c>
      <c r="BO587" s="526">
        <f t="shared" si="2943"/>
        <v>3420.2655764970837</v>
      </c>
      <c r="BP587" s="526">
        <f t="shared" ref="BP587:BQ587" si="2944">BP568+BP585</f>
        <v>3516.6392177745961</v>
      </c>
      <c r="BQ587" s="526">
        <f t="shared" si="2944"/>
        <v>3613.6865359430299</v>
      </c>
      <c r="BR587" s="526"/>
      <c r="BS587" s="55"/>
      <c r="BT587" s="55"/>
      <c r="BU587" s="55"/>
      <c r="BV587" s="55"/>
      <c r="BW587" s="55"/>
      <c r="BX587" s="55"/>
      <c r="BY587" s="55"/>
      <c r="BZ587" s="55"/>
      <c r="CA587" s="55"/>
      <c r="CB587" s="55"/>
      <c r="CC587" s="55"/>
      <c r="CD587" s="55"/>
      <c r="CE587" s="55"/>
      <c r="CF587" s="55"/>
      <c r="CG587" s="55"/>
      <c r="CH587" s="55"/>
      <c r="CI587" s="55"/>
      <c r="CJ587" s="55"/>
      <c r="CK587" s="55"/>
      <c r="CL587" s="55"/>
      <c r="CM587" s="55"/>
      <c r="CN587" s="55"/>
      <c r="CO587" s="55"/>
      <c r="CP587" s="55"/>
      <c r="CQ587" s="55"/>
      <c r="CR587" s="55"/>
      <c r="CS587" s="55"/>
      <c r="CT587" s="521">
        <f>43.6%*CT613</f>
        <v>193.49680000000001</v>
      </c>
      <c r="CU587" s="521">
        <f>23.1%*CU$613</f>
        <v>528.20460000000003</v>
      </c>
      <c r="CV587" s="526">
        <f t="shared" ref="CV587:DF587" si="2945">CV568+CV585</f>
        <v>1004</v>
      </c>
      <c r="CW587" s="526">
        <f t="shared" si="2945"/>
        <v>1291.9999999999998</v>
      </c>
      <c r="CX587" s="526">
        <f t="shared" si="2945"/>
        <v>1366</v>
      </c>
      <c r="CY587" s="526">
        <f t="shared" si="2945"/>
        <v>1486</v>
      </c>
      <c r="CZ587" s="524">
        <f t="shared" si="2945"/>
        <v>1592</v>
      </c>
      <c r="DA587" s="526">
        <f t="shared" si="2945"/>
        <v>1749.942417000872</v>
      </c>
      <c r="DB587" s="526">
        <f t="shared" si="2945"/>
        <v>1916.1227940314493</v>
      </c>
      <c r="DC587" s="526">
        <f t="shared" si="2945"/>
        <v>2265.3595664323402</v>
      </c>
      <c r="DD587" s="526">
        <f t="shared" si="2945"/>
        <v>2519.419117994863</v>
      </c>
      <c r="DE587" s="526">
        <f t="shared" si="2945"/>
        <v>2780.9716962550974</v>
      </c>
      <c r="DF587" s="526">
        <f t="shared" si="2945"/>
        <v>3006.1011447894625</v>
      </c>
      <c r="DG587" s="526">
        <f t="shared" ref="DG587:DH587" si="2946">DG568+DG585</f>
        <v>3224.8339951469379</v>
      </c>
      <c r="DH587" s="526">
        <f t="shared" si="2946"/>
        <v>3420.2655764970832</v>
      </c>
      <c r="DI587" s="526">
        <f t="shared" ref="DI587" si="2947">DI568+DI585</f>
        <v>3613.6865359430294</v>
      </c>
    </row>
    <row r="588" spans="1:113" ht="12" hidden="1" outlineLevel="1">
      <c r="A588" s="1" t="s">
        <v>1044</v>
      </c>
      <c r="B588" s="19" t="s">
        <v>573</v>
      </c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4">
        <f t="shared" ref="AP588:AR588" si="2948">AP555</f>
        <v>0</v>
      </c>
      <c r="AQ588" s="44">
        <f t="shared" si="2948"/>
        <v>0</v>
      </c>
      <c r="AR588" s="44">
        <f t="shared" si="2948"/>
        <v>0</v>
      </c>
      <c r="AS588" s="44">
        <f t="shared" ref="AS588:AT588" si="2949">AS555</f>
        <v>0</v>
      </c>
      <c r="AT588" s="44">
        <f t="shared" si="2949"/>
        <v>0</v>
      </c>
      <c r="AU588" s="44">
        <f t="shared" ref="AU588:AV588" si="2950">AU555</f>
        <v>0</v>
      </c>
      <c r="AV588" s="44">
        <f t="shared" si="2950"/>
        <v>0</v>
      </c>
      <c r="AW588" s="44">
        <f t="shared" ref="AW588:AX588" si="2951">AW555</f>
        <v>0</v>
      </c>
      <c r="AX588" s="44">
        <f t="shared" si="2951"/>
        <v>0</v>
      </c>
      <c r="AY588" s="44">
        <f t="shared" ref="AY588:BI588" si="2952">AY555</f>
        <v>0</v>
      </c>
      <c r="AZ588" s="45">
        <f t="shared" si="2952"/>
        <v>0</v>
      </c>
      <c r="BA588" s="44">
        <f t="shared" si="2952"/>
        <v>0</v>
      </c>
      <c r="BB588" s="44">
        <f t="shared" si="2952"/>
        <v>0</v>
      </c>
      <c r="BC588" s="44">
        <f t="shared" si="2952"/>
        <v>0</v>
      </c>
      <c r="BD588" s="44">
        <f t="shared" si="2952"/>
        <v>0</v>
      </c>
      <c r="BE588" s="44">
        <f t="shared" si="2952"/>
        <v>0</v>
      </c>
      <c r="BF588" s="44">
        <f t="shared" si="2952"/>
        <v>0</v>
      </c>
      <c r="BG588" s="44">
        <f t="shared" si="2952"/>
        <v>0</v>
      </c>
      <c r="BH588" s="44">
        <f t="shared" si="2952"/>
        <v>0</v>
      </c>
      <c r="BI588" s="44">
        <f t="shared" si="2952"/>
        <v>0</v>
      </c>
      <c r="BJ588" s="44">
        <f t="shared" ref="BJ588:BK588" si="2953">BJ555</f>
        <v>0</v>
      </c>
      <c r="BK588" s="44">
        <f t="shared" si="2953"/>
        <v>0</v>
      </c>
      <c r="BL588" s="44">
        <f t="shared" ref="BL588:BM588" si="2954">BL555</f>
        <v>0</v>
      </c>
      <c r="BM588" s="44">
        <f t="shared" si="2954"/>
        <v>0</v>
      </c>
      <c r="BN588" s="44">
        <f t="shared" ref="BN588:BO588" si="2955">BN555</f>
        <v>0</v>
      </c>
      <c r="BO588" s="44">
        <f t="shared" si="2955"/>
        <v>0</v>
      </c>
      <c r="BP588" s="44">
        <f t="shared" ref="BP588:BQ588" si="2956">BP555</f>
        <v>0</v>
      </c>
      <c r="BQ588" s="44">
        <f t="shared" si="2956"/>
        <v>0</v>
      </c>
      <c r="BR588" s="44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4">
        <f t="shared" ref="CT588:CU588" si="2957">CT555</f>
        <v>0</v>
      </c>
      <c r="CU588" s="44">
        <f t="shared" si="2957"/>
        <v>0</v>
      </c>
      <c r="CV588" s="44">
        <f t="shared" ref="CV588:CV589" si="2958">AQ588</f>
        <v>0</v>
      </c>
      <c r="CW588" s="44">
        <f>AS588</f>
        <v>0</v>
      </c>
      <c r="CX588" s="44">
        <f>AU588</f>
        <v>0</v>
      </c>
      <c r="CY588" s="44">
        <f>AW588</f>
        <v>0</v>
      </c>
      <c r="CZ588" s="45">
        <f>AY588</f>
        <v>0</v>
      </c>
      <c r="DA588" s="44">
        <f t="shared" ref="DA588:DA589" si="2959">BA588</f>
        <v>0</v>
      </c>
      <c r="DB588" s="44">
        <f>BC588</f>
        <v>0</v>
      </c>
      <c r="DC588" s="44">
        <f>BE588</f>
        <v>0</v>
      </c>
      <c r="DD588" s="44">
        <f>BG588</f>
        <v>0</v>
      </c>
      <c r="DE588" s="44">
        <f>BI588</f>
        <v>0</v>
      </c>
      <c r="DF588" s="44">
        <f>BK588</f>
        <v>0</v>
      </c>
      <c r="DG588" s="44">
        <f>BM588</f>
        <v>0</v>
      </c>
      <c r="DH588" s="44">
        <f>BO588</f>
        <v>0</v>
      </c>
      <c r="DI588" s="44">
        <f>BQ588</f>
        <v>0</v>
      </c>
    </row>
    <row r="589" spans="1:113" ht="12" hidden="1" outlineLevel="1">
      <c r="A589" s="1" t="s">
        <v>1045</v>
      </c>
      <c r="B589" s="19" t="s">
        <v>574</v>
      </c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4">
        <f t="shared" ref="AP589:AR589" si="2960">-AP565-AP566-AP555-AP567</f>
        <v>0</v>
      </c>
      <c r="AQ589" s="44">
        <f t="shared" si="2960"/>
        <v>0</v>
      </c>
      <c r="AR589" s="44">
        <f t="shared" si="2960"/>
        <v>0</v>
      </c>
      <c r="AS589" s="44">
        <f t="shared" ref="AS589:AT589" si="2961">-AS565-AS566-AS555-AS567</f>
        <v>0</v>
      </c>
      <c r="AT589" s="44">
        <f t="shared" si="2961"/>
        <v>0</v>
      </c>
      <c r="AU589" s="44">
        <f t="shared" ref="AU589:AV589" si="2962">-AU565-AU566-AU555-AU567</f>
        <v>0</v>
      </c>
      <c r="AV589" s="44">
        <f t="shared" si="2962"/>
        <v>-75</v>
      </c>
      <c r="AW589" s="44">
        <f t="shared" ref="AW589:AX589" si="2963">-AW565-AW566-AW555-AW567</f>
        <v>-75</v>
      </c>
      <c r="AX589" s="44">
        <f t="shared" si="2963"/>
        <v>-75</v>
      </c>
      <c r="AY589" s="44">
        <f t="shared" ref="AY589:BI589" si="2964">-AY565-AY566-AY555-AY567</f>
        <v>-75</v>
      </c>
      <c r="AZ589" s="45">
        <f t="shared" si="2964"/>
        <v>-75</v>
      </c>
      <c r="BA589" s="44">
        <f t="shared" si="2964"/>
        <v>-75</v>
      </c>
      <c r="BB589" s="44">
        <f t="shared" si="2964"/>
        <v>-75</v>
      </c>
      <c r="BC589" s="44">
        <f t="shared" si="2964"/>
        <v>-75</v>
      </c>
      <c r="BD589" s="44">
        <f t="shared" si="2964"/>
        <v>-75</v>
      </c>
      <c r="BE589" s="44">
        <f t="shared" si="2964"/>
        <v>-75</v>
      </c>
      <c r="BF589" s="44">
        <f t="shared" si="2964"/>
        <v>-75</v>
      </c>
      <c r="BG589" s="44">
        <f t="shared" si="2964"/>
        <v>-75</v>
      </c>
      <c r="BH589" s="44">
        <f t="shared" si="2964"/>
        <v>-75</v>
      </c>
      <c r="BI589" s="44">
        <f t="shared" si="2964"/>
        <v>-75</v>
      </c>
      <c r="BJ589" s="44">
        <f t="shared" ref="BJ589:BK589" si="2965">-BJ565-BJ566-BJ555-BJ567</f>
        <v>-75</v>
      </c>
      <c r="BK589" s="44">
        <f t="shared" si="2965"/>
        <v>-75</v>
      </c>
      <c r="BL589" s="44">
        <f t="shared" ref="BL589:BM589" si="2966">-BL565-BL566-BL555-BL567</f>
        <v>-75</v>
      </c>
      <c r="BM589" s="44">
        <f t="shared" si="2966"/>
        <v>-75</v>
      </c>
      <c r="BN589" s="44">
        <f t="shared" ref="BN589:BO589" si="2967">-BN565-BN566-BN555-BN567</f>
        <v>-75</v>
      </c>
      <c r="BO589" s="44">
        <f t="shared" si="2967"/>
        <v>-75</v>
      </c>
      <c r="BP589" s="44">
        <f t="shared" ref="BP589:BQ589" si="2968">-BP565-BP566-BP555-BP567</f>
        <v>-75</v>
      </c>
      <c r="BQ589" s="44">
        <f t="shared" si="2968"/>
        <v>-75</v>
      </c>
      <c r="BR589" s="44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4">
        <f t="shared" ref="CT589:CU589" si="2969">-CT565-CT566-CT555-CT567</f>
        <v>0</v>
      </c>
      <c r="CU589" s="44">
        <f t="shared" si="2969"/>
        <v>0</v>
      </c>
      <c r="CV589" s="44">
        <f t="shared" si="2958"/>
        <v>0</v>
      </c>
      <c r="CW589" s="44">
        <f>AS589</f>
        <v>0</v>
      </c>
      <c r="CX589" s="44">
        <f>AU589</f>
        <v>0</v>
      </c>
      <c r="CY589" s="44">
        <f>AW589</f>
        <v>-75</v>
      </c>
      <c r="CZ589" s="45">
        <f>AY589</f>
        <v>-75</v>
      </c>
      <c r="DA589" s="44">
        <f t="shared" si="2959"/>
        <v>-75</v>
      </c>
      <c r="DB589" s="44">
        <f>BC589</f>
        <v>-75</v>
      </c>
      <c r="DC589" s="44">
        <f>BE589</f>
        <v>-75</v>
      </c>
      <c r="DD589" s="44">
        <f>BG589</f>
        <v>-75</v>
      </c>
      <c r="DE589" s="44">
        <f>BI589</f>
        <v>-75</v>
      </c>
      <c r="DF589" s="44">
        <f>BK589</f>
        <v>-75</v>
      </c>
      <c r="DG589" s="44">
        <f>BM589</f>
        <v>-75</v>
      </c>
      <c r="DH589" s="44">
        <f>BO589</f>
        <v>-75</v>
      </c>
      <c r="DI589" s="44">
        <f>BQ589</f>
        <v>-75</v>
      </c>
    </row>
    <row r="590" spans="1:113" s="24" customFormat="1" ht="12" hidden="1" outlineLevel="1">
      <c r="A590" s="1" t="s">
        <v>932</v>
      </c>
      <c r="B590" s="24" t="s">
        <v>575</v>
      </c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55"/>
      <c r="AE590" s="55"/>
      <c r="AF590" s="55"/>
      <c r="AG590" s="55"/>
      <c r="AH590" s="55"/>
      <c r="AI590" s="55"/>
      <c r="AJ590" s="55"/>
      <c r="AK590" s="55"/>
      <c r="AL590" s="55"/>
      <c r="AM590" s="55"/>
      <c r="AN590" s="55"/>
      <c r="AO590" s="55"/>
      <c r="AP590" s="526">
        <f t="shared" ref="AP590:AR590" si="2970">AP587+AP588+AP589</f>
        <v>629</v>
      </c>
      <c r="AQ590" s="526">
        <f t="shared" si="2970"/>
        <v>1004</v>
      </c>
      <c r="AR590" s="526">
        <f t="shared" si="2970"/>
        <v>1289</v>
      </c>
      <c r="AS590" s="526">
        <f t="shared" ref="AS590:AT590" si="2971">AS587+AS588+AS589</f>
        <v>1292</v>
      </c>
      <c r="AT590" s="526">
        <f t="shared" si="2971"/>
        <v>1336</v>
      </c>
      <c r="AU590" s="526">
        <f t="shared" ref="AU590:AV590" si="2972">AU587+AU588+AU589</f>
        <v>1366</v>
      </c>
      <c r="AV590" s="526">
        <f t="shared" si="2972"/>
        <v>1396</v>
      </c>
      <c r="AW590" s="526">
        <f t="shared" ref="AW590:AX590" si="2973">AW587+AW588+AW589</f>
        <v>1411</v>
      </c>
      <c r="AX590" s="526">
        <f t="shared" si="2973"/>
        <v>1464</v>
      </c>
      <c r="AY590" s="526">
        <f t="shared" ref="AY590:BI590" si="2974">AY587+AY588+AY589</f>
        <v>1517</v>
      </c>
      <c r="AZ590" s="524">
        <f t="shared" si="2974"/>
        <v>1599</v>
      </c>
      <c r="BA590" s="526">
        <f t="shared" si="2974"/>
        <v>1674.9424170008717</v>
      </c>
      <c r="BB590" s="526">
        <f t="shared" si="2974"/>
        <v>1756.9179297917526</v>
      </c>
      <c r="BC590" s="526">
        <f t="shared" si="2974"/>
        <v>1841.1227940314488</v>
      </c>
      <c r="BD590" s="526">
        <f t="shared" si="2974"/>
        <v>2083.700241696215</v>
      </c>
      <c r="BE590" s="526">
        <f t="shared" si="2974"/>
        <v>2190.3595664323402</v>
      </c>
      <c r="BF590" s="526">
        <f t="shared" si="2974"/>
        <v>2312.1334508873515</v>
      </c>
      <c r="BG590" s="526">
        <f t="shared" si="2974"/>
        <v>2444.419117994863</v>
      </c>
      <c r="BH590" s="526">
        <f t="shared" si="2974"/>
        <v>2590.2766542291893</v>
      </c>
      <c r="BI590" s="526">
        <f t="shared" si="2974"/>
        <v>2705.9716962550974</v>
      </c>
      <c r="BJ590" s="526">
        <f t="shared" ref="BJ590:BK590" si="2975">BJ587+BJ588+BJ589</f>
        <v>2810.4212588154523</v>
      </c>
      <c r="BK590" s="526">
        <f t="shared" si="2975"/>
        <v>2931.1011447894625</v>
      </c>
      <c r="BL590" s="526">
        <f t="shared" ref="BL590:BM590" si="2976">BL587+BL588+BL589</f>
        <v>3038.6328555890741</v>
      </c>
      <c r="BM590" s="526">
        <f t="shared" si="2976"/>
        <v>3149.8339951469379</v>
      </c>
      <c r="BN590" s="526">
        <f t="shared" ref="BN590:BO590" si="2977">BN587+BN588+BN589</f>
        <v>3247.0621961268344</v>
      </c>
      <c r="BO590" s="526">
        <f t="shared" si="2977"/>
        <v>3345.2655764970837</v>
      </c>
      <c r="BP590" s="526">
        <f t="shared" ref="BP590:BQ590" si="2978">BP587+BP588+BP589</f>
        <v>3441.6392177745961</v>
      </c>
      <c r="BQ590" s="526">
        <f t="shared" si="2978"/>
        <v>3538.6865359430299</v>
      </c>
      <c r="BR590" s="526"/>
      <c r="BS590" s="55"/>
      <c r="BT590" s="55"/>
      <c r="BU590" s="55"/>
      <c r="BV590" s="55"/>
      <c r="BW590" s="55"/>
      <c r="BX590" s="55"/>
      <c r="BY590" s="55"/>
      <c r="BZ590" s="55"/>
      <c r="CA590" s="55"/>
      <c r="CB590" s="55"/>
      <c r="CC590" s="55"/>
      <c r="CD590" s="55"/>
      <c r="CE590" s="55"/>
      <c r="CF590" s="55"/>
      <c r="CG590" s="55"/>
      <c r="CH590" s="55"/>
      <c r="CI590" s="55"/>
      <c r="CJ590" s="55"/>
      <c r="CK590" s="55"/>
      <c r="CL590" s="55"/>
      <c r="CM590" s="55"/>
      <c r="CN590" s="55"/>
      <c r="CO590" s="55"/>
      <c r="CP590" s="55"/>
      <c r="CQ590" s="55"/>
      <c r="CR590" s="55"/>
      <c r="CS590" s="55"/>
      <c r="CT590" s="526">
        <f t="shared" ref="CT590:DF590" si="2979">CT587+CT588+CT589</f>
        <v>193.49680000000001</v>
      </c>
      <c r="CU590" s="526">
        <f t="shared" si="2979"/>
        <v>528.20460000000003</v>
      </c>
      <c r="CV590" s="526">
        <f t="shared" si="2979"/>
        <v>1004</v>
      </c>
      <c r="CW590" s="526">
        <f t="shared" si="2979"/>
        <v>1291.9999999999998</v>
      </c>
      <c r="CX590" s="526">
        <f t="shared" si="2979"/>
        <v>1366</v>
      </c>
      <c r="CY590" s="526">
        <f t="shared" si="2979"/>
        <v>1411</v>
      </c>
      <c r="CZ590" s="524">
        <f t="shared" si="2979"/>
        <v>1517</v>
      </c>
      <c r="DA590" s="526">
        <f t="shared" si="2979"/>
        <v>1674.942417000872</v>
      </c>
      <c r="DB590" s="526">
        <f t="shared" si="2979"/>
        <v>1841.1227940314493</v>
      </c>
      <c r="DC590" s="526">
        <f t="shared" si="2979"/>
        <v>2190.3595664323402</v>
      </c>
      <c r="DD590" s="526">
        <f t="shared" si="2979"/>
        <v>2444.419117994863</v>
      </c>
      <c r="DE590" s="526">
        <f t="shared" si="2979"/>
        <v>2705.9716962550974</v>
      </c>
      <c r="DF590" s="526">
        <f t="shared" si="2979"/>
        <v>2931.1011447894625</v>
      </c>
      <c r="DG590" s="526">
        <f t="shared" ref="DG590:DH590" si="2980">DG587+DG588+DG589</f>
        <v>3149.8339951469379</v>
      </c>
      <c r="DH590" s="526">
        <f t="shared" si="2980"/>
        <v>3345.2655764970832</v>
      </c>
      <c r="DI590" s="526">
        <f t="shared" ref="DI590" si="2981">DI587+DI588+DI589</f>
        <v>3538.6865359430294</v>
      </c>
    </row>
    <row r="591" spans="1:113" s="24" customFormat="1" ht="12" hidden="1" outlineLevel="1">
      <c r="A591" s="1" t="s">
        <v>2424</v>
      </c>
      <c r="B591" s="19" t="s">
        <v>2425</v>
      </c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4">
        <f t="shared" ref="AP591:AR591" si="2982">MIN(AP593*10%,-AP575-AP576-AP577-AP556)</f>
        <v>0</v>
      </c>
      <c r="AQ591" s="44">
        <f t="shared" si="2982"/>
        <v>0</v>
      </c>
      <c r="AR591" s="44">
        <f t="shared" si="2982"/>
        <v>0</v>
      </c>
      <c r="AS591" s="44">
        <f t="shared" ref="AS591:AT591" si="2983">MIN(AS593*10%,-AS575-AS576-AS577-AS556)</f>
        <v>0</v>
      </c>
      <c r="AT591" s="44">
        <f t="shared" si="2983"/>
        <v>0</v>
      </c>
      <c r="AU591" s="44">
        <f t="shared" ref="AU591:AV591" si="2984">MIN(AU593*10%,-AU575-AU576-AU577-AU556)</f>
        <v>0</v>
      </c>
      <c r="AV591" s="44">
        <f t="shared" si="2984"/>
        <v>0</v>
      </c>
      <c r="AW591" s="44">
        <f t="shared" ref="AW591:AX591" si="2985">MIN(AW593*10%,-AW575-AW576-AW577-AW556)</f>
        <v>0</v>
      </c>
      <c r="AX591" s="44">
        <f t="shared" si="2985"/>
        <v>0</v>
      </c>
      <c r="AY591" s="44">
        <f t="shared" ref="AY591:BI591" si="2986">MIN((AY590+AY592)*10%/(1-10%),-AY575-AY576-AY577-AY556)</f>
        <v>0</v>
      </c>
      <c r="AZ591" s="45">
        <f t="shared" si="2986"/>
        <v>0</v>
      </c>
      <c r="BA591" s="44">
        <f t="shared" si="2986"/>
        <v>0</v>
      </c>
      <c r="BB591" s="44">
        <f t="shared" si="2986"/>
        <v>0</v>
      </c>
      <c r="BC591" s="44">
        <f t="shared" si="2986"/>
        <v>0</v>
      </c>
      <c r="BD591" s="44">
        <f t="shared" si="2986"/>
        <v>0</v>
      </c>
      <c r="BE591" s="44">
        <f t="shared" si="2986"/>
        <v>0</v>
      </c>
      <c r="BF591" s="44">
        <f t="shared" si="2986"/>
        <v>0</v>
      </c>
      <c r="BG591" s="44">
        <f t="shared" si="2986"/>
        <v>0</v>
      </c>
      <c r="BH591" s="44">
        <f t="shared" si="2986"/>
        <v>0</v>
      </c>
      <c r="BI591" s="44">
        <f t="shared" si="2986"/>
        <v>0</v>
      </c>
      <c r="BJ591" s="44">
        <f t="shared" ref="BJ591:BK591" si="2987">MIN((BJ590+BJ592)*10%/(1-10%),-BJ575-BJ576-BJ577-BJ556)</f>
        <v>0</v>
      </c>
      <c r="BK591" s="44">
        <f t="shared" si="2987"/>
        <v>0</v>
      </c>
      <c r="BL591" s="44">
        <f t="shared" ref="BL591:BM591" si="2988">MIN((BL590+BL592)*10%/(1-10%),-BL575-BL576-BL577-BL556)</f>
        <v>0</v>
      </c>
      <c r="BM591" s="44">
        <f t="shared" si="2988"/>
        <v>0</v>
      </c>
      <c r="BN591" s="44">
        <f t="shared" ref="BN591:BO591" si="2989">MIN((BN590+BN592)*10%/(1-10%),-BN575-BN576-BN577-BN556)</f>
        <v>0</v>
      </c>
      <c r="BO591" s="44">
        <f t="shared" si="2989"/>
        <v>0</v>
      </c>
      <c r="BP591" s="44">
        <f t="shared" ref="BP591:BQ591" si="2990">MIN((BP590+BP592)*10%/(1-10%),-BP575-BP576-BP577-BP556)</f>
        <v>0</v>
      </c>
      <c r="BQ591" s="44">
        <f t="shared" si="2990"/>
        <v>0</v>
      </c>
      <c r="BR591" s="526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4">
        <f t="shared" ref="CT591:CU591" si="2991">MIN(CT593*10%,-CT575-CT576-CT577-CT556)</f>
        <v>0</v>
      </c>
      <c r="CU591" s="44">
        <f t="shared" si="2991"/>
        <v>0</v>
      </c>
      <c r="CV591" s="44">
        <f t="shared" ref="CV591:CV592" si="2992">AQ591</f>
        <v>0</v>
      </c>
      <c r="CW591" s="44">
        <f>AO591</f>
        <v>0</v>
      </c>
      <c r="CX591" s="44">
        <f>AQ591</f>
        <v>0</v>
      </c>
      <c r="CY591" s="44">
        <f>AS591</f>
        <v>0</v>
      </c>
      <c r="CZ591" s="45">
        <f>AU591</f>
        <v>0</v>
      </c>
      <c r="DA591" s="44">
        <f t="shared" ref="DA591:DA592" si="2993">BA591</f>
        <v>0</v>
      </c>
      <c r="DB591" s="44">
        <f>BC591</f>
        <v>0</v>
      </c>
      <c r="DC591" s="44">
        <f>BE591</f>
        <v>0</v>
      </c>
      <c r="DD591" s="44">
        <f>BG591</f>
        <v>0</v>
      </c>
      <c r="DE591" s="44">
        <f>BI591</f>
        <v>0</v>
      </c>
      <c r="DF591" s="44">
        <f>BK591</f>
        <v>0</v>
      </c>
      <c r="DG591" s="44">
        <f>BM591</f>
        <v>0</v>
      </c>
      <c r="DH591" s="44">
        <f>BO591</f>
        <v>0</v>
      </c>
      <c r="DI591" s="44">
        <f>BQ591</f>
        <v>0</v>
      </c>
    </row>
    <row r="592" spans="1:113" s="24" customFormat="1" ht="12" hidden="1" outlineLevel="1">
      <c r="A592" s="1" t="s">
        <v>2426</v>
      </c>
      <c r="B592" s="19" t="s">
        <v>2427</v>
      </c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2"/>
      <c r="AK592" s="42"/>
      <c r="AL592" s="42"/>
      <c r="AM592" s="42"/>
      <c r="AN592" s="42"/>
      <c r="AO592" s="42"/>
      <c r="AP592" s="44">
        <f t="shared" ref="AP592:AR592" si="2994">AP593-AP591-AP590</f>
        <v>0</v>
      </c>
      <c r="AQ592" s="44">
        <f t="shared" si="2994"/>
        <v>0</v>
      </c>
      <c r="AR592" s="44">
        <f t="shared" si="2994"/>
        <v>0</v>
      </c>
      <c r="AS592" s="44">
        <f t="shared" ref="AS592:AT592" si="2995">AS593-AS591-AS590</f>
        <v>0</v>
      </c>
      <c r="AT592" s="44">
        <f t="shared" si="2995"/>
        <v>0</v>
      </c>
      <c r="AU592" s="44">
        <f t="shared" ref="AU592:AV592" si="2996">AU593-AU591-AU590</f>
        <v>0</v>
      </c>
      <c r="AV592" s="44">
        <f t="shared" si="2996"/>
        <v>0</v>
      </c>
      <c r="AW592" s="44">
        <f t="shared" ref="AW592:AX592" si="2997">AW593-AW591-AW590</f>
        <v>0</v>
      </c>
      <c r="AX592" s="44">
        <f t="shared" si="2997"/>
        <v>0</v>
      </c>
      <c r="AY592" s="44">
        <f t="shared" ref="AY592:BI592" si="2998">AX$592/AX$574*AY574</f>
        <v>0</v>
      </c>
      <c r="AZ592" s="45">
        <f t="shared" si="2998"/>
        <v>0</v>
      </c>
      <c r="BA592" s="44">
        <f t="shared" si="2998"/>
        <v>0</v>
      </c>
      <c r="BB592" s="44">
        <f t="shared" si="2998"/>
        <v>0</v>
      </c>
      <c r="BC592" s="44">
        <f t="shared" si="2998"/>
        <v>0</v>
      </c>
      <c r="BD592" s="44">
        <f t="shared" si="2998"/>
        <v>0</v>
      </c>
      <c r="BE592" s="44">
        <f t="shared" si="2998"/>
        <v>0</v>
      </c>
      <c r="BF592" s="44">
        <f t="shared" si="2998"/>
        <v>0</v>
      </c>
      <c r="BG592" s="44">
        <f t="shared" si="2998"/>
        <v>0</v>
      </c>
      <c r="BH592" s="44">
        <f t="shared" si="2998"/>
        <v>0</v>
      </c>
      <c r="BI592" s="44">
        <f t="shared" si="2998"/>
        <v>0</v>
      </c>
      <c r="BJ592" s="44">
        <f t="shared" ref="BJ592" si="2999">BI$592/BI$574*BJ574</f>
        <v>0</v>
      </c>
      <c r="BK592" s="44">
        <f t="shared" ref="BK592" si="3000">BJ$592/BJ$574*BK574</f>
        <v>0</v>
      </c>
      <c r="BL592" s="44">
        <f t="shared" ref="BL592" si="3001">BK$592/BK$574*BL574</f>
        <v>0</v>
      </c>
      <c r="BM592" s="44">
        <f t="shared" ref="BM592" si="3002">BL$592/BL$574*BM574</f>
        <v>0</v>
      </c>
      <c r="BN592" s="44">
        <f t="shared" ref="BN592" si="3003">BM$592/BM$574*BN574</f>
        <v>0</v>
      </c>
      <c r="BO592" s="44">
        <f t="shared" ref="BO592" si="3004">BN$592/BN$574*BO574</f>
        <v>0</v>
      </c>
      <c r="BP592" s="44">
        <f t="shared" ref="BP592" si="3005">BO$592/BO$574*BP574</f>
        <v>0</v>
      </c>
      <c r="BQ592" s="44">
        <f t="shared" ref="BQ592" si="3006">BP$592/BP$574*BQ574</f>
        <v>0</v>
      </c>
      <c r="BR592" s="526"/>
      <c r="BS592" s="55"/>
      <c r="BT592" s="55"/>
      <c r="BU592" s="55"/>
      <c r="BV592" s="55"/>
      <c r="BW592" s="55"/>
      <c r="BX592" s="55"/>
      <c r="BY592" s="55"/>
      <c r="BZ592" s="55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4">
        <f t="shared" ref="CT592:CU592" si="3007">CT593-CT591-CT590</f>
        <v>0</v>
      </c>
      <c r="CU592" s="44">
        <f t="shared" si="3007"/>
        <v>0</v>
      </c>
      <c r="CV592" s="44">
        <f t="shared" si="2992"/>
        <v>0</v>
      </c>
      <c r="CW592" s="44">
        <f>AO592</f>
        <v>0</v>
      </c>
      <c r="CX592" s="44">
        <f>AQ592</f>
        <v>0</v>
      </c>
      <c r="CY592" s="44">
        <f>AS592</f>
        <v>0</v>
      </c>
      <c r="CZ592" s="45">
        <f>AU592</f>
        <v>0</v>
      </c>
      <c r="DA592" s="44">
        <f t="shared" si="2993"/>
        <v>0</v>
      </c>
      <c r="DB592" s="44">
        <f>BC592</f>
        <v>0</v>
      </c>
      <c r="DC592" s="44">
        <f>BE592</f>
        <v>0</v>
      </c>
      <c r="DD592" s="44">
        <f>BG592</f>
        <v>0</v>
      </c>
      <c r="DE592" s="44">
        <f>BI592</f>
        <v>0</v>
      </c>
      <c r="DF592" s="44">
        <f>BK592</f>
        <v>0</v>
      </c>
      <c r="DG592" s="44">
        <f>BM592</f>
        <v>0</v>
      </c>
      <c r="DH592" s="44">
        <f>BO592</f>
        <v>0</v>
      </c>
      <c r="DI592" s="44">
        <f>BQ592</f>
        <v>0</v>
      </c>
    </row>
    <row r="593" spans="1:113" s="24" customFormat="1" ht="12" hidden="1" outlineLevel="1">
      <c r="A593" s="1" t="s">
        <v>2428</v>
      </c>
      <c r="B593" s="24" t="s">
        <v>2429</v>
      </c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55"/>
      <c r="AE593" s="55"/>
      <c r="AF593" s="55"/>
      <c r="AG593" s="55"/>
      <c r="AH593" s="55"/>
      <c r="AI593" s="55"/>
      <c r="AJ593" s="55"/>
      <c r="AK593" s="55"/>
      <c r="AL593" s="55"/>
      <c r="AM593" s="55"/>
      <c r="AN593" s="55"/>
      <c r="AO593" s="55"/>
      <c r="AP593" s="521">
        <f t="shared" ref="AP593:AR593" si="3008">AP590</f>
        <v>629</v>
      </c>
      <c r="AQ593" s="521">
        <f t="shared" si="3008"/>
        <v>1004</v>
      </c>
      <c r="AR593" s="521">
        <f t="shared" si="3008"/>
        <v>1289</v>
      </c>
      <c r="AS593" s="521">
        <f t="shared" ref="AS593:AT593" si="3009">AS590</f>
        <v>1292</v>
      </c>
      <c r="AT593" s="521">
        <f t="shared" si="3009"/>
        <v>1336</v>
      </c>
      <c r="AU593" s="521">
        <f t="shared" ref="AU593:AW593" si="3010">AU590</f>
        <v>1366</v>
      </c>
      <c r="AV593" s="521">
        <f t="shared" si="3010"/>
        <v>1396</v>
      </c>
      <c r="AW593" s="521">
        <f t="shared" si="3010"/>
        <v>1411</v>
      </c>
      <c r="AX593" s="521">
        <f t="shared" ref="AX593:AZ593" si="3011">AX590</f>
        <v>1464</v>
      </c>
      <c r="AY593" s="521">
        <f t="shared" si="3011"/>
        <v>1517</v>
      </c>
      <c r="AZ593" s="522">
        <f t="shared" si="3011"/>
        <v>1599</v>
      </c>
      <c r="BA593" s="526">
        <f t="shared" ref="BA593:BI593" si="3012">SUM(BA590:BA592)</f>
        <v>1674.9424170008717</v>
      </c>
      <c r="BB593" s="526">
        <f t="shared" si="3012"/>
        <v>1756.9179297917526</v>
      </c>
      <c r="BC593" s="526">
        <f t="shared" si="3012"/>
        <v>1841.1227940314488</v>
      </c>
      <c r="BD593" s="526">
        <f t="shared" si="3012"/>
        <v>2083.700241696215</v>
      </c>
      <c r="BE593" s="526">
        <f t="shared" si="3012"/>
        <v>2190.3595664323402</v>
      </c>
      <c r="BF593" s="526">
        <f t="shared" si="3012"/>
        <v>2312.1334508873515</v>
      </c>
      <c r="BG593" s="526">
        <f t="shared" si="3012"/>
        <v>2444.419117994863</v>
      </c>
      <c r="BH593" s="526">
        <f t="shared" si="3012"/>
        <v>2590.2766542291893</v>
      </c>
      <c r="BI593" s="526">
        <f t="shared" si="3012"/>
        <v>2705.9716962550974</v>
      </c>
      <c r="BJ593" s="526">
        <f t="shared" ref="BJ593:BK593" si="3013">SUM(BJ590:BJ592)</f>
        <v>2810.4212588154523</v>
      </c>
      <c r="BK593" s="526">
        <f t="shared" si="3013"/>
        <v>2931.1011447894625</v>
      </c>
      <c r="BL593" s="526">
        <f t="shared" ref="BL593:BM593" si="3014">SUM(BL590:BL592)</f>
        <v>3038.6328555890741</v>
      </c>
      <c r="BM593" s="526">
        <f t="shared" si="3014"/>
        <v>3149.8339951469379</v>
      </c>
      <c r="BN593" s="526">
        <f t="shared" ref="BN593:BO593" si="3015">SUM(BN590:BN592)</f>
        <v>3247.0621961268344</v>
      </c>
      <c r="BO593" s="526">
        <f t="shared" si="3015"/>
        <v>3345.2655764970837</v>
      </c>
      <c r="BP593" s="526">
        <f t="shared" ref="BP593:BQ593" si="3016">SUM(BP590:BP592)</f>
        <v>3441.6392177745961</v>
      </c>
      <c r="BQ593" s="526">
        <f t="shared" si="3016"/>
        <v>3538.6865359430299</v>
      </c>
      <c r="BR593" s="526"/>
      <c r="BS593" s="55"/>
      <c r="BT593" s="55"/>
      <c r="BU593" s="55"/>
      <c r="BV593" s="55"/>
      <c r="BW593" s="55"/>
      <c r="BX593" s="55"/>
      <c r="BY593" s="55"/>
      <c r="BZ593" s="55"/>
      <c r="CA593" s="55"/>
      <c r="CB593" s="55"/>
      <c r="CC593" s="55"/>
      <c r="CD593" s="55"/>
      <c r="CE593" s="55"/>
      <c r="CF593" s="55"/>
      <c r="CG593" s="55"/>
      <c r="CH593" s="55"/>
      <c r="CI593" s="55"/>
      <c r="CJ593" s="55"/>
      <c r="CK593" s="55"/>
      <c r="CL593" s="55"/>
      <c r="CM593" s="55"/>
      <c r="CN593" s="55"/>
      <c r="CO593" s="55"/>
      <c r="CP593" s="55"/>
      <c r="CQ593" s="55"/>
      <c r="CR593" s="55"/>
      <c r="CS593" s="55"/>
      <c r="CT593" s="521">
        <f t="shared" ref="CT593:CU593" si="3017">CT590</f>
        <v>193.49680000000001</v>
      </c>
      <c r="CU593" s="521">
        <f t="shared" si="3017"/>
        <v>528.20460000000003</v>
      </c>
      <c r="CV593" s="526">
        <f t="shared" ref="CV593:DF593" si="3018">SUM(CV590:CV592)</f>
        <v>1004</v>
      </c>
      <c r="CW593" s="526">
        <f t="shared" si="3018"/>
        <v>1291.9999999999998</v>
      </c>
      <c r="CX593" s="526">
        <f t="shared" si="3018"/>
        <v>1366</v>
      </c>
      <c r="CY593" s="526">
        <f t="shared" si="3018"/>
        <v>1411</v>
      </c>
      <c r="CZ593" s="524">
        <f t="shared" si="3018"/>
        <v>1517</v>
      </c>
      <c r="DA593" s="526">
        <f t="shared" si="3018"/>
        <v>1674.942417000872</v>
      </c>
      <c r="DB593" s="526">
        <f t="shared" si="3018"/>
        <v>1841.1227940314493</v>
      </c>
      <c r="DC593" s="526">
        <f t="shared" si="3018"/>
        <v>2190.3595664323402</v>
      </c>
      <c r="DD593" s="526">
        <f t="shared" si="3018"/>
        <v>2444.419117994863</v>
      </c>
      <c r="DE593" s="526">
        <f t="shared" si="3018"/>
        <v>2705.9716962550974</v>
      </c>
      <c r="DF593" s="526">
        <f t="shared" si="3018"/>
        <v>2931.1011447894625</v>
      </c>
      <c r="DG593" s="526">
        <f t="shared" ref="DG593:DH593" si="3019">SUM(DG590:DG592)</f>
        <v>3149.8339951469379</v>
      </c>
      <c r="DH593" s="526">
        <f t="shared" si="3019"/>
        <v>3345.2655764970832</v>
      </c>
      <c r="DI593" s="526">
        <f t="shared" ref="DI593" si="3020">SUM(DI590:DI592)</f>
        <v>3538.6865359430294</v>
      </c>
    </row>
    <row r="594" spans="1:113" ht="12" hidden="1" outlineLevel="1"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4"/>
      <c r="AQ594" s="44"/>
      <c r="AR594" s="44"/>
      <c r="AS594" s="44"/>
      <c r="AT594" s="44"/>
      <c r="AU594" s="44"/>
      <c r="AV594" s="44"/>
      <c r="AW594" s="44"/>
      <c r="AX594" s="44"/>
      <c r="AY594" s="44"/>
      <c r="AZ594" s="45"/>
      <c r="BA594" s="44"/>
      <c r="BB594" s="44"/>
      <c r="BC594" s="44"/>
      <c r="BD594" s="44"/>
      <c r="BE594" s="44"/>
      <c r="BF594" s="44"/>
      <c r="BG594" s="44"/>
      <c r="BH594" s="44"/>
      <c r="BI594" s="44"/>
      <c r="BJ594" s="44"/>
      <c r="BK594" s="44"/>
      <c r="BL594" s="44"/>
      <c r="BM594" s="44"/>
      <c r="BN594" s="44"/>
      <c r="BO594" s="44"/>
      <c r="BP594" s="44"/>
      <c r="BQ594" s="44"/>
      <c r="BR594" s="44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4"/>
      <c r="CW594" s="44"/>
      <c r="CX594" s="44"/>
      <c r="CY594" s="44"/>
      <c r="CZ594" s="45"/>
      <c r="DA594" s="44"/>
      <c r="DB594" s="44"/>
      <c r="DC594" s="529"/>
      <c r="DD594" s="529"/>
      <c r="DE594" s="529"/>
      <c r="DF594" s="529"/>
      <c r="DG594" s="529"/>
      <c r="DH594" s="529"/>
      <c r="DI594" s="529"/>
    </row>
    <row r="595" spans="1:113" s="24" customFormat="1" ht="12" hidden="1" outlineLevel="1">
      <c r="A595" s="1" t="s">
        <v>933</v>
      </c>
      <c r="B595" s="24" t="s">
        <v>576</v>
      </c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  <c r="AJ595" s="55"/>
      <c r="AK595" s="55"/>
      <c r="AL595" s="55"/>
      <c r="AM595" s="55"/>
      <c r="AN595" s="55"/>
      <c r="AO595" s="55"/>
      <c r="AP595" s="526">
        <f t="shared" ref="AP595:AR595" si="3021">AP590-AP151*AP613</f>
        <v>258.08000000000004</v>
      </c>
      <c r="AQ595" s="526">
        <f t="shared" si="3021"/>
        <v>512.72</v>
      </c>
      <c r="AR595" s="526">
        <f t="shared" si="3021"/>
        <v>626.6</v>
      </c>
      <c r="AS595" s="526">
        <f t="shared" ref="AS595:AT595" si="3022">AS590-AS151*AS613</f>
        <v>534.68000000000006</v>
      </c>
      <c r="AT595" s="526">
        <f t="shared" si="3022"/>
        <v>407.92000000000007</v>
      </c>
      <c r="AU595" s="526">
        <f t="shared" ref="AU595:AV595" si="3023">AU590-AU151*AU613</f>
        <v>425.41499999999996</v>
      </c>
      <c r="AV595" s="526">
        <f t="shared" si="3023"/>
        <v>407.80499999999995</v>
      </c>
      <c r="AW595" s="526">
        <f t="shared" ref="AW595:AX595" si="3024">AW590-AW151*AW613</f>
        <v>305.7349999999999</v>
      </c>
      <c r="AX595" s="526">
        <f t="shared" si="3024"/>
        <v>240.62999999999988</v>
      </c>
      <c r="AY595" s="526">
        <f t="shared" ref="AY595:BI595" si="3025">AY590-AY151*AY613</f>
        <v>188.98000000000002</v>
      </c>
      <c r="AZ595" s="524">
        <f t="shared" si="3025"/>
        <v>136.88999999999987</v>
      </c>
      <c r="BA595" s="526">
        <f t="shared" si="3025"/>
        <v>69.553605557574656</v>
      </c>
      <c r="BB595" s="526">
        <f t="shared" si="3025"/>
        <v>37.811974995078344</v>
      </c>
      <c r="BC595" s="526">
        <f t="shared" si="3025"/>
        <v>-3.9682095059201856</v>
      </c>
      <c r="BD595" s="526">
        <f t="shared" si="3025"/>
        <v>109.1295105529573</v>
      </c>
      <c r="BE595" s="526">
        <f t="shared" si="3025"/>
        <v>59.40625540300789</v>
      </c>
      <c r="BF595" s="526">
        <f t="shared" si="3025"/>
        <v>41.741453664785695</v>
      </c>
      <c r="BG595" s="526">
        <f t="shared" si="3025"/>
        <v>30.862284585290581</v>
      </c>
      <c r="BH595" s="526">
        <f t="shared" si="3025"/>
        <v>64.443218972845898</v>
      </c>
      <c r="BI595" s="526">
        <f t="shared" si="3025"/>
        <v>42.114143042264914</v>
      </c>
      <c r="BJ595" s="526">
        <f t="shared" ref="BJ595:BK595" si="3026">BJ590-BJ151*BJ613</f>
        <v>45.661720319588767</v>
      </c>
      <c r="BK595" s="526">
        <f t="shared" si="3026"/>
        <v>36.498750949737769</v>
      </c>
      <c r="BL595" s="526">
        <f t="shared" ref="BL595:BM595" si="3027">BL590-BL151*BL613</f>
        <v>58.583697023916102</v>
      </c>
      <c r="BM595" s="526">
        <f t="shared" si="3027"/>
        <v>52.259792097951504</v>
      </c>
      <c r="BN595" s="526">
        <f t="shared" ref="BN595:BO595" si="3028">BN590-BN151*BN613</f>
        <v>71.427054346082969</v>
      </c>
      <c r="BO595" s="526">
        <f t="shared" si="3028"/>
        <v>59.4385050795795</v>
      </c>
      <c r="BP595" s="526">
        <f t="shared" ref="BP595:BQ595" si="3029">BP590-BP151*BP613</f>
        <v>72.259318206887201</v>
      </c>
      <c r="BQ595" s="526">
        <f t="shared" si="3029"/>
        <v>52.149653209293319</v>
      </c>
      <c r="BR595" s="526"/>
      <c r="BS595" s="55"/>
      <c r="BT595" s="55"/>
      <c r="BU595" s="55"/>
      <c r="BV595" s="55"/>
      <c r="BW595" s="55"/>
      <c r="BX595" s="55"/>
      <c r="BY595" s="55"/>
      <c r="BZ595" s="55"/>
      <c r="CA595" s="55"/>
      <c r="CB595" s="55"/>
      <c r="CC595" s="55"/>
      <c r="CD595" s="55"/>
      <c r="CE595" s="55"/>
      <c r="CF595" s="55"/>
      <c r="CG595" s="55"/>
      <c r="CH595" s="55"/>
      <c r="CI595" s="55"/>
      <c r="CJ595" s="55"/>
      <c r="CK595" s="55"/>
      <c r="CL595" s="55"/>
      <c r="CM595" s="55"/>
      <c r="CN595" s="55"/>
      <c r="CO595" s="55"/>
      <c r="CP595" s="55"/>
      <c r="CQ595" s="55"/>
      <c r="CR595" s="55"/>
      <c r="CS595" s="55"/>
      <c r="CT595" s="526">
        <f t="shared" ref="CT595:DF595" si="3030">CT590-CT151*CT613</f>
        <v>135.80279999999999</v>
      </c>
      <c r="CU595" s="526">
        <f t="shared" si="3030"/>
        <v>230.94660000000005</v>
      </c>
      <c r="CV595" s="526">
        <f t="shared" si="3030"/>
        <v>512.72</v>
      </c>
      <c r="CW595" s="526">
        <f t="shared" si="3030"/>
        <v>534.67999999999984</v>
      </c>
      <c r="CX595" s="526">
        <f t="shared" si="3030"/>
        <v>425.41499999999996</v>
      </c>
      <c r="CY595" s="526">
        <f t="shared" si="3030"/>
        <v>305.7349999999999</v>
      </c>
      <c r="CZ595" s="524">
        <f t="shared" si="3030"/>
        <v>188.98000000000002</v>
      </c>
      <c r="DA595" s="526">
        <f t="shared" si="3030"/>
        <v>69.553605557574883</v>
      </c>
      <c r="DB595" s="526">
        <f t="shared" si="3030"/>
        <v>-3.9682095059197309</v>
      </c>
      <c r="DC595" s="526">
        <f t="shared" si="3030"/>
        <v>59.40625540300789</v>
      </c>
      <c r="DD595" s="526">
        <f t="shared" si="3030"/>
        <v>30.862284585290581</v>
      </c>
      <c r="DE595" s="526">
        <f t="shared" si="3030"/>
        <v>42.114143042264914</v>
      </c>
      <c r="DF595" s="526">
        <f t="shared" si="3030"/>
        <v>36.498750949737769</v>
      </c>
      <c r="DG595" s="526">
        <f t="shared" ref="DG595:DH595" si="3031">DG590-DG151*DG613</f>
        <v>52.259792097951504</v>
      </c>
      <c r="DH595" s="526">
        <f t="shared" si="3031"/>
        <v>59.438505079579045</v>
      </c>
      <c r="DI595" s="526">
        <f t="shared" ref="DI595" si="3032">DI590-DI151*DI613</f>
        <v>52.149653209292865</v>
      </c>
    </row>
    <row r="596" spans="1:113" ht="12" hidden="1" outlineLevel="1"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5"/>
      <c r="BA596" s="44"/>
      <c r="BB596" s="44"/>
      <c r="BC596" s="44"/>
      <c r="BD596" s="44"/>
      <c r="BE596" s="44"/>
      <c r="BF596" s="44"/>
      <c r="BG596" s="44"/>
      <c r="BH596" s="44"/>
      <c r="BI596" s="44"/>
      <c r="BJ596" s="44"/>
      <c r="BK596" s="44"/>
      <c r="BL596" s="44"/>
      <c r="BM596" s="44"/>
      <c r="BN596" s="44"/>
      <c r="BO596" s="44"/>
      <c r="BP596" s="44"/>
      <c r="BQ596" s="44"/>
      <c r="BR596" s="44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4"/>
      <c r="CW596" s="44"/>
      <c r="CX596" s="44"/>
      <c r="CY596" s="44"/>
      <c r="CZ596" s="45"/>
      <c r="DA596" s="44"/>
      <c r="DB596" s="44"/>
      <c r="DC596" s="529"/>
      <c r="DD596" s="529"/>
      <c r="DE596" s="529"/>
      <c r="DF596" s="529"/>
      <c r="DG596" s="529"/>
      <c r="DH596" s="529"/>
      <c r="DI596" s="529"/>
    </row>
    <row r="597" spans="1:113" s="24" customFormat="1" ht="12" hidden="1" outlineLevel="1">
      <c r="A597" s="1"/>
      <c r="B597" s="24" t="s">
        <v>577</v>
      </c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55"/>
      <c r="AE597" s="55"/>
      <c r="AF597" s="55"/>
      <c r="AG597" s="55"/>
      <c r="AH597" s="55"/>
      <c r="AI597" s="55"/>
      <c r="AJ597" s="55"/>
      <c r="AK597" s="55"/>
      <c r="AL597" s="55"/>
      <c r="AM597" s="55"/>
      <c r="AN597" s="55"/>
      <c r="AO597" s="55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4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5"/>
      <c r="BT597" s="55"/>
      <c r="BU597" s="55"/>
      <c r="BV597" s="55"/>
      <c r="BW597" s="55"/>
      <c r="BX597" s="55"/>
      <c r="BY597" s="55"/>
      <c r="BZ597" s="55"/>
      <c r="CA597" s="55"/>
      <c r="CB597" s="55"/>
      <c r="CC597" s="55"/>
      <c r="CD597" s="55"/>
      <c r="CE597" s="55"/>
      <c r="CF597" s="55"/>
      <c r="CG597" s="55"/>
      <c r="CH597" s="55"/>
      <c r="CI597" s="55"/>
      <c r="CJ597" s="55"/>
      <c r="CK597" s="55"/>
      <c r="CL597" s="55"/>
      <c r="CM597" s="55"/>
      <c r="CN597" s="55"/>
      <c r="CO597" s="55"/>
      <c r="CP597" s="55"/>
      <c r="CQ597" s="55"/>
      <c r="CR597" s="55"/>
      <c r="CS597" s="55"/>
      <c r="CT597" s="55"/>
      <c r="CU597" s="55"/>
      <c r="CV597" s="526"/>
      <c r="CW597" s="526"/>
      <c r="CX597" s="526"/>
      <c r="CY597" s="526"/>
      <c r="CZ597" s="524"/>
      <c r="DA597" s="526"/>
      <c r="DB597" s="526"/>
      <c r="DC597" s="541"/>
      <c r="DD597" s="541"/>
      <c r="DE597" s="541"/>
      <c r="DF597" s="541"/>
      <c r="DG597" s="541"/>
      <c r="DH597" s="541"/>
      <c r="DI597" s="541"/>
    </row>
    <row r="598" spans="1:113" ht="12" hidden="1" outlineLevel="1">
      <c r="A598" s="1" t="s">
        <v>934</v>
      </c>
      <c r="B598" s="19" t="s">
        <v>403</v>
      </c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525">
        <v>19</v>
      </c>
      <c r="AQ598" s="525">
        <v>26</v>
      </c>
      <c r="AR598" s="525">
        <v>35</v>
      </c>
      <c r="AS598" s="525">
        <v>40</v>
      </c>
      <c r="AT598" s="525">
        <v>49</v>
      </c>
      <c r="AU598" s="525">
        <v>68</v>
      </c>
      <c r="AV598" s="525">
        <v>72</v>
      </c>
      <c r="AW598" s="525">
        <v>81</v>
      </c>
      <c r="AX598" s="525">
        <v>81</v>
      </c>
      <c r="AY598" s="525">
        <v>79</v>
      </c>
      <c r="AZ598" s="523">
        <v>84</v>
      </c>
      <c r="BA598" s="44">
        <f t="shared" ref="BA598:BI598" si="3033">AZ598*BA121/AZ121</f>
        <v>87.947499934414012</v>
      </c>
      <c r="BB598" s="44">
        <f t="shared" si="3033"/>
        <v>97.12106714899447</v>
      </c>
      <c r="BC598" s="44">
        <f t="shared" si="3033"/>
        <v>111.35074150761979</v>
      </c>
      <c r="BD598" s="44">
        <f t="shared" si="3033"/>
        <v>123.70401765889793</v>
      </c>
      <c r="BE598" s="44">
        <f t="shared" si="3033"/>
        <v>137.00460830184366</v>
      </c>
      <c r="BF598" s="44">
        <f t="shared" si="3033"/>
        <v>146.63060007283389</v>
      </c>
      <c r="BG598" s="44">
        <f t="shared" si="3033"/>
        <v>154.7780726246404</v>
      </c>
      <c r="BH598" s="44">
        <f t="shared" si="3033"/>
        <v>160.81567307412877</v>
      </c>
      <c r="BI598" s="44">
        <f t="shared" si="3033"/>
        <v>168.72643630160772</v>
      </c>
      <c r="BJ598" s="44">
        <f t="shared" ref="BJ598" si="3034">BI598*BJ121/BI121</f>
        <v>174.12953049309172</v>
      </c>
      <c r="BK598" s="44">
        <f t="shared" ref="BK598" si="3035">BJ598*BK121/BJ121</f>
        <v>181.61836869883967</v>
      </c>
      <c r="BL598" s="44">
        <f t="shared" ref="BL598" si="3036">BK598*BL121/BK121</f>
        <v>186.21872519521801</v>
      </c>
      <c r="BM598" s="44">
        <f t="shared" ref="BM598" si="3037">BL598*BM121/BL121</f>
        <v>192.99476057558263</v>
      </c>
      <c r="BN598" s="44">
        <f t="shared" ref="BN598" si="3038">BM598*BN121/BM121</f>
        <v>197.18639698309832</v>
      </c>
      <c r="BO598" s="44">
        <f t="shared" ref="BO598" si="3039">BN598*BO121/BN121</f>
        <v>203.66675006968731</v>
      </c>
      <c r="BP598" s="44">
        <f t="shared" ref="BP598" si="3040">BO598*BP121/BO121</f>
        <v>208.12035059740154</v>
      </c>
      <c r="BQ598" s="44">
        <f t="shared" ref="BQ598" si="3041">BP598*BQ121/BP121</f>
        <v>215.01368976313688</v>
      </c>
      <c r="BR598" s="44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2"/>
      <c r="CD598" s="42"/>
      <c r="CE598" s="42"/>
      <c r="CF598" s="42"/>
      <c r="CG598" s="42"/>
      <c r="CH598" s="42"/>
      <c r="CI598" s="42"/>
      <c r="CJ598" s="42"/>
      <c r="CK598" s="42"/>
      <c r="CL598" s="42"/>
      <c r="CM598" s="42"/>
      <c r="CN598" s="42"/>
      <c r="CO598" s="42"/>
      <c r="CP598" s="42"/>
      <c r="CQ598" s="42"/>
      <c r="CR598" s="42"/>
      <c r="CS598" s="42"/>
      <c r="CT598" s="525">
        <f>CT604</f>
        <v>2.6628000000000043</v>
      </c>
      <c r="CU598" s="525">
        <f>CU604</f>
        <v>16.006200000000035</v>
      </c>
      <c r="CV598" s="44">
        <f t="shared" ref="CV598:CV606" si="3042">AQ598</f>
        <v>26</v>
      </c>
      <c r="CW598" s="44">
        <f t="shared" ref="CW598:CW603" si="3043">AS598</f>
        <v>40</v>
      </c>
      <c r="CX598" s="44">
        <f t="shared" ref="CX598:CX603" si="3044">AU598</f>
        <v>68</v>
      </c>
      <c r="CY598" s="44">
        <f t="shared" ref="CY598:CY603" si="3045">AW598</f>
        <v>81</v>
      </c>
      <c r="CZ598" s="45">
        <f t="shared" ref="CZ598:CZ603" si="3046">AY598</f>
        <v>79</v>
      </c>
      <c r="DA598" s="44">
        <f t="shared" ref="DA598:DA603" si="3047">BA598</f>
        <v>87.947499934414012</v>
      </c>
      <c r="DB598" s="44">
        <f t="shared" ref="DB598:DB603" si="3048">BC598</f>
        <v>111.35074150761979</v>
      </c>
      <c r="DC598" s="44">
        <f t="shared" ref="DC598:DC603" si="3049">BE598</f>
        <v>137.00460830184366</v>
      </c>
      <c r="DD598" s="44">
        <f t="shared" ref="DD598:DD603" si="3050">BG598</f>
        <v>154.7780726246404</v>
      </c>
      <c r="DE598" s="44">
        <f t="shared" ref="DE598:DE603" si="3051">BI598</f>
        <v>168.72643630160772</v>
      </c>
      <c r="DF598" s="44">
        <f t="shared" ref="DF598:DF603" si="3052">BK598</f>
        <v>181.61836869883967</v>
      </c>
      <c r="DG598" s="44">
        <f t="shared" ref="DG598:DG603" si="3053">BM598</f>
        <v>192.99476057558263</v>
      </c>
      <c r="DH598" s="44">
        <f t="shared" ref="DH598:DH603" si="3054">BO598</f>
        <v>203.66675006968731</v>
      </c>
      <c r="DI598" s="44">
        <f t="shared" ref="DI598:DI603" si="3055">BQ598</f>
        <v>215.01368976313688</v>
      </c>
    </row>
    <row r="599" spans="1:113" ht="12" hidden="1" outlineLevel="1">
      <c r="A599" s="1" t="s">
        <v>935</v>
      </c>
      <c r="B599" s="19" t="s">
        <v>404</v>
      </c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4">
        <f t="shared" ref="AP599:AR599" si="3056">-AP567</f>
        <v>0</v>
      </c>
      <c r="AQ599" s="44">
        <f t="shared" si="3056"/>
        <v>0</v>
      </c>
      <c r="AR599" s="44">
        <f t="shared" si="3056"/>
        <v>0</v>
      </c>
      <c r="AS599" s="44">
        <f t="shared" ref="AS599:AT599" si="3057">-AS567</f>
        <v>0</v>
      </c>
      <c r="AT599" s="44">
        <f t="shared" si="3057"/>
        <v>0</v>
      </c>
      <c r="AU599" s="44">
        <f t="shared" ref="AU599:AV599" si="3058">-AU567</f>
        <v>0</v>
      </c>
      <c r="AV599" s="44">
        <f t="shared" si="3058"/>
        <v>0</v>
      </c>
      <c r="AW599" s="44">
        <f t="shared" ref="AW599:AX599" si="3059">-AW567</f>
        <v>0</v>
      </c>
      <c r="AX599" s="44">
        <f t="shared" si="3059"/>
        <v>0</v>
      </c>
      <c r="AY599" s="44">
        <f t="shared" ref="AY599:AZ599" si="3060">-AY567</f>
        <v>0</v>
      </c>
      <c r="AZ599" s="45">
        <f t="shared" si="3060"/>
        <v>0</v>
      </c>
      <c r="BA599" s="44">
        <f t="shared" ref="BA599:BI599" si="3061">-BA567</f>
        <v>0</v>
      </c>
      <c r="BB599" s="44">
        <f t="shared" si="3061"/>
        <v>0</v>
      </c>
      <c r="BC599" s="44">
        <f t="shared" si="3061"/>
        <v>0</v>
      </c>
      <c r="BD599" s="44">
        <f t="shared" si="3061"/>
        <v>0</v>
      </c>
      <c r="BE599" s="44">
        <f t="shared" si="3061"/>
        <v>0</v>
      </c>
      <c r="BF599" s="44">
        <f t="shared" si="3061"/>
        <v>0</v>
      </c>
      <c r="BG599" s="44">
        <f t="shared" si="3061"/>
        <v>0</v>
      </c>
      <c r="BH599" s="44">
        <f t="shared" si="3061"/>
        <v>0</v>
      </c>
      <c r="BI599" s="44">
        <f t="shared" si="3061"/>
        <v>0</v>
      </c>
      <c r="BJ599" s="44">
        <f t="shared" ref="BJ599:BK599" si="3062">-BJ567</f>
        <v>0</v>
      </c>
      <c r="BK599" s="44">
        <f t="shared" si="3062"/>
        <v>0</v>
      </c>
      <c r="BL599" s="44">
        <f t="shared" ref="BL599:BM599" si="3063">-BL567</f>
        <v>0</v>
      </c>
      <c r="BM599" s="44">
        <f t="shared" si="3063"/>
        <v>0</v>
      </c>
      <c r="BN599" s="44">
        <f t="shared" ref="BN599:BO599" si="3064">-BN567</f>
        <v>0</v>
      </c>
      <c r="BO599" s="44">
        <f t="shared" si="3064"/>
        <v>0</v>
      </c>
      <c r="BP599" s="44">
        <f t="shared" ref="BP599:BQ599" si="3065">-BP567</f>
        <v>0</v>
      </c>
      <c r="BQ599" s="44">
        <f t="shared" si="3065"/>
        <v>0</v>
      </c>
      <c r="BR599" s="44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4">
        <f t="shared" ref="CT599:CU599" si="3066">-CT567</f>
        <v>0</v>
      </c>
      <c r="CU599" s="44">
        <f t="shared" si="3066"/>
        <v>0</v>
      </c>
      <c r="CV599" s="44">
        <f t="shared" si="3042"/>
        <v>0</v>
      </c>
      <c r="CW599" s="44">
        <f t="shared" si="3043"/>
        <v>0</v>
      </c>
      <c r="CX599" s="44">
        <f t="shared" si="3044"/>
        <v>0</v>
      </c>
      <c r="CY599" s="44">
        <f t="shared" si="3045"/>
        <v>0</v>
      </c>
      <c r="CZ599" s="45">
        <f t="shared" si="3046"/>
        <v>0</v>
      </c>
      <c r="DA599" s="44">
        <f t="shared" si="3047"/>
        <v>0</v>
      </c>
      <c r="DB599" s="44">
        <f t="shared" si="3048"/>
        <v>0</v>
      </c>
      <c r="DC599" s="44">
        <f t="shared" si="3049"/>
        <v>0</v>
      </c>
      <c r="DD599" s="44">
        <f t="shared" si="3050"/>
        <v>0</v>
      </c>
      <c r="DE599" s="44">
        <f t="shared" si="3051"/>
        <v>0</v>
      </c>
      <c r="DF599" s="44">
        <f t="shared" si="3052"/>
        <v>0</v>
      </c>
      <c r="DG599" s="44">
        <f t="shared" si="3053"/>
        <v>0</v>
      </c>
      <c r="DH599" s="44">
        <f t="shared" si="3054"/>
        <v>0</v>
      </c>
      <c r="DI599" s="44">
        <f t="shared" si="3055"/>
        <v>0</v>
      </c>
    </row>
    <row r="600" spans="1:113" ht="12" hidden="1" outlineLevel="1">
      <c r="A600" s="1" t="s">
        <v>936</v>
      </c>
      <c r="B600" s="19" t="s">
        <v>860</v>
      </c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525">
        <f>19-AP598</f>
        <v>0</v>
      </c>
      <c r="AQ600" s="525">
        <f>76-AQ598</f>
        <v>50</v>
      </c>
      <c r="AR600" s="525">
        <f>85-AR598</f>
        <v>50</v>
      </c>
      <c r="AS600" s="525">
        <f>90-AS598</f>
        <v>50</v>
      </c>
      <c r="AT600" s="525">
        <f>99-AT598</f>
        <v>50</v>
      </c>
      <c r="AU600" s="525">
        <f>183-AU598</f>
        <v>115</v>
      </c>
      <c r="AV600" s="525">
        <f>187-AV598</f>
        <v>115</v>
      </c>
      <c r="AW600" s="525">
        <v>115</v>
      </c>
      <c r="AX600" s="525">
        <v>240</v>
      </c>
      <c r="AY600" s="525">
        <v>240</v>
      </c>
      <c r="AZ600" s="523">
        <v>390</v>
      </c>
      <c r="BA600" s="46">
        <f t="shared" ref="BA600:BF601" si="3067">AZ600</f>
        <v>390</v>
      </c>
      <c r="BB600" s="46">
        <f t="shared" si="3067"/>
        <v>390</v>
      </c>
      <c r="BC600" s="46">
        <f t="shared" si="3067"/>
        <v>390</v>
      </c>
      <c r="BD600" s="46">
        <f t="shared" si="3067"/>
        <v>390</v>
      </c>
      <c r="BE600" s="46">
        <f t="shared" si="3067"/>
        <v>390</v>
      </c>
      <c r="BF600" s="46">
        <f t="shared" si="3067"/>
        <v>390</v>
      </c>
      <c r="BG600" s="46">
        <f t="shared" ref="BG600:BI601" si="3068">BF600</f>
        <v>390</v>
      </c>
      <c r="BH600" s="46">
        <f t="shared" si="3068"/>
        <v>390</v>
      </c>
      <c r="BI600" s="46">
        <f t="shared" si="3068"/>
        <v>390</v>
      </c>
      <c r="BJ600" s="46">
        <f t="shared" ref="BJ600:BJ601" si="3069">BI600</f>
        <v>390</v>
      </c>
      <c r="BK600" s="46">
        <f t="shared" ref="BK600:BK601" si="3070">BJ600</f>
        <v>390</v>
      </c>
      <c r="BL600" s="46">
        <f t="shared" ref="BL600:BL601" si="3071">BK600</f>
        <v>390</v>
      </c>
      <c r="BM600" s="46">
        <f t="shared" ref="BM600:BM601" si="3072">BL600</f>
        <v>390</v>
      </c>
      <c r="BN600" s="46">
        <f t="shared" ref="BN600:BN601" si="3073">BM600</f>
        <v>390</v>
      </c>
      <c r="BO600" s="46">
        <f t="shared" ref="BO600:BO601" si="3074">BN600</f>
        <v>390</v>
      </c>
      <c r="BP600" s="46">
        <f t="shared" ref="BP600:BP601" si="3075">BO600</f>
        <v>390</v>
      </c>
      <c r="BQ600" s="46">
        <f t="shared" ref="BQ600:BQ601" si="3076">BP600</f>
        <v>390</v>
      </c>
      <c r="BR600" s="44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525">
        <v>0</v>
      </c>
      <c r="CU600" s="525">
        <v>0</v>
      </c>
      <c r="CV600" s="44">
        <f t="shared" si="3042"/>
        <v>50</v>
      </c>
      <c r="CW600" s="44">
        <f t="shared" si="3043"/>
        <v>50</v>
      </c>
      <c r="CX600" s="44">
        <f t="shared" si="3044"/>
        <v>115</v>
      </c>
      <c r="CY600" s="44">
        <f t="shared" si="3045"/>
        <v>115</v>
      </c>
      <c r="CZ600" s="45">
        <f t="shared" si="3046"/>
        <v>240</v>
      </c>
      <c r="DA600" s="44">
        <f t="shared" si="3047"/>
        <v>390</v>
      </c>
      <c r="DB600" s="44">
        <f t="shared" si="3048"/>
        <v>390</v>
      </c>
      <c r="DC600" s="44">
        <f t="shared" si="3049"/>
        <v>390</v>
      </c>
      <c r="DD600" s="44">
        <f t="shared" si="3050"/>
        <v>390</v>
      </c>
      <c r="DE600" s="44">
        <f t="shared" si="3051"/>
        <v>390</v>
      </c>
      <c r="DF600" s="44">
        <f t="shared" si="3052"/>
        <v>390</v>
      </c>
      <c r="DG600" s="44">
        <f t="shared" si="3053"/>
        <v>390</v>
      </c>
      <c r="DH600" s="44">
        <f t="shared" si="3054"/>
        <v>390</v>
      </c>
      <c r="DI600" s="44">
        <f t="shared" si="3055"/>
        <v>390</v>
      </c>
    </row>
    <row r="601" spans="1:113" ht="12" hidden="1" outlineLevel="1">
      <c r="A601" s="1" t="s">
        <v>737</v>
      </c>
      <c r="B601" s="19" t="s">
        <v>716</v>
      </c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/>
      <c r="AN601" s="42"/>
      <c r="AO601" s="42"/>
      <c r="AP601" s="525">
        <v>0</v>
      </c>
      <c r="AQ601" s="525">
        <v>0</v>
      </c>
      <c r="AR601" s="525">
        <v>0</v>
      </c>
      <c r="AS601" s="525">
        <v>0</v>
      </c>
      <c r="AT601" s="525">
        <v>0</v>
      </c>
      <c r="AU601" s="525">
        <v>0</v>
      </c>
      <c r="AV601" s="525">
        <v>0</v>
      </c>
      <c r="AW601" s="525">
        <v>0</v>
      </c>
      <c r="AX601" s="525">
        <v>0</v>
      </c>
      <c r="AY601" s="525">
        <v>0</v>
      </c>
      <c r="AZ601" s="523">
        <v>0</v>
      </c>
      <c r="BA601" s="46">
        <f t="shared" si="3067"/>
        <v>0</v>
      </c>
      <c r="BB601" s="46">
        <f t="shared" si="3067"/>
        <v>0</v>
      </c>
      <c r="BC601" s="46">
        <f t="shared" si="3067"/>
        <v>0</v>
      </c>
      <c r="BD601" s="46">
        <f t="shared" si="3067"/>
        <v>0</v>
      </c>
      <c r="BE601" s="46">
        <f t="shared" si="3067"/>
        <v>0</v>
      </c>
      <c r="BF601" s="46">
        <f t="shared" si="3067"/>
        <v>0</v>
      </c>
      <c r="BG601" s="46">
        <f t="shared" si="3068"/>
        <v>0</v>
      </c>
      <c r="BH601" s="46">
        <f t="shared" si="3068"/>
        <v>0</v>
      </c>
      <c r="BI601" s="46">
        <f t="shared" si="3068"/>
        <v>0</v>
      </c>
      <c r="BJ601" s="46">
        <f t="shared" si="3069"/>
        <v>0</v>
      </c>
      <c r="BK601" s="46">
        <f t="shared" si="3070"/>
        <v>0</v>
      </c>
      <c r="BL601" s="46">
        <f t="shared" si="3071"/>
        <v>0</v>
      </c>
      <c r="BM601" s="46">
        <f t="shared" si="3072"/>
        <v>0</v>
      </c>
      <c r="BN601" s="46">
        <f t="shared" si="3073"/>
        <v>0</v>
      </c>
      <c r="BO601" s="46">
        <f t="shared" si="3074"/>
        <v>0</v>
      </c>
      <c r="BP601" s="46">
        <f t="shared" si="3075"/>
        <v>0</v>
      </c>
      <c r="BQ601" s="46">
        <f t="shared" si="3076"/>
        <v>0</v>
      </c>
      <c r="BR601" s="44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525">
        <v>0</v>
      </c>
      <c r="CU601" s="525">
        <v>0</v>
      </c>
      <c r="CV601" s="44">
        <f t="shared" si="3042"/>
        <v>0</v>
      </c>
      <c r="CW601" s="44">
        <f t="shared" si="3043"/>
        <v>0</v>
      </c>
      <c r="CX601" s="44">
        <f t="shared" si="3044"/>
        <v>0</v>
      </c>
      <c r="CY601" s="44">
        <f t="shared" si="3045"/>
        <v>0</v>
      </c>
      <c r="CZ601" s="45">
        <f t="shared" si="3046"/>
        <v>0</v>
      </c>
      <c r="DA601" s="44">
        <f t="shared" si="3047"/>
        <v>0</v>
      </c>
      <c r="DB601" s="44">
        <f t="shared" si="3048"/>
        <v>0</v>
      </c>
      <c r="DC601" s="44">
        <f t="shared" si="3049"/>
        <v>0</v>
      </c>
      <c r="DD601" s="44">
        <f t="shared" si="3050"/>
        <v>0</v>
      </c>
      <c r="DE601" s="44">
        <f t="shared" si="3051"/>
        <v>0</v>
      </c>
      <c r="DF601" s="44">
        <f t="shared" si="3052"/>
        <v>0</v>
      </c>
      <c r="DG601" s="44">
        <f t="shared" si="3053"/>
        <v>0</v>
      </c>
      <c r="DH601" s="44">
        <f t="shared" si="3054"/>
        <v>0</v>
      </c>
      <c r="DI601" s="44">
        <f t="shared" si="3055"/>
        <v>0</v>
      </c>
    </row>
    <row r="602" spans="1:113" ht="12" hidden="1" outlineLevel="1">
      <c r="A602" s="1" t="s">
        <v>738</v>
      </c>
      <c r="B602" s="19" t="s">
        <v>717</v>
      </c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4">
        <v>0</v>
      </c>
      <c r="AQ602" s="44">
        <v>0</v>
      </c>
      <c r="AR602" s="44">
        <v>0</v>
      </c>
      <c r="AS602" s="44">
        <v>0</v>
      </c>
      <c r="AT602" s="44">
        <v>0</v>
      </c>
      <c r="AU602" s="44">
        <v>0</v>
      </c>
      <c r="AV602" s="44">
        <v>0</v>
      </c>
      <c r="AW602" s="44">
        <v>0</v>
      </c>
      <c r="AX602" s="44">
        <v>0</v>
      </c>
      <c r="AY602" s="44">
        <v>0</v>
      </c>
      <c r="AZ602" s="45">
        <v>0</v>
      </c>
      <c r="BA602" s="44">
        <v>0</v>
      </c>
      <c r="BB602" s="44">
        <v>0</v>
      </c>
      <c r="BC602" s="44">
        <v>0</v>
      </c>
      <c r="BD602" s="44">
        <v>0</v>
      </c>
      <c r="BE602" s="44">
        <v>0</v>
      </c>
      <c r="BF602" s="44">
        <v>0</v>
      </c>
      <c r="BG602" s="44">
        <v>0</v>
      </c>
      <c r="BH602" s="44">
        <v>0</v>
      </c>
      <c r="BI602" s="44">
        <v>0</v>
      </c>
      <c r="BJ602" s="44">
        <v>0</v>
      </c>
      <c r="BK602" s="44">
        <v>0</v>
      </c>
      <c r="BL602" s="44">
        <v>0</v>
      </c>
      <c r="BM602" s="44">
        <v>0</v>
      </c>
      <c r="BN602" s="44">
        <v>0</v>
      </c>
      <c r="BO602" s="44">
        <v>0</v>
      </c>
      <c r="BP602" s="44">
        <v>0</v>
      </c>
      <c r="BQ602" s="44">
        <v>0</v>
      </c>
      <c r="BR602" s="44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4">
        <v>0</v>
      </c>
      <c r="CU602" s="44">
        <v>0</v>
      </c>
      <c r="CV602" s="44">
        <f t="shared" si="3042"/>
        <v>0</v>
      </c>
      <c r="CW602" s="44">
        <f t="shared" si="3043"/>
        <v>0</v>
      </c>
      <c r="CX602" s="44">
        <f t="shared" si="3044"/>
        <v>0</v>
      </c>
      <c r="CY602" s="44">
        <f t="shared" si="3045"/>
        <v>0</v>
      </c>
      <c r="CZ602" s="45">
        <f t="shared" si="3046"/>
        <v>0</v>
      </c>
      <c r="DA602" s="44">
        <f t="shared" si="3047"/>
        <v>0</v>
      </c>
      <c r="DB602" s="44">
        <f t="shared" si="3048"/>
        <v>0</v>
      </c>
      <c r="DC602" s="44">
        <f t="shared" si="3049"/>
        <v>0</v>
      </c>
      <c r="DD602" s="44">
        <f t="shared" si="3050"/>
        <v>0</v>
      </c>
      <c r="DE602" s="44">
        <f t="shared" si="3051"/>
        <v>0</v>
      </c>
      <c r="DF602" s="44">
        <f t="shared" si="3052"/>
        <v>0</v>
      </c>
      <c r="DG602" s="44">
        <f t="shared" si="3053"/>
        <v>0</v>
      </c>
      <c r="DH602" s="44">
        <f t="shared" si="3054"/>
        <v>0</v>
      </c>
      <c r="DI602" s="44">
        <f t="shared" si="3055"/>
        <v>0</v>
      </c>
    </row>
    <row r="603" spans="1:113" ht="12" hidden="1" outlineLevel="1">
      <c r="A603" s="1" t="s">
        <v>739</v>
      </c>
      <c r="B603" s="19" t="s">
        <v>269</v>
      </c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4">
        <f t="shared" ref="AP603:AR603" si="3077">AP604-SUM(AP598:AP602)</f>
        <v>0</v>
      </c>
      <c r="AQ603" s="44">
        <f t="shared" si="3077"/>
        <v>0</v>
      </c>
      <c r="AR603" s="44">
        <f t="shared" si="3077"/>
        <v>0</v>
      </c>
      <c r="AS603" s="44">
        <f t="shared" ref="AS603:AT603" si="3078">AS604-SUM(AS598:AS602)</f>
        <v>0</v>
      </c>
      <c r="AT603" s="44">
        <f t="shared" si="3078"/>
        <v>0</v>
      </c>
      <c r="AU603" s="44">
        <f t="shared" ref="AU603:AV603" si="3079">AU604-SUM(AU598:AU602)</f>
        <v>0</v>
      </c>
      <c r="AV603" s="44">
        <f t="shared" si="3079"/>
        <v>0</v>
      </c>
      <c r="AW603" s="44">
        <f t="shared" ref="AW603:AX603" si="3080">AW604-SUM(AW598:AW602)</f>
        <v>0</v>
      </c>
      <c r="AX603" s="44">
        <f t="shared" si="3080"/>
        <v>0</v>
      </c>
      <c r="AY603" s="44">
        <f t="shared" ref="AY603:AZ603" si="3081">AY604-SUM(AY598:AY602)</f>
        <v>0</v>
      </c>
      <c r="AZ603" s="45">
        <f t="shared" si="3081"/>
        <v>0</v>
      </c>
      <c r="BA603" s="46">
        <f t="shared" ref="BA603:BI603" si="3082">AZ603</f>
        <v>0</v>
      </c>
      <c r="BB603" s="46">
        <f t="shared" si="3082"/>
        <v>0</v>
      </c>
      <c r="BC603" s="46">
        <f t="shared" si="3082"/>
        <v>0</v>
      </c>
      <c r="BD603" s="46">
        <f t="shared" si="3082"/>
        <v>0</v>
      </c>
      <c r="BE603" s="46">
        <f t="shared" si="3082"/>
        <v>0</v>
      </c>
      <c r="BF603" s="46">
        <f t="shared" si="3082"/>
        <v>0</v>
      </c>
      <c r="BG603" s="46">
        <f t="shared" si="3082"/>
        <v>0</v>
      </c>
      <c r="BH603" s="46">
        <f t="shared" si="3082"/>
        <v>0</v>
      </c>
      <c r="BI603" s="46">
        <f t="shared" si="3082"/>
        <v>0</v>
      </c>
      <c r="BJ603" s="46">
        <f t="shared" ref="BJ603" si="3083">BI603</f>
        <v>0</v>
      </c>
      <c r="BK603" s="46">
        <f t="shared" ref="BK603" si="3084">BJ603</f>
        <v>0</v>
      </c>
      <c r="BL603" s="46">
        <f t="shared" ref="BL603" si="3085">BK603</f>
        <v>0</v>
      </c>
      <c r="BM603" s="46">
        <f t="shared" ref="BM603" si="3086">BL603</f>
        <v>0</v>
      </c>
      <c r="BN603" s="46">
        <f t="shared" ref="BN603" si="3087">BM603</f>
        <v>0</v>
      </c>
      <c r="BO603" s="46">
        <f t="shared" ref="BO603" si="3088">BN603</f>
        <v>0</v>
      </c>
      <c r="BP603" s="46">
        <f t="shared" ref="BP603" si="3089">BO603</f>
        <v>0</v>
      </c>
      <c r="BQ603" s="46">
        <f t="shared" ref="BQ603" si="3090">BP603</f>
        <v>0</v>
      </c>
      <c r="BR603" s="44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4">
        <f t="shared" ref="CT603:CU603" si="3091">CT604-SUM(CT598:CT602)</f>
        <v>0</v>
      </c>
      <c r="CU603" s="44">
        <f t="shared" si="3091"/>
        <v>0</v>
      </c>
      <c r="CV603" s="44">
        <f t="shared" si="3042"/>
        <v>0</v>
      </c>
      <c r="CW603" s="44">
        <f t="shared" si="3043"/>
        <v>0</v>
      </c>
      <c r="CX603" s="44">
        <f t="shared" si="3044"/>
        <v>0</v>
      </c>
      <c r="CY603" s="44">
        <f t="shared" si="3045"/>
        <v>0</v>
      </c>
      <c r="CZ603" s="45">
        <f t="shared" si="3046"/>
        <v>0</v>
      </c>
      <c r="DA603" s="44">
        <f t="shared" si="3047"/>
        <v>0</v>
      </c>
      <c r="DB603" s="44">
        <f t="shared" si="3048"/>
        <v>0</v>
      </c>
      <c r="DC603" s="44">
        <f t="shared" si="3049"/>
        <v>0</v>
      </c>
      <c r="DD603" s="44">
        <f t="shared" si="3050"/>
        <v>0</v>
      </c>
      <c r="DE603" s="44">
        <f t="shared" si="3051"/>
        <v>0</v>
      </c>
      <c r="DF603" s="44">
        <f t="shared" si="3052"/>
        <v>0</v>
      </c>
      <c r="DG603" s="44">
        <f t="shared" si="3053"/>
        <v>0</v>
      </c>
      <c r="DH603" s="44">
        <f t="shared" si="3054"/>
        <v>0</v>
      </c>
      <c r="DI603" s="44">
        <f t="shared" si="3055"/>
        <v>0</v>
      </c>
    </row>
    <row r="604" spans="1:113" s="24" customFormat="1" ht="12" hidden="1" outlineLevel="1">
      <c r="A604" s="1" t="s">
        <v>740</v>
      </c>
      <c r="B604" s="24" t="s">
        <v>166</v>
      </c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  <c r="AJ604" s="55"/>
      <c r="AK604" s="55"/>
      <c r="AL604" s="55"/>
      <c r="AM604" s="55"/>
      <c r="AN604" s="55"/>
      <c r="AO604" s="55"/>
      <c r="AP604" s="521">
        <v>19</v>
      </c>
      <c r="AQ604" s="521">
        <v>76</v>
      </c>
      <c r="AR604" s="521">
        <v>85</v>
      </c>
      <c r="AS604" s="521">
        <v>90</v>
      </c>
      <c r="AT604" s="521">
        <v>99</v>
      </c>
      <c r="AU604" s="521">
        <v>183</v>
      </c>
      <c r="AV604" s="521">
        <v>187</v>
      </c>
      <c r="AW604" s="521">
        <v>196</v>
      </c>
      <c r="AX604" s="521">
        <v>321</v>
      </c>
      <c r="AY604" s="521">
        <v>319</v>
      </c>
      <c r="AZ604" s="522">
        <v>474</v>
      </c>
      <c r="BA604" s="526">
        <f t="shared" ref="BA604:BI604" si="3092">SUM(BA598:BA603)</f>
        <v>477.947499934414</v>
      </c>
      <c r="BB604" s="526">
        <f t="shared" si="3092"/>
        <v>487.12106714899448</v>
      </c>
      <c r="BC604" s="526">
        <f t="shared" si="3092"/>
        <v>501.35074150761977</v>
      </c>
      <c r="BD604" s="526">
        <f t="shared" si="3092"/>
        <v>513.7040176588979</v>
      </c>
      <c r="BE604" s="526">
        <f t="shared" si="3092"/>
        <v>527.00460830184363</v>
      </c>
      <c r="BF604" s="526">
        <f t="shared" si="3092"/>
        <v>536.63060007283389</v>
      </c>
      <c r="BG604" s="526">
        <f t="shared" si="3092"/>
        <v>544.77807262464034</v>
      </c>
      <c r="BH604" s="526">
        <f t="shared" si="3092"/>
        <v>550.81567307412877</v>
      </c>
      <c r="BI604" s="526">
        <f t="shared" si="3092"/>
        <v>558.72643630160769</v>
      </c>
      <c r="BJ604" s="526">
        <f t="shared" ref="BJ604:BK604" si="3093">SUM(BJ598:BJ603)</f>
        <v>564.12953049309169</v>
      </c>
      <c r="BK604" s="526">
        <f t="shared" si="3093"/>
        <v>571.61836869883973</v>
      </c>
      <c r="BL604" s="526">
        <f t="shared" ref="BL604:BM604" si="3094">SUM(BL598:BL603)</f>
        <v>576.21872519521798</v>
      </c>
      <c r="BM604" s="526">
        <f t="shared" si="3094"/>
        <v>582.99476057558263</v>
      </c>
      <c r="BN604" s="526">
        <f t="shared" ref="BN604:BO604" si="3095">SUM(BN598:BN603)</f>
        <v>587.18639698309835</v>
      </c>
      <c r="BO604" s="526">
        <f t="shared" si="3095"/>
        <v>593.66675006968728</v>
      </c>
      <c r="BP604" s="526">
        <f t="shared" ref="BP604:BQ604" si="3096">SUM(BP598:BP603)</f>
        <v>598.12035059740151</v>
      </c>
      <c r="BQ604" s="526">
        <f t="shared" si="3096"/>
        <v>605.01368976313688</v>
      </c>
      <c r="BR604" s="526"/>
      <c r="BS604" s="54"/>
      <c r="BT604" s="54"/>
      <c r="BU604" s="54"/>
      <c r="BV604" s="54"/>
      <c r="BW604" s="54"/>
      <c r="BX604" s="54"/>
      <c r="BY604" s="54"/>
      <c r="BZ604" s="54"/>
      <c r="CA604" s="54"/>
      <c r="CB604" s="54"/>
      <c r="CC604" s="55"/>
      <c r="CD604" s="55"/>
      <c r="CE604" s="55"/>
      <c r="CF604" s="55"/>
      <c r="CG604" s="55"/>
      <c r="CH604" s="55"/>
      <c r="CI604" s="55"/>
      <c r="CJ604" s="55"/>
      <c r="CK604" s="55"/>
      <c r="CL604" s="55"/>
      <c r="CM604" s="55"/>
      <c r="CN604" s="55"/>
      <c r="CO604" s="55"/>
      <c r="CP604" s="55"/>
      <c r="CQ604" s="55"/>
      <c r="CR604" s="55"/>
      <c r="CS604" s="55"/>
      <c r="CT604" s="521">
        <f>CT607-CT606-CT593</f>
        <v>2.6628000000000043</v>
      </c>
      <c r="CU604" s="521">
        <f>CU607-CU606-CU593</f>
        <v>16.006200000000035</v>
      </c>
      <c r="CV604" s="526">
        <f t="shared" si="3042"/>
        <v>76</v>
      </c>
      <c r="CW604" s="526">
        <f t="shared" ref="CW604:DF604" si="3097">SUM(CW598:CW603)</f>
        <v>90</v>
      </c>
      <c r="CX604" s="526">
        <f t="shared" si="3097"/>
        <v>183</v>
      </c>
      <c r="CY604" s="526">
        <f t="shared" si="3097"/>
        <v>196</v>
      </c>
      <c r="CZ604" s="524">
        <f t="shared" si="3097"/>
        <v>319</v>
      </c>
      <c r="DA604" s="526">
        <f t="shared" si="3097"/>
        <v>477.947499934414</v>
      </c>
      <c r="DB604" s="526">
        <f t="shared" si="3097"/>
        <v>501.35074150761977</v>
      </c>
      <c r="DC604" s="526">
        <f t="shared" si="3097"/>
        <v>527.00460830184363</v>
      </c>
      <c r="DD604" s="526">
        <f t="shared" si="3097"/>
        <v>544.77807262464034</v>
      </c>
      <c r="DE604" s="526">
        <f t="shared" si="3097"/>
        <v>558.72643630160769</v>
      </c>
      <c r="DF604" s="526">
        <f t="shared" si="3097"/>
        <v>571.61836869883973</v>
      </c>
      <c r="DG604" s="526">
        <f t="shared" ref="DG604:DH604" si="3098">SUM(DG598:DG603)</f>
        <v>582.99476057558263</v>
      </c>
      <c r="DH604" s="526">
        <f t="shared" si="3098"/>
        <v>593.66675006968728</v>
      </c>
      <c r="DI604" s="526">
        <f t="shared" ref="DI604" si="3099">SUM(DI598:DI603)</f>
        <v>605.01368976313688</v>
      </c>
    </row>
    <row r="605" spans="1:113" ht="12" hidden="1" outlineLevel="1"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4"/>
      <c r="AQ605" s="44"/>
      <c r="AR605" s="44"/>
      <c r="AS605" s="44"/>
      <c r="AT605" s="44"/>
      <c r="AU605" s="44"/>
      <c r="AV605" s="44"/>
      <c r="AW605" s="44"/>
      <c r="AX605" s="44"/>
      <c r="AY605" s="44"/>
      <c r="AZ605" s="45"/>
      <c r="BA605" s="44"/>
      <c r="BB605" s="44"/>
      <c r="BC605" s="44"/>
      <c r="BD605" s="44"/>
      <c r="BE605" s="44"/>
      <c r="BF605" s="44"/>
      <c r="BG605" s="44"/>
      <c r="BH605" s="44"/>
      <c r="BI605" s="44"/>
      <c r="BJ605" s="44"/>
      <c r="BK605" s="44"/>
      <c r="BL605" s="44"/>
      <c r="BM605" s="44"/>
      <c r="BN605" s="44"/>
      <c r="BO605" s="44"/>
      <c r="BP605" s="44"/>
      <c r="BQ605" s="44"/>
      <c r="BR605" s="44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4"/>
      <c r="CW605" s="44"/>
      <c r="CX605" s="44"/>
      <c r="CY605" s="44"/>
      <c r="CZ605" s="45"/>
      <c r="DA605" s="44"/>
      <c r="DB605" s="44"/>
      <c r="DC605" s="529"/>
      <c r="DD605" s="529"/>
      <c r="DE605" s="529"/>
      <c r="DF605" s="529"/>
      <c r="DG605" s="529"/>
      <c r="DH605" s="529"/>
      <c r="DI605" s="529"/>
    </row>
    <row r="606" spans="1:113" ht="12" hidden="1" outlineLevel="1">
      <c r="A606" s="1" t="s">
        <v>741</v>
      </c>
      <c r="B606" s="19" t="s">
        <v>718</v>
      </c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525">
        <v>0</v>
      </c>
      <c r="AQ606" s="525">
        <v>0</v>
      </c>
      <c r="AR606" s="525">
        <v>0</v>
      </c>
      <c r="AS606" s="525">
        <v>0</v>
      </c>
      <c r="AT606" s="525">
        <v>0</v>
      </c>
      <c r="AU606" s="525">
        <v>0</v>
      </c>
      <c r="AV606" s="525">
        <v>0</v>
      </c>
      <c r="AW606" s="525">
        <v>0</v>
      </c>
      <c r="AX606" s="525">
        <v>0</v>
      </c>
      <c r="AY606" s="525">
        <v>0</v>
      </c>
      <c r="AZ606" s="523">
        <v>0</v>
      </c>
      <c r="BA606" s="44">
        <f t="shared" ref="BA606:BI606" si="3100">AZ606</f>
        <v>0</v>
      </c>
      <c r="BB606" s="44">
        <f t="shared" si="3100"/>
        <v>0</v>
      </c>
      <c r="BC606" s="44">
        <f t="shared" si="3100"/>
        <v>0</v>
      </c>
      <c r="BD606" s="44">
        <f t="shared" si="3100"/>
        <v>0</v>
      </c>
      <c r="BE606" s="44">
        <f t="shared" si="3100"/>
        <v>0</v>
      </c>
      <c r="BF606" s="44">
        <f t="shared" si="3100"/>
        <v>0</v>
      </c>
      <c r="BG606" s="44">
        <f t="shared" si="3100"/>
        <v>0</v>
      </c>
      <c r="BH606" s="44">
        <f t="shared" si="3100"/>
        <v>0</v>
      </c>
      <c r="BI606" s="44">
        <f t="shared" si="3100"/>
        <v>0</v>
      </c>
      <c r="BJ606" s="44">
        <f t="shared" ref="BJ606" si="3101">BI606</f>
        <v>0</v>
      </c>
      <c r="BK606" s="44">
        <f t="shared" ref="BK606" si="3102">BJ606</f>
        <v>0</v>
      </c>
      <c r="BL606" s="44">
        <f t="shared" ref="BL606" si="3103">BK606</f>
        <v>0</v>
      </c>
      <c r="BM606" s="44">
        <f t="shared" ref="BM606" si="3104">BL606</f>
        <v>0</v>
      </c>
      <c r="BN606" s="44">
        <f t="shared" ref="BN606" si="3105">BM606</f>
        <v>0</v>
      </c>
      <c r="BO606" s="44">
        <f t="shared" ref="BO606" si="3106">BN606</f>
        <v>0</v>
      </c>
      <c r="BP606" s="44">
        <f t="shared" ref="BP606" si="3107">BO606</f>
        <v>0</v>
      </c>
      <c r="BQ606" s="44">
        <f t="shared" ref="BQ606" si="3108">BP606</f>
        <v>0</v>
      </c>
      <c r="BR606" s="44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/>
      <c r="CQ606" s="42"/>
      <c r="CR606" s="42"/>
      <c r="CS606" s="42"/>
      <c r="CT606" s="113">
        <v>0</v>
      </c>
      <c r="CU606" s="113">
        <v>0</v>
      </c>
      <c r="CV606" s="44">
        <f t="shared" si="3042"/>
        <v>0</v>
      </c>
      <c r="CW606" s="44">
        <f>AS606</f>
        <v>0</v>
      </c>
      <c r="CX606" s="44">
        <f>AU606</f>
        <v>0</v>
      </c>
      <c r="CY606" s="44">
        <f>AW606</f>
        <v>0</v>
      </c>
      <c r="CZ606" s="45">
        <f>AY606</f>
        <v>0</v>
      </c>
      <c r="DA606" s="44">
        <f>BA606</f>
        <v>0</v>
      </c>
      <c r="DB606" s="44">
        <f>BC606</f>
        <v>0</v>
      </c>
      <c r="DC606" s="44">
        <f>BE606</f>
        <v>0</v>
      </c>
      <c r="DD606" s="44">
        <f>BG606</f>
        <v>0</v>
      </c>
      <c r="DE606" s="44">
        <f>BI606</f>
        <v>0</v>
      </c>
      <c r="DF606" s="44">
        <f>BK606</f>
        <v>0</v>
      </c>
      <c r="DG606" s="44">
        <f>BM606</f>
        <v>0</v>
      </c>
      <c r="DH606" s="44">
        <f>BO606</f>
        <v>0</v>
      </c>
      <c r="DI606" s="44">
        <f>BQ606</f>
        <v>0</v>
      </c>
    </row>
    <row r="607" spans="1:113" s="24" customFormat="1" ht="12" hidden="1" outlineLevel="1">
      <c r="A607" s="1" t="s">
        <v>742</v>
      </c>
      <c r="B607" s="24" t="s">
        <v>719</v>
      </c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  <c r="AJ607" s="55"/>
      <c r="AK607" s="55"/>
      <c r="AL607" s="55"/>
      <c r="AM607" s="55"/>
      <c r="AN607" s="55"/>
      <c r="AO607" s="55"/>
      <c r="AP607" s="526">
        <f t="shared" ref="AP607:AR607" si="3109">AP587+AP604+AP606</f>
        <v>648</v>
      </c>
      <c r="AQ607" s="526">
        <f t="shared" si="3109"/>
        <v>1080</v>
      </c>
      <c r="AR607" s="526">
        <f t="shared" si="3109"/>
        <v>1374</v>
      </c>
      <c r="AS607" s="526">
        <f t="shared" ref="AS607:AT607" si="3110">AS587+AS604+AS606</f>
        <v>1382</v>
      </c>
      <c r="AT607" s="526">
        <f t="shared" si="3110"/>
        <v>1435</v>
      </c>
      <c r="AU607" s="526">
        <f t="shared" ref="AU607:AV607" si="3111">AU587+AU604+AU606</f>
        <v>1549</v>
      </c>
      <c r="AV607" s="526">
        <f t="shared" si="3111"/>
        <v>1658</v>
      </c>
      <c r="AW607" s="526">
        <f t="shared" ref="AW607:AX607" si="3112">AW587+AW604+AW606</f>
        <v>1682</v>
      </c>
      <c r="AX607" s="526">
        <f t="shared" si="3112"/>
        <v>1860</v>
      </c>
      <c r="AY607" s="526">
        <f t="shared" ref="AY607:BI607" si="3113">AY587+AY604+AY606</f>
        <v>1911</v>
      </c>
      <c r="AZ607" s="524">
        <f t="shared" si="3113"/>
        <v>2148</v>
      </c>
      <c r="BA607" s="526">
        <f t="shared" si="3113"/>
        <v>2227.8899169352858</v>
      </c>
      <c r="BB607" s="526">
        <f t="shared" si="3113"/>
        <v>2319.038996940747</v>
      </c>
      <c r="BC607" s="526">
        <f t="shared" si="3113"/>
        <v>2417.4735355390685</v>
      </c>
      <c r="BD607" s="526">
        <f t="shared" si="3113"/>
        <v>2672.404259355113</v>
      </c>
      <c r="BE607" s="526">
        <f t="shared" si="3113"/>
        <v>2792.364174734184</v>
      </c>
      <c r="BF607" s="526">
        <f t="shared" si="3113"/>
        <v>2923.7640509601852</v>
      </c>
      <c r="BG607" s="526">
        <f t="shared" si="3113"/>
        <v>3064.1971906195031</v>
      </c>
      <c r="BH607" s="526">
        <f t="shared" si="3113"/>
        <v>3216.0923273033181</v>
      </c>
      <c r="BI607" s="526">
        <f t="shared" si="3113"/>
        <v>3339.6981325567049</v>
      </c>
      <c r="BJ607" s="526">
        <f t="shared" ref="BJ607:BK607" si="3114">BJ587+BJ604+BJ606</f>
        <v>3449.5507893085442</v>
      </c>
      <c r="BK607" s="526">
        <f t="shared" si="3114"/>
        <v>3577.7195134883023</v>
      </c>
      <c r="BL607" s="526">
        <f t="shared" ref="BL607:BM607" si="3115">BL587+BL604+BL606</f>
        <v>3689.8515807842923</v>
      </c>
      <c r="BM607" s="526">
        <f t="shared" si="3115"/>
        <v>3807.8287557225203</v>
      </c>
      <c r="BN607" s="526">
        <f t="shared" ref="BN607:BO607" si="3116">BN587+BN604+BN606</f>
        <v>3909.2485931099327</v>
      </c>
      <c r="BO607" s="526">
        <f t="shared" si="3116"/>
        <v>4013.9323265667708</v>
      </c>
      <c r="BP607" s="526">
        <f t="shared" ref="BP607:BQ607" si="3117">BP587+BP604+BP606</f>
        <v>4114.7595683719974</v>
      </c>
      <c r="BQ607" s="526">
        <f t="shared" si="3117"/>
        <v>4218.7002257061667</v>
      </c>
      <c r="BR607" s="526"/>
      <c r="BS607" s="55"/>
      <c r="BT607" s="55"/>
      <c r="BU607" s="55"/>
      <c r="BV607" s="55"/>
      <c r="BW607" s="55"/>
      <c r="BX607" s="55"/>
      <c r="BY607" s="55"/>
      <c r="BZ607" s="55"/>
      <c r="CA607" s="55"/>
      <c r="CB607" s="55"/>
      <c r="CC607" s="55"/>
      <c r="CD607" s="55"/>
      <c r="CE607" s="55"/>
      <c r="CF607" s="55"/>
      <c r="CG607" s="55"/>
      <c r="CH607" s="55"/>
      <c r="CI607" s="55"/>
      <c r="CJ607" s="55"/>
      <c r="CK607" s="55"/>
      <c r="CL607" s="55"/>
      <c r="CM607" s="55"/>
      <c r="CN607" s="55"/>
      <c r="CO607" s="55"/>
      <c r="CP607" s="55"/>
      <c r="CQ607" s="55"/>
      <c r="CR607" s="55"/>
      <c r="CS607" s="55"/>
      <c r="CT607" s="521">
        <f>44.2%*CT$613</f>
        <v>196.15960000000001</v>
      </c>
      <c r="CU607" s="521">
        <f>23.8%*CU$613</f>
        <v>544.21080000000006</v>
      </c>
      <c r="CV607" s="526">
        <f t="shared" ref="CV607:DF607" si="3118">CV587+CV604+CV606</f>
        <v>1080</v>
      </c>
      <c r="CW607" s="526">
        <f t="shared" si="3118"/>
        <v>1381.9999999999998</v>
      </c>
      <c r="CX607" s="526">
        <f t="shared" si="3118"/>
        <v>1549</v>
      </c>
      <c r="CY607" s="526">
        <f t="shared" si="3118"/>
        <v>1682</v>
      </c>
      <c r="CZ607" s="524">
        <f t="shared" si="3118"/>
        <v>1911</v>
      </c>
      <c r="DA607" s="526">
        <f t="shared" si="3118"/>
        <v>2227.8899169352858</v>
      </c>
      <c r="DB607" s="526">
        <f t="shared" si="3118"/>
        <v>2417.473535539069</v>
      </c>
      <c r="DC607" s="526">
        <f t="shared" si="3118"/>
        <v>2792.364174734184</v>
      </c>
      <c r="DD607" s="526">
        <f t="shared" si="3118"/>
        <v>3064.1971906195031</v>
      </c>
      <c r="DE607" s="526">
        <f t="shared" si="3118"/>
        <v>3339.6981325567049</v>
      </c>
      <c r="DF607" s="526">
        <f t="shared" si="3118"/>
        <v>3577.7195134883023</v>
      </c>
      <c r="DG607" s="526">
        <f t="shared" ref="DG607:DH607" si="3119">DG587+DG604+DG606</f>
        <v>3807.8287557225203</v>
      </c>
      <c r="DH607" s="526">
        <f t="shared" si="3119"/>
        <v>4013.9323265667704</v>
      </c>
      <c r="DI607" s="526">
        <f t="shared" ref="DI607" si="3120">DI587+DI604+DI606</f>
        <v>4218.7002257061667</v>
      </c>
    </row>
    <row r="608" spans="1:113" ht="12" hidden="1" outlineLevel="1"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P608" s="44"/>
      <c r="AQ608" s="44"/>
      <c r="AR608" s="44"/>
      <c r="AS608" s="44"/>
      <c r="AT608" s="44"/>
      <c r="AU608" s="44"/>
      <c r="AV608" s="44"/>
      <c r="AW608" s="44"/>
      <c r="AX608" s="44"/>
      <c r="AY608" s="44"/>
      <c r="AZ608" s="45"/>
      <c r="BA608" s="44"/>
      <c r="BB608" s="44"/>
      <c r="BC608" s="44"/>
      <c r="BD608" s="44"/>
      <c r="BE608" s="44"/>
      <c r="BF608" s="44"/>
      <c r="BG608" s="44"/>
      <c r="BH608" s="44"/>
      <c r="BI608" s="44"/>
      <c r="BJ608" s="44"/>
      <c r="BK608" s="44"/>
      <c r="BL608" s="44"/>
      <c r="BM608" s="44"/>
      <c r="BN608" s="44"/>
      <c r="BO608" s="44"/>
      <c r="BP608" s="44"/>
      <c r="BQ608" s="44"/>
      <c r="BR608" s="44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V608" s="44"/>
      <c r="CW608" s="44"/>
      <c r="CX608" s="44"/>
      <c r="CY608" s="44"/>
      <c r="CZ608" s="45"/>
      <c r="DA608" s="44"/>
      <c r="DB608" s="44"/>
      <c r="DC608" s="529"/>
      <c r="DD608" s="529"/>
      <c r="DE608" s="529"/>
      <c r="DF608" s="529"/>
      <c r="DG608" s="529"/>
      <c r="DH608" s="529"/>
      <c r="DI608" s="529"/>
    </row>
    <row r="609" spans="1:113" s="24" customFormat="1" ht="12" hidden="1" outlineLevel="1">
      <c r="A609" s="1"/>
      <c r="B609" s="24" t="s">
        <v>720</v>
      </c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609"/>
      <c r="AA609" s="555"/>
      <c r="AB609" s="55"/>
      <c r="AC609" s="42"/>
      <c r="AD609" s="606"/>
      <c r="AE609" s="606"/>
      <c r="AF609" s="606"/>
      <c r="AG609" s="42"/>
      <c r="AH609" s="42"/>
      <c r="AK609" s="42"/>
      <c r="AL609" s="42"/>
      <c r="AM609" s="42"/>
      <c r="AN609" s="42"/>
      <c r="AO609" s="42"/>
      <c r="AP609" s="525"/>
      <c r="AQ609" s="525"/>
      <c r="AR609" s="525"/>
      <c r="AS609" s="525"/>
      <c r="AT609" s="525"/>
      <c r="AU609" s="525"/>
      <c r="AV609" s="525"/>
      <c r="AW609" s="525"/>
      <c r="AX609" s="687"/>
      <c r="AY609" s="526"/>
      <c r="AZ609" s="524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5"/>
      <c r="BT609" s="55"/>
      <c r="BU609" s="55"/>
      <c r="BV609" s="55"/>
      <c r="BW609" s="55"/>
      <c r="BX609" s="55"/>
      <c r="BY609" s="55"/>
      <c r="BZ609" s="55"/>
      <c r="CA609" s="55"/>
      <c r="CB609" s="55"/>
      <c r="CC609" s="55"/>
      <c r="CD609" s="55"/>
      <c r="CE609" s="55"/>
      <c r="CF609" s="55"/>
      <c r="CG609" s="55"/>
      <c r="CH609" s="55"/>
      <c r="CI609" s="55"/>
      <c r="CJ609" s="55"/>
      <c r="CK609" s="55"/>
      <c r="CL609" s="55"/>
      <c r="CM609" s="55"/>
      <c r="CN609" s="55"/>
      <c r="CO609" s="55"/>
      <c r="CP609" s="55"/>
      <c r="CQ609" s="55"/>
      <c r="CR609" s="55"/>
      <c r="CS609" s="55"/>
      <c r="CT609" s="113"/>
      <c r="CU609" s="113"/>
      <c r="CV609" s="634"/>
      <c r="CW609" s="634"/>
      <c r="CX609" s="634"/>
      <c r="CY609" s="634"/>
      <c r="CZ609" s="524"/>
      <c r="DA609" s="526"/>
      <c r="DB609" s="526"/>
      <c r="DC609" s="541"/>
      <c r="DD609" s="541"/>
      <c r="DE609" s="541"/>
      <c r="DF609" s="541"/>
      <c r="DG609" s="541"/>
      <c r="DH609" s="541"/>
      <c r="DI609" s="541"/>
    </row>
    <row r="610" spans="1:113" ht="12" hidden="1" outlineLevel="1">
      <c r="A610" s="1" t="s">
        <v>743</v>
      </c>
      <c r="B610" s="19" t="s">
        <v>762</v>
      </c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525">
        <v>0</v>
      </c>
      <c r="AQ610" s="525">
        <v>0</v>
      </c>
      <c r="AR610" s="525">
        <v>1421</v>
      </c>
      <c r="AS610" s="525">
        <v>1673</v>
      </c>
      <c r="AT610" s="525">
        <v>2013</v>
      </c>
      <c r="AU610" s="525">
        <v>1688</v>
      </c>
      <c r="AV610" s="525">
        <v>1682</v>
      </c>
      <c r="AW610" s="525">
        <v>1745</v>
      </c>
      <c r="AX610" s="525">
        <v>1724</v>
      </c>
      <c r="AY610" s="525">
        <v>1724</v>
      </c>
      <c r="AZ610" s="523">
        <v>1724</v>
      </c>
      <c r="BA610" s="44">
        <f t="shared" ref="BA610:BI610" si="3121">BA145*BA176</f>
        <v>1720.7206934000003</v>
      </c>
      <c r="BB610" s="44">
        <f t="shared" si="3121"/>
        <v>1733.1959184271504</v>
      </c>
      <c r="BC610" s="44">
        <f t="shared" si="3121"/>
        <v>1745.7615888357475</v>
      </c>
      <c r="BD610" s="44">
        <f t="shared" si="3121"/>
        <v>1796.755721286037</v>
      </c>
      <c r="BE610" s="44">
        <f t="shared" si="3121"/>
        <v>1849.2394050937323</v>
      </c>
      <c r="BF610" s="44">
        <f t="shared" si="3121"/>
        <v>1903.2561504263717</v>
      </c>
      <c r="BG610" s="44">
        <f t="shared" si="3121"/>
        <v>1951.1349379605351</v>
      </c>
      <c r="BH610" s="44">
        <f t="shared" si="3121"/>
        <v>2000.2181762436048</v>
      </c>
      <c r="BI610" s="44">
        <f t="shared" si="3121"/>
        <v>2040.4225615861014</v>
      </c>
      <c r="BJ610" s="44">
        <f t="shared" ref="BJ610:BK610" si="3122">BJ145*BJ176</f>
        <v>2081.4350550739819</v>
      </c>
      <c r="BK610" s="44">
        <f t="shared" si="3122"/>
        <v>2123.271899680969</v>
      </c>
      <c r="BL610" s="44">
        <f t="shared" ref="BL610:BM610" si="3123">BL145*BL176</f>
        <v>2165.9496648645563</v>
      </c>
      <c r="BM610" s="44">
        <f t="shared" si="3123"/>
        <v>2209.4852531283341</v>
      </c>
      <c r="BN610" s="44">
        <f t="shared" ref="BN610:BO610" si="3124">BN145*BN176</f>
        <v>2253.8959067162136</v>
      </c>
      <c r="BO610" s="44">
        <f t="shared" si="3124"/>
        <v>2299.1992144412097</v>
      </c>
      <c r="BP610" s="44">
        <f t="shared" ref="BP610:BQ610" si="3125">BP145*BP176</f>
        <v>2345.4131186514778</v>
      </c>
      <c r="BQ610" s="44">
        <f t="shared" si="3125"/>
        <v>2392.5559223363725</v>
      </c>
      <c r="BR610" s="44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525">
        <v>0</v>
      </c>
      <c r="CU610" s="525">
        <v>0</v>
      </c>
      <c r="CV610" s="44">
        <f t="shared" ref="CV610:CV615" si="3126">AQ610</f>
        <v>0</v>
      </c>
      <c r="CW610" s="44">
        <f>AS610</f>
        <v>1673</v>
      </c>
      <c r="CX610" s="44">
        <f>AU610</f>
        <v>1688</v>
      </c>
      <c r="CY610" s="44">
        <f>AW610</f>
        <v>1745</v>
      </c>
      <c r="CZ610" s="45">
        <f>AY610</f>
        <v>1724</v>
      </c>
      <c r="DA610" s="44">
        <f t="shared" ref="DA610:DA612" si="3127">BA610</f>
        <v>1720.7206934000003</v>
      </c>
      <c r="DB610" s="44">
        <f>BC610</f>
        <v>1745.7615888357475</v>
      </c>
      <c r="DC610" s="44">
        <f>BE610</f>
        <v>1849.2394050937323</v>
      </c>
      <c r="DD610" s="44">
        <f>BG610</f>
        <v>1951.1349379605351</v>
      </c>
      <c r="DE610" s="44">
        <f>BI610</f>
        <v>2040.4225615861014</v>
      </c>
      <c r="DF610" s="44">
        <f>BK610</f>
        <v>2123.271899680969</v>
      </c>
      <c r="DG610" s="44">
        <f>BM610</f>
        <v>2209.4852531283341</v>
      </c>
      <c r="DH610" s="44">
        <f>BO610</f>
        <v>2299.1992144412097</v>
      </c>
      <c r="DI610" s="44">
        <f>BQ610</f>
        <v>2392.5559223363725</v>
      </c>
    </row>
    <row r="611" spans="1:113" ht="12" hidden="1" outlineLevel="1">
      <c r="A611" s="1" t="s">
        <v>890</v>
      </c>
      <c r="B611" s="19" t="s">
        <v>623</v>
      </c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643">
        <f>93%*AP161-AP610</f>
        <v>2443.11</v>
      </c>
      <c r="AQ611" s="643">
        <f t="shared" ref="AQ611" si="3128">92%*AQ161-AQ610</f>
        <v>3236.56</v>
      </c>
      <c r="AR611" s="525">
        <v>3522</v>
      </c>
      <c r="AS611" s="525">
        <v>3989</v>
      </c>
      <c r="AT611" s="525">
        <v>4999</v>
      </c>
      <c r="AU611" s="525">
        <v>5748</v>
      </c>
      <c r="AV611" s="525">
        <v>6130</v>
      </c>
      <c r="AW611" s="525">
        <v>6992</v>
      </c>
      <c r="AX611" s="525">
        <v>7947</v>
      </c>
      <c r="AY611" s="525">
        <f>10498-AY610</f>
        <v>8774</v>
      </c>
      <c r="AZ611" s="523">
        <f>11558-AZ610</f>
        <v>9834</v>
      </c>
      <c r="BA611" s="44">
        <f t="shared" ref="BA611:BQ611" si="3129">BA146*(BA181)</f>
        <v>10959.497145097695</v>
      </c>
      <c r="BB611" s="44">
        <f t="shared" si="3129"/>
        <v>11816.326622785551</v>
      </c>
      <c r="BC611" s="44">
        <f t="shared" si="3129"/>
        <v>12815.084237150682</v>
      </c>
      <c r="BD611" s="44">
        <f t="shared" si="3129"/>
        <v>13767.478657396046</v>
      </c>
      <c r="BE611" s="44">
        <f t="shared" si="3129"/>
        <v>14975.384277372259</v>
      </c>
      <c r="BF611" s="44">
        <f t="shared" si="3129"/>
        <v>16015.980310569359</v>
      </c>
      <c r="BG611" s="44">
        <f t="shared" si="3129"/>
        <v>17126.206550041981</v>
      </c>
      <c r="BH611" s="44">
        <f t="shared" si="3129"/>
        <v>17935.325089936185</v>
      </c>
      <c r="BI611" s="44">
        <f t="shared" si="3129"/>
        <v>19019.579191928195</v>
      </c>
      <c r="BJ611" s="44">
        <f t="shared" si="3129"/>
        <v>19746.577944229826</v>
      </c>
      <c r="BK611" s="44">
        <f t="shared" si="3129"/>
        <v>20769.225958868443</v>
      </c>
      <c r="BL611" s="44">
        <f t="shared" si="3129"/>
        <v>21380.456009955782</v>
      </c>
      <c r="BM611" s="44">
        <f t="shared" si="3129"/>
        <v>22300.085450758117</v>
      </c>
      <c r="BN611" s="44">
        <f t="shared" si="3129"/>
        <v>22851.485972238537</v>
      </c>
      <c r="BO611" s="44">
        <f t="shared" si="3129"/>
        <v>23727.318567535833</v>
      </c>
      <c r="BP611" s="44">
        <f t="shared" si="3129"/>
        <v>24314.152166907803</v>
      </c>
      <c r="BQ611" s="44">
        <f t="shared" si="3129"/>
        <v>25246.848287495293</v>
      </c>
      <c r="BR611" s="44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525">
        <f>92%*CT161-CT610</f>
        <v>219.21024</v>
      </c>
      <c r="CU611" s="525">
        <f>94%*CU161-CU610</f>
        <v>1681.2774199999999</v>
      </c>
      <c r="CV611" s="44">
        <f t="shared" si="3126"/>
        <v>3236.56</v>
      </c>
      <c r="CW611" s="44">
        <f>AS611</f>
        <v>3989</v>
      </c>
      <c r="CX611" s="44">
        <f>AU611</f>
        <v>5748</v>
      </c>
      <c r="CY611" s="44">
        <f>AW611</f>
        <v>6992</v>
      </c>
      <c r="CZ611" s="45">
        <f>AY611</f>
        <v>8774</v>
      </c>
      <c r="DA611" s="44">
        <f t="shared" si="3127"/>
        <v>10959.497145097695</v>
      </c>
      <c r="DB611" s="44">
        <f>BC611</f>
        <v>12815.084237150682</v>
      </c>
      <c r="DC611" s="44">
        <f>BE611</f>
        <v>14975.384277372259</v>
      </c>
      <c r="DD611" s="44">
        <f>BG611</f>
        <v>17126.206550041981</v>
      </c>
      <c r="DE611" s="44">
        <f>BI611</f>
        <v>19019.579191928195</v>
      </c>
      <c r="DF611" s="44">
        <f>BK611</f>
        <v>20769.225958868443</v>
      </c>
      <c r="DG611" s="44">
        <f>BM611</f>
        <v>22300.085450758117</v>
      </c>
      <c r="DH611" s="44">
        <f>BO611</f>
        <v>23727.318567535833</v>
      </c>
      <c r="DI611" s="44">
        <f>BQ611</f>
        <v>25246.848287495293</v>
      </c>
    </row>
    <row r="612" spans="1:113" ht="12" hidden="1" outlineLevel="1">
      <c r="A612" s="1" t="s">
        <v>891</v>
      </c>
      <c r="B612" s="19" t="s">
        <v>411</v>
      </c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4">
        <f t="shared" ref="AP612:AR612" si="3130">AP613-AP611-AP610</f>
        <v>647.88999999999987</v>
      </c>
      <c r="AQ612" s="44">
        <f t="shared" si="3130"/>
        <v>857.44</v>
      </c>
      <c r="AR612" s="44">
        <f t="shared" si="3130"/>
        <v>577</v>
      </c>
      <c r="AS612" s="44">
        <f t="shared" ref="AS612:AT612" si="3131">AS613-AS611-AS610</f>
        <v>649</v>
      </c>
      <c r="AT612" s="44">
        <f t="shared" si="3131"/>
        <v>722</v>
      </c>
      <c r="AU612" s="44">
        <f t="shared" ref="AU612:AV612" si="3132">AU613-AU611-AU610</f>
        <v>743</v>
      </c>
      <c r="AV612" s="44">
        <f t="shared" si="3132"/>
        <v>781</v>
      </c>
      <c r="AW612" s="44">
        <f t="shared" ref="AW612:AX612" si="3133">AW613-AW611-AW610</f>
        <v>874</v>
      </c>
      <c r="AX612" s="44">
        <f t="shared" si="3133"/>
        <v>967</v>
      </c>
      <c r="AY612" s="44">
        <f t="shared" ref="AY612:AZ612" si="3134">AY613-AY611-AY610</f>
        <v>1050</v>
      </c>
      <c r="AZ612" s="45">
        <f t="shared" si="3134"/>
        <v>1156</v>
      </c>
      <c r="BA612" s="44">
        <f t="shared" ref="BA612:BQ612" si="3135">AZ612*(1+((BA419/AZ419)-1))</f>
        <v>1279.6848697048861</v>
      </c>
      <c r="BB612" s="44">
        <f t="shared" si="3135"/>
        <v>1399.2248918018561</v>
      </c>
      <c r="BC612" s="44">
        <f t="shared" si="3135"/>
        <v>1483.4237699906914</v>
      </c>
      <c r="BD612" s="44">
        <f t="shared" si="3135"/>
        <v>1605.9458921288526</v>
      </c>
      <c r="BE612" s="44">
        <f t="shared" si="3135"/>
        <v>1705.4051090934208</v>
      </c>
      <c r="BF612" s="44">
        <f t="shared" si="3135"/>
        <v>1823.3026452874503</v>
      </c>
      <c r="BG612" s="44">
        <f t="shared" si="3135"/>
        <v>1910.1092372981097</v>
      </c>
      <c r="BH612" s="44">
        <f t="shared" si="3135"/>
        <v>2028.2257360492836</v>
      </c>
      <c r="BI612" s="44">
        <f t="shared" si="3135"/>
        <v>2103.9769700755478</v>
      </c>
      <c r="BJ612" s="44">
        <f t="shared" si="3135"/>
        <v>2213.3742919645711</v>
      </c>
      <c r="BK612" s="44">
        <f t="shared" si="3135"/>
        <v>2277.957740056891</v>
      </c>
      <c r="BL612" s="44">
        <f t="shared" si="3135"/>
        <v>2367.065269224513</v>
      </c>
      <c r="BM612" s="44">
        <f t="shared" si="3135"/>
        <v>2425.8571487134313</v>
      </c>
      <c r="BN612" s="44">
        <f t="shared" si="3135"/>
        <v>2508.8367452256953</v>
      </c>
      <c r="BO612" s="44">
        <f t="shared" si="3135"/>
        <v>2545.8915346969056</v>
      </c>
      <c r="BP612" s="44">
        <f t="shared" si="3135"/>
        <v>2639.390362855579</v>
      </c>
      <c r="BQ612" s="44">
        <f t="shared" si="3135"/>
        <v>2678.3078139399563</v>
      </c>
      <c r="BR612" s="44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4">
        <f>CT613-CT611-CT610</f>
        <v>224.58976000000001</v>
      </c>
      <c r="CU612" s="44">
        <f>CU613-CU611-CU610</f>
        <v>605.32258000000002</v>
      </c>
      <c r="CV612" s="44">
        <f t="shared" si="3126"/>
        <v>857.44</v>
      </c>
      <c r="CW612" s="44">
        <f>AS612</f>
        <v>649</v>
      </c>
      <c r="CX612" s="44">
        <f>AU612</f>
        <v>743</v>
      </c>
      <c r="CY612" s="44">
        <f>AW612</f>
        <v>874</v>
      </c>
      <c r="CZ612" s="45">
        <f>AY612</f>
        <v>1050</v>
      </c>
      <c r="DA612" s="44">
        <f t="shared" si="3127"/>
        <v>1279.6848697048861</v>
      </c>
      <c r="DB612" s="44">
        <f>BC612</f>
        <v>1483.4237699906914</v>
      </c>
      <c r="DC612" s="44">
        <f>BE612</f>
        <v>1705.4051090934208</v>
      </c>
      <c r="DD612" s="44">
        <f>BG612</f>
        <v>1910.1092372981097</v>
      </c>
      <c r="DE612" s="44">
        <f>BI612</f>
        <v>2103.9769700755478</v>
      </c>
      <c r="DF612" s="44">
        <f>BK612</f>
        <v>2277.957740056891</v>
      </c>
      <c r="DG612" s="44">
        <f>BM612</f>
        <v>2425.8571487134313</v>
      </c>
      <c r="DH612" s="44">
        <f>BO612</f>
        <v>2545.8915346969056</v>
      </c>
      <c r="DI612" s="44">
        <f>BQ612</f>
        <v>2678.3078139399563</v>
      </c>
    </row>
    <row r="613" spans="1:113" s="24" customFormat="1" ht="12" hidden="1" outlineLevel="1">
      <c r="A613" s="1" t="s">
        <v>892</v>
      </c>
      <c r="B613" s="24" t="s">
        <v>166</v>
      </c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  <c r="AJ613" s="55"/>
      <c r="AK613" s="55"/>
      <c r="AL613" s="55"/>
      <c r="AM613" s="55"/>
      <c r="AN613" s="55"/>
      <c r="AO613" s="55"/>
      <c r="AP613" s="521">
        <v>3091</v>
      </c>
      <c r="AQ613" s="521">
        <v>4094</v>
      </c>
      <c r="AR613" s="521">
        <v>5520</v>
      </c>
      <c r="AS613" s="521">
        <v>6311</v>
      </c>
      <c r="AT613" s="521">
        <v>7734</v>
      </c>
      <c r="AU613" s="521">
        <v>8179</v>
      </c>
      <c r="AV613" s="521">
        <v>8593</v>
      </c>
      <c r="AW613" s="521">
        <v>9611</v>
      </c>
      <c r="AX613" s="521">
        <v>10638</v>
      </c>
      <c r="AY613" s="521">
        <v>11548</v>
      </c>
      <c r="AZ613" s="522">
        <v>12714</v>
      </c>
      <c r="BA613" s="526">
        <f t="shared" ref="BA613:BI613" si="3136">SUM(BA610:BA612)</f>
        <v>13959.902708202582</v>
      </c>
      <c r="BB613" s="526">
        <f t="shared" si="3136"/>
        <v>14948.747433014558</v>
      </c>
      <c r="BC613" s="526">
        <f t="shared" si="3136"/>
        <v>16044.269595977121</v>
      </c>
      <c r="BD613" s="526">
        <f t="shared" si="3136"/>
        <v>17170.180270810935</v>
      </c>
      <c r="BE613" s="526">
        <f t="shared" si="3136"/>
        <v>18530.028791559409</v>
      </c>
      <c r="BF613" s="526">
        <f t="shared" si="3136"/>
        <v>19742.53910628318</v>
      </c>
      <c r="BG613" s="526">
        <f t="shared" si="3136"/>
        <v>20987.450725300627</v>
      </c>
      <c r="BH613" s="526">
        <f t="shared" si="3136"/>
        <v>21963.769002229074</v>
      </c>
      <c r="BI613" s="526">
        <f t="shared" si="3136"/>
        <v>23163.978723589848</v>
      </c>
      <c r="BJ613" s="526">
        <f t="shared" ref="BJ613:BK613" si="3137">SUM(BJ610:BJ612)</f>
        <v>24041.387291268376</v>
      </c>
      <c r="BK613" s="526">
        <f t="shared" si="3137"/>
        <v>25170.455598606302</v>
      </c>
      <c r="BL613" s="526">
        <f t="shared" ref="BL613:BM613" si="3138">SUM(BL610:BL612)</f>
        <v>25913.47094404485</v>
      </c>
      <c r="BM613" s="526">
        <f t="shared" si="3138"/>
        <v>26935.427852599882</v>
      </c>
      <c r="BN613" s="526">
        <f t="shared" ref="BN613:BO613" si="3139">SUM(BN610:BN612)</f>
        <v>27614.218624180445</v>
      </c>
      <c r="BO613" s="526">
        <f t="shared" si="3139"/>
        <v>28572.409316673948</v>
      </c>
      <c r="BP613" s="526">
        <f t="shared" ref="BP613:BQ613" si="3140">SUM(BP610:BP612)</f>
        <v>29298.95564841486</v>
      </c>
      <c r="BQ613" s="526">
        <f t="shared" si="3140"/>
        <v>30317.712023771619</v>
      </c>
      <c r="BR613" s="526"/>
      <c r="BS613" s="54"/>
      <c r="BT613" s="54"/>
      <c r="BU613" s="54"/>
      <c r="BV613" s="54"/>
      <c r="BW613" s="54"/>
      <c r="BX613" s="54"/>
      <c r="BY613" s="54"/>
      <c r="BZ613" s="54"/>
      <c r="CA613" s="54"/>
      <c r="CB613" s="54"/>
      <c r="CC613" s="55"/>
      <c r="CD613" s="55"/>
      <c r="CE613" s="55"/>
      <c r="CF613" s="55"/>
      <c r="CG613" s="55"/>
      <c r="CH613" s="55"/>
      <c r="CI613" s="55"/>
      <c r="CJ613" s="55"/>
      <c r="CK613" s="55"/>
      <c r="CL613" s="55"/>
      <c r="CM613" s="55"/>
      <c r="CN613" s="55"/>
      <c r="CO613" s="55"/>
      <c r="CP613" s="55"/>
      <c r="CQ613" s="55"/>
      <c r="CR613" s="55"/>
      <c r="CS613" s="55"/>
      <c r="CT613" s="521">
        <v>443.8</v>
      </c>
      <c r="CU613" s="521">
        <v>2286.6</v>
      </c>
      <c r="CV613" s="526">
        <f t="shared" ref="CV613:DF613" si="3141">SUM(CV610:CV612)</f>
        <v>4094</v>
      </c>
      <c r="CW613" s="526">
        <f t="shared" si="3141"/>
        <v>6311</v>
      </c>
      <c r="CX613" s="526">
        <f t="shared" si="3141"/>
        <v>8179</v>
      </c>
      <c r="CY613" s="526">
        <f t="shared" si="3141"/>
        <v>9611</v>
      </c>
      <c r="CZ613" s="524">
        <f t="shared" si="3141"/>
        <v>11548</v>
      </c>
      <c r="DA613" s="526">
        <f t="shared" si="3141"/>
        <v>13959.902708202582</v>
      </c>
      <c r="DB613" s="526">
        <f t="shared" si="3141"/>
        <v>16044.269595977121</v>
      </c>
      <c r="DC613" s="526">
        <f t="shared" si="3141"/>
        <v>18530.028791559409</v>
      </c>
      <c r="DD613" s="526">
        <f t="shared" si="3141"/>
        <v>20987.450725300627</v>
      </c>
      <c r="DE613" s="526">
        <f t="shared" si="3141"/>
        <v>23163.978723589848</v>
      </c>
      <c r="DF613" s="526">
        <f t="shared" si="3141"/>
        <v>25170.455598606302</v>
      </c>
      <c r="DG613" s="526">
        <f t="shared" ref="DG613:DH613" si="3142">SUM(DG610:DG612)</f>
        <v>26935.427852599882</v>
      </c>
      <c r="DH613" s="526">
        <f t="shared" si="3142"/>
        <v>28572.409316673948</v>
      </c>
      <c r="DI613" s="526">
        <f t="shared" ref="DI613" si="3143">SUM(DI610:DI612)</f>
        <v>30317.712023771619</v>
      </c>
    </row>
    <row r="614" spans="1:113" s="24" customFormat="1" ht="12" hidden="1" outlineLevel="1">
      <c r="A614" s="1" t="s">
        <v>2430</v>
      </c>
      <c r="B614" s="19" t="s">
        <v>2431</v>
      </c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525">
        <v>0</v>
      </c>
      <c r="AQ614" s="525">
        <v>0</v>
      </c>
      <c r="AR614" s="525">
        <v>0</v>
      </c>
      <c r="AS614" s="525">
        <v>0</v>
      </c>
      <c r="AT614" s="525">
        <v>0</v>
      </c>
      <c r="AU614" s="525">
        <v>0</v>
      </c>
      <c r="AV614" s="525">
        <v>0</v>
      </c>
      <c r="AW614" s="525">
        <v>0</v>
      </c>
      <c r="AX614" s="525">
        <v>0</v>
      </c>
      <c r="AY614" s="525">
        <v>0</v>
      </c>
      <c r="AZ614" s="523">
        <v>0</v>
      </c>
      <c r="BA614" s="44">
        <f t="shared" ref="BA614:BI614" si="3144">AZ614*(BA612/AZ612)</f>
        <v>0</v>
      </c>
      <c r="BB614" s="44">
        <f t="shared" si="3144"/>
        <v>0</v>
      </c>
      <c r="BC614" s="44">
        <f t="shared" si="3144"/>
        <v>0</v>
      </c>
      <c r="BD614" s="44">
        <f t="shared" si="3144"/>
        <v>0</v>
      </c>
      <c r="BE614" s="44">
        <f t="shared" si="3144"/>
        <v>0</v>
      </c>
      <c r="BF614" s="44">
        <f t="shared" si="3144"/>
        <v>0</v>
      </c>
      <c r="BG614" s="44">
        <f t="shared" si="3144"/>
        <v>0</v>
      </c>
      <c r="BH614" s="44">
        <f t="shared" si="3144"/>
        <v>0</v>
      </c>
      <c r="BI614" s="44">
        <f t="shared" si="3144"/>
        <v>0</v>
      </c>
      <c r="BJ614" s="44">
        <f t="shared" ref="BJ614" si="3145">BI614*(BJ612/BI612)</f>
        <v>0</v>
      </c>
      <c r="BK614" s="44">
        <f t="shared" ref="BK614" si="3146">BJ614*(BK612/BJ612)</f>
        <v>0</v>
      </c>
      <c r="BL614" s="44">
        <f t="shared" ref="BL614" si="3147">BK614*(BL612/BK612)</f>
        <v>0</v>
      </c>
      <c r="BM614" s="44">
        <f t="shared" ref="BM614" si="3148">BL614*(BM612/BL612)</f>
        <v>0</v>
      </c>
      <c r="BN614" s="44">
        <f t="shared" ref="BN614" si="3149">BM614*(BN612/BM612)</f>
        <v>0</v>
      </c>
      <c r="BO614" s="44">
        <f t="shared" ref="BO614" si="3150">BN614*(BO612/BN612)</f>
        <v>0</v>
      </c>
      <c r="BP614" s="44">
        <f t="shared" ref="BP614" si="3151">BO614*(BP612/BO612)</f>
        <v>0</v>
      </c>
      <c r="BQ614" s="44">
        <f t="shared" ref="BQ614" si="3152">BP614*(BQ612/BP612)</f>
        <v>0</v>
      </c>
      <c r="BR614" s="526"/>
      <c r="BS614" s="54"/>
      <c r="BT614" s="54"/>
      <c r="BU614" s="54"/>
      <c r="BV614" s="54"/>
      <c r="BW614" s="54"/>
      <c r="BX614" s="54"/>
      <c r="BY614" s="54"/>
      <c r="BZ614" s="54"/>
      <c r="CA614" s="54"/>
      <c r="CB614" s="54"/>
      <c r="CC614" s="55"/>
      <c r="CD614" s="55"/>
      <c r="CE614" s="55"/>
      <c r="CF614" s="55"/>
      <c r="CG614" s="55"/>
      <c r="CH614" s="55"/>
      <c r="CI614" s="55"/>
      <c r="CJ614" s="55"/>
      <c r="CK614" s="55"/>
      <c r="CL614" s="55"/>
      <c r="CM614" s="55"/>
      <c r="CN614" s="42"/>
      <c r="CO614" s="42"/>
      <c r="CP614" s="42"/>
      <c r="CQ614" s="42"/>
      <c r="CR614" s="42"/>
      <c r="CS614" s="42"/>
      <c r="CT614" s="525">
        <v>0</v>
      </c>
      <c r="CU614" s="525">
        <v>0</v>
      </c>
      <c r="CV614" s="44">
        <f t="shared" si="3126"/>
        <v>0</v>
      </c>
      <c r="CW614" s="44">
        <f>AO614</f>
        <v>0</v>
      </c>
      <c r="CX614" s="44">
        <f>AQ614</f>
        <v>0</v>
      </c>
      <c r="CY614" s="44">
        <f>AS614</f>
        <v>0</v>
      </c>
      <c r="CZ614" s="45">
        <f>AU614</f>
        <v>0</v>
      </c>
      <c r="DA614" s="44">
        <f t="shared" ref="DA614:DA615" si="3153">BA614</f>
        <v>0</v>
      </c>
      <c r="DB614" s="44">
        <f>BC614</f>
        <v>0</v>
      </c>
      <c r="DC614" s="44">
        <f>BE614</f>
        <v>0</v>
      </c>
      <c r="DD614" s="44">
        <f>BG614</f>
        <v>0</v>
      </c>
      <c r="DE614" s="44">
        <f>BI614</f>
        <v>0</v>
      </c>
      <c r="DF614" s="44">
        <f>BK614</f>
        <v>0</v>
      </c>
      <c r="DG614" s="44">
        <f>BM614</f>
        <v>0</v>
      </c>
      <c r="DH614" s="44">
        <f>BO614</f>
        <v>0</v>
      </c>
      <c r="DI614" s="44">
        <f>BQ614</f>
        <v>0</v>
      </c>
    </row>
    <row r="615" spans="1:113" s="24" customFormat="1" ht="12" hidden="1" outlineLevel="1">
      <c r="A615" s="1" t="s">
        <v>2432</v>
      </c>
      <c r="B615" s="19" t="s">
        <v>2427</v>
      </c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4">
        <f t="shared" ref="AP615:AR615" si="3154">AP616-AP614-AP613</f>
        <v>0</v>
      </c>
      <c r="AQ615" s="44">
        <f t="shared" si="3154"/>
        <v>0</v>
      </c>
      <c r="AR615" s="44">
        <f t="shared" si="3154"/>
        <v>0</v>
      </c>
      <c r="AS615" s="44">
        <f t="shared" ref="AS615:AT615" si="3155">AS616-AS614-AS613</f>
        <v>0</v>
      </c>
      <c r="AT615" s="44">
        <f t="shared" si="3155"/>
        <v>0</v>
      </c>
      <c r="AU615" s="44">
        <f t="shared" ref="AU615:AV615" si="3156">AU616-AU614-AU613</f>
        <v>0</v>
      </c>
      <c r="AV615" s="44">
        <f t="shared" si="3156"/>
        <v>0</v>
      </c>
      <c r="AW615" s="44">
        <f t="shared" ref="AW615:AX615" si="3157">AW616-AW614-AW613</f>
        <v>0</v>
      </c>
      <c r="AX615" s="44">
        <f t="shared" si="3157"/>
        <v>0</v>
      </c>
      <c r="AY615" s="44">
        <f t="shared" ref="AY615:AZ615" si="3158">AY616-AY614-AY613</f>
        <v>0</v>
      </c>
      <c r="AZ615" s="45">
        <f t="shared" si="3158"/>
        <v>0</v>
      </c>
      <c r="BA615" s="46">
        <v>0</v>
      </c>
      <c r="BB615" s="46">
        <v>0</v>
      </c>
      <c r="BC615" s="46">
        <v>0</v>
      </c>
      <c r="BD615" s="46">
        <v>0</v>
      </c>
      <c r="BE615" s="46">
        <v>0</v>
      </c>
      <c r="BF615" s="46">
        <v>0</v>
      </c>
      <c r="BG615" s="46">
        <v>0</v>
      </c>
      <c r="BH615" s="46">
        <v>0</v>
      </c>
      <c r="BI615" s="46">
        <v>0</v>
      </c>
      <c r="BJ615" s="46">
        <v>0</v>
      </c>
      <c r="BK615" s="46">
        <v>0</v>
      </c>
      <c r="BL615" s="46">
        <v>0</v>
      </c>
      <c r="BM615" s="46">
        <v>0</v>
      </c>
      <c r="BN615" s="46">
        <v>0</v>
      </c>
      <c r="BO615" s="46">
        <v>0</v>
      </c>
      <c r="BP615" s="46">
        <v>0</v>
      </c>
      <c r="BQ615" s="46">
        <v>0</v>
      </c>
      <c r="BR615" s="526"/>
      <c r="BS615" s="54"/>
      <c r="BT615" s="54"/>
      <c r="BU615" s="54"/>
      <c r="BV615" s="54"/>
      <c r="BW615" s="54"/>
      <c r="BX615" s="54"/>
      <c r="BY615" s="54"/>
      <c r="BZ615" s="54"/>
      <c r="CA615" s="54"/>
      <c r="CB615" s="54"/>
      <c r="CC615" s="55"/>
      <c r="CD615" s="55"/>
      <c r="CE615" s="55"/>
      <c r="CF615" s="55"/>
      <c r="CG615" s="55"/>
      <c r="CH615" s="55"/>
      <c r="CI615" s="55"/>
      <c r="CJ615" s="55"/>
      <c r="CK615" s="55"/>
      <c r="CL615" s="55"/>
      <c r="CM615" s="55"/>
      <c r="CN615" s="42"/>
      <c r="CO615" s="42"/>
      <c r="CP615" s="42"/>
      <c r="CQ615" s="42"/>
      <c r="CR615" s="42"/>
      <c r="CS615" s="42"/>
      <c r="CT615" s="44">
        <f t="shared" ref="CT615:CU615" si="3159">CT616-CT614-CT613</f>
        <v>0</v>
      </c>
      <c r="CU615" s="44">
        <f t="shared" si="3159"/>
        <v>0</v>
      </c>
      <c r="CV615" s="44">
        <f t="shared" si="3126"/>
        <v>0</v>
      </c>
      <c r="CW615" s="44">
        <f>AO615</f>
        <v>0</v>
      </c>
      <c r="CX615" s="44">
        <f>AQ615</f>
        <v>0</v>
      </c>
      <c r="CY615" s="44">
        <f>AS615</f>
        <v>0</v>
      </c>
      <c r="CZ615" s="45">
        <f>AU615</f>
        <v>0</v>
      </c>
      <c r="DA615" s="44">
        <f t="shared" si="3153"/>
        <v>0</v>
      </c>
      <c r="DB615" s="44">
        <f>BC615</f>
        <v>0</v>
      </c>
      <c r="DC615" s="44">
        <f>BE615</f>
        <v>0</v>
      </c>
      <c r="DD615" s="44">
        <f>BG615</f>
        <v>0</v>
      </c>
      <c r="DE615" s="44">
        <f>BI615</f>
        <v>0</v>
      </c>
      <c r="DF615" s="44">
        <f>BK615</f>
        <v>0</v>
      </c>
      <c r="DG615" s="44">
        <f>BM615</f>
        <v>0</v>
      </c>
      <c r="DH615" s="44">
        <f>BO615</f>
        <v>0</v>
      </c>
      <c r="DI615" s="44">
        <f>BQ615</f>
        <v>0</v>
      </c>
    </row>
    <row r="616" spans="1:113" s="24" customFormat="1" ht="12" hidden="1" outlineLevel="1">
      <c r="A616" s="1" t="s">
        <v>2433</v>
      </c>
      <c r="B616" s="24" t="s">
        <v>2434</v>
      </c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/>
      <c r="AD616" s="55"/>
      <c r="AE616" s="55"/>
      <c r="AF616" s="55"/>
      <c r="AG616" s="55"/>
      <c r="AH616" s="55"/>
      <c r="AI616" s="55"/>
      <c r="AJ616" s="55"/>
      <c r="AK616" s="55"/>
      <c r="AL616" s="55"/>
      <c r="AM616" s="55"/>
      <c r="AN616" s="55"/>
      <c r="AO616" s="55"/>
      <c r="AP616" s="521">
        <f t="shared" ref="AP616:AR616" si="3160">AP613</f>
        <v>3091</v>
      </c>
      <c r="AQ616" s="521">
        <f t="shared" si="3160"/>
        <v>4094</v>
      </c>
      <c r="AR616" s="521">
        <f t="shared" si="3160"/>
        <v>5520</v>
      </c>
      <c r="AS616" s="521">
        <f t="shared" ref="AS616:AT616" si="3161">AS613</f>
        <v>6311</v>
      </c>
      <c r="AT616" s="521">
        <f t="shared" si="3161"/>
        <v>7734</v>
      </c>
      <c r="AU616" s="521">
        <f t="shared" ref="AU616:AV616" si="3162">AU613</f>
        <v>8179</v>
      </c>
      <c r="AV616" s="521">
        <f t="shared" si="3162"/>
        <v>8593</v>
      </c>
      <c r="AW616" s="521">
        <f t="shared" ref="AW616:AY616" si="3163">AW613</f>
        <v>9611</v>
      </c>
      <c r="AX616" s="521">
        <f t="shared" si="3163"/>
        <v>10638</v>
      </c>
      <c r="AY616" s="521">
        <f t="shared" si="3163"/>
        <v>11548</v>
      </c>
      <c r="AZ616" s="522">
        <f t="shared" ref="AZ616" si="3164">AZ613</f>
        <v>12714</v>
      </c>
      <c r="BA616" s="526">
        <f t="shared" ref="BA616:BI616" si="3165">SUM(BA613:BA615)</f>
        <v>13959.902708202582</v>
      </c>
      <c r="BB616" s="526">
        <f t="shared" si="3165"/>
        <v>14948.747433014558</v>
      </c>
      <c r="BC616" s="526">
        <f t="shared" si="3165"/>
        <v>16044.269595977121</v>
      </c>
      <c r="BD616" s="526">
        <f t="shared" si="3165"/>
        <v>17170.180270810935</v>
      </c>
      <c r="BE616" s="526">
        <f t="shared" si="3165"/>
        <v>18530.028791559409</v>
      </c>
      <c r="BF616" s="526">
        <f t="shared" si="3165"/>
        <v>19742.53910628318</v>
      </c>
      <c r="BG616" s="526">
        <f t="shared" si="3165"/>
        <v>20987.450725300627</v>
      </c>
      <c r="BH616" s="526">
        <f t="shared" si="3165"/>
        <v>21963.769002229074</v>
      </c>
      <c r="BI616" s="526">
        <f t="shared" si="3165"/>
        <v>23163.978723589848</v>
      </c>
      <c r="BJ616" s="526">
        <f t="shared" ref="BJ616:BK616" si="3166">SUM(BJ613:BJ615)</f>
        <v>24041.387291268376</v>
      </c>
      <c r="BK616" s="526">
        <f t="shared" si="3166"/>
        <v>25170.455598606302</v>
      </c>
      <c r="BL616" s="526">
        <f t="shared" ref="BL616:BM616" si="3167">SUM(BL613:BL615)</f>
        <v>25913.47094404485</v>
      </c>
      <c r="BM616" s="526">
        <f t="shared" si="3167"/>
        <v>26935.427852599882</v>
      </c>
      <c r="BN616" s="526">
        <f t="shared" ref="BN616:BO616" si="3168">SUM(BN613:BN615)</f>
        <v>27614.218624180445</v>
      </c>
      <c r="BO616" s="526">
        <f t="shared" si="3168"/>
        <v>28572.409316673948</v>
      </c>
      <c r="BP616" s="526">
        <f t="shared" ref="BP616:BQ616" si="3169">SUM(BP613:BP615)</f>
        <v>29298.95564841486</v>
      </c>
      <c r="BQ616" s="526">
        <f t="shared" si="3169"/>
        <v>30317.712023771619</v>
      </c>
      <c r="BR616" s="526"/>
      <c r="BS616" s="54"/>
      <c r="BT616" s="54"/>
      <c r="BU616" s="54"/>
      <c r="BV616" s="54"/>
      <c r="BW616" s="54"/>
      <c r="BX616" s="54"/>
      <c r="BY616" s="54"/>
      <c r="BZ616" s="54"/>
      <c r="CA616" s="54"/>
      <c r="CB616" s="54"/>
      <c r="CC616" s="55"/>
      <c r="CD616" s="55"/>
      <c r="CE616" s="55"/>
      <c r="CF616" s="55"/>
      <c r="CG616" s="55"/>
      <c r="CH616" s="55"/>
      <c r="CI616" s="55"/>
      <c r="CJ616" s="55"/>
      <c r="CK616" s="55"/>
      <c r="CL616" s="55"/>
      <c r="CM616" s="55"/>
      <c r="CN616" s="55"/>
      <c r="CO616" s="55"/>
      <c r="CP616" s="55"/>
      <c r="CQ616" s="55"/>
      <c r="CR616" s="55"/>
      <c r="CS616" s="55"/>
      <c r="CT616" s="521">
        <f t="shared" ref="CT616:CU616" si="3170">CT613</f>
        <v>443.8</v>
      </c>
      <c r="CU616" s="521">
        <f t="shared" si="3170"/>
        <v>2286.6</v>
      </c>
      <c r="CV616" s="526">
        <f t="shared" ref="CV616:DF616" si="3171">SUM(CV613:CV615)</f>
        <v>4094</v>
      </c>
      <c r="CW616" s="526">
        <f t="shared" si="3171"/>
        <v>6311</v>
      </c>
      <c r="CX616" s="526">
        <f t="shared" si="3171"/>
        <v>8179</v>
      </c>
      <c r="CY616" s="526">
        <f t="shared" si="3171"/>
        <v>9611</v>
      </c>
      <c r="CZ616" s="524">
        <f t="shared" si="3171"/>
        <v>11548</v>
      </c>
      <c r="DA616" s="526">
        <f t="shared" si="3171"/>
        <v>13959.902708202582</v>
      </c>
      <c r="DB616" s="526">
        <f t="shared" si="3171"/>
        <v>16044.269595977121</v>
      </c>
      <c r="DC616" s="526">
        <f t="shared" si="3171"/>
        <v>18530.028791559409</v>
      </c>
      <c r="DD616" s="526">
        <f t="shared" si="3171"/>
        <v>20987.450725300627</v>
      </c>
      <c r="DE616" s="526">
        <f t="shared" si="3171"/>
        <v>23163.978723589848</v>
      </c>
      <c r="DF616" s="526">
        <f t="shared" si="3171"/>
        <v>25170.455598606302</v>
      </c>
      <c r="DG616" s="526">
        <f t="shared" ref="DG616:DH616" si="3172">SUM(DG613:DG615)</f>
        <v>26935.427852599882</v>
      </c>
      <c r="DH616" s="526">
        <f t="shared" si="3172"/>
        <v>28572.409316673948</v>
      </c>
      <c r="DI616" s="526">
        <f t="shared" ref="DI616" si="3173">SUM(DI613:DI615)</f>
        <v>30317.712023771619</v>
      </c>
    </row>
    <row r="617" spans="1:113" ht="12" collapsed="1"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165"/>
      <c r="Y617" s="42"/>
      <c r="Z617" s="165"/>
      <c r="AA617" s="157"/>
      <c r="AB617" s="95"/>
      <c r="AC617" s="95"/>
      <c r="AD617" s="95"/>
      <c r="AE617" s="95"/>
      <c r="AF617" s="95"/>
      <c r="AG617" s="95"/>
      <c r="AH617" s="95"/>
      <c r="AI617" s="95"/>
      <c r="AJ617" s="95"/>
      <c r="AK617" s="95"/>
      <c r="AL617" s="95"/>
      <c r="AM617" s="157"/>
      <c r="AN617" s="157"/>
      <c r="AO617" s="157"/>
      <c r="AP617" s="44"/>
      <c r="AQ617" s="44"/>
      <c r="AR617" s="44"/>
      <c r="AS617" s="44"/>
      <c r="AT617" s="44"/>
      <c r="AU617" s="44"/>
      <c r="AV617" s="44"/>
      <c r="AW617" s="44"/>
      <c r="AX617" s="44"/>
      <c r="AY617" s="44"/>
      <c r="AZ617" s="45"/>
      <c r="BA617" s="44"/>
      <c r="BB617" s="44"/>
      <c r="BC617" s="44"/>
      <c r="BD617" s="44"/>
      <c r="BE617" s="44"/>
      <c r="BF617" s="44"/>
      <c r="BG617" s="44"/>
      <c r="BH617" s="44"/>
      <c r="BI617" s="44"/>
      <c r="BJ617" s="44"/>
      <c r="BK617" s="44"/>
      <c r="BL617" s="44"/>
      <c r="BM617" s="44"/>
      <c r="BN617" s="44"/>
      <c r="BO617" s="44"/>
      <c r="BP617" s="44"/>
      <c r="BQ617" s="44"/>
      <c r="BR617" s="44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285"/>
      <c r="CS617" s="285"/>
      <c r="CT617" s="157"/>
      <c r="CU617" s="157"/>
      <c r="CV617" s="285"/>
      <c r="CW617" s="285"/>
      <c r="CX617" s="285"/>
      <c r="CY617" s="285"/>
      <c r="CZ617" s="45"/>
      <c r="DA617" s="44"/>
      <c r="DB617" s="44"/>
      <c r="DC617" s="529"/>
      <c r="DD617" s="529"/>
      <c r="DE617" s="529"/>
      <c r="DF617" s="529"/>
      <c r="DG617" s="529"/>
      <c r="DH617" s="529"/>
      <c r="DI617" s="529"/>
    </row>
    <row r="618" spans="1:113" s="36" customFormat="1" ht="12" collapsed="1">
      <c r="A618" s="1" t="s">
        <v>26</v>
      </c>
      <c r="B618" s="2" t="s">
        <v>412</v>
      </c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/>
      <c r="AD618" s="55"/>
      <c r="AE618" s="55"/>
      <c r="AF618" s="55"/>
      <c r="AG618" s="55"/>
      <c r="AH618" s="55"/>
      <c r="AI618" s="55"/>
      <c r="AJ618" s="55"/>
      <c r="AK618" s="55"/>
      <c r="AL618" s="55"/>
      <c r="AM618" s="55"/>
      <c r="AN618" s="55"/>
      <c r="AO618" s="55"/>
      <c r="AP618" s="527">
        <f t="shared" ref="AP618:BI618" si="3174">AP631</f>
        <v>-656.69999999999993</v>
      </c>
      <c r="AQ618" s="527">
        <f t="shared" si="3174"/>
        <v>-387.70000000000016</v>
      </c>
      <c r="AR618" s="527">
        <f t="shared" si="3174"/>
        <v>-367.00000000000011</v>
      </c>
      <c r="AS618" s="527">
        <f t="shared" ref="AS618:AT618" si="3175">AS631</f>
        <v>-4.9000000000001762</v>
      </c>
      <c r="AT618" s="527">
        <f t="shared" si="3175"/>
        <v>0</v>
      </c>
      <c r="AU618" s="527">
        <f t="shared" ref="AU618:AV618" si="3176">AU631</f>
        <v>0</v>
      </c>
      <c r="AV618" s="527">
        <f t="shared" si="3176"/>
        <v>-7.1054273576010019E-14</v>
      </c>
      <c r="AW618" s="527">
        <f t="shared" ref="AW618:AX618" si="3177">AW631</f>
        <v>0</v>
      </c>
      <c r="AX618" s="527">
        <f t="shared" si="3177"/>
        <v>0</v>
      </c>
      <c r="AY618" s="527">
        <f t="shared" si="3174"/>
        <v>0</v>
      </c>
      <c r="AZ618" s="528">
        <f t="shared" si="3174"/>
        <v>9.9475983006414026E-14</v>
      </c>
      <c r="BA618" s="527">
        <f t="shared" si="3174"/>
        <v>1.1368683772161603E-13</v>
      </c>
      <c r="BB618" s="527">
        <f t="shared" si="3174"/>
        <v>0</v>
      </c>
      <c r="BC618" s="527">
        <f t="shared" si="3174"/>
        <v>1.5631940186722204E-13</v>
      </c>
      <c r="BD618" s="527">
        <f t="shared" si="3174"/>
        <v>-144.30643690654415</v>
      </c>
      <c r="BE618" s="527">
        <f t="shared" si="3174"/>
        <v>-5.6132876125047915E-13</v>
      </c>
      <c r="BF618" s="527">
        <f t="shared" si="3174"/>
        <v>-2.8421709430404007E-14</v>
      </c>
      <c r="BG618" s="527">
        <f t="shared" si="3174"/>
        <v>3.836930773104541E-13</v>
      </c>
      <c r="BH618" s="527">
        <f t="shared" si="3174"/>
        <v>0</v>
      </c>
      <c r="BI618" s="527">
        <f t="shared" si="3174"/>
        <v>35.731848119999967</v>
      </c>
      <c r="BJ618" s="527">
        <f t="shared" ref="BJ618:BK618" si="3178">BJ631</f>
        <v>59.553080199999634</v>
      </c>
      <c r="BK618" s="527">
        <f t="shared" si="3178"/>
        <v>47.642464160000124</v>
      </c>
      <c r="BL618" s="527">
        <f t="shared" ref="BL618:BM618" si="3179">BL631</f>
        <v>71.463696239999962</v>
      </c>
      <c r="BM618" s="527">
        <f t="shared" si="3179"/>
        <v>71.463696240000118</v>
      </c>
      <c r="BN618" s="527">
        <f t="shared" ref="BN618:BO618" si="3180">BN631</f>
        <v>95.284928319999707</v>
      </c>
      <c r="BO618" s="527">
        <f t="shared" si="3180"/>
        <v>95.284928319999892</v>
      </c>
      <c r="BP618" s="527">
        <f t="shared" ref="BP618:BQ618" si="3181">BP631</f>
        <v>107.19554436000003</v>
      </c>
      <c r="BQ618" s="527">
        <f t="shared" si="3181"/>
        <v>107.19554435999987</v>
      </c>
      <c r="BR618" s="527"/>
      <c r="BS618" s="52"/>
      <c r="BT618" s="52"/>
      <c r="BU618" s="52"/>
      <c r="BV618" s="52"/>
      <c r="BW618" s="52"/>
      <c r="BX618" s="52"/>
      <c r="BY618" s="52"/>
      <c r="BZ618" s="52"/>
      <c r="CA618" s="52"/>
      <c r="CB618" s="52"/>
      <c r="CC618" s="52"/>
      <c r="CD618" s="52"/>
      <c r="CE618" s="52"/>
      <c r="CF618" s="52"/>
      <c r="CG618" s="52"/>
      <c r="CH618" s="52"/>
      <c r="CI618" s="52"/>
      <c r="CJ618" s="52"/>
      <c r="CK618" s="52"/>
      <c r="CL618" s="52"/>
      <c r="CM618" s="52"/>
      <c r="CN618" s="52"/>
      <c r="CO618" s="52"/>
      <c r="CP618" s="52"/>
      <c r="CQ618" s="52"/>
      <c r="CR618" s="52"/>
      <c r="CS618" s="52"/>
      <c r="CT618" s="52">
        <f t="shared" ref="CT618:DF618" si="3182">CT631</f>
        <v>0</v>
      </c>
      <c r="CU618" s="52">
        <f t="shared" si="3182"/>
        <v>0</v>
      </c>
      <c r="CV618" s="527">
        <f t="shared" si="3182"/>
        <v>-516.19540000000006</v>
      </c>
      <c r="CW618" s="527">
        <f t="shared" si="3182"/>
        <v>-371.90000000000026</v>
      </c>
      <c r="CX618" s="527">
        <f t="shared" si="3182"/>
        <v>1.1368683772161603E-13</v>
      </c>
      <c r="CY618" s="527">
        <f t="shared" si="3182"/>
        <v>0</v>
      </c>
      <c r="CZ618" s="528">
        <f t="shared" si="3182"/>
        <v>0</v>
      </c>
      <c r="DA618" s="527">
        <f t="shared" si="3182"/>
        <v>1.7053025658242404E-13</v>
      </c>
      <c r="DB618" s="527">
        <f t="shared" si="3182"/>
        <v>2.2737367544323206E-13</v>
      </c>
      <c r="DC618" s="527">
        <f t="shared" si="3182"/>
        <v>-144.30643690654463</v>
      </c>
      <c r="DD618" s="527">
        <f t="shared" si="3182"/>
        <v>3.979039320256561E-13</v>
      </c>
      <c r="DE618" s="527">
        <f t="shared" si="3182"/>
        <v>35.731848119999945</v>
      </c>
      <c r="DF618" s="527">
        <f t="shared" si="3182"/>
        <v>107.1955443599997</v>
      </c>
      <c r="DG618" s="527">
        <f t="shared" ref="DG618:DH618" si="3183">DG631</f>
        <v>142.92739248000012</v>
      </c>
      <c r="DH618" s="527">
        <f t="shared" si="3183"/>
        <v>190.56985663999976</v>
      </c>
      <c r="DI618" s="527">
        <f t="shared" ref="DI618" si="3184">DI631</f>
        <v>214.39108871999986</v>
      </c>
    </row>
    <row r="619" spans="1:113" ht="12" hidden="1" outlineLevel="1"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M619" s="42"/>
      <c r="AN619" s="42"/>
      <c r="AO619" s="42"/>
      <c r="AP619" s="44"/>
      <c r="AQ619" s="44"/>
      <c r="AR619" s="44"/>
      <c r="AS619" s="44"/>
      <c r="AT619" s="44"/>
      <c r="AU619" s="44"/>
      <c r="AV619" s="44"/>
      <c r="AW619" s="44"/>
      <c r="AX619" s="44"/>
      <c r="AY619" s="44"/>
      <c r="AZ619" s="45"/>
      <c r="BA619" s="44"/>
      <c r="BB619" s="44"/>
      <c r="BC619" s="44"/>
      <c r="BD619" s="44"/>
      <c r="BE619" s="44"/>
      <c r="BF619" s="44"/>
      <c r="BG619" s="44"/>
      <c r="BH619" s="44"/>
      <c r="BI619" s="44"/>
      <c r="BJ619" s="44"/>
      <c r="BK619" s="44"/>
      <c r="BL619" s="44"/>
      <c r="BM619" s="44"/>
      <c r="BN619" s="44"/>
      <c r="BO619" s="44"/>
      <c r="BP619" s="44"/>
      <c r="BQ619" s="44"/>
      <c r="BR619" s="44"/>
      <c r="BS619" s="42"/>
      <c r="BT619" s="42"/>
      <c r="BU619" s="42"/>
      <c r="BV619" s="42"/>
      <c r="BW619" s="42"/>
      <c r="BX619" s="42"/>
      <c r="BY619" s="42"/>
      <c r="BZ619" s="42"/>
      <c r="CA619" s="42"/>
      <c r="CB619" s="42"/>
      <c r="CC619" s="42"/>
      <c r="CD619" s="42"/>
      <c r="CE619" s="42"/>
      <c r="CF619" s="42"/>
      <c r="CG619" s="42"/>
      <c r="CH619" s="42"/>
      <c r="CI619" s="42"/>
      <c r="CJ619" s="42"/>
      <c r="CK619" s="42"/>
      <c r="CL619" s="42"/>
      <c r="CM619" s="42"/>
      <c r="CN619" s="42"/>
      <c r="CO619" s="42"/>
      <c r="CP619" s="42"/>
      <c r="CQ619" s="42"/>
      <c r="CR619" s="42"/>
      <c r="CS619" s="42"/>
      <c r="CT619" s="42"/>
      <c r="CU619" s="42"/>
      <c r="CV619" s="44"/>
      <c r="CW619" s="44"/>
      <c r="CX619" s="44"/>
      <c r="CY619" s="44"/>
      <c r="CZ619" s="45"/>
      <c r="DA619" s="44"/>
      <c r="DB619" s="44"/>
      <c r="DC619" s="529"/>
      <c r="DD619" s="529"/>
      <c r="DE619" s="529"/>
      <c r="DF619" s="529"/>
      <c r="DG619" s="529"/>
      <c r="DH619" s="529"/>
      <c r="DI619" s="529"/>
    </row>
    <row r="620" spans="1:113" s="24" customFormat="1" ht="12" hidden="1" outlineLevel="1">
      <c r="A620" s="1" t="s">
        <v>58</v>
      </c>
      <c r="B620" s="24" t="s">
        <v>354</v>
      </c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  <c r="AA620" s="55"/>
      <c r="AB620" s="55"/>
      <c r="AC620" s="55"/>
      <c r="AD620" s="55"/>
      <c r="AE620" s="55"/>
      <c r="AF620" s="55"/>
      <c r="AG620" s="55"/>
      <c r="AH620" s="55"/>
      <c r="AI620" s="55"/>
      <c r="AJ620" s="55"/>
      <c r="AK620" s="55"/>
      <c r="AL620" s="55"/>
      <c r="AM620" s="55"/>
      <c r="AN620" s="55"/>
      <c r="AO620" s="55"/>
      <c r="AP620" s="526">
        <f t="shared" ref="AP620:BI620" si="3185">AP515</f>
        <v>-6.4999999999999947</v>
      </c>
      <c r="AQ620" s="526">
        <f t="shared" ref="AQ620:AR620" si="3186">AQ515</f>
        <v>1.3000000000000043</v>
      </c>
      <c r="AR620" s="526">
        <f t="shared" si="3186"/>
        <v>0.70000000000000906</v>
      </c>
      <c r="AS620" s="526">
        <f t="shared" ref="AS620:AT620" si="3187">AS515</f>
        <v>8.3999999999999915</v>
      </c>
      <c r="AT620" s="526">
        <f t="shared" si="3187"/>
        <v>36.099999999999987</v>
      </c>
      <c r="AU620" s="526">
        <f t="shared" ref="AU620:AV620" si="3188">AU515</f>
        <v>37.299999999999983</v>
      </c>
      <c r="AV620" s="526">
        <f t="shared" si="3188"/>
        <v>45.900000000000006</v>
      </c>
      <c r="AW620" s="526">
        <f t="shared" ref="AW620:AX620" si="3189">AW515</f>
        <v>24.000000000000021</v>
      </c>
      <c r="AX620" s="526">
        <f t="shared" si="3189"/>
        <v>40.900000000000006</v>
      </c>
      <c r="AY620" s="526">
        <f t="shared" si="3185"/>
        <v>45.500000000000021</v>
      </c>
      <c r="AZ620" s="524">
        <f t="shared" si="3185"/>
        <v>59.89999999999997</v>
      </c>
      <c r="BA620" s="526">
        <f t="shared" si="3185"/>
        <v>73.462321514032539</v>
      </c>
      <c r="BB620" s="526">
        <f t="shared" si="3185"/>
        <v>79.850082368164337</v>
      </c>
      <c r="BC620" s="526">
        <f t="shared" si="3185"/>
        <v>82.713632318516005</v>
      </c>
      <c r="BD620" s="526">
        <f t="shared" si="3185"/>
        <v>96.996764908227647</v>
      </c>
      <c r="BE620" s="526">
        <f t="shared" si="3185"/>
        <v>105.84179480185983</v>
      </c>
      <c r="BF620" s="526">
        <f t="shared" si="3185"/>
        <v>121.08400199158076</v>
      </c>
      <c r="BG620" s="526">
        <f t="shared" si="3185"/>
        <v>132.00247267714406</v>
      </c>
      <c r="BH620" s="526">
        <f t="shared" si="3185"/>
        <v>145.5989593786762</v>
      </c>
      <c r="BI620" s="526">
        <f t="shared" si="3185"/>
        <v>151.53221134769285</v>
      </c>
      <c r="BJ620" s="526">
        <f t="shared" ref="BJ620:BK620" si="3190">BJ515</f>
        <v>164.07890259037174</v>
      </c>
      <c r="BK620" s="526">
        <f t="shared" si="3190"/>
        <v>168.72789617051336</v>
      </c>
      <c r="BL620" s="526">
        <f t="shared" ref="BL620:BM620" si="3191">BL515</f>
        <v>179.32702917664602</v>
      </c>
      <c r="BM620" s="526">
        <f t="shared" si="3191"/>
        <v>183.24782563643032</v>
      </c>
      <c r="BN620" s="526">
        <f t="shared" ref="BN620:BO620" si="3192">BN515</f>
        <v>193.00051026619215</v>
      </c>
      <c r="BO620" s="526">
        <f t="shared" si="3192"/>
        <v>194.22974065231335</v>
      </c>
      <c r="BP620" s="526">
        <f t="shared" ref="BP620:BQ620" si="3193">BP515</f>
        <v>204.15477205328528</v>
      </c>
      <c r="BQ620" s="526">
        <f t="shared" si="3193"/>
        <v>205.11218613094891</v>
      </c>
      <c r="BR620" s="526"/>
      <c r="BS620" s="55"/>
      <c r="BT620" s="55"/>
      <c r="BU620" s="55"/>
      <c r="BV620" s="55"/>
      <c r="BW620" s="55"/>
      <c r="BX620" s="55"/>
      <c r="BY620" s="55"/>
      <c r="BZ620" s="55"/>
      <c r="CA620" s="55"/>
      <c r="CB620" s="55"/>
      <c r="CC620" s="55"/>
      <c r="CD620" s="55"/>
      <c r="CE620" s="55"/>
      <c r="CF620" s="55"/>
      <c r="CG620" s="55"/>
      <c r="CH620" s="55"/>
      <c r="CI620" s="55"/>
      <c r="CJ620" s="55"/>
      <c r="CK620" s="55"/>
      <c r="CL620" s="55"/>
      <c r="CM620" s="55"/>
      <c r="CN620" s="55"/>
      <c r="CO620" s="55"/>
      <c r="CP620" s="55"/>
      <c r="CQ620" s="55"/>
      <c r="CR620" s="55"/>
      <c r="CS620" s="55"/>
      <c r="CT620" s="55"/>
      <c r="CU620" s="55"/>
      <c r="CV620" s="526">
        <f t="shared" ref="CV620:DF620" si="3194">CV515</f>
        <v>-5.1999999999999975</v>
      </c>
      <c r="CW620" s="526">
        <f t="shared" si="3194"/>
        <v>9.1000000000000014</v>
      </c>
      <c r="CX620" s="526">
        <f t="shared" si="3194"/>
        <v>73.400000000000006</v>
      </c>
      <c r="CY620" s="526">
        <f t="shared" si="3194"/>
        <v>69.899999999999977</v>
      </c>
      <c r="CZ620" s="524">
        <f t="shared" si="3194"/>
        <v>86.400000000000077</v>
      </c>
      <c r="DA620" s="526">
        <f t="shared" si="3194"/>
        <v>133.36232151403249</v>
      </c>
      <c r="DB620" s="526">
        <f t="shared" si="3194"/>
        <v>162.56371468668044</v>
      </c>
      <c r="DC620" s="526">
        <f t="shared" si="3194"/>
        <v>202.83855971008754</v>
      </c>
      <c r="DD620" s="526">
        <f t="shared" si="3194"/>
        <v>253.08647466872486</v>
      </c>
      <c r="DE620" s="526">
        <f t="shared" si="3194"/>
        <v>297.13117072636902</v>
      </c>
      <c r="DF620" s="526">
        <f t="shared" si="3194"/>
        <v>332.80679876088504</v>
      </c>
      <c r="DG620" s="526">
        <f t="shared" ref="DG620:DH620" si="3195">DG515</f>
        <v>362.5748548130764</v>
      </c>
      <c r="DH620" s="526">
        <f t="shared" si="3195"/>
        <v>387.23025091850565</v>
      </c>
      <c r="DI620" s="526">
        <f t="shared" ref="DI620" si="3196">DI515</f>
        <v>409.26695818423417</v>
      </c>
    </row>
    <row r="621" spans="1:113" ht="12" hidden="1" outlineLevel="1">
      <c r="A621" s="1" t="s">
        <v>59</v>
      </c>
      <c r="B621" s="19" t="str">
        <f>B526</f>
        <v>Move in foreign currency translation reserve</v>
      </c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M621" s="42"/>
      <c r="AN621" s="42"/>
      <c r="AO621" s="42"/>
      <c r="AP621" s="44">
        <f t="shared" ref="AP621:BI622" si="3197">AP526</f>
        <v>0</v>
      </c>
      <c r="AQ621" s="44">
        <f t="shared" ref="AQ621:AR621" si="3198">AQ526</f>
        <v>0</v>
      </c>
      <c r="AR621" s="44">
        <f t="shared" si="3198"/>
        <v>0</v>
      </c>
      <c r="AS621" s="44">
        <f t="shared" ref="AS621:AT621" si="3199">AS526</f>
        <v>0</v>
      </c>
      <c r="AT621" s="44">
        <f t="shared" si="3199"/>
        <v>0</v>
      </c>
      <c r="AU621" s="44">
        <f t="shared" ref="AU621:AV621" si="3200">AU526</f>
        <v>0</v>
      </c>
      <c r="AV621" s="44">
        <f t="shared" si="3200"/>
        <v>0</v>
      </c>
      <c r="AW621" s="44">
        <f t="shared" ref="AW621:AX621" si="3201">AW526</f>
        <v>0</v>
      </c>
      <c r="AX621" s="44">
        <f t="shared" si="3201"/>
        <v>0</v>
      </c>
      <c r="AY621" s="44">
        <f t="shared" si="3197"/>
        <v>0</v>
      </c>
      <c r="AZ621" s="45">
        <f t="shared" si="3197"/>
        <v>0</v>
      </c>
      <c r="BA621" s="44">
        <f t="shared" si="3197"/>
        <v>0</v>
      </c>
      <c r="BB621" s="44">
        <f t="shared" si="3197"/>
        <v>0</v>
      </c>
      <c r="BC621" s="44">
        <f t="shared" si="3197"/>
        <v>0</v>
      </c>
      <c r="BD621" s="44">
        <f t="shared" si="3197"/>
        <v>0</v>
      </c>
      <c r="BE621" s="44">
        <f t="shared" si="3197"/>
        <v>0</v>
      </c>
      <c r="BF621" s="44">
        <f t="shared" si="3197"/>
        <v>0</v>
      </c>
      <c r="BG621" s="44">
        <f t="shared" si="3197"/>
        <v>0</v>
      </c>
      <c r="BH621" s="44">
        <f t="shared" si="3197"/>
        <v>0</v>
      </c>
      <c r="BI621" s="44">
        <f t="shared" si="3197"/>
        <v>0</v>
      </c>
      <c r="BJ621" s="44">
        <f t="shared" ref="BJ621:BK621" si="3202">BJ526</f>
        <v>0</v>
      </c>
      <c r="BK621" s="44">
        <f t="shared" si="3202"/>
        <v>0</v>
      </c>
      <c r="BL621" s="44">
        <f t="shared" ref="BL621:BM621" si="3203">BL526</f>
        <v>0</v>
      </c>
      <c r="BM621" s="44">
        <f t="shared" si="3203"/>
        <v>0</v>
      </c>
      <c r="BN621" s="44">
        <f t="shared" ref="BN621:BO621" si="3204">BN526</f>
        <v>0</v>
      </c>
      <c r="BO621" s="44">
        <f t="shared" si="3204"/>
        <v>0</v>
      </c>
      <c r="BP621" s="44">
        <f t="shared" ref="BP621:BQ621" si="3205">BP526</f>
        <v>0</v>
      </c>
      <c r="BQ621" s="44">
        <f t="shared" si="3205"/>
        <v>0</v>
      </c>
      <c r="BR621" s="44"/>
      <c r="BS621" s="42"/>
      <c r="BT621" s="42"/>
      <c r="BU621" s="42"/>
      <c r="BV621" s="42"/>
      <c r="BW621" s="42"/>
      <c r="BX621" s="42"/>
      <c r="BY621" s="42"/>
      <c r="BZ621" s="42"/>
      <c r="CA621" s="42"/>
      <c r="CB621" s="42"/>
      <c r="CC621" s="42"/>
      <c r="CD621" s="42"/>
      <c r="CE621" s="42"/>
      <c r="CF621" s="42"/>
      <c r="CG621" s="42"/>
      <c r="CH621" s="42"/>
      <c r="CI621" s="42"/>
      <c r="CJ621" s="42"/>
      <c r="CK621" s="42"/>
      <c r="CL621" s="42"/>
      <c r="CM621" s="42"/>
      <c r="CN621" s="42"/>
      <c r="CO621" s="42"/>
      <c r="CP621" s="42"/>
      <c r="CQ621" s="42"/>
      <c r="CR621" s="42"/>
      <c r="CS621" s="42"/>
      <c r="CT621" s="42"/>
      <c r="CU621" s="42"/>
      <c r="CV621" s="44">
        <f t="shared" ref="CV621:CV622" si="3206">CV526</f>
        <v>0</v>
      </c>
      <c r="CW621" s="44">
        <f>SUM(AR621:AS621)</f>
        <v>0</v>
      </c>
      <c r="CX621" s="44">
        <f>SUM(AT621:AU621)</f>
        <v>0</v>
      </c>
      <c r="CY621" s="44">
        <f>SUM(AV621:AW621)</f>
        <v>0</v>
      </c>
      <c r="CZ621" s="45">
        <f>SUM(AX621:AY621)</f>
        <v>0</v>
      </c>
      <c r="DA621" s="44">
        <f>SUM(AZ621:BA621)</f>
        <v>0</v>
      </c>
      <c r="DB621" s="44">
        <f>SUM(BB621:BC621)</f>
        <v>0</v>
      </c>
      <c r="DC621" s="44">
        <f>SUM(BD621:BE621)</f>
        <v>0</v>
      </c>
      <c r="DD621" s="44">
        <f>SUM(BF621:BG621)</f>
        <v>0</v>
      </c>
      <c r="DE621" s="44">
        <f>SUM(BH621:BI621)</f>
        <v>0</v>
      </c>
      <c r="DF621" s="44">
        <f>SUM(BJ621:BK621)</f>
        <v>0</v>
      </c>
      <c r="DG621" s="44">
        <f>SUM(BL621:BM621)</f>
        <v>0</v>
      </c>
      <c r="DH621" s="44">
        <f>SUM(BN621:BO621)</f>
        <v>0</v>
      </c>
      <c r="DI621" s="44">
        <f>SUM(BP621:BQ621)</f>
        <v>0</v>
      </c>
    </row>
    <row r="622" spans="1:113" ht="12" hidden="1" outlineLevel="1">
      <c r="A622" s="1" t="s">
        <v>60</v>
      </c>
      <c r="B622" s="19" t="str">
        <f>B527</f>
        <v>Net effect of change in accounting policies</v>
      </c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M622" s="42"/>
      <c r="AN622" s="42"/>
      <c r="AO622" s="42"/>
      <c r="AP622" s="44">
        <f t="shared" si="3197"/>
        <v>1</v>
      </c>
      <c r="AQ622" s="44">
        <f t="shared" ref="AQ622:AR622" si="3207">AQ527</f>
        <v>1.6000000000001364</v>
      </c>
      <c r="AR622" s="44">
        <f t="shared" si="3207"/>
        <v>-31.500000000000455</v>
      </c>
      <c r="AS622" s="44">
        <f t="shared" ref="AS622:AT622" si="3208">AS527</f>
        <v>-3.7999999999999545</v>
      </c>
      <c r="AT622" s="44">
        <f t="shared" si="3208"/>
        <v>1.2999999999999545</v>
      </c>
      <c r="AU622" s="44">
        <f t="shared" ref="AU622:AV622" si="3209">AU527</f>
        <v>-2.2000000000000455</v>
      </c>
      <c r="AV622" s="44">
        <f t="shared" si="3209"/>
        <v>27.5</v>
      </c>
      <c r="AW622" s="44">
        <f t="shared" ref="AW622:AX622" si="3210">AW527</f>
        <v>-9.2000000000000455</v>
      </c>
      <c r="AX622" s="44">
        <f t="shared" si="3210"/>
        <v>20.200000000000045</v>
      </c>
      <c r="AY622" s="44">
        <f t="shared" si="3197"/>
        <v>14.699999999999818</v>
      </c>
      <c r="AZ622" s="45">
        <f t="shared" si="3197"/>
        <v>-21.199999999999818</v>
      </c>
      <c r="BA622" s="44">
        <f t="shared" si="3197"/>
        <v>0</v>
      </c>
      <c r="BB622" s="44">
        <f t="shared" si="3197"/>
        <v>0</v>
      </c>
      <c r="BC622" s="44">
        <f t="shared" si="3197"/>
        <v>0</v>
      </c>
      <c r="BD622" s="44">
        <f t="shared" si="3197"/>
        <v>0</v>
      </c>
      <c r="BE622" s="44">
        <f t="shared" si="3197"/>
        <v>0</v>
      </c>
      <c r="BF622" s="44">
        <f t="shared" si="3197"/>
        <v>0</v>
      </c>
      <c r="BG622" s="44">
        <f t="shared" si="3197"/>
        <v>0</v>
      </c>
      <c r="BH622" s="44">
        <f t="shared" si="3197"/>
        <v>0</v>
      </c>
      <c r="BI622" s="44">
        <f t="shared" si="3197"/>
        <v>0</v>
      </c>
      <c r="BJ622" s="44">
        <f t="shared" ref="BJ622:BK622" si="3211">BJ527</f>
        <v>0</v>
      </c>
      <c r="BK622" s="44">
        <f t="shared" si="3211"/>
        <v>0</v>
      </c>
      <c r="BL622" s="44">
        <f t="shared" ref="BL622:BM622" si="3212">BL527</f>
        <v>0</v>
      </c>
      <c r="BM622" s="44">
        <f t="shared" si="3212"/>
        <v>0</v>
      </c>
      <c r="BN622" s="44">
        <f t="shared" ref="BN622:BO622" si="3213">BN527</f>
        <v>0</v>
      </c>
      <c r="BO622" s="44">
        <f t="shared" si="3213"/>
        <v>0</v>
      </c>
      <c r="BP622" s="44">
        <f t="shared" ref="BP622:BQ622" si="3214">BP527</f>
        <v>0</v>
      </c>
      <c r="BQ622" s="44">
        <f t="shared" si="3214"/>
        <v>0</v>
      </c>
      <c r="BR622" s="44"/>
      <c r="BS622" s="42"/>
      <c r="BT622" s="42"/>
      <c r="BU622" s="42"/>
      <c r="BV622" s="42"/>
      <c r="BW622" s="42"/>
      <c r="BX622" s="42"/>
      <c r="BY622" s="42"/>
      <c r="BZ622" s="42"/>
      <c r="CA622" s="42"/>
      <c r="CB622" s="42"/>
      <c r="CC622" s="42"/>
      <c r="CD622" s="42"/>
      <c r="CE622" s="42"/>
      <c r="CF622" s="42"/>
      <c r="CG622" s="42"/>
      <c r="CH622" s="42"/>
      <c r="CI622" s="42"/>
      <c r="CJ622" s="42"/>
      <c r="CK622" s="42"/>
      <c r="CL622" s="42"/>
      <c r="CM622" s="42"/>
      <c r="CN622" s="42"/>
      <c r="CO622" s="42"/>
      <c r="CP622" s="42"/>
      <c r="CQ622" s="42"/>
      <c r="CR622" s="42"/>
      <c r="CS622" s="42"/>
      <c r="CT622" s="42"/>
      <c r="CU622" s="42"/>
      <c r="CV622" s="44">
        <f t="shared" si="3206"/>
        <v>2.6000000000001364</v>
      </c>
      <c r="CW622" s="44">
        <f>SUM(AR622:AS622)</f>
        <v>-35.300000000000409</v>
      </c>
      <c r="CX622" s="44">
        <f>SUM(AT622:AU622)</f>
        <v>-0.90000000000009095</v>
      </c>
      <c r="CY622" s="44">
        <f>SUM(AV622:AW622)</f>
        <v>18.299999999999955</v>
      </c>
      <c r="CZ622" s="45">
        <f>SUM(AX622:AY622)</f>
        <v>34.899999999999864</v>
      </c>
      <c r="DA622" s="44">
        <f>SUM(AZ622:BA622)</f>
        <v>-21.199999999999818</v>
      </c>
      <c r="DB622" s="44">
        <f>SUM(BB622:BC622)</f>
        <v>0</v>
      </c>
      <c r="DC622" s="44">
        <f>SUM(BD622:BE622)</f>
        <v>0</v>
      </c>
      <c r="DD622" s="44">
        <f>SUM(BF622:BG622)</f>
        <v>0</v>
      </c>
      <c r="DE622" s="44">
        <f>SUM(BH622:BI622)</f>
        <v>0</v>
      </c>
      <c r="DF622" s="44">
        <f>SUM(BJ622:BK622)</f>
        <v>0</v>
      </c>
      <c r="DG622" s="44">
        <f>SUM(BL622:BM622)</f>
        <v>0</v>
      </c>
      <c r="DH622" s="44">
        <f>SUM(BN622:BO622)</f>
        <v>0</v>
      </c>
      <c r="DI622" s="44">
        <f>SUM(BP622:BQ622)</f>
        <v>0</v>
      </c>
    </row>
    <row r="623" spans="1:113" ht="12" hidden="1" outlineLevel="1">
      <c r="A623" s="1" t="s">
        <v>61</v>
      </c>
      <c r="B623" s="19" t="str">
        <f>B523</f>
        <v>Non-recurring items</v>
      </c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M623" s="42"/>
      <c r="AN623" s="42"/>
      <c r="AO623" s="42"/>
      <c r="AP623" s="44">
        <f t="shared" ref="AP623:BI623" si="3215">AP523+AP522+AP536</f>
        <v>33.299999999999997</v>
      </c>
      <c r="AQ623" s="44">
        <f t="shared" ref="AQ623:AR623" si="3216">AQ523+AQ522+AQ536</f>
        <v>0.60000000000000009</v>
      </c>
      <c r="AR623" s="44">
        <f t="shared" si="3216"/>
        <v>-16.799999999999997</v>
      </c>
      <c r="AS623" s="44">
        <f t="shared" ref="AS623:AT623" si="3217">AS523+AS522+AS536</f>
        <v>0</v>
      </c>
      <c r="AT623" s="44">
        <f t="shared" si="3217"/>
        <v>0</v>
      </c>
      <c r="AU623" s="44">
        <f t="shared" ref="AU623:AV623" si="3218">AU523+AU522+AU536</f>
        <v>0</v>
      </c>
      <c r="AV623" s="44">
        <f t="shared" si="3218"/>
        <v>0</v>
      </c>
      <c r="AW623" s="44">
        <f t="shared" ref="AW623:AX623" si="3219">AW523+AW522+AW536</f>
        <v>0</v>
      </c>
      <c r="AX623" s="44">
        <f t="shared" si="3219"/>
        <v>0</v>
      </c>
      <c r="AY623" s="44">
        <f t="shared" si="3215"/>
        <v>0</v>
      </c>
      <c r="AZ623" s="45">
        <f t="shared" si="3215"/>
        <v>0</v>
      </c>
      <c r="BA623" s="44">
        <f t="shared" si="3215"/>
        <v>0</v>
      </c>
      <c r="BB623" s="44">
        <f t="shared" si="3215"/>
        <v>0</v>
      </c>
      <c r="BC623" s="44">
        <f t="shared" si="3215"/>
        <v>0</v>
      </c>
      <c r="BD623" s="44">
        <f t="shared" si="3215"/>
        <v>0</v>
      </c>
      <c r="BE623" s="44">
        <f t="shared" si="3215"/>
        <v>0</v>
      </c>
      <c r="BF623" s="44">
        <f t="shared" si="3215"/>
        <v>0</v>
      </c>
      <c r="BG623" s="44">
        <f t="shared" si="3215"/>
        <v>0</v>
      </c>
      <c r="BH623" s="44">
        <f t="shared" si="3215"/>
        <v>0</v>
      </c>
      <c r="BI623" s="44">
        <f t="shared" si="3215"/>
        <v>0</v>
      </c>
      <c r="BJ623" s="44">
        <f t="shared" ref="BJ623:BK623" si="3220">BJ523+BJ522+BJ536</f>
        <v>0</v>
      </c>
      <c r="BK623" s="44">
        <f t="shared" si="3220"/>
        <v>0</v>
      </c>
      <c r="BL623" s="44">
        <f t="shared" ref="BL623:BM623" si="3221">BL523+BL522+BL536</f>
        <v>0</v>
      </c>
      <c r="BM623" s="44">
        <f t="shared" si="3221"/>
        <v>0</v>
      </c>
      <c r="BN623" s="44">
        <f t="shared" ref="BN623:BO623" si="3222">BN523+BN522+BN536</f>
        <v>0</v>
      </c>
      <c r="BO623" s="44">
        <f t="shared" si="3222"/>
        <v>0</v>
      </c>
      <c r="BP623" s="44">
        <f t="shared" ref="BP623:BQ623" si="3223">BP523+BP522+BP536</f>
        <v>0</v>
      </c>
      <c r="BQ623" s="44">
        <f t="shared" si="3223"/>
        <v>0</v>
      </c>
      <c r="BR623" s="44"/>
      <c r="BS623" s="42"/>
      <c r="BT623" s="42"/>
      <c r="BU623" s="42"/>
      <c r="BV623" s="42"/>
      <c r="BW623" s="42"/>
      <c r="BX623" s="42"/>
      <c r="BY623" s="42"/>
      <c r="BZ623" s="42"/>
      <c r="CA623" s="42"/>
      <c r="CB623" s="42"/>
      <c r="CC623" s="42"/>
      <c r="CD623" s="42"/>
      <c r="CE623" s="42"/>
      <c r="CF623" s="42"/>
      <c r="CG623" s="42"/>
      <c r="CH623" s="42"/>
      <c r="CI623" s="42"/>
      <c r="CJ623" s="42"/>
      <c r="CK623" s="42"/>
      <c r="CL623" s="42"/>
      <c r="CM623" s="42"/>
      <c r="CN623" s="42"/>
      <c r="CO623" s="42"/>
      <c r="CP623" s="42"/>
      <c r="CQ623" s="42"/>
      <c r="CR623" s="42"/>
      <c r="CS623" s="42"/>
      <c r="CT623" s="42"/>
      <c r="CU623" s="42"/>
      <c r="CV623" s="44">
        <f t="shared" ref="CV623:DF623" si="3224">CV523+CV522+CV536</f>
        <v>33.9</v>
      </c>
      <c r="CW623" s="44">
        <f t="shared" si="3224"/>
        <v>-16.799999999999997</v>
      </c>
      <c r="CX623" s="44">
        <f t="shared" si="3224"/>
        <v>0</v>
      </c>
      <c r="CY623" s="44">
        <f t="shared" si="3224"/>
        <v>0</v>
      </c>
      <c r="CZ623" s="45">
        <f t="shared" si="3224"/>
        <v>0</v>
      </c>
      <c r="DA623" s="44">
        <f t="shared" si="3224"/>
        <v>0</v>
      </c>
      <c r="DB623" s="44">
        <f t="shared" si="3224"/>
        <v>0</v>
      </c>
      <c r="DC623" s="44">
        <f t="shared" si="3224"/>
        <v>0</v>
      </c>
      <c r="DD623" s="44">
        <f t="shared" si="3224"/>
        <v>0</v>
      </c>
      <c r="DE623" s="44">
        <f t="shared" si="3224"/>
        <v>0</v>
      </c>
      <c r="DF623" s="44">
        <f t="shared" si="3224"/>
        <v>0</v>
      </c>
      <c r="DG623" s="44">
        <f t="shared" ref="DG623:DH623" si="3225">DG523+DG522+DG536</f>
        <v>0</v>
      </c>
      <c r="DH623" s="44">
        <f t="shared" si="3225"/>
        <v>0</v>
      </c>
      <c r="DI623" s="44">
        <f t="shared" ref="DI623" si="3226">DI523+DI522+DI536</f>
        <v>0</v>
      </c>
    </row>
    <row r="624" spans="1:113" s="24" customFormat="1" ht="12" hidden="1" outlineLevel="1">
      <c r="A624" s="1" t="s">
        <v>20</v>
      </c>
      <c r="B624" s="24" t="s">
        <v>413</v>
      </c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  <c r="AA624" s="55"/>
      <c r="AB624" s="55"/>
      <c r="AC624" s="55"/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/>
      <c r="AP624" s="526">
        <f t="shared" ref="AP624:BI624" si="3227">SUM(AP620:AP623)</f>
        <v>27.800000000000004</v>
      </c>
      <c r="AQ624" s="526">
        <f t="shared" ref="AQ624:AR624" si="3228">SUM(AQ620:AQ623)</f>
        <v>3.5000000000001408</v>
      </c>
      <c r="AR624" s="526">
        <f t="shared" si="3228"/>
        <v>-47.600000000000442</v>
      </c>
      <c r="AS624" s="526">
        <f t="shared" ref="AS624:AT624" si="3229">SUM(AS620:AS623)</f>
        <v>4.6000000000000369</v>
      </c>
      <c r="AT624" s="526">
        <f t="shared" si="3229"/>
        <v>37.399999999999942</v>
      </c>
      <c r="AU624" s="526">
        <f t="shared" ref="AU624:AV624" si="3230">SUM(AU620:AU623)</f>
        <v>35.099999999999937</v>
      </c>
      <c r="AV624" s="526">
        <f t="shared" si="3230"/>
        <v>73.400000000000006</v>
      </c>
      <c r="AW624" s="526">
        <f t="shared" ref="AW624:AX624" si="3231">SUM(AW620:AW623)</f>
        <v>14.799999999999976</v>
      </c>
      <c r="AX624" s="526">
        <f t="shared" si="3231"/>
        <v>61.100000000000051</v>
      </c>
      <c r="AY624" s="526">
        <f t="shared" si="3227"/>
        <v>60.199999999999839</v>
      </c>
      <c r="AZ624" s="524">
        <f t="shared" si="3227"/>
        <v>38.700000000000152</v>
      </c>
      <c r="BA624" s="526">
        <f t="shared" si="3227"/>
        <v>73.462321514032539</v>
      </c>
      <c r="BB624" s="526">
        <f t="shared" si="3227"/>
        <v>79.850082368164337</v>
      </c>
      <c r="BC624" s="526">
        <f t="shared" si="3227"/>
        <v>82.713632318516005</v>
      </c>
      <c r="BD624" s="526">
        <f t="shared" si="3227"/>
        <v>96.996764908227647</v>
      </c>
      <c r="BE624" s="526">
        <f t="shared" si="3227"/>
        <v>105.84179480185983</v>
      </c>
      <c r="BF624" s="526">
        <f t="shared" si="3227"/>
        <v>121.08400199158076</v>
      </c>
      <c r="BG624" s="526">
        <f t="shared" si="3227"/>
        <v>132.00247267714406</v>
      </c>
      <c r="BH624" s="526">
        <f t="shared" si="3227"/>
        <v>145.5989593786762</v>
      </c>
      <c r="BI624" s="526">
        <f t="shared" si="3227"/>
        <v>151.53221134769285</v>
      </c>
      <c r="BJ624" s="526">
        <f t="shared" ref="BJ624:BK624" si="3232">SUM(BJ620:BJ623)</f>
        <v>164.07890259037174</v>
      </c>
      <c r="BK624" s="526">
        <f t="shared" si="3232"/>
        <v>168.72789617051336</v>
      </c>
      <c r="BL624" s="526">
        <f t="shared" ref="BL624:BM624" si="3233">SUM(BL620:BL623)</f>
        <v>179.32702917664602</v>
      </c>
      <c r="BM624" s="526">
        <f t="shared" si="3233"/>
        <v>183.24782563643032</v>
      </c>
      <c r="BN624" s="526">
        <f t="shared" ref="BN624:BO624" si="3234">SUM(BN620:BN623)</f>
        <v>193.00051026619215</v>
      </c>
      <c r="BO624" s="526">
        <f t="shared" si="3234"/>
        <v>194.22974065231335</v>
      </c>
      <c r="BP624" s="526">
        <f t="shared" ref="BP624:BQ624" si="3235">SUM(BP620:BP623)</f>
        <v>204.15477205328528</v>
      </c>
      <c r="BQ624" s="526">
        <f t="shared" si="3235"/>
        <v>205.11218613094891</v>
      </c>
      <c r="BR624" s="526"/>
      <c r="BS624" s="55"/>
      <c r="BT624" s="55"/>
      <c r="BU624" s="55"/>
      <c r="BV624" s="55"/>
      <c r="BW624" s="55"/>
      <c r="BX624" s="55"/>
      <c r="BY624" s="55"/>
      <c r="BZ624" s="55"/>
      <c r="CA624" s="55"/>
      <c r="CB624" s="55"/>
      <c r="CC624" s="55"/>
      <c r="CD624" s="55"/>
      <c r="CE624" s="55"/>
      <c r="CF624" s="55"/>
      <c r="CG624" s="55"/>
      <c r="CH624" s="55"/>
      <c r="CI624" s="55"/>
      <c r="CJ624" s="55"/>
      <c r="CK624" s="55"/>
      <c r="CL624" s="55"/>
      <c r="CM624" s="55"/>
      <c r="CN624" s="55"/>
      <c r="CO624" s="55"/>
      <c r="CP624" s="55"/>
      <c r="CQ624" s="55"/>
      <c r="CR624" s="55"/>
      <c r="CS624" s="55"/>
      <c r="CT624" s="55"/>
      <c r="CU624" s="55"/>
      <c r="CV624" s="526">
        <f t="shared" ref="CV624:DF624" si="3236">SUM(CV620:CV623)</f>
        <v>31.300000000000139</v>
      </c>
      <c r="CW624" s="526">
        <f t="shared" si="3236"/>
        <v>-43.000000000000405</v>
      </c>
      <c r="CX624" s="526">
        <f t="shared" si="3236"/>
        <v>72.499999999999915</v>
      </c>
      <c r="CY624" s="526">
        <f t="shared" si="3236"/>
        <v>88.199999999999932</v>
      </c>
      <c r="CZ624" s="524">
        <f t="shared" si="3236"/>
        <v>121.29999999999994</v>
      </c>
      <c r="DA624" s="526">
        <f t="shared" si="3236"/>
        <v>112.16232151403267</v>
      </c>
      <c r="DB624" s="526">
        <f t="shared" si="3236"/>
        <v>162.56371468668044</v>
      </c>
      <c r="DC624" s="526">
        <f t="shared" si="3236"/>
        <v>202.83855971008754</v>
      </c>
      <c r="DD624" s="526">
        <f t="shared" si="3236"/>
        <v>253.08647466872486</v>
      </c>
      <c r="DE624" s="526">
        <f t="shared" si="3236"/>
        <v>297.13117072636902</v>
      </c>
      <c r="DF624" s="526">
        <f t="shared" si="3236"/>
        <v>332.80679876088504</v>
      </c>
      <c r="DG624" s="526">
        <f t="shared" ref="DG624:DH624" si="3237">SUM(DG620:DG623)</f>
        <v>362.5748548130764</v>
      </c>
      <c r="DH624" s="526">
        <f t="shared" si="3237"/>
        <v>387.23025091850565</v>
      </c>
      <c r="DI624" s="526">
        <f t="shared" ref="DI624" si="3238">SUM(DI620:DI623)</f>
        <v>409.26695818423417</v>
      </c>
    </row>
    <row r="625" spans="1:113" ht="12" hidden="1" outlineLevel="1">
      <c r="A625" s="1" t="s">
        <v>21</v>
      </c>
      <c r="B625" s="19" t="s">
        <v>541</v>
      </c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M625" s="42"/>
      <c r="AN625" s="42"/>
      <c r="AO625" s="42"/>
      <c r="AP625" s="44">
        <f t="shared" ref="AP625:BI625" si="3239">AO613*AO151-AP613*AP151</f>
        <v>-370.91999999999996</v>
      </c>
      <c r="AQ625" s="44">
        <f t="shared" ref="AQ625" si="3240">AP613*AP151-AQ613*AQ151</f>
        <v>-120.36000000000001</v>
      </c>
      <c r="AR625" s="44">
        <f t="shared" ref="AR625:AX625" si="3241">AQ613*AQ151-AR613*AR151</f>
        <v>-171.12</v>
      </c>
      <c r="AS625" s="44">
        <f t="shared" si="3241"/>
        <v>-94.919999999999959</v>
      </c>
      <c r="AT625" s="44">
        <f t="shared" si="3241"/>
        <v>-170.76</v>
      </c>
      <c r="AU625" s="44">
        <f t="shared" si="3241"/>
        <v>-12.505000000000109</v>
      </c>
      <c r="AV625" s="44">
        <f t="shared" si="3241"/>
        <v>-47.610000000000014</v>
      </c>
      <c r="AW625" s="44">
        <f t="shared" si="3241"/>
        <v>-117.07000000000005</v>
      </c>
      <c r="AX625" s="44">
        <f t="shared" si="3241"/>
        <v>-118.10500000000002</v>
      </c>
      <c r="AY625" s="44">
        <f t="shared" si="3239"/>
        <v>-104.64999999999986</v>
      </c>
      <c r="AZ625" s="45">
        <f t="shared" si="3239"/>
        <v>-134.09000000000015</v>
      </c>
      <c r="BA625" s="44">
        <f t="shared" si="3239"/>
        <v>-143.27881144329695</v>
      </c>
      <c r="BB625" s="44">
        <f t="shared" si="3239"/>
        <v>-113.7171433533772</v>
      </c>
      <c r="BC625" s="44">
        <f t="shared" si="3239"/>
        <v>-125.98504874069477</v>
      </c>
      <c r="BD625" s="44">
        <f t="shared" si="3239"/>
        <v>-129.47972760588868</v>
      </c>
      <c r="BE625" s="44">
        <f t="shared" si="3239"/>
        <v>-156.38257988607461</v>
      </c>
      <c r="BF625" s="44">
        <f t="shared" si="3239"/>
        <v>-139.43868619323348</v>
      </c>
      <c r="BG625" s="44">
        <f t="shared" si="3239"/>
        <v>-143.16483618700659</v>
      </c>
      <c r="BH625" s="44">
        <f t="shared" si="3239"/>
        <v>-112.27660184677097</v>
      </c>
      <c r="BI625" s="44">
        <f t="shared" si="3239"/>
        <v>-138.02411795648914</v>
      </c>
      <c r="BJ625" s="44">
        <f t="shared" ref="BJ625" si="3242">BI613*BI151-BJ613*BJ151</f>
        <v>-100.90198528303108</v>
      </c>
      <c r="BK625" s="44">
        <f t="shared" ref="BK625" si="3243">BJ613*BJ151-BK613*BK151</f>
        <v>-129.84285534386117</v>
      </c>
      <c r="BL625" s="44">
        <f t="shared" ref="BL625" si="3244">BK613*BK151-BL613*BL151</f>
        <v>-85.446764725433241</v>
      </c>
      <c r="BM625" s="44">
        <f t="shared" ref="BM625" si="3245">BL613*BL151-BM613*BM151</f>
        <v>-117.52504448382842</v>
      </c>
      <c r="BN625" s="44">
        <f t="shared" ref="BN625" si="3246">BM613*BM151-BN613*BN151</f>
        <v>-78.060938731764963</v>
      </c>
      <c r="BO625" s="44">
        <f t="shared" ref="BO625" si="3247">BN613*BN151-BO613*BO151</f>
        <v>-110.19192963675277</v>
      </c>
      <c r="BP625" s="44">
        <f t="shared" ref="BP625" si="3248">BO613*BO151-BP613*BP151</f>
        <v>-83.552828150204732</v>
      </c>
      <c r="BQ625" s="44">
        <f t="shared" ref="BQ625" si="3249">BP613*BP151-BQ613*BQ151</f>
        <v>-117.15698316602766</v>
      </c>
      <c r="BR625" s="44"/>
      <c r="BS625" s="42"/>
      <c r="BT625" s="42"/>
      <c r="BU625" s="42"/>
      <c r="BV625" s="42"/>
      <c r="BW625" s="42"/>
      <c r="BX625" s="42"/>
      <c r="BY625" s="42"/>
      <c r="BZ625" s="42"/>
      <c r="CA625" s="42"/>
      <c r="CB625" s="42"/>
      <c r="CC625" s="42"/>
      <c r="CD625" s="42"/>
      <c r="CE625" s="42"/>
      <c r="CF625" s="42"/>
      <c r="CG625" s="42"/>
      <c r="CH625" s="42"/>
      <c r="CI625" s="42"/>
      <c r="CJ625" s="42"/>
      <c r="CK625" s="42"/>
      <c r="CL625" s="42"/>
      <c r="CM625" s="42"/>
      <c r="CN625" s="42"/>
      <c r="CO625" s="42"/>
      <c r="CP625" s="42"/>
      <c r="CQ625" s="42"/>
      <c r="CR625" s="42"/>
      <c r="CS625" s="42"/>
      <c r="CT625" s="42"/>
      <c r="CU625" s="42"/>
      <c r="CV625" s="44">
        <f t="shared" ref="CV625" si="3250">CU613*CU151-CV613*CV151</f>
        <v>-194.02199999999999</v>
      </c>
      <c r="CW625" s="44">
        <f>SUM(AR625:AS625)</f>
        <v>-266.03999999999996</v>
      </c>
      <c r="CX625" s="44">
        <f>SUM(AT625:AU625)</f>
        <v>-183.2650000000001</v>
      </c>
      <c r="CY625" s="44">
        <f>SUM(AV625:AW625)</f>
        <v>-164.68000000000006</v>
      </c>
      <c r="CZ625" s="45">
        <f>SUM(AX625:AY625)</f>
        <v>-222.75499999999988</v>
      </c>
      <c r="DA625" s="44">
        <f t="shared" ref="DA625:DA628" si="3251">SUM(AZ625:BA625)</f>
        <v>-277.36881144329709</v>
      </c>
      <c r="DB625" s="44">
        <f>SUM(BB625:BC625)</f>
        <v>-239.70219209407196</v>
      </c>
      <c r="DC625" s="44">
        <f>SUM(BD625:BE625)</f>
        <v>-285.86230749196329</v>
      </c>
      <c r="DD625" s="44">
        <f>SUM(BF625:BG625)</f>
        <v>-282.60352238024007</v>
      </c>
      <c r="DE625" s="44">
        <f>SUM(BH625:BI625)</f>
        <v>-250.30071980326011</v>
      </c>
      <c r="DF625" s="44">
        <f>SUM(BJ625:BK625)</f>
        <v>-230.74484062689226</v>
      </c>
      <c r="DG625" s="44">
        <f>SUM(BL625:BM625)</f>
        <v>-202.97180920926166</v>
      </c>
      <c r="DH625" s="44">
        <f>SUM(BN625:BO625)</f>
        <v>-188.25286836851774</v>
      </c>
      <c r="DI625" s="44">
        <f>SUM(BP625:BQ625)</f>
        <v>-200.70981131623239</v>
      </c>
    </row>
    <row r="626" spans="1:113" ht="12" hidden="1" outlineLevel="1">
      <c r="A626" s="1" t="s">
        <v>22</v>
      </c>
      <c r="B626" s="19" t="s">
        <v>542</v>
      </c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M626" s="42"/>
      <c r="AN626" s="42"/>
      <c r="AO626" s="42"/>
      <c r="AP626" s="44">
        <f t="shared" ref="AP626:BI626" si="3252">(AP576+AP556)-(AO576+AO556)</f>
        <v>0</v>
      </c>
      <c r="AQ626" s="44">
        <f t="shared" ref="AQ626" si="3253">(AQ576+AQ556)-(AP576+AP556)</f>
        <v>0</v>
      </c>
      <c r="AR626" s="44">
        <f t="shared" ref="AR626:AX626" si="3254">(AR576+AR556)-(AQ576+AQ556)</f>
        <v>0</v>
      </c>
      <c r="AS626" s="44">
        <f t="shared" si="3254"/>
        <v>0</v>
      </c>
      <c r="AT626" s="44">
        <f t="shared" si="3254"/>
        <v>0</v>
      </c>
      <c r="AU626" s="44">
        <f t="shared" si="3254"/>
        <v>0</v>
      </c>
      <c r="AV626" s="44">
        <f t="shared" si="3254"/>
        <v>0</v>
      </c>
      <c r="AW626" s="44">
        <f t="shared" si="3254"/>
        <v>0</v>
      </c>
      <c r="AX626" s="44">
        <f t="shared" si="3254"/>
        <v>0</v>
      </c>
      <c r="AY626" s="44">
        <f t="shared" si="3252"/>
        <v>0</v>
      </c>
      <c r="AZ626" s="45">
        <f t="shared" si="3252"/>
        <v>0</v>
      </c>
      <c r="BA626" s="44">
        <f t="shared" si="3252"/>
        <v>0</v>
      </c>
      <c r="BB626" s="44">
        <f t="shared" si="3252"/>
        <v>0</v>
      </c>
      <c r="BC626" s="44">
        <f t="shared" si="3252"/>
        <v>0</v>
      </c>
      <c r="BD626" s="44">
        <f t="shared" si="3252"/>
        <v>0</v>
      </c>
      <c r="BE626" s="44">
        <f t="shared" si="3252"/>
        <v>0</v>
      </c>
      <c r="BF626" s="44">
        <f t="shared" si="3252"/>
        <v>0</v>
      </c>
      <c r="BG626" s="44">
        <f t="shared" si="3252"/>
        <v>0</v>
      </c>
      <c r="BH626" s="44">
        <f t="shared" si="3252"/>
        <v>0</v>
      </c>
      <c r="BI626" s="44">
        <f t="shared" si="3252"/>
        <v>0</v>
      </c>
      <c r="BJ626" s="44">
        <f t="shared" ref="BJ626" si="3255">(BJ576+BJ556)-(BI576+BI556)</f>
        <v>0</v>
      </c>
      <c r="BK626" s="44">
        <f t="shared" ref="BK626" si="3256">(BK576+BK556)-(BJ576+BJ556)</f>
        <v>0</v>
      </c>
      <c r="BL626" s="44">
        <f t="shared" ref="BL626" si="3257">(BL576+BL556)-(BK576+BK556)</f>
        <v>0</v>
      </c>
      <c r="BM626" s="44">
        <f t="shared" ref="BM626" si="3258">(BM576+BM556)-(BL576+BL556)</f>
        <v>0</v>
      </c>
      <c r="BN626" s="44">
        <f t="shared" ref="BN626" si="3259">(BN576+BN556)-(BM576+BM556)</f>
        <v>0</v>
      </c>
      <c r="BO626" s="44">
        <f t="shared" ref="BO626" si="3260">(BO576+BO556)-(BN576+BN556)</f>
        <v>0</v>
      </c>
      <c r="BP626" s="44">
        <f t="shared" ref="BP626" si="3261">(BP576+BP556)-(BO576+BO556)</f>
        <v>0</v>
      </c>
      <c r="BQ626" s="44">
        <f t="shared" ref="BQ626" si="3262">(BQ576+BQ556)-(BP576+BP556)</f>
        <v>0</v>
      </c>
      <c r="BR626" s="44"/>
      <c r="BS626" s="42"/>
      <c r="BT626" s="42"/>
      <c r="BU626" s="42"/>
      <c r="BV626" s="42"/>
      <c r="BW626" s="42"/>
      <c r="BX626" s="42"/>
      <c r="BY626" s="42"/>
      <c r="BZ626" s="42"/>
      <c r="CA626" s="42"/>
      <c r="CB626" s="42"/>
      <c r="CC626" s="42"/>
      <c r="CD626" s="42"/>
      <c r="CE626" s="42"/>
      <c r="CF626" s="42"/>
      <c r="CG626" s="42"/>
      <c r="CH626" s="42"/>
      <c r="CI626" s="42"/>
      <c r="CJ626" s="42"/>
      <c r="CK626" s="42"/>
      <c r="CL626" s="42"/>
      <c r="CM626" s="42"/>
      <c r="CN626" s="42"/>
      <c r="CO626" s="42"/>
      <c r="CP626" s="42"/>
      <c r="CQ626" s="42"/>
      <c r="CR626" s="42"/>
      <c r="CS626" s="42"/>
      <c r="CT626" s="42"/>
      <c r="CU626" s="42"/>
      <c r="CV626" s="44">
        <f t="shared" ref="CV626" si="3263">(CV576+CV556)-(CU576+CU556)</f>
        <v>0</v>
      </c>
      <c r="CW626" s="44">
        <f>SUM(AR626:AS626)</f>
        <v>0</v>
      </c>
      <c r="CX626" s="44">
        <f>SUM(AT626:AU626)</f>
        <v>0</v>
      </c>
      <c r="CY626" s="44">
        <f>SUM(AV626:AW626)</f>
        <v>0</v>
      </c>
      <c r="CZ626" s="45">
        <f>SUM(AX626:AY626)</f>
        <v>0</v>
      </c>
      <c r="DA626" s="44">
        <f t="shared" si="3251"/>
        <v>0</v>
      </c>
      <c r="DB626" s="44">
        <f>SUM(BB626:BC626)</f>
        <v>0</v>
      </c>
      <c r="DC626" s="44">
        <f>SUM(BD626:BE626)</f>
        <v>0</v>
      </c>
      <c r="DD626" s="44">
        <f>SUM(BF626:BG626)</f>
        <v>0</v>
      </c>
      <c r="DE626" s="44">
        <f>SUM(BH626:BI626)</f>
        <v>0</v>
      </c>
      <c r="DF626" s="44">
        <f>SUM(BJ626:BK626)</f>
        <v>0</v>
      </c>
      <c r="DG626" s="44">
        <f>SUM(BL626:BM626)</f>
        <v>0</v>
      </c>
      <c r="DH626" s="44">
        <f>SUM(BN626:BO626)</f>
        <v>0</v>
      </c>
      <c r="DI626" s="44">
        <f>SUM(BP626:BQ626)</f>
        <v>0</v>
      </c>
    </row>
    <row r="627" spans="1:113" ht="12" hidden="1" outlineLevel="1">
      <c r="A627" s="1" t="s">
        <v>23</v>
      </c>
      <c r="B627" s="19" t="s">
        <v>781</v>
      </c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M627" s="42"/>
      <c r="AN627" s="42"/>
      <c r="AO627" s="42"/>
      <c r="AP627" s="44">
        <f t="shared" ref="AP627:BI627" si="3264">AP524+(AP571+AP572)-(AO571+AO572)</f>
        <v>-10.9</v>
      </c>
      <c r="AQ627" s="44">
        <f t="shared" ref="AQ627" si="3265">AQ524+(AQ571+AQ572)-(AP571+AP572)</f>
        <v>-5.2000000000000011</v>
      </c>
      <c r="AR627" s="44">
        <f t="shared" ref="AR627:AX627" si="3266">AR524+(AR571+AR572)-(AQ571+AQ572)</f>
        <v>-1.1999999999999993</v>
      </c>
      <c r="AS627" s="44">
        <f t="shared" si="3266"/>
        <v>-6.5</v>
      </c>
      <c r="AT627" s="44">
        <f t="shared" si="3266"/>
        <v>-7.1999999999999993</v>
      </c>
      <c r="AU627" s="44">
        <f t="shared" si="3266"/>
        <v>-7.2999999999999972</v>
      </c>
      <c r="AV627" s="44">
        <f t="shared" si="3266"/>
        <v>-6.7000000000000028</v>
      </c>
      <c r="AW627" s="44">
        <f t="shared" si="3266"/>
        <v>-3.2999999999999972</v>
      </c>
      <c r="AX627" s="44">
        <f t="shared" si="3266"/>
        <v>-1.5</v>
      </c>
      <c r="AY627" s="44">
        <f t="shared" si="3264"/>
        <v>0</v>
      </c>
      <c r="AZ627" s="45">
        <f t="shared" si="3264"/>
        <v>5.7999999999999972</v>
      </c>
      <c r="BA627" s="44">
        <f t="shared" si="3264"/>
        <v>2.4800954868392964</v>
      </c>
      <c r="BB627" s="44">
        <f t="shared" si="3264"/>
        <v>2.1254304227165264</v>
      </c>
      <c r="BC627" s="44">
        <f t="shared" si="3264"/>
        <v>1.4912319211803862</v>
      </c>
      <c r="BD627" s="44">
        <f t="shared" si="3264"/>
        <v>1.2742458499943865</v>
      </c>
      <c r="BE627" s="44">
        <f t="shared" si="3264"/>
        <v>0.81752993426480458</v>
      </c>
      <c r="BF627" s="44">
        <f t="shared" si="3264"/>
        <v>0.68988246343049298</v>
      </c>
      <c r="BG627" s="44">
        <f t="shared" si="3264"/>
        <v>0.28319443036780001</v>
      </c>
      <c r="BH627" s="44">
        <f t="shared" si="3264"/>
        <v>0.25857685565009803</v>
      </c>
      <c r="BI627" s="44">
        <f t="shared" si="3264"/>
        <v>-0.10532120178473292</v>
      </c>
      <c r="BJ627" s="44">
        <f t="shared" ref="BJ627" si="3267">BJ524+(BJ571+BJ572)-(BI571+BI572)</f>
        <v>-7.6259830017171737E-2</v>
      </c>
      <c r="BK627" s="44">
        <f t="shared" ref="BK627" si="3268">BK524+(BK571+BK572)-(BJ571+BJ572)</f>
        <v>-0.4055460365030612</v>
      </c>
      <c r="BL627" s="44">
        <f t="shared" ref="BL627" si="3269">BL524+(BL571+BL572)-(BK571+BK572)</f>
        <v>-0.33162213703449339</v>
      </c>
      <c r="BM627" s="44">
        <f t="shared" ref="BM627" si="3270">BM524+(BM571+BM572)-(BL571+BL572)</f>
        <v>-0.58298983856637676</v>
      </c>
      <c r="BN627" s="44">
        <f t="shared" ref="BN627" si="3271">BN524+(BN571+BN572)-(BM571+BM572)</f>
        <v>-0.48738096629601557</v>
      </c>
      <c r="BO627" s="44">
        <f t="shared" ref="BO627" si="3272">BO524+(BO571+BO572)-(BN571+BN572)</f>
        <v>-0.74143196206414785</v>
      </c>
      <c r="BP627" s="44">
        <f t="shared" ref="BP627" si="3273">BP524+(BP571+BP572)-(BO571+BO572)</f>
        <v>-0.58558641577282344</v>
      </c>
      <c r="BQ627" s="44">
        <f t="shared" ref="BQ627" si="3274">BQ524+(BQ571+BQ572)-(BP571+BP572)</f>
        <v>-0.86932360251526575</v>
      </c>
      <c r="BR627" s="44"/>
      <c r="BS627" s="42"/>
      <c r="BT627" s="42"/>
      <c r="BU627" s="42"/>
      <c r="BV627" s="42"/>
      <c r="BW627" s="42"/>
      <c r="BX627" s="42"/>
      <c r="BY627" s="42"/>
      <c r="BZ627" s="42"/>
      <c r="CA627" s="42"/>
      <c r="CB627" s="42"/>
      <c r="CC627" s="42"/>
      <c r="CD627" s="42"/>
      <c r="CE627" s="42"/>
      <c r="CF627" s="42"/>
      <c r="CG627" s="42"/>
      <c r="CH627" s="42"/>
      <c r="CI627" s="42"/>
      <c r="CJ627" s="42"/>
      <c r="CK627" s="42"/>
      <c r="CL627" s="42"/>
      <c r="CM627" s="42"/>
      <c r="CN627" s="42"/>
      <c r="CO627" s="42"/>
      <c r="CP627" s="42"/>
      <c r="CQ627" s="42"/>
      <c r="CR627" s="42"/>
      <c r="CS627" s="42"/>
      <c r="CT627" s="42"/>
      <c r="CU627" s="42"/>
      <c r="CV627" s="44">
        <f t="shared" ref="CV627" si="3275">CV524+(CV571+CV572)-(CU571+CU572)</f>
        <v>-16.100000000000001</v>
      </c>
      <c r="CW627" s="44">
        <f>SUM(AR627:AS627)</f>
        <v>-7.6999999999999993</v>
      </c>
      <c r="CX627" s="44">
        <f>SUM(AT627:AU627)</f>
        <v>-14.499999999999996</v>
      </c>
      <c r="CY627" s="44">
        <f>SUM(AV627:AW627)</f>
        <v>-10</v>
      </c>
      <c r="CZ627" s="45">
        <f>SUM(AX627:AY627)</f>
        <v>-1.5</v>
      </c>
      <c r="DA627" s="44">
        <f t="shared" si="3251"/>
        <v>8.2800954868392935</v>
      </c>
      <c r="DB627" s="44">
        <f>SUM(BB627:BC627)</f>
        <v>3.6166623438969125</v>
      </c>
      <c r="DC627" s="44">
        <f>SUM(BD627:BE627)</f>
        <v>2.0917757842591911</v>
      </c>
      <c r="DD627" s="44">
        <f>SUM(BF627:BG627)</f>
        <v>0.97307689379829299</v>
      </c>
      <c r="DE627" s="44">
        <f>SUM(BH627:BI627)</f>
        <v>0.1532556538653651</v>
      </c>
      <c r="DF627" s="44">
        <f>SUM(BJ627:BK627)</f>
        <v>-0.48180586652023294</v>
      </c>
      <c r="DG627" s="44">
        <f>SUM(BL627:BM627)</f>
        <v>-0.91461197560087015</v>
      </c>
      <c r="DH627" s="44">
        <f>SUM(BN627:BO627)</f>
        <v>-1.2288129283601634</v>
      </c>
      <c r="DI627" s="44">
        <f>SUM(BP627:BQ627)</f>
        <v>-1.4549100182880892</v>
      </c>
    </row>
    <row r="628" spans="1:113" ht="12" hidden="1" outlineLevel="1">
      <c r="A628" s="1" t="s">
        <v>24</v>
      </c>
      <c r="B628" s="19" t="s">
        <v>782</v>
      </c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M628" s="42"/>
      <c r="AN628" s="42"/>
      <c r="AO628" s="42"/>
      <c r="AP628" s="44">
        <f t="shared" ref="AP628:BI628" si="3276">SUM(AP561,AP554,AP573:AP575,AP577:AP584)-SUM(AO561,AO554,AO573:AO575,AO577:AO584)+AP540-AO540+AP528+(AP555+AP539)-(AO555+AO539)</f>
        <v>-44.599999999999994</v>
      </c>
      <c r="AQ628" s="44">
        <f t="shared" ref="AQ628" si="3277">SUM(AQ561,AQ554,AQ573:AQ575,AQ577:AQ584)-SUM(AP561,AP554,AP573:AP575,AP577:AP584)+AQ540-AP540+AQ528+(AQ555+AQ539)-(AP555+AP539)</f>
        <v>-11.000000000000277</v>
      </c>
      <c r="AR628" s="44">
        <f t="shared" ref="AR628:AX628" si="3278">SUM(AR561,AR554,AR573:AR575,AR577:AR584)-SUM(AQ561,AQ554,AQ573:AQ575,AQ577:AQ584)+AR540-AQ540+AR528+(AR555+AR539)-(AQ555+AQ539)</f>
        <v>-33.19999999999964</v>
      </c>
      <c r="AS628" s="44">
        <f t="shared" si="3278"/>
        <v>-2.1316282072803006E-13</v>
      </c>
      <c r="AT628" s="44">
        <f t="shared" si="3278"/>
        <v>13.800000000000125</v>
      </c>
      <c r="AU628" s="44">
        <f t="shared" si="3278"/>
        <v>2.2000000000000739</v>
      </c>
      <c r="AV628" s="44">
        <f t="shared" si="3278"/>
        <v>-36.700000000000074</v>
      </c>
      <c r="AW628" s="44">
        <f t="shared" si="3278"/>
        <v>3.5000000000000426</v>
      </c>
      <c r="AX628" s="44">
        <f t="shared" si="3278"/>
        <v>-6.6000000000001364</v>
      </c>
      <c r="AY628" s="44">
        <f t="shared" si="3276"/>
        <v>-7.1999999999998039</v>
      </c>
      <c r="AZ628" s="45">
        <f t="shared" si="3276"/>
        <v>37.499999999999943</v>
      </c>
      <c r="BA628" s="44">
        <f t="shared" si="3276"/>
        <v>0</v>
      </c>
      <c r="BB628" s="44">
        <f t="shared" si="3276"/>
        <v>0</v>
      </c>
      <c r="BC628" s="44">
        <f t="shared" si="3276"/>
        <v>0</v>
      </c>
      <c r="BD628" s="44">
        <f t="shared" si="3276"/>
        <v>0</v>
      </c>
      <c r="BE628" s="44">
        <f t="shared" si="3276"/>
        <v>0</v>
      </c>
      <c r="BF628" s="44">
        <f t="shared" si="3276"/>
        <v>0</v>
      </c>
      <c r="BG628" s="44">
        <f t="shared" si="3276"/>
        <v>0</v>
      </c>
      <c r="BH628" s="44">
        <f t="shared" si="3276"/>
        <v>0</v>
      </c>
      <c r="BI628" s="44">
        <f t="shared" si="3276"/>
        <v>0</v>
      </c>
      <c r="BJ628" s="44">
        <f t="shared" ref="BJ628" si="3279">SUM(BJ561,BJ554,BJ573:BJ575,BJ577:BJ584)-SUM(BI561,BI554,BI573:BI575,BI577:BI584)+BJ540-BI540+BJ528+(BJ555+BJ539)-(BI555+BI539)</f>
        <v>0</v>
      </c>
      <c r="BK628" s="44">
        <f t="shared" ref="BK628" si="3280">SUM(BK561,BK554,BK573:BK575,BK577:BK584)-SUM(BJ561,BJ554,BJ573:BJ575,BJ577:BJ584)+BK540-BJ540+BK528+(BK555+BK539)-(BJ555+BJ539)</f>
        <v>0</v>
      </c>
      <c r="BL628" s="44">
        <f t="shared" ref="BL628" si="3281">SUM(BL561,BL554,BL573:BL575,BL577:BL584)-SUM(BK561,BK554,BK573:BK575,BK577:BK584)+BL540-BK540+BL528+(BL555+BL539)-(BK555+BK539)</f>
        <v>0</v>
      </c>
      <c r="BM628" s="44">
        <f t="shared" ref="BM628" si="3282">SUM(BM561,BM554,BM573:BM575,BM577:BM584)-SUM(BL561,BL554,BL573:BL575,BL577:BL584)+BM540-BL540+BM528+(BM555+BM539)-(BL555+BL539)</f>
        <v>0</v>
      </c>
      <c r="BN628" s="44">
        <f t="shared" ref="BN628" si="3283">SUM(BN561,BN554,BN573:BN575,BN577:BN584)-SUM(BM561,BM554,BM573:BM575,BM577:BM584)+BN540-BM540+BN528+(BN555+BN539)-(BM555+BM539)</f>
        <v>0</v>
      </c>
      <c r="BO628" s="44">
        <f t="shared" ref="BO628" si="3284">SUM(BO561,BO554,BO573:BO575,BO577:BO584)-SUM(BN561,BN554,BN573:BN575,BN577:BN584)+BO540-BN540+BO528+(BO555+BO539)-(BN555+BN539)</f>
        <v>0</v>
      </c>
      <c r="BP628" s="44">
        <f t="shared" ref="BP628" si="3285">SUM(BP561,BP554,BP573:BP575,BP577:BP584)-SUM(BO561,BO554,BO573:BO575,BO577:BO584)+BP540-BO540+BP528+(BP555+BP539)-(BO555+BO539)</f>
        <v>0</v>
      </c>
      <c r="BQ628" s="44">
        <f t="shared" ref="BQ628" si="3286">SUM(BQ561,BQ554,BQ573:BQ575,BQ577:BQ584)-SUM(BP561,BP554,BP573:BP575,BP577:BP584)+BQ540-BP540+BQ528+(BQ555+BQ539)-(BP555+BP539)</f>
        <v>0</v>
      </c>
      <c r="BR628" s="44"/>
      <c r="BS628" s="42"/>
      <c r="BT628" s="42"/>
      <c r="BU628" s="42"/>
      <c r="BV628" s="42"/>
      <c r="BW628" s="42"/>
      <c r="BX628" s="42"/>
      <c r="BY628" s="42"/>
      <c r="BZ628" s="42"/>
      <c r="CA628" s="42"/>
      <c r="CB628" s="42"/>
      <c r="CC628" s="42"/>
      <c r="CD628" s="42"/>
      <c r="CE628" s="42"/>
      <c r="CF628" s="42"/>
      <c r="CG628" s="42"/>
      <c r="CH628" s="42"/>
      <c r="CI628" s="42"/>
      <c r="CJ628" s="42"/>
      <c r="CK628" s="42"/>
      <c r="CL628" s="42"/>
      <c r="CM628" s="42"/>
      <c r="CN628" s="42"/>
      <c r="CO628" s="42"/>
      <c r="CP628" s="42"/>
      <c r="CQ628" s="42"/>
      <c r="CR628" s="42"/>
      <c r="CS628" s="42"/>
      <c r="CT628" s="42"/>
      <c r="CU628" s="42"/>
      <c r="CV628" s="44">
        <f t="shared" ref="CV628" si="3287">SUM(CV561,CV554,CV573:CV575,CV577:CV584)-SUM(CU561,CU554,CU573:CU575,CU577:CU584)+CV540-CU540+CV528+(CV555+CV539)-(CU555+CU539)</f>
        <v>-55.600000000000271</v>
      </c>
      <c r="CW628" s="44">
        <f>SUM(AR628:AS628)</f>
        <v>-33.199999999999854</v>
      </c>
      <c r="CX628" s="44">
        <f>SUM(AT628:AU628)</f>
        <v>16.000000000000199</v>
      </c>
      <c r="CY628" s="44">
        <f>SUM(AV628:AW628)</f>
        <v>-33.200000000000031</v>
      </c>
      <c r="CZ628" s="45">
        <f>SUM(AX628:AY628)</f>
        <v>-13.79999999999994</v>
      </c>
      <c r="DA628" s="44">
        <f t="shared" si="3251"/>
        <v>37.499999999999943</v>
      </c>
      <c r="DB628" s="44">
        <f>SUM(BB628:BC628)</f>
        <v>0</v>
      </c>
      <c r="DC628" s="44">
        <f>SUM(BD628:BE628)</f>
        <v>0</v>
      </c>
      <c r="DD628" s="44">
        <f>SUM(BF628:BG628)</f>
        <v>0</v>
      </c>
      <c r="DE628" s="44">
        <f>SUM(BH628:BI628)</f>
        <v>0</v>
      </c>
      <c r="DF628" s="44">
        <f>SUM(BJ628:BK628)</f>
        <v>0</v>
      </c>
      <c r="DG628" s="44">
        <f>SUM(BL628:BM628)</f>
        <v>0</v>
      </c>
      <c r="DH628" s="44">
        <f>SUM(BN628:BO628)</f>
        <v>0</v>
      </c>
      <c r="DI628" s="44">
        <f>SUM(BP628:BQ628)</f>
        <v>0</v>
      </c>
    </row>
    <row r="629" spans="1:113" s="24" customFormat="1" ht="12" hidden="1" outlineLevel="1">
      <c r="A629" s="1" t="s">
        <v>893</v>
      </c>
      <c r="B629" s="24" t="s">
        <v>783</v>
      </c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  <c r="AA629" s="55"/>
      <c r="AB629" s="55"/>
      <c r="AC629" s="55"/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/>
      <c r="AP629" s="526">
        <f t="shared" ref="AP629:BI629" si="3288">SUM(AP624:AP628)</f>
        <v>-398.61999999999989</v>
      </c>
      <c r="AQ629" s="526">
        <f t="shared" ref="AQ629:AR629" si="3289">SUM(AQ624:AQ628)</f>
        <v>-133.06000000000014</v>
      </c>
      <c r="AR629" s="526">
        <f t="shared" si="3289"/>
        <v>-253.12000000000009</v>
      </c>
      <c r="AS629" s="526">
        <f t="shared" ref="AS629:AT629" si="3290">SUM(AS624:AS628)</f>
        <v>-96.820000000000135</v>
      </c>
      <c r="AT629" s="526">
        <f t="shared" si="3290"/>
        <v>-126.75999999999991</v>
      </c>
      <c r="AU629" s="526">
        <f t="shared" ref="AU629:AV629" si="3291">SUM(AU624:AU628)</f>
        <v>17.494999999999905</v>
      </c>
      <c r="AV629" s="526">
        <f t="shared" si="3291"/>
        <v>-17.610000000000085</v>
      </c>
      <c r="AW629" s="526">
        <f t="shared" ref="AW629:AX629" si="3292">SUM(AW624:AW628)</f>
        <v>-102.07000000000002</v>
      </c>
      <c r="AX629" s="526">
        <f t="shared" si="3292"/>
        <v>-65.105000000000103</v>
      </c>
      <c r="AY629" s="526">
        <f t="shared" si="3288"/>
        <v>-51.649999999999828</v>
      </c>
      <c r="AZ629" s="524">
        <f t="shared" si="3288"/>
        <v>-52.090000000000046</v>
      </c>
      <c r="BA629" s="526">
        <f t="shared" si="3288"/>
        <v>-67.336394442425103</v>
      </c>
      <c r="BB629" s="526">
        <f t="shared" si="3288"/>
        <v>-31.741630562496333</v>
      </c>
      <c r="BC629" s="526">
        <f t="shared" si="3288"/>
        <v>-41.780184500998374</v>
      </c>
      <c r="BD629" s="526">
        <f t="shared" si="3288"/>
        <v>-31.208716847666651</v>
      </c>
      <c r="BE629" s="526">
        <f t="shared" si="3288"/>
        <v>-49.723255149949971</v>
      </c>
      <c r="BF629" s="526">
        <f t="shared" si="3288"/>
        <v>-17.664801738222224</v>
      </c>
      <c r="BG629" s="526">
        <f t="shared" si="3288"/>
        <v>-10.87916907949473</v>
      </c>
      <c r="BH629" s="526">
        <f t="shared" si="3288"/>
        <v>33.580934387555324</v>
      </c>
      <c r="BI629" s="526">
        <f t="shared" si="3288"/>
        <v>13.402772189418982</v>
      </c>
      <c r="BJ629" s="526">
        <f t="shared" ref="BJ629:BK629" si="3293">SUM(BJ624:BJ628)</f>
        <v>63.100657477323487</v>
      </c>
      <c r="BK629" s="526">
        <f t="shared" si="3293"/>
        <v>38.479494790149126</v>
      </c>
      <c r="BL629" s="526">
        <f t="shared" ref="BL629:BM629" si="3294">SUM(BL624:BL628)</f>
        <v>93.548642314178295</v>
      </c>
      <c r="BM629" s="526">
        <f t="shared" si="3294"/>
        <v>65.13979131403552</v>
      </c>
      <c r="BN629" s="526">
        <f t="shared" ref="BN629:BO629" si="3295">SUM(BN624:BN628)</f>
        <v>114.45219056813117</v>
      </c>
      <c r="BO629" s="526">
        <f t="shared" si="3295"/>
        <v>83.296379053496423</v>
      </c>
      <c r="BP629" s="526">
        <f t="shared" ref="BP629:BQ629" si="3296">SUM(BP624:BP628)</f>
        <v>120.01635748730773</v>
      </c>
      <c r="BQ629" s="526">
        <f t="shared" si="3296"/>
        <v>87.08587936240599</v>
      </c>
      <c r="BR629" s="526"/>
      <c r="BS629" s="55"/>
      <c r="BT629" s="55"/>
      <c r="BU629" s="55"/>
      <c r="BV629" s="55"/>
      <c r="BW629" s="55"/>
      <c r="BX629" s="55"/>
      <c r="BY629" s="55"/>
      <c r="BZ629" s="55"/>
      <c r="CA629" s="55"/>
      <c r="CB629" s="55"/>
      <c r="CC629" s="55"/>
      <c r="CD629" s="55"/>
      <c r="CE629" s="55"/>
      <c r="CF629" s="55"/>
      <c r="CG629" s="55"/>
      <c r="CH629" s="55"/>
      <c r="CI629" s="55"/>
      <c r="CJ629" s="55"/>
      <c r="CK629" s="55"/>
      <c r="CL629" s="55"/>
      <c r="CM629" s="55"/>
      <c r="CN629" s="55"/>
      <c r="CO629" s="55"/>
      <c r="CP629" s="55"/>
      <c r="CQ629" s="55"/>
      <c r="CR629" s="55"/>
      <c r="CS629" s="55"/>
      <c r="CT629" s="55"/>
      <c r="CU629" s="55"/>
      <c r="CV629" s="526">
        <f t="shared" ref="CV629:DF629" si="3297">SUM(CV624:CV628)</f>
        <v>-234.42200000000014</v>
      </c>
      <c r="CW629" s="526">
        <f t="shared" si="3297"/>
        <v>-349.94000000000023</v>
      </c>
      <c r="CX629" s="526">
        <f t="shared" si="3297"/>
        <v>-109.26499999999999</v>
      </c>
      <c r="CY629" s="526">
        <f t="shared" si="3297"/>
        <v>-119.68000000000016</v>
      </c>
      <c r="CZ629" s="524">
        <f t="shared" si="3297"/>
        <v>-116.75499999999988</v>
      </c>
      <c r="DA629" s="526">
        <f t="shared" si="3297"/>
        <v>-119.42639444242519</v>
      </c>
      <c r="DB629" s="526">
        <f t="shared" si="3297"/>
        <v>-73.521815063494614</v>
      </c>
      <c r="DC629" s="526">
        <f t="shared" si="3297"/>
        <v>-80.931971997616557</v>
      </c>
      <c r="DD629" s="526">
        <f t="shared" si="3297"/>
        <v>-28.543970817716911</v>
      </c>
      <c r="DE629" s="526">
        <f t="shared" si="3297"/>
        <v>46.983706576974278</v>
      </c>
      <c r="DF629" s="526">
        <f t="shared" si="3297"/>
        <v>101.58015226747256</v>
      </c>
      <c r="DG629" s="526">
        <f t="shared" ref="DG629:DH629" si="3298">SUM(DG624:DG628)</f>
        <v>158.68843362821386</v>
      </c>
      <c r="DH629" s="526">
        <f t="shared" si="3298"/>
        <v>197.74856962162775</v>
      </c>
      <c r="DI629" s="526">
        <f t="shared" ref="DI629" si="3299">SUM(DI624:DI628)</f>
        <v>207.10223684971368</v>
      </c>
    </row>
    <row r="630" spans="1:113" ht="12" hidden="1" outlineLevel="1">
      <c r="A630" s="1" t="s">
        <v>25</v>
      </c>
      <c r="B630" s="19" t="s">
        <v>784</v>
      </c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M630" s="42"/>
      <c r="AN630" s="42"/>
      <c r="AO630" s="42"/>
      <c r="AP630" s="44">
        <f t="shared" ref="AP630:BI630" si="3300">AO595-AP595</f>
        <v>-258.08000000000004</v>
      </c>
      <c r="AQ630" s="44">
        <f t="shared" ref="AQ630" si="3301">AP595-AQ595</f>
        <v>-254.64</v>
      </c>
      <c r="AR630" s="44">
        <f t="shared" ref="AR630:AX630" si="3302">AQ595-AR595</f>
        <v>-113.88</v>
      </c>
      <c r="AS630" s="44">
        <f t="shared" si="3302"/>
        <v>91.919999999999959</v>
      </c>
      <c r="AT630" s="44">
        <f t="shared" si="3302"/>
        <v>126.75999999999999</v>
      </c>
      <c r="AU630" s="44">
        <f t="shared" si="3302"/>
        <v>-17.494999999999891</v>
      </c>
      <c r="AV630" s="44">
        <f t="shared" si="3302"/>
        <v>17.610000000000014</v>
      </c>
      <c r="AW630" s="44">
        <f t="shared" si="3302"/>
        <v>102.07000000000005</v>
      </c>
      <c r="AX630" s="44">
        <f t="shared" si="3302"/>
        <v>65.105000000000018</v>
      </c>
      <c r="AY630" s="44">
        <f t="shared" si="3300"/>
        <v>51.649999999999864</v>
      </c>
      <c r="AZ630" s="45">
        <f t="shared" si="3300"/>
        <v>52.090000000000146</v>
      </c>
      <c r="BA630" s="44">
        <f t="shared" si="3300"/>
        <v>67.336394442425217</v>
      </c>
      <c r="BB630" s="44">
        <f t="shared" si="3300"/>
        <v>31.741630562496312</v>
      </c>
      <c r="BC630" s="44">
        <f t="shared" si="3300"/>
        <v>41.78018450099853</v>
      </c>
      <c r="BD630" s="44">
        <f t="shared" si="3300"/>
        <v>-113.09772005887748</v>
      </c>
      <c r="BE630" s="44">
        <f t="shared" si="3300"/>
        <v>49.723255149949409</v>
      </c>
      <c r="BF630" s="44">
        <f t="shared" si="3300"/>
        <v>17.664801738222195</v>
      </c>
      <c r="BG630" s="44">
        <f t="shared" si="3300"/>
        <v>10.879169079495114</v>
      </c>
      <c r="BH630" s="44">
        <f t="shared" si="3300"/>
        <v>-33.580934387555317</v>
      </c>
      <c r="BI630" s="44">
        <f t="shared" si="3300"/>
        <v>22.329075930580984</v>
      </c>
      <c r="BJ630" s="44">
        <f t="shared" ref="BJ630" si="3303">BI595-BJ595</f>
        <v>-3.5475772773238532</v>
      </c>
      <c r="BK630" s="44">
        <f t="shared" ref="BK630" si="3304">BJ595-BK595</f>
        <v>9.1629693698509982</v>
      </c>
      <c r="BL630" s="44">
        <f t="shared" ref="BL630" si="3305">BK595-BL595</f>
        <v>-22.084946074178333</v>
      </c>
      <c r="BM630" s="44">
        <f t="shared" ref="BM630" si="3306">BL595-BM595</f>
        <v>6.3239049259645981</v>
      </c>
      <c r="BN630" s="44">
        <f t="shared" ref="BN630" si="3307">BM595-BN595</f>
        <v>-19.167262248131465</v>
      </c>
      <c r="BO630" s="44">
        <f t="shared" ref="BO630" si="3308">BN595-BO595</f>
        <v>11.988549266503469</v>
      </c>
      <c r="BP630" s="44">
        <f t="shared" ref="BP630" si="3309">BO595-BP595</f>
        <v>-12.820813127307702</v>
      </c>
      <c r="BQ630" s="44">
        <f t="shared" ref="BQ630" si="3310">BP595-BQ595</f>
        <v>20.109664997593882</v>
      </c>
      <c r="BR630" s="44"/>
      <c r="BS630" s="42"/>
      <c r="BT630" s="42"/>
      <c r="BU630" s="42"/>
      <c r="BV630" s="42"/>
      <c r="BW630" s="42"/>
      <c r="BX630" s="42"/>
      <c r="BY630" s="42"/>
      <c r="BZ630" s="42"/>
      <c r="CA630" s="42"/>
      <c r="CB630" s="42"/>
      <c r="CC630" s="42"/>
      <c r="CD630" s="42"/>
      <c r="CE630" s="42"/>
      <c r="CF630" s="42"/>
      <c r="CG630" s="42"/>
      <c r="CH630" s="42"/>
      <c r="CI630" s="42"/>
      <c r="CJ630" s="42"/>
      <c r="CK630" s="42"/>
      <c r="CL630" s="42"/>
      <c r="CM630" s="42"/>
      <c r="CN630" s="42"/>
      <c r="CO630" s="42"/>
      <c r="CP630" s="42"/>
      <c r="CQ630" s="42"/>
      <c r="CR630" s="42"/>
      <c r="CS630" s="42"/>
      <c r="CT630" s="42"/>
      <c r="CU630" s="42"/>
      <c r="CV630" s="44">
        <f t="shared" ref="CV630" si="3311">CU595-CV595</f>
        <v>-281.77339999999998</v>
      </c>
      <c r="CW630" s="44">
        <f>SUM(AR630:AS630)</f>
        <v>-21.960000000000036</v>
      </c>
      <c r="CX630" s="44">
        <f>SUM(AT630:AU630)</f>
        <v>109.2650000000001</v>
      </c>
      <c r="CY630" s="44">
        <f>SUM(AV630:AW630)</f>
        <v>119.68000000000006</v>
      </c>
      <c r="CZ630" s="45">
        <f>SUM(AX630:AY630)</f>
        <v>116.75499999999988</v>
      </c>
      <c r="DA630" s="44">
        <f>SUM(AZ630:BA630)</f>
        <v>119.42639444242536</v>
      </c>
      <c r="DB630" s="44">
        <f>SUM(BB630:BC630)</f>
        <v>73.521815063494842</v>
      </c>
      <c r="DC630" s="44">
        <f>SUM(BD630:BE630)</f>
        <v>-63.374464908928076</v>
      </c>
      <c r="DD630" s="44">
        <f>SUM(BF630:BG630)</f>
        <v>28.543970817717309</v>
      </c>
      <c r="DE630" s="44">
        <f>SUM(BH630:BI630)</f>
        <v>-11.251858456974333</v>
      </c>
      <c r="DF630" s="44">
        <f>SUM(BJ630:BK630)</f>
        <v>5.615392092527145</v>
      </c>
      <c r="DG630" s="44">
        <f>SUM(BL630:BM630)</f>
        <v>-15.761041148213735</v>
      </c>
      <c r="DH630" s="44">
        <f>SUM(BN630:BO630)</f>
        <v>-7.1787129816279958</v>
      </c>
      <c r="DI630" s="44">
        <f>SUM(BP630:BQ630)</f>
        <v>7.2888518702861802</v>
      </c>
    </row>
    <row r="631" spans="1:113" s="24" customFormat="1" ht="12" hidden="1" outlineLevel="1">
      <c r="A631" s="1" t="s">
        <v>894</v>
      </c>
      <c r="B631" s="24" t="s">
        <v>650</v>
      </c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  <c r="AA631" s="55"/>
      <c r="AB631" s="55"/>
      <c r="AC631" s="55"/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/>
      <c r="AP631" s="526">
        <f t="shared" ref="AP631:BI631" si="3312">SUM(AP629:AP630)</f>
        <v>-656.69999999999993</v>
      </c>
      <c r="AQ631" s="526">
        <f t="shared" ref="AQ631:AR631" si="3313">SUM(AQ629:AQ630)</f>
        <v>-387.70000000000016</v>
      </c>
      <c r="AR631" s="526">
        <f t="shared" si="3313"/>
        <v>-367.00000000000011</v>
      </c>
      <c r="AS631" s="526">
        <f t="shared" ref="AS631:AT631" si="3314">SUM(AS629:AS630)</f>
        <v>-4.9000000000001762</v>
      </c>
      <c r="AT631" s="526">
        <f t="shared" si="3314"/>
        <v>0</v>
      </c>
      <c r="AU631" s="526">
        <f t="shared" ref="AU631:AV631" si="3315">SUM(AU629:AU630)</f>
        <v>0</v>
      </c>
      <c r="AV631" s="526">
        <f t="shared" si="3315"/>
        <v>-7.1054273576010019E-14</v>
      </c>
      <c r="AW631" s="526">
        <f t="shared" ref="AW631:AX631" si="3316">SUM(AW629:AW630)</f>
        <v>0</v>
      </c>
      <c r="AX631" s="526">
        <f t="shared" si="3316"/>
        <v>0</v>
      </c>
      <c r="AY631" s="526">
        <f t="shared" si="3312"/>
        <v>0</v>
      </c>
      <c r="AZ631" s="524">
        <f t="shared" si="3312"/>
        <v>9.9475983006414026E-14</v>
      </c>
      <c r="BA631" s="526">
        <f t="shared" si="3312"/>
        <v>1.1368683772161603E-13</v>
      </c>
      <c r="BB631" s="526">
        <f t="shared" si="3312"/>
        <v>0</v>
      </c>
      <c r="BC631" s="526">
        <f t="shared" si="3312"/>
        <v>1.5631940186722204E-13</v>
      </c>
      <c r="BD631" s="526">
        <f t="shared" si="3312"/>
        <v>-144.30643690654415</v>
      </c>
      <c r="BE631" s="526">
        <f t="shared" si="3312"/>
        <v>-5.6132876125047915E-13</v>
      </c>
      <c r="BF631" s="526">
        <f t="shared" si="3312"/>
        <v>-2.8421709430404007E-14</v>
      </c>
      <c r="BG631" s="526">
        <f t="shared" si="3312"/>
        <v>3.836930773104541E-13</v>
      </c>
      <c r="BH631" s="526">
        <f t="shared" si="3312"/>
        <v>0</v>
      </c>
      <c r="BI631" s="526">
        <f t="shared" si="3312"/>
        <v>35.731848119999967</v>
      </c>
      <c r="BJ631" s="526">
        <f t="shared" ref="BJ631:BK631" si="3317">SUM(BJ629:BJ630)</f>
        <v>59.553080199999634</v>
      </c>
      <c r="BK631" s="526">
        <f t="shared" si="3317"/>
        <v>47.642464160000124</v>
      </c>
      <c r="BL631" s="526">
        <f t="shared" ref="BL631:BM631" si="3318">SUM(BL629:BL630)</f>
        <v>71.463696239999962</v>
      </c>
      <c r="BM631" s="526">
        <f t="shared" si="3318"/>
        <v>71.463696240000118</v>
      </c>
      <c r="BN631" s="526">
        <f t="shared" ref="BN631:BO631" si="3319">SUM(BN629:BN630)</f>
        <v>95.284928319999707</v>
      </c>
      <c r="BO631" s="526">
        <f t="shared" si="3319"/>
        <v>95.284928319999892</v>
      </c>
      <c r="BP631" s="526">
        <f t="shared" ref="BP631:BQ631" si="3320">SUM(BP629:BP630)</f>
        <v>107.19554436000003</v>
      </c>
      <c r="BQ631" s="526">
        <f t="shared" si="3320"/>
        <v>107.19554435999987</v>
      </c>
      <c r="BR631" s="526"/>
      <c r="BS631" s="55"/>
      <c r="BT631" s="55"/>
      <c r="BU631" s="55"/>
      <c r="BV631" s="55"/>
      <c r="BW631" s="55"/>
      <c r="BX631" s="55"/>
      <c r="BY631" s="55"/>
      <c r="BZ631" s="55"/>
      <c r="CA631" s="55"/>
      <c r="CB631" s="55"/>
      <c r="CC631" s="55"/>
      <c r="CD631" s="55"/>
      <c r="CE631" s="55"/>
      <c r="CF631" s="55"/>
      <c r="CG631" s="55"/>
      <c r="CH631" s="55"/>
      <c r="CI631" s="55"/>
      <c r="CJ631" s="55"/>
      <c r="CK631" s="55"/>
      <c r="CL631" s="55"/>
      <c r="CM631" s="55"/>
      <c r="CN631" s="55"/>
      <c r="CO631" s="55"/>
      <c r="CP631" s="55"/>
      <c r="CQ631" s="55"/>
      <c r="CR631" s="55"/>
      <c r="CS631" s="55"/>
      <c r="CT631" s="55"/>
      <c r="CU631" s="55"/>
      <c r="CV631" s="526">
        <f t="shared" ref="CV631:DF631" si="3321">SUM(CV629:CV630)</f>
        <v>-516.19540000000006</v>
      </c>
      <c r="CW631" s="526">
        <f t="shared" si="3321"/>
        <v>-371.90000000000026</v>
      </c>
      <c r="CX631" s="526">
        <f t="shared" si="3321"/>
        <v>1.1368683772161603E-13</v>
      </c>
      <c r="CY631" s="526">
        <f t="shared" si="3321"/>
        <v>0</v>
      </c>
      <c r="CZ631" s="524">
        <f t="shared" si="3321"/>
        <v>0</v>
      </c>
      <c r="DA631" s="526">
        <f t="shared" si="3321"/>
        <v>1.7053025658242404E-13</v>
      </c>
      <c r="DB631" s="526">
        <f t="shared" si="3321"/>
        <v>2.2737367544323206E-13</v>
      </c>
      <c r="DC631" s="526">
        <f t="shared" si="3321"/>
        <v>-144.30643690654463</v>
      </c>
      <c r="DD631" s="526">
        <f t="shared" si="3321"/>
        <v>3.979039320256561E-13</v>
      </c>
      <c r="DE631" s="526">
        <f t="shared" si="3321"/>
        <v>35.731848119999945</v>
      </c>
      <c r="DF631" s="526">
        <f t="shared" si="3321"/>
        <v>107.1955443599997</v>
      </c>
      <c r="DG631" s="526">
        <f t="shared" ref="DG631:DH631" si="3322">SUM(DG629:DG630)</f>
        <v>142.92739248000012</v>
      </c>
      <c r="DH631" s="526">
        <f t="shared" si="3322"/>
        <v>190.56985663999976</v>
      </c>
      <c r="DI631" s="526">
        <f t="shared" ref="DI631" si="3323">SUM(DI629:DI630)</f>
        <v>214.39108871999986</v>
      </c>
    </row>
    <row r="632" spans="1:113" ht="12" hidden="1" outlineLevel="1"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4"/>
      <c r="AQ632" s="44"/>
      <c r="AR632" s="44"/>
      <c r="AS632" s="44"/>
      <c r="AT632" s="44"/>
      <c r="AU632" s="44"/>
      <c r="AV632" s="44"/>
      <c r="AW632" s="44"/>
      <c r="AX632" s="44"/>
      <c r="AY632" s="44"/>
      <c r="AZ632" s="45"/>
      <c r="BA632" s="44"/>
      <c r="BB632" s="44"/>
      <c r="BC632" s="44"/>
      <c r="BD632" s="44"/>
      <c r="BE632" s="44"/>
      <c r="BF632" s="44"/>
      <c r="BG632" s="44"/>
      <c r="BH632" s="44"/>
      <c r="BI632" s="44"/>
      <c r="BJ632" s="44"/>
      <c r="BK632" s="44"/>
      <c r="BL632" s="44"/>
      <c r="BM632" s="44"/>
      <c r="BN632" s="44"/>
      <c r="BO632" s="44"/>
      <c r="BP632" s="44"/>
      <c r="BQ632" s="44"/>
      <c r="BR632" s="44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4"/>
      <c r="CW632" s="44"/>
      <c r="CX632" s="44"/>
      <c r="CY632" s="44"/>
      <c r="CZ632" s="45"/>
      <c r="DA632" s="44"/>
      <c r="DB632" s="44"/>
      <c r="DC632" s="529"/>
      <c r="DD632" s="529"/>
      <c r="DE632" s="529"/>
      <c r="DF632" s="529"/>
      <c r="DG632" s="529"/>
      <c r="DH632" s="529"/>
      <c r="DI632" s="529"/>
    </row>
    <row r="633" spans="1:113" ht="12" hidden="1" outlineLevel="1">
      <c r="A633" s="1" t="s">
        <v>604</v>
      </c>
      <c r="B633" s="19" t="s">
        <v>651</v>
      </c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4">
        <f t="shared" ref="AP633:BI633" si="3324">AO553-AP553-AP535</f>
        <v>0</v>
      </c>
      <c r="AQ633" s="44">
        <f t="shared" ref="AQ633" si="3325">AP553-AQ553-AQ535</f>
        <v>0</v>
      </c>
      <c r="AR633" s="44">
        <f t="shared" ref="AR633:AX633" si="3326">AQ553-AR553-AR535</f>
        <v>0</v>
      </c>
      <c r="AS633" s="44">
        <f t="shared" si="3326"/>
        <v>0</v>
      </c>
      <c r="AT633" s="44">
        <f t="shared" si="3326"/>
        <v>0</v>
      </c>
      <c r="AU633" s="44">
        <f t="shared" si="3326"/>
        <v>0</v>
      </c>
      <c r="AV633" s="44">
        <f t="shared" si="3326"/>
        <v>0</v>
      </c>
      <c r="AW633" s="44">
        <f t="shared" si="3326"/>
        <v>0</v>
      </c>
      <c r="AX633" s="44">
        <f t="shared" si="3326"/>
        <v>0</v>
      </c>
      <c r="AY633" s="44">
        <f t="shared" si="3324"/>
        <v>0</v>
      </c>
      <c r="AZ633" s="45">
        <f t="shared" si="3324"/>
        <v>0</v>
      </c>
      <c r="BA633" s="44">
        <f t="shared" si="3324"/>
        <v>0</v>
      </c>
      <c r="BB633" s="44">
        <f t="shared" si="3324"/>
        <v>0</v>
      </c>
      <c r="BC633" s="44">
        <f t="shared" si="3324"/>
        <v>0</v>
      </c>
      <c r="BD633" s="44">
        <f t="shared" si="3324"/>
        <v>0</v>
      </c>
      <c r="BE633" s="44">
        <f t="shared" si="3324"/>
        <v>0</v>
      </c>
      <c r="BF633" s="44">
        <f t="shared" si="3324"/>
        <v>0</v>
      </c>
      <c r="BG633" s="44">
        <f t="shared" si="3324"/>
        <v>0</v>
      </c>
      <c r="BH633" s="44">
        <f t="shared" si="3324"/>
        <v>0</v>
      </c>
      <c r="BI633" s="44">
        <f t="shared" si="3324"/>
        <v>35.731848119999995</v>
      </c>
      <c r="BJ633" s="44">
        <f t="shared" ref="BJ633" si="3327">BI553-BJ553-BJ535</f>
        <v>59.553080200000004</v>
      </c>
      <c r="BK633" s="44">
        <f t="shared" ref="BK633" si="3328">BJ553-BK553-BK535</f>
        <v>47.642464160000003</v>
      </c>
      <c r="BL633" s="44">
        <f t="shared" ref="BL633" si="3329">BK553-BL553-BL535</f>
        <v>71.46369623999999</v>
      </c>
      <c r="BM633" s="44">
        <f t="shared" ref="BM633" si="3330">BL553-BM553-BM535</f>
        <v>71.46369623999999</v>
      </c>
      <c r="BN633" s="44">
        <f t="shared" ref="BN633" si="3331">BM553-BN553-BN535</f>
        <v>95.284928320000006</v>
      </c>
      <c r="BO633" s="44">
        <f t="shared" ref="BO633" si="3332">BN553-BO553-BO535</f>
        <v>95.284928320000006</v>
      </c>
      <c r="BP633" s="44">
        <f t="shared" ref="BP633" si="3333">BO553-BP553-BP535</f>
        <v>107.19554436</v>
      </c>
      <c r="BQ633" s="44">
        <f t="shared" ref="BQ633" si="3334">BP553-BQ553-BQ535</f>
        <v>107.19554436</v>
      </c>
      <c r="BR633" s="44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4">
        <f t="shared" ref="CV633" si="3335">CU553-CV553-CV535</f>
        <v>0</v>
      </c>
      <c r="CW633" s="44">
        <f>SUM(AR633:AS633)</f>
        <v>0</v>
      </c>
      <c r="CX633" s="44">
        <f>SUM(AT633:AU633)</f>
        <v>0</v>
      </c>
      <c r="CY633" s="44">
        <f>SUM(AV633:AW633)</f>
        <v>0</v>
      </c>
      <c r="CZ633" s="45">
        <f>SUM(AX633:AY633)</f>
        <v>0</v>
      </c>
      <c r="DA633" s="44">
        <f t="shared" ref="DA633:DA634" si="3336">SUM(AZ633:BA633)</f>
        <v>0</v>
      </c>
      <c r="DB633" s="44">
        <f>SUM(BB633:BC633)</f>
        <v>0</v>
      </c>
      <c r="DC633" s="44">
        <f>SUM(BD633:BE633)</f>
        <v>0</v>
      </c>
      <c r="DD633" s="44">
        <f>SUM(BF633:BG633)</f>
        <v>0</v>
      </c>
      <c r="DE633" s="44">
        <f>SUM(BH633:BI633)</f>
        <v>35.731848119999995</v>
      </c>
      <c r="DF633" s="44">
        <f>SUM(BJ633:BK633)</f>
        <v>107.19554436000001</v>
      </c>
      <c r="DG633" s="44">
        <f>SUM(BL633:BM633)</f>
        <v>142.92739247999998</v>
      </c>
      <c r="DH633" s="44">
        <f>SUM(BN633:BO633)</f>
        <v>190.56985664000001</v>
      </c>
      <c r="DI633" s="44">
        <f>SUM(BP633:BQ633)</f>
        <v>214.39108872</v>
      </c>
    </row>
    <row r="634" spans="1:113" ht="12" hidden="1" outlineLevel="1">
      <c r="A634" s="1" t="s">
        <v>744</v>
      </c>
      <c r="B634" s="19" t="str">
        <f>B537</f>
        <v>Net shares issued</v>
      </c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4">
        <f t="shared" ref="AP634:BI634" si="3337">-AP537</f>
        <v>-113.7</v>
      </c>
      <c r="AQ634" s="44">
        <f t="shared" ref="AQ634:AR634" si="3338">-AQ537</f>
        <v>-387.70000000000005</v>
      </c>
      <c r="AR634" s="44">
        <f t="shared" si="3338"/>
        <v>-367</v>
      </c>
      <c r="AS634" s="44">
        <f t="shared" ref="AS634:AT634" si="3339">-AS537</f>
        <v>-4.8999999999999995</v>
      </c>
      <c r="AT634" s="44">
        <f t="shared" si="3339"/>
        <v>0</v>
      </c>
      <c r="AU634" s="44">
        <f t="shared" ref="AU634:AV634" si="3340">-AU537</f>
        <v>0</v>
      </c>
      <c r="AV634" s="44">
        <f t="shared" si="3340"/>
        <v>0</v>
      </c>
      <c r="AW634" s="44">
        <f t="shared" ref="AW634:AX634" si="3341">-AW537</f>
        <v>0</v>
      </c>
      <c r="AX634" s="44">
        <f t="shared" si="3341"/>
        <v>0</v>
      </c>
      <c r="AY634" s="44">
        <f t="shared" si="3337"/>
        <v>0</v>
      </c>
      <c r="AZ634" s="45">
        <f t="shared" si="3337"/>
        <v>0</v>
      </c>
      <c r="BA634" s="44">
        <f t="shared" si="3337"/>
        <v>0</v>
      </c>
      <c r="BB634" s="44">
        <f t="shared" si="3337"/>
        <v>0</v>
      </c>
      <c r="BC634" s="44">
        <f t="shared" si="3337"/>
        <v>0</v>
      </c>
      <c r="BD634" s="44">
        <f t="shared" si="3337"/>
        <v>-144.30643690654421</v>
      </c>
      <c r="BE634" s="44">
        <f t="shared" si="3337"/>
        <v>0</v>
      </c>
      <c r="BF634" s="44">
        <f t="shared" si="3337"/>
        <v>0</v>
      </c>
      <c r="BG634" s="44">
        <f t="shared" si="3337"/>
        <v>0</v>
      </c>
      <c r="BH634" s="44">
        <f t="shared" si="3337"/>
        <v>0</v>
      </c>
      <c r="BI634" s="44">
        <f t="shared" si="3337"/>
        <v>0</v>
      </c>
      <c r="BJ634" s="44">
        <f t="shared" ref="BJ634:BK634" si="3342">-BJ537</f>
        <v>0</v>
      </c>
      <c r="BK634" s="44">
        <f t="shared" si="3342"/>
        <v>0</v>
      </c>
      <c r="BL634" s="44">
        <f t="shared" ref="BL634:BM634" si="3343">-BL537</f>
        <v>0</v>
      </c>
      <c r="BM634" s="44">
        <f t="shared" si="3343"/>
        <v>0</v>
      </c>
      <c r="BN634" s="44">
        <f t="shared" ref="BN634:BO634" si="3344">-BN537</f>
        <v>0</v>
      </c>
      <c r="BO634" s="44">
        <f t="shared" si="3344"/>
        <v>0</v>
      </c>
      <c r="BP634" s="44">
        <f t="shared" ref="BP634:BQ634" si="3345">-BP537</f>
        <v>0</v>
      </c>
      <c r="BQ634" s="44">
        <f t="shared" si="3345"/>
        <v>0</v>
      </c>
      <c r="BR634" s="44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4">
        <f t="shared" ref="CV634" si="3346">-CV537</f>
        <v>0</v>
      </c>
      <c r="CW634" s="44">
        <f>SUM(AR634:AS634)</f>
        <v>-371.9</v>
      </c>
      <c r="CX634" s="44">
        <f>SUM(AT634:AU634)</f>
        <v>0</v>
      </c>
      <c r="CY634" s="44">
        <f>SUM(AV634:AW634)</f>
        <v>0</v>
      </c>
      <c r="CZ634" s="45">
        <f>SUM(AX634:AY634)</f>
        <v>0</v>
      </c>
      <c r="DA634" s="44">
        <f t="shared" si="3336"/>
        <v>0</v>
      </c>
      <c r="DB634" s="44">
        <f>SUM(BB634:BC634)</f>
        <v>0</v>
      </c>
      <c r="DC634" s="44">
        <f>SUM(BD634:BE634)</f>
        <v>-144.30643690654421</v>
      </c>
      <c r="DD634" s="44">
        <f>SUM(BF634:BG634)</f>
        <v>0</v>
      </c>
      <c r="DE634" s="44">
        <f>SUM(BH634:BI634)</f>
        <v>0</v>
      </c>
      <c r="DF634" s="44">
        <f>SUM(BJ634:BK634)</f>
        <v>0</v>
      </c>
      <c r="DG634" s="44">
        <f>SUM(BL634:BM634)</f>
        <v>0</v>
      </c>
      <c r="DH634" s="44">
        <f>SUM(BN634:BO634)</f>
        <v>0</v>
      </c>
      <c r="DI634" s="44">
        <f>SUM(BP634:BQ634)</f>
        <v>0</v>
      </c>
    </row>
    <row r="635" spans="1:113" s="24" customFormat="1" ht="12" hidden="1" outlineLevel="1">
      <c r="A635" s="1" t="s">
        <v>894</v>
      </c>
      <c r="B635" s="24" t="str">
        <f>B631</f>
        <v>Distributed cash flow</v>
      </c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  <c r="AA635" s="55"/>
      <c r="AB635" s="55"/>
      <c r="AC635" s="55"/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/>
      <c r="AP635" s="526">
        <f t="shared" ref="AP635:BI635" si="3347">SUM(AP633:AP634)</f>
        <v>-113.7</v>
      </c>
      <c r="AQ635" s="526">
        <f t="shared" ref="AQ635:AR635" si="3348">SUM(AQ633:AQ634)</f>
        <v>-387.70000000000005</v>
      </c>
      <c r="AR635" s="526">
        <f t="shared" si="3348"/>
        <v>-367</v>
      </c>
      <c r="AS635" s="526">
        <f t="shared" ref="AS635:AT635" si="3349">SUM(AS633:AS634)</f>
        <v>-4.8999999999999995</v>
      </c>
      <c r="AT635" s="526">
        <f t="shared" si="3349"/>
        <v>0</v>
      </c>
      <c r="AU635" s="526">
        <f t="shared" ref="AU635:AV635" si="3350">SUM(AU633:AU634)</f>
        <v>0</v>
      </c>
      <c r="AV635" s="526">
        <f t="shared" si="3350"/>
        <v>0</v>
      </c>
      <c r="AW635" s="526">
        <f t="shared" ref="AW635:AX635" si="3351">SUM(AW633:AW634)</f>
        <v>0</v>
      </c>
      <c r="AX635" s="526">
        <f t="shared" si="3351"/>
        <v>0</v>
      </c>
      <c r="AY635" s="526">
        <f t="shared" si="3347"/>
        <v>0</v>
      </c>
      <c r="AZ635" s="524">
        <f t="shared" si="3347"/>
        <v>0</v>
      </c>
      <c r="BA635" s="526">
        <f t="shared" si="3347"/>
        <v>0</v>
      </c>
      <c r="BB635" s="526">
        <f t="shared" si="3347"/>
        <v>0</v>
      </c>
      <c r="BC635" s="526">
        <f t="shared" si="3347"/>
        <v>0</v>
      </c>
      <c r="BD635" s="526">
        <f t="shared" si="3347"/>
        <v>-144.30643690654421</v>
      </c>
      <c r="BE635" s="526">
        <f t="shared" si="3347"/>
        <v>0</v>
      </c>
      <c r="BF635" s="526">
        <f t="shared" si="3347"/>
        <v>0</v>
      </c>
      <c r="BG635" s="526">
        <f t="shared" si="3347"/>
        <v>0</v>
      </c>
      <c r="BH635" s="526">
        <f t="shared" si="3347"/>
        <v>0</v>
      </c>
      <c r="BI635" s="526">
        <f t="shared" si="3347"/>
        <v>35.731848119999995</v>
      </c>
      <c r="BJ635" s="526">
        <f t="shared" ref="BJ635:BK635" si="3352">SUM(BJ633:BJ634)</f>
        <v>59.553080200000004</v>
      </c>
      <c r="BK635" s="526">
        <f t="shared" si="3352"/>
        <v>47.642464160000003</v>
      </c>
      <c r="BL635" s="526">
        <f t="shared" ref="BL635:BM635" si="3353">SUM(BL633:BL634)</f>
        <v>71.46369623999999</v>
      </c>
      <c r="BM635" s="526">
        <f t="shared" si="3353"/>
        <v>71.46369623999999</v>
      </c>
      <c r="BN635" s="526">
        <f t="shared" ref="BN635:BO635" si="3354">SUM(BN633:BN634)</f>
        <v>95.284928320000006</v>
      </c>
      <c r="BO635" s="526">
        <f t="shared" si="3354"/>
        <v>95.284928320000006</v>
      </c>
      <c r="BP635" s="526">
        <f t="shared" ref="BP635:BQ635" si="3355">SUM(BP633:BP634)</f>
        <v>107.19554436</v>
      </c>
      <c r="BQ635" s="526">
        <f t="shared" si="3355"/>
        <v>107.19554436</v>
      </c>
      <c r="BR635" s="526"/>
      <c r="BS635" s="55"/>
      <c r="BT635" s="55"/>
      <c r="BU635" s="55"/>
      <c r="BV635" s="55"/>
      <c r="BW635" s="55"/>
      <c r="BX635" s="55"/>
      <c r="BY635" s="55"/>
      <c r="BZ635" s="55"/>
      <c r="CA635" s="55"/>
      <c r="CB635" s="55"/>
      <c r="CC635" s="55"/>
      <c r="CD635" s="55"/>
      <c r="CE635" s="55"/>
      <c r="CF635" s="55"/>
      <c r="CG635" s="55"/>
      <c r="CH635" s="55"/>
      <c r="CI635" s="55"/>
      <c r="CJ635" s="55"/>
      <c r="CK635" s="55"/>
      <c r="CL635" s="55"/>
      <c r="CM635" s="55"/>
      <c r="CN635" s="55"/>
      <c r="CO635" s="55"/>
      <c r="CP635" s="55"/>
      <c r="CQ635" s="55"/>
      <c r="CR635" s="55"/>
      <c r="CS635" s="55"/>
      <c r="CT635" s="55"/>
      <c r="CU635" s="55"/>
      <c r="CV635" s="526">
        <f t="shared" ref="CV635:DF635" si="3356">SUM(CV633:CV634)</f>
        <v>0</v>
      </c>
      <c r="CW635" s="526">
        <f t="shared" si="3356"/>
        <v>-371.9</v>
      </c>
      <c r="CX635" s="526">
        <f t="shared" si="3356"/>
        <v>0</v>
      </c>
      <c r="CY635" s="526">
        <f t="shared" si="3356"/>
        <v>0</v>
      </c>
      <c r="CZ635" s="524">
        <f t="shared" si="3356"/>
        <v>0</v>
      </c>
      <c r="DA635" s="526">
        <f t="shared" si="3356"/>
        <v>0</v>
      </c>
      <c r="DB635" s="526">
        <f t="shared" si="3356"/>
        <v>0</v>
      </c>
      <c r="DC635" s="526">
        <f t="shared" si="3356"/>
        <v>-144.30643690654421</v>
      </c>
      <c r="DD635" s="526">
        <f t="shared" si="3356"/>
        <v>0</v>
      </c>
      <c r="DE635" s="526">
        <f t="shared" si="3356"/>
        <v>35.731848119999995</v>
      </c>
      <c r="DF635" s="526">
        <f t="shared" si="3356"/>
        <v>107.19554436000001</v>
      </c>
      <c r="DG635" s="526">
        <f t="shared" ref="DG635:DH635" si="3357">SUM(DG633:DG634)</f>
        <v>142.92739247999998</v>
      </c>
      <c r="DH635" s="526">
        <f t="shared" si="3357"/>
        <v>190.56985664000001</v>
      </c>
      <c r="DI635" s="526">
        <f t="shared" ref="DI635" si="3358">SUM(DI633:DI634)</f>
        <v>214.39108872</v>
      </c>
    </row>
    <row r="636" spans="1:113" ht="12" hidden="1" outlineLevel="1">
      <c r="A636" s="1" t="s">
        <v>745</v>
      </c>
      <c r="B636" s="19" t="s">
        <v>656</v>
      </c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4">
        <f t="shared" ref="AP636:BI636" si="3359">AP633/(1-AP128)*AP128*AP132*AP138</f>
        <v>0</v>
      </c>
      <c r="AQ636" s="44">
        <f t="shared" ref="AQ636" si="3360">AQ633/(1-AQ128)*AQ128*AQ132*AQ138</f>
        <v>0</v>
      </c>
      <c r="AR636" s="44">
        <f t="shared" ref="AR636:AW636" si="3361">AR633/(1-AR128)*AR128*AR132*AR138</f>
        <v>0</v>
      </c>
      <c r="AS636" s="44">
        <f t="shared" si="3361"/>
        <v>0</v>
      </c>
      <c r="AT636" s="44">
        <f t="shared" si="3361"/>
        <v>0</v>
      </c>
      <c r="AU636" s="44">
        <f t="shared" si="3361"/>
        <v>0</v>
      </c>
      <c r="AV636" s="44">
        <f t="shared" si="3361"/>
        <v>0</v>
      </c>
      <c r="AW636" s="44">
        <f t="shared" si="3361"/>
        <v>0</v>
      </c>
      <c r="AX636" s="44">
        <f t="shared" ref="AX636" si="3362">AX633/(1-AX128)*AX128*AX132*AX138</f>
        <v>0</v>
      </c>
      <c r="AY636" s="44">
        <f t="shared" si="3359"/>
        <v>0</v>
      </c>
      <c r="AZ636" s="45">
        <f t="shared" si="3359"/>
        <v>0</v>
      </c>
      <c r="BA636" s="44">
        <f t="shared" si="3359"/>
        <v>0</v>
      </c>
      <c r="BB636" s="44">
        <f t="shared" si="3359"/>
        <v>0</v>
      </c>
      <c r="BC636" s="44">
        <f t="shared" si="3359"/>
        <v>0</v>
      </c>
      <c r="BD636" s="44">
        <f t="shared" si="3359"/>
        <v>0</v>
      </c>
      <c r="BE636" s="44">
        <f t="shared" si="3359"/>
        <v>0</v>
      </c>
      <c r="BF636" s="44">
        <f t="shared" si="3359"/>
        <v>0</v>
      </c>
      <c r="BG636" s="44">
        <f t="shared" si="3359"/>
        <v>0</v>
      </c>
      <c r="BH636" s="44">
        <f t="shared" si="3359"/>
        <v>0</v>
      </c>
      <c r="BI636" s="44">
        <f t="shared" si="3359"/>
        <v>9.1881895165714269</v>
      </c>
      <c r="BJ636" s="44">
        <f t="shared" ref="BJ636:BK636" si="3363">BJ633/(1-BJ128)*BJ128*BJ132*BJ138</f>
        <v>15.313649194285714</v>
      </c>
      <c r="BK636" s="44">
        <f t="shared" si="3363"/>
        <v>12.250919355428573</v>
      </c>
      <c r="BL636" s="44">
        <f t="shared" ref="BL636:BM636" si="3364">BL633/(1-BL128)*BL128*BL132*BL138</f>
        <v>18.376379033142854</v>
      </c>
      <c r="BM636" s="44">
        <f t="shared" si="3364"/>
        <v>18.376379033142854</v>
      </c>
      <c r="BN636" s="44">
        <f t="shared" ref="BN636:BO636" si="3365">BN633/(1-BN128)*BN128*BN132*BN138</f>
        <v>24.501838710857147</v>
      </c>
      <c r="BO636" s="44">
        <f t="shared" si="3365"/>
        <v>24.501838710857147</v>
      </c>
      <c r="BP636" s="44">
        <f t="shared" ref="BP636:BQ636" si="3366">BP633/(1-BP128)*BP128*BP132*BP138</f>
        <v>27.564568549714288</v>
      </c>
      <c r="BQ636" s="44">
        <f t="shared" si="3366"/>
        <v>27.564568549714288</v>
      </c>
      <c r="BR636" s="44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4">
        <f t="shared" ref="CV636" si="3367">CV633/(1-CV128)*CV128*CV132*CV138</f>
        <v>0</v>
      </c>
      <c r="CW636" s="44">
        <f>SUM(AR636:AS636)</f>
        <v>0</v>
      </c>
      <c r="CX636" s="44">
        <f>SUM(AT636:AU636)</f>
        <v>0</v>
      </c>
      <c r="CY636" s="44">
        <f>SUM(AV636:AW636)</f>
        <v>0</v>
      </c>
      <c r="CZ636" s="45">
        <f>SUM(AX636:AY636)</f>
        <v>0</v>
      </c>
      <c r="DA636" s="44">
        <f>SUM(AZ636:BA636)</f>
        <v>0</v>
      </c>
      <c r="DB636" s="44">
        <f>SUM(BB636:BC636)</f>
        <v>0</v>
      </c>
      <c r="DC636" s="44">
        <f>SUM(BD636:BE636)</f>
        <v>0</v>
      </c>
      <c r="DD636" s="44">
        <f>SUM(BF636:BG636)</f>
        <v>0</v>
      </c>
      <c r="DE636" s="44">
        <f>SUM(BH636:BI636)</f>
        <v>9.1881895165714269</v>
      </c>
      <c r="DF636" s="44">
        <f>SUM(BJ636:BK636)</f>
        <v>27.564568549714288</v>
      </c>
      <c r="DG636" s="44">
        <f>SUM(BL636:BM636)</f>
        <v>36.752758066285708</v>
      </c>
      <c r="DH636" s="44">
        <f>SUM(BN636:BO636)</f>
        <v>49.003677421714293</v>
      </c>
      <c r="DI636" s="44">
        <f>SUM(BP636:BQ636)</f>
        <v>55.129137099428576</v>
      </c>
    </row>
    <row r="637" spans="1:113" s="24" customFormat="1" ht="12" hidden="1" outlineLevel="1">
      <c r="A637" s="1" t="s">
        <v>746</v>
      </c>
      <c r="B637" s="24" t="str">
        <f>B635&amp;" and value of franking credits"</f>
        <v>Distributed cash flow and value of franking credits</v>
      </c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  <c r="AA637" s="55"/>
      <c r="AB637" s="55"/>
      <c r="AC637" s="55"/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/>
      <c r="AP637" s="526">
        <f t="shared" ref="AP637:BI637" si="3368">SUM(AP635:AP636)</f>
        <v>-113.7</v>
      </c>
      <c r="AQ637" s="526">
        <f t="shared" ref="AQ637:AR637" si="3369">SUM(AQ635:AQ636)</f>
        <v>-387.70000000000005</v>
      </c>
      <c r="AR637" s="526">
        <f t="shared" si="3369"/>
        <v>-367</v>
      </c>
      <c r="AS637" s="526">
        <f t="shared" ref="AS637:AT637" si="3370">SUM(AS635:AS636)</f>
        <v>-4.8999999999999995</v>
      </c>
      <c r="AT637" s="526">
        <f t="shared" si="3370"/>
        <v>0</v>
      </c>
      <c r="AU637" s="526">
        <f t="shared" ref="AU637:AV637" si="3371">SUM(AU635:AU636)</f>
        <v>0</v>
      </c>
      <c r="AV637" s="526">
        <f t="shared" si="3371"/>
        <v>0</v>
      </c>
      <c r="AW637" s="526">
        <f t="shared" ref="AW637:AX637" si="3372">SUM(AW635:AW636)</f>
        <v>0</v>
      </c>
      <c r="AX637" s="526">
        <f t="shared" si="3372"/>
        <v>0</v>
      </c>
      <c r="AY637" s="526">
        <f t="shared" si="3368"/>
        <v>0</v>
      </c>
      <c r="AZ637" s="524">
        <f t="shared" si="3368"/>
        <v>0</v>
      </c>
      <c r="BA637" s="526">
        <f t="shared" si="3368"/>
        <v>0</v>
      </c>
      <c r="BB637" s="526">
        <f t="shared" si="3368"/>
        <v>0</v>
      </c>
      <c r="BC637" s="526">
        <f t="shared" si="3368"/>
        <v>0</v>
      </c>
      <c r="BD637" s="526">
        <f t="shared" si="3368"/>
        <v>-144.30643690654421</v>
      </c>
      <c r="BE637" s="526">
        <f t="shared" si="3368"/>
        <v>0</v>
      </c>
      <c r="BF637" s="526">
        <f t="shared" si="3368"/>
        <v>0</v>
      </c>
      <c r="BG637" s="526">
        <f t="shared" si="3368"/>
        <v>0</v>
      </c>
      <c r="BH637" s="526">
        <f t="shared" si="3368"/>
        <v>0</v>
      </c>
      <c r="BI637" s="526">
        <f t="shared" si="3368"/>
        <v>44.920037636571422</v>
      </c>
      <c r="BJ637" s="526">
        <f t="shared" ref="BJ637:BK637" si="3373">SUM(BJ635:BJ636)</f>
        <v>74.866729394285713</v>
      </c>
      <c r="BK637" s="526">
        <f t="shared" si="3373"/>
        <v>59.893383515428575</v>
      </c>
      <c r="BL637" s="526">
        <f t="shared" ref="BL637:BM637" si="3374">SUM(BL635:BL636)</f>
        <v>89.840075273142844</v>
      </c>
      <c r="BM637" s="526">
        <f t="shared" si="3374"/>
        <v>89.840075273142844</v>
      </c>
      <c r="BN637" s="526">
        <f t="shared" ref="BN637:BO637" si="3375">SUM(BN635:BN636)</f>
        <v>119.78676703085715</v>
      </c>
      <c r="BO637" s="526">
        <f t="shared" si="3375"/>
        <v>119.78676703085715</v>
      </c>
      <c r="BP637" s="526">
        <f t="shared" ref="BP637:BQ637" si="3376">SUM(BP635:BP636)</f>
        <v>134.76011290971428</v>
      </c>
      <c r="BQ637" s="526">
        <f t="shared" si="3376"/>
        <v>134.76011290971428</v>
      </c>
      <c r="BR637" s="526"/>
      <c r="BS637" s="55"/>
      <c r="BT637" s="55"/>
      <c r="BU637" s="55"/>
      <c r="BV637" s="55"/>
      <c r="BW637" s="55"/>
      <c r="BX637" s="55"/>
      <c r="BY637" s="55"/>
      <c r="BZ637" s="55"/>
      <c r="CA637" s="55"/>
      <c r="CB637" s="55"/>
      <c r="CC637" s="55"/>
      <c r="CD637" s="55"/>
      <c r="CE637" s="55"/>
      <c r="CF637" s="55"/>
      <c r="CG637" s="55"/>
      <c r="CH637" s="55"/>
      <c r="CI637" s="55"/>
      <c r="CJ637" s="55"/>
      <c r="CK637" s="55"/>
      <c r="CL637" s="55"/>
      <c r="CM637" s="55"/>
      <c r="CN637" s="55"/>
      <c r="CO637" s="55"/>
      <c r="CP637" s="55"/>
      <c r="CQ637" s="55"/>
      <c r="CR637" s="55"/>
      <c r="CS637" s="55"/>
      <c r="CT637" s="55"/>
      <c r="CU637" s="55"/>
      <c r="CV637" s="526">
        <f t="shared" ref="CV637:DF637" si="3377">SUM(CV635:CV636)</f>
        <v>0</v>
      </c>
      <c r="CW637" s="526">
        <f t="shared" si="3377"/>
        <v>-371.9</v>
      </c>
      <c r="CX637" s="526">
        <f t="shared" si="3377"/>
        <v>0</v>
      </c>
      <c r="CY637" s="526">
        <f t="shared" si="3377"/>
        <v>0</v>
      </c>
      <c r="CZ637" s="524">
        <f t="shared" si="3377"/>
        <v>0</v>
      </c>
      <c r="DA637" s="526">
        <f t="shared" si="3377"/>
        <v>0</v>
      </c>
      <c r="DB637" s="526">
        <f t="shared" si="3377"/>
        <v>0</v>
      </c>
      <c r="DC637" s="526">
        <f t="shared" si="3377"/>
        <v>-144.30643690654421</v>
      </c>
      <c r="DD637" s="526">
        <f t="shared" si="3377"/>
        <v>0</v>
      </c>
      <c r="DE637" s="526">
        <f t="shared" si="3377"/>
        <v>44.920037636571422</v>
      </c>
      <c r="DF637" s="526">
        <f t="shared" si="3377"/>
        <v>134.76011290971431</v>
      </c>
      <c r="DG637" s="526">
        <f t="shared" ref="DG637:DH637" si="3378">SUM(DG635:DG636)</f>
        <v>179.68015054628569</v>
      </c>
      <c r="DH637" s="526">
        <f t="shared" si="3378"/>
        <v>239.5735340617143</v>
      </c>
      <c r="DI637" s="526">
        <f t="shared" ref="DI637" si="3379">SUM(DI635:DI636)</f>
        <v>269.52022581942856</v>
      </c>
    </row>
    <row r="638" spans="1:113" ht="12" hidden="1" outlineLevel="1"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4"/>
      <c r="AQ638" s="44"/>
      <c r="AR638" s="44"/>
      <c r="AS638" s="44"/>
      <c r="AT638" s="44"/>
      <c r="AU638" s="44"/>
      <c r="AV638" s="44"/>
      <c r="AW638" s="44"/>
      <c r="AX638" s="44"/>
      <c r="AY638" s="44"/>
      <c r="AZ638" s="45"/>
      <c r="BA638" s="44"/>
      <c r="BB638" s="44"/>
      <c r="BC638" s="44"/>
      <c r="BD638" s="44"/>
      <c r="BE638" s="44"/>
      <c r="BF638" s="44"/>
      <c r="BG638" s="44"/>
      <c r="BH638" s="44"/>
      <c r="BI638" s="44"/>
      <c r="BJ638" s="44"/>
      <c r="BK638" s="44"/>
      <c r="BL638" s="44"/>
      <c r="BM638" s="44"/>
      <c r="BN638" s="44"/>
      <c r="BO638" s="44"/>
      <c r="BP638" s="44"/>
      <c r="BQ638" s="44"/>
      <c r="BR638" s="44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4"/>
      <c r="CW638" s="44"/>
      <c r="CX638" s="44"/>
      <c r="CY638" s="44"/>
      <c r="CZ638" s="45"/>
      <c r="DA638" s="44"/>
      <c r="DB638" s="44"/>
      <c r="DC638" s="529"/>
      <c r="DD638" s="529"/>
      <c r="DE638" s="529"/>
      <c r="DF638" s="529"/>
      <c r="DG638" s="529"/>
      <c r="DH638" s="529"/>
      <c r="DI638" s="529"/>
    </row>
    <row r="639" spans="1:113" s="5" customFormat="1" ht="12.95" hidden="1" customHeight="1" outlineLevel="1">
      <c r="A639" s="1"/>
      <c r="B639" s="6" t="s">
        <v>657</v>
      </c>
      <c r="C639" s="584"/>
      <c r="D639" s="584"/>
      <c r="E639" s="584"/>
      <c r="F639" s="584"/>
      <c r="G639" s="584"/>
      <c r="H639" s="584"/>
      <c r="I639" s="584"/>
      <c r="J639" s="584"/>
      <c r="K639" s="584"/>
      <c r="L639" s="584"/>
      <c r="M639" s="584"/>
      <c r="N639" s="584"/>
      <c r="O639" s="584"/>
      <c r="P639" s="584"/>
      <c r="Q639" s="584"/>
      <c r="R639" s="584"/>
      <c r="S639" s="584"/>
      <c r="T639" s="515"/>
      <c r="U639" s="584"/>
      <c r="V639" s="584"/>
      <c r="W639" s="584"/>
      <c r="X639" s="584"/>
      <c r="Y639" s="515"/>
      <c r="Z639" s="515"/>
      <c r="AA639" s="515"/>
      <c r="AB639" s="515"/>
      <c r="AC639" s="515"/>
      <c r="AD639" s="515"/>
      <c r="AE639" s="515"/>
      <c r="AF639" s="515"/>
      <c r="AG639" s="515"/>
      <c r="AH639" s="515"/>
      <c r="AI639" s="515"/>
      <c r="AJ639" s="515"/>
      <c r="AK639" s="515"/>
      <c r="AL639" s="515"/>
      <c r="AM639" s="515"/>
      <c r="AN639" s="515"/>
      <c r="AO639" s="515"/>
      <c r="AP639" s="621"/>
      <c r="AQ639" s="621" t="str">
        <f t="shared" ref="AQ639:AR639" si="3380">IF(ROUND(AQ631-AQ635,2)=0,"Ok","Error")</f>
        <v>Ok</v>
      </c>
      <c r="AR639" s="621" t="str">
        <f t="shared" si="3380"/>
        <v>Ok</v>
      </c>
      <c r="AS639" s="621" t="str">
        <f t="shared" ref="AS639:AT639" si="3381">IF(ROUND(AS631-AS635,2)=0,"Ok","Error")</f>
        <v>Ok</v>
      </c>
      <c r="AT639" s="621" t="str">
        <f t="shared" si="3381"/>
        <v>Ok</v>
      </c>
      <c r="AU639" s="621" t="str">
        <f t="shared" ref="AU639:AV639" si="3382">IF(ROUND(AU631-AU635,2)=0,"Ok","Error")</f>
        <v>Ok</v>
      </c>
      <c r="AV639" s="621" t="str">
        <f t="shared" si="3382"/>
        <v>Ok</v>
      </c>
      <c r="AW639" s="621" t="str">
        <f t="shared" ref="AW639:AX639" si="3383">IF(ROUND(AW631-AW635,2)=0,"Ok","Error")</f>
        <v>Ok</v>
      </c>
      <c r="AX639" s="621" t="str">
        <f t="shared" si="3383"/>
        <v>Ok</v>
      </c>
      <c r="AY639" s="621" t="str">
        <f t="shared" ref="AY639:BI639" si="3384">IF(ROUND(AY631-AY635,2)=0,"Ok","Error")</f>
        <v>Ok</v>
      </c>
      <c r="AZ639" s="589" t="str">
        <f t="shared" si="3384"/>
        <v>Ok</v>
      </c>
      <c r="BA639" s="590" t="str">
        <f t="shared" si="3384"/>
        <v>Ok</v>
      </c>
      <c r="BB639" s="590" t="str">
        <f t="shared" si="3384"/>
        <v>Ok</v>
      </c>
      <c r="BC639" s="590" t="str">
        <f t="shared" si="3384"/>
        <v>Ok</v>
      </c>
      <c r="BD639" s="590" t="str">
        <f t="shared" si="3384"/>
        <v>Ok</v>
      </c>
      <c r="BE639" s="590" t="str">
        <f t="shared" si="3384"/>
        <v>Ok</v>
      </c>
      <c r="BF639" s="590" t="str">
        <f t="shared" si="3384"/>
        <v>Ok</v>
      </c>
      <c r="BG639" s="590" t="str">
        <f t="shared" si="3384"/>
        <v>Ok</v>
      </c>
      <c r="BH639" s="590" t="str">
        <f t="shared" si="3384"/>
        <v>Ok</v>
      </c>
      <c r="BI639" s="590" t="str">
        <f t="shared" si="3384"/>
        <v>Ok</v>
      </c>
      <c r="BJ639" s="590" t="str">
        <f t="shared" ref="BJ639:BK639" si="3385">IF(ROUND(BJ631-BJ635,2)=0,"Ok","Error")</f>
        <v>Ok</v>
      </c>
      <c r="BK639" s="590" t="str">
        <f t="shared" si="3385"/>
        <v>Ok</v>
      </c>
      <c r="BL639" s="590" t="str">
        <f t="shared" ref="BL639:BM639" si="3386">IF(ROUND(BL631-BL635,2)=0,"Ok","Error")</f>
        <v>Ok</v>
      </c>
      <c r="BM639" s="590" t="str">
        <f t="shared" si="3386"/>
        <v>Ok</v>
      </c>
      <c r="BN639" s="590" t="str">
        <f t="shared" ref="BN639:BO639" si="3387">IF(ROUND(BN631-BN635,2)=0,"Ok","Error")</f>
        <v>Ok</v>
      </c>
      <c r="BO639" s="590" t="str">
        <f t="shared" si="3387"/>
        <v>Ok</v>
      </c>
      <c r="BP639" s="590" t="str">
        <f t="shared" ref="BP639:BQ639" si="3388">IF(ROUND(BP631-BP635,2)=0,"Ok","Error")</f>
        <v>Ok</v>
      </c>
      <c r="BQ639" s="590" t="str">
        <f t="shared" si="3388"/>
        <v>Ok</v>
      </c>
      <c r="BR639" s="599"/>
      <c r="BS639" s="418"/>
      <c r="BT639" s="418"/>
      <c r="BU639" s="418"/>
      <c r="BV639" s="418"/>
      <c r="BW639" s="418"/>
      <c r="BX639" s="418"/>
      <c r="BY639" s="418"/>
      <c r="BZ639" s="418"/>
      <c r="CA639" s="418"/>
      <c r="CB639" s="418"/>
      <c r="CC639" s="418"/>
      <c r="CD639" s="418"/>
      <c r="CE639" s="418"/>
      <c r="CF639" s="418"/>
      <c r="CG639" s="418"/>
      <c r="CH639" s="418"/>
      <c r="CI639" s="418"/>
      <c r="CJ639" s="418"/>
      <c r="CK639" s="418"/>
      <c r="CL639" s="418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621"/>
      <c r="CW639" s="621" t="str">
        <f t="shared" ref="CW639:DF639" si="3389">IF(ROUND(CW631-CW635,2)=0,"Ok","Error")</f>
        <v>Ok</v>
      </c>
      <c r="CX639" s="621" t="str">
        <f t="shared" si="3389"/>
        <v>Ok</v>
      </c>
      <c r="CY639" s="621" t="str">
        <f t="shared" si="3389"/>
        <v>Ok</v>
      </c>
      <c r="CZ639" s="583" t="str">
        <f t="shared" si="3389"/>
        <v>Ok</v>
      </c>
      <c r="DA639" s="418" t="str">
        <f t="shared" si="3389"/>
        <v>Ok</v>
      </c>
      <c r="DB639" s="418" t="str">
        <f t="shared" si="3389"/>
        <v>Ok</v>
      </c>
      <c r="DC639" s="418" t="str">
        <f t="shared" si="3389"/>
        <v>Ok</v>
      </c>
      <c r="DD639" s="418" t="str">
        <f t="shared" si="3389"/>
        <v>Ok</v>
      </c>
      <c r="DE639" s="418" t="str">
        <f t="shared" si="3389"/>
        <v>Ok</v>
      </c>
      <c r="DF639" s="418" t="str">
        <f t="shared" si="3389"/>
        <v>Ok</v>
      </c>
      <c r="DG639" s="418" t="str">
        <f t="shared" ref="DG639:DH639" si="3390">IF(ROUND(DG631-DG635,2)=0,"Ok","Error")</f>
        <v>Ok</v>
      </c>
      <c r="DH639" s="418" t="str">
        <f t="shared" si="3390"/>
        <v>Ok</v>
      </c>
      <c r="DI639" s="418" t="str">
        <f t="shared" ref="DI639" si="3391">IF(ROUND(DI631-DI635,2)=0,"Ok","Error")</f>
        <v>Ok</v>
      </c>
    </row>
    <row r="640" spans="1:113" ht="12" collapsed="1">
      <c r="AP640" s="44"/>
      <c r="AQ640" s="44"/>
      <c r="AR640" s="44"/>
      <c r="AS640" s="44"/>
      <c r="AT640" s="44"/>
      <c r="AU640" s="44"/>
      <c r="AV640" s="44"/>
      <c r="AW640" s="44"/>
      <c r="AX640" s="44"/>
      <c r="AY640" s="44"/>
      <c r="AZ640" s="45"/>
      <c r="BA640" s="44"/>
      <c r="BB640" s="44"/>
      <c r="BC640" s="44"/>
      <c r="BD640" s="44"/>
      <c r="BE640" s="44"/>
      <c r="BF640" s="44"/>
      <c r="BG640" s="44"/>
      <c r="BH640" s="44"/>
      <c r="BI640" s="44"/>
      <c r="BJ640" s="44"/>
      <c r="BK640" s="44"/>
      <c r="BL640" s="44"/>
      <c r="BM640" s="44"/>
      <c r="BN640" s="44"/>
      <c r="BO640" s="44"/>
      <c r="BP640" s="44"/>
      <c r="BQ640" s="44"/>
      <c r="BR640" s="44"/>
      <c r="CV640" s="44"/>
      <c r="CW640" s="44"/>
      <c r="CX640" s="44"/>
      <c r="CY640" s="44"/>
      <c r="DC640" s="19"/>
      <c r="DD640" s="19"/>
      <c r="DE640" s="19"/>
      <c r="DF640" s="19"/>
      <c r="DG640" s="19"/>
      <c r="DH640" s="19"/>
      <c r="DI640" s="19"/>
    </row>
    <row r="641" spans="1:113" s="36" customFormat="1" ht="12" collapsed="1">
      <c r="A641" s="1" t="s">
        <v>747</v>
      </c>
      <c r="B641" s="2" t="s">
        <v>658</v>
      </c>
      <c r="C641" s="619"/>
      <c r="D641" s="619"/>
      <c r="E641" s="619"/>
      <c r="F641" s="619"/>
      <c r="G641" s="619"/>
      <c r="H641" s="619"/>
      <c r="I641" s="619"/>
      <c r="J641" s="619"/>
      <c r="K641" s="619"/>
      <c r="L641" s="619"/>
      <c r="M641" s="619"/>
      <c r="N641" s="619"/>
      <c r="O641" s="619"/>
      <c r="P641" s="619"/>
      <c r="Q641" s="619"/>
      <c r="R641" s="619"/>
      <c r="S641" s="619"/>
      <c r="T641" s="619"/>
      <c r="U641" s="619"/>
      <c r="V641" s="619"/>
      <c r="W641" s="619"/>
      <c r="X641" s="619"/>
      <c r="Y641" s="619"/>
      <c r="Z641" s="619"/>
      <c r="AA641" s="619"/>
      <c r="AB641" s="619"/>
      <c r="AC641" s="619"/>
      <c r="AD641" s="619"/>
      <c r="AE641" s="619"/>
      <c r="AF641" s="619"/>
      <c r="AG641" s="619"/>
      <c r="AH641" s="619"/>
      <c r="AI641" s="619"/>
      <c r="AJ641" s="619"/>
      <c r="AK641" s="619"/>
      <c r="AL641" s="619"/>
      <c r="AM641" s="619"/>
      <c r="AN641" s="619"/>
      <c r="AO641" s="619"/>
      <c r="AP641" s="527"/>
      <c r="AQ641" s="527"/>
      <c r="AR641" s="527"/>
      <c r="AS641" s="527"/>
      <c r="AT641" s="527"/>
      <c r="AU641" s="527"/>
      <c r="AV641" s="527"/>
      <c r="AW641" s="527"/>
      <c r="AX641" s="527"/>
      <c r="AY641" s="527"/>
      <c r="AZ641" s="528"/>
      <c r="BA641" s="527"/>
      <c r="BB641" s="527"/>
      <c r="BC641" s="527"/>
      <c r="BD641" s="527"/>
      <c r="BE641" s="527"/>
      <c r="BF641" s="527"/>
      <c r="BG641" s="527"/>
      <c r="BH641" s="527"/>
      <c r="BI641" s="527"/>
      <c r="BJ641" s="527"/>
      <c r="BK641" s="527"/>
      <c r="BL641" s="527"/>
      <c r="BM641" s="527"/>
      <c r="BN641" s="527"/>
      <c r="BO641" s="527"/>
      <c r="BP641" s="527"/>
      <c r="BQ641" s="527"/>
      <c r="BR641" s="527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>
        <f t="shared" ref="CV641:DI641" ca="1" si="3392">CV653</f>
        <v>1.0312882988812502</v>
      </c>
      <c r="CW641" s="64">
        <f t="shared" ca="1" si="3392"/>
        <v>1.478025023257634</v>
      </c>
      <c r="CX641" s="64">
        <f t="shared" ca="1" si="3392"/>
        <v>1.6361737022262042</v>
      </c>
      <c r="CY641" s="64">
        <f t="shared" ca="1" si="3392"/>
        <v>1.8050708106097235</v>
      </c>
      <c r="CZ641" s="65">
        <f t="shared" ca="1" si="3392"/>
        <v>1.9832226826392139</v>
      </c>
      <c r="DA641" s="64">
        <f t="shared" ca="1" si="3392"/>
        <v>2.1888164595712323</v>
      </c>
      <c r="DB641" s="64">
        <f t="shared" ca="1" si="3392"/>
        <v>2.4230198207453539</v>
      </c>
      <c r="DC641" s="64">
        <f t="shared" ca="1" si="3392"/>
        <v>2.6458000519672207</v>
      </c>
      <c r="DD641" s="64">
        <f t="shared" ca="1" si="3392"/>
        <v>2.9289006575277132</v>
      </c>
      <c r="DE641" s="64">
        <f t="shared" ca="1" si="3392"/>
        <v>3.2045787421688927</v>
      </c>
      <c r="DF641" s="64">
        <f t="shared" ca="1" si="3392"/>
        <v>3.434325810438108</v>
      </c>
      <c r="DG641" s="64">
        <f t="shared" ca="1" si="3392"/>
        <v>3.6509415292978424</v>
      </c>
      <c r="DH641" s="64">
        <f t="shared" ca="1" si="3392"/>
        <v>3.8404494157898541</v>
      </c>
      <c r="DI641" s="64">
        <f t="shared" ca="1" si="3392"/>
        <v>4.0250917889936542</v>
      </c>
    </row>
    <row r="642" spans="1:113" ht="12" hidden="1" outlineLevel="1">
      <c r="AP642" s="44"/>
      <c r="AQ642" s="44"/>
      <c r="AR642" s="44"/>
      <c r="AS642" s="44"/>
      <c r="AT642" s="44"/>
      <c r="AU642" s="44"/>
      <c r="AV642" s="44"/>
      <c r="AW642" s="44"/>
      <c r="AX642" s="44"/>
      <c r="AY642" s="44"/>
      <c r="AZ642" s="45"/>
      <c r="BA642" s="44"/>
      <c r="BB642" s="44"/>
      <c r="BC642" s="44"/>
      <c r="BD642" s="44"/>
      <c r="BE642" s="44"/>
      <c r="BF642" s="44"/>
      <c r="BG642" s="44"/>
      <c r="BH642" s="44"/>
      <c r="BI642" s="44"/>
      <c r="BJ642" s="44"/>
      <c r="BK642" s="44"/>
      <c r="BL642" s="44"/>
      <c r="BM642" s="44"/>
      <c r="BN642" s="44"/>
      <c r="BO642" s="44"/>
      <c r="BP642" s="44"/>
      <c r="BQ642" s="44"/>
      <c r="BR642" s="44"/>
      <c r="CP642" s="285"/>
      <c r="DC642" s="19"/>
      <c r="DD642" s="19"/>
      <c r="DE642" s="19"/>
      <c r="DF642" s="19"/>
      <c r="DG642" s="19"/>
      <c r="DH642" s="19"/>
      <c r="DI642" s="19"/>
    </row>
    <row r="643" spans="1:113" ht="12" hidden="1" outlineLevel="1">
      <c r="A643" s="1" t="s">
        <v>748</v>
      </c>
      <c r="B643" s="19" t="s">
        <v>659</v>
      </c>
      <c r="AP643" s="44"/>
      <c r="AQ643" s="44"/>
      <c r="AR643" s="44"/>
      <c r="AS643" s="44"/>
      <c r="AT643" s="44"/>
      <c r="AU643" s="44"/>
      <c r="AV643" s="44"/>
      <c r="AW643" s="44"/>
      <c r="AX643" s="44"/>
      <c r="AY643" s="44"/>
      <c r="AZ643" s="45"/>
      <c r="BA643" s="44"/>
      <c r="BB643" s="44"/>
      <c r="BC643" s="44"/>
      <c r="BD643" s="44"/>
      <c r="BE643" s="44"/>
      <c r="BF643" s="44"/>
      <c r="BG643" s="44"/>
      <c r="BH643" s="44"/>
      <c r="BI643" s="44"/>
      <c r="BJ643" s="44"/>
      <c r="BK643" s="44"/>
      <c r="BL643" s="44"/>
      <c r="BM643" s="44"/>
      <c r="BN643" s="44"/>
      <c r="BO643" s="44"/>
      <c r="BP643" s="44"/>
      <c r="BQ643" s="44"/>
      <c r="BR643" s="44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V643" s="42">
        <f ca="1">IF(CV$1=Summary!$G$3,0,NPV(Summary!$G$8,OFFSET(CV631,0,1,1,MATCH(Summary!$G$3,CW$1:$KF$1,0))))</f>
        <v>-193.51231648414378</v>
      </c>
      <c r="CW643" s="42">
        <f ca="1">IF(CW$1=Summary!$G$3,0,NPV(Summary!$G$8,OFFSET(CW631,0,1,1,MATCH(Summary!$G$3,CX$1:$KE$1,0))))</f>
        <v>157.68186565205312</v>
      </c>
      <c r="CX643" s="42">
        <f ca="1">IF(CX$1=Summary!$G$3,0,NPV(Summary!$G$8,OFFSET(CX631,0,1,1,MATCH(Summary!$G$3,CY$1:$KE$1,0))))</f>
        <v>174.55382527682266</v>
      </c>
      <c r="CY643" s="42">
        <f ca="1">IF(CY$1=Summary!$G$3,0,NPV(Summary!$G$8,OFFSET(CY631,0,1,1,MATCH(Summary!$G$3,CZ$1:$KE$1,0))))</f>
        <v>193.2310845814427</v>
      </c>
      <c r="CZ643" s="43">
        <f ca="1">IF(CZ$1=Summary!$G$3,0,NPV(Summary!$G$8,OFFSET(CZ631,0,1,1,MATCH(Summary!$G$3,DA$1:$KE$1,0))))</f>
        <v>213.90681063165709</v>
      </c>
      <c r="DA643" s="42">
        <f ca="1">IF(DA$1=Summary!$G$3,0,NPV(Summary!$G$8,OFFSET(DA631,0,1,1,MATCH(Summary!$G$3,DB$1:$KE$1,0))))</f>
        <v>236.79483936924419</v>
      </c>
      <c r="DB643" s="42">
        <f ca="1">IF(DB$1=Summary!$G$3,0,NPV(Summary!$G$8,OFFSET(DB631,0,1,1,MATCH(Summary!$G$3,DC$1:$KE$1,0))))</f>
        <v>262.13188718175309</v>
      </c>
      <c r="DC643" s="42">
        <f ca="1">IF(DC$1=Summary!$G$3,0,NPV(Summary!$G$8,OFFSET(DC631,0,1,1,MATCH(Summary!$G$3,DD$1:$KE$1,0))))</f>
        <v>434.4864360167453</v>
      </c>
      <c r="DD643" s="42">
        <f ca="1">IF(DD$1=Summary!$G$3,0,NPV(Summary!$G$8,OFFSET(DD631,0,1,1,MATCH(Summary!$G$3,DE$1:$KE$1,0))))</f>
        <v>480.97648467053654</v>
      </c>
      <c r="DE643" s="42">
        <f ca="1">IF(DE$1=Summary!$G$3,0,NPV(Summary!$G$8,OFFSET(DE631,0,1,1,MATCH(Summary!$G$3,DF$1:$KE$1,0))))</f>
        <v>496.70912041028407</v>
      </c>
      <c r="DF643" s="42">
        <f ca="1">IF(DF$1=Summary!$G$3,0,NPV(Summary!$G$8,OFFSET(DF631,0,1,1,MATCH(Summary!$G$3,DG$1:$KE$1,0))))</f>
        <v>442.66145193418475</v>
      </c>
      <c r="DG643" s="42">
        <f ca="1">IF(DG$1=Summary!$G$3,0,NPV(Summary!$G$8,OFFSET(DG631,0,1,1,MATCH(Summary!$G$3,DH$1:$KE$1,0))))</f>
        <v>347.09883481114235</v>
      </c>
      <c r="DH643" s="42">
        <f ca="1">IF(DH$1=Summary!$G$3,0,NPV(Summary!$G$8,OFFSET(DH631,0,1,1,MATCH(Summary!$G$3,DI$1:$KE$1,0))))</f>
        <v>193.66855349593484</v>
      </c>
      <c r="DI643" s="42">
        <f ca="1">IF(DI$1=Summary!$G$3,0,NPV(Summary!$G$8,OFFSET(DI631,0,1,1,MATCH(Summary!$G$3,DJ$1:$KE$1,0))))</f>
        <v>0</v>
      </c>
    </row>
    <row r="644" spans="1:113" ht="12" hidden="1" outlineLevel="1">
      <c r="A644" s="1" t="s">
        <v>6</v>
      </c>
      <c r="B644" s="19" t="s">
        <v>660</v>
      </c>
      <c r="AP644" s="44"/>
      <c r="AQ644" s="44"/>
      <c r="AR644" s="44"/>
      <c r="AS644" s="44"/>
      <c r="AT644" s="44"/>
      <c r="AU644" s="44"/>
      <c r="AV644" s="44"/>
      <c r="AW644" s="44"/>
      <c r="AX644" s="44"/>
      <c r="AY644" s="44"/>
      <c r="AZ644" s="45"/>
      <c r="BA644" s="44"/>
      <c r="BB644" s="44"/>
      <c r="BC644" s="44"/>
      <c r="BD644" s="44"/>
      <c r="BE644" s="44"/>
      <c r="BF644" s="44"/>
      <c r="BG644" s="44"/>
      <c r="BH644" s="44"/>
      <c r="BI644" s="44"/>
      <c r="BJ644" s="44"/>
      <c r="BK644" s="44"/>
      <c r="BL644" s="44"/>
      <c r="BM644" s="44"/>
      <c r="BN644" s="44"/>
      <c r="BO644" s="44"/>
      <c r="BP644" s="44"/>
      <c r="BQ644" s="44"/>
      <c r="BR644" s="44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V644" s="42">
        <f ca="1">IF(CV$1=Summary!$G$3,((CV515-CV595*CV318*(1-CV129))*(1+Summary!$G$4)-(CV613*CV151-(CV556+CV577))*Summary!$G$4)/(Summary!$G$8-Summary!$G$4)+CV595,(((OFFSET(CV515,0,MATCH(Summary!$G$3,CW$1:$KD$1,0),1,1)-OFFSET(CV595,0,MATCH(Summary!$G$3,CW$1:$KD$1,0),1,1)*OFFSET(CV318,0,MATCH(Summary!$G$3,CW$1:$KD$1,0),1,1)*(1-OFFSET(CV129,0,MATCH(Summary!$G$3,CW$1:$KD$1,0),1,1)))*(1+Summary!$G$4)-((OFFSET(CV613,0,MATCH(Summary!$G$3,CW$1:$KD$1,0),1,1)*OFFSET(CV151,0,MATCH(Summary!$G$3,CW$1:$KD$1,0),1,1)-(OFFSET(CV556,0,MATCH(Summary!$G$3,CW$1:$KD$1,0),1,1)+OFFSET(CV577,0,MATCH(Summary!$G$3,CW$1:$KD$1,0),1,1)))*Summary!$G$4))/(Summary!$G$8-Summary!$G$4)+OFFSET(CV595,0,MATCH(Summary!$G$3,CW$1:$KD$1,0),1,1))/(1+Summary!$G$8)^COUNTA(OFFSET(CV$1,0,0,1,MATCH(Summary!$G$3,CW$1:$KD$1,0))))</f>
        <v>1094.9543206348737</v>
      </c>
      <c r="CW644" s="42">
        <f ca="1">IF(CW$1=Summary!$G$3,((CW515-CW595*CW318*(1-CW129))*(1+Summary!$G$4)-CW613*Summary!$G$4*CW151)/(Summary!$G$8-Summary!$G$4)+CW595,(((OFFSET(CW515,0,MATCH(Summary!$G$3,CX$1:$KE$1,0),1,1)-OFFSET(CW595,0,MATCH(Summary!$G$3,CX$1:$KE$1,0),1,1)*OFFSET(CW318,0,MATCH(Summary!$G$3,CX$1:$KE$1,0),1,1)*(1-OFFSET(CW129,0,MATCH(Summary!$G$3,CX$1:$KE$1,0),1,1)))*(1+Summary!$G$4)-OFFSET(CW613,0,MATCH(Summary!$G$3,CX$1:$KE$1,0),1,1)*Summary!$G$4*OFFSET(CW151,0,MATCH(Summary!$G$3,CX$1:$KE$1,0),1,1))/(Summary!$G$8-Summary!$G$4)+OFFSET(CW595,0,MATCH(Summary!$G$3,CX$1:$KE$1,0),1,1))/(1+Summary!$G$8)^COUNTA(OFFSET(CW$1,0,0,1,MATCH(Summary!$G$3,CX$1:$KE$1,0))))</f>
        <v>1212.1144329428055</v>
      </c>
      <c r="CX644" s="42">
        <f ca="1">IF(CX$1=Summary!$G$3,((CX515-CX595*CX318*(1-CX129))*(1+Summary!$G$4)-CX613*Summary!$G$4*CX151)/(Summary!$G$8-Summary!$G$4)+CX595,(((OFFSET(CX515,0,MATCH(Summary!$G$3,CY$1:$KE$1,0),1,1)-OFFSET(CX595,0,MATCH(Summary!$G$3,CY$1:$KE$1,0),1,1)*OFFSET(CX318,0,MATCH(Summary!$G$3,CY$1:$KE$1,0),1,1)*(1-OFFSET(CX129,0,MATCH(Summary!$G$3,CY$1:$KE$1,0),1,1)))*(1+Summary!$G$4)-OFFSET(CX613,0,MATCH(Summary!$G$3,CY$1:$KE$1,0),1,1)*Summary!$G$4*OFFSET(CX151,0,MATCH(Summary!$G$3,CY$1:$KE$1,0),1,1))/(Summary!$G$8-Summary!$G$4)+OFFSET(CX595,0,MATCH(Summary!$G$3,CY$1:$KE$1,0),1,1))/(1+Summary!$G$8)^COUNTA(OFFSET(CX$1,0,0,1,MATCH(Summary!$G$3,CY$1:$KE$1,0))))</f>
        <v>1341.8106772676858</v>
      </c>
      <c r="CY644" s="42">
        <f ca="1">IF(CY$1=Summary!$G$3,((CY515-CY595*CY318*(1-CY129))*(1+Summary!$G$4)-CY613*Summary!$G$4*CY151)/(Summary!$G$8-Summary!$G$4)+CY595,(((OFFSET(CY515,0,MATCH(Summary!$G$3,CZ$1:$KE$1,0),1,1)-OFFSET(CY595,0,MATCH(Summary!$G$3,CZ$1:$KE$1,0),1,1)*OFFSET(CY318,0,MATCH(Summary!$G$3,CZ$1:$KE$1,0),1,1)*(1-OFFSET(CY129,0,MATCH(Summary!$G$3,CZ$1:$KE$1,0),1,1)))*(1+Summary!$G$4)-OFFSET(CY613,0,MATCH(Summary!$G$3,CZ$1:$KE$1,0),1,1)*Summary!$G$4*OFFSET(CY151,0,MATCH(Summary!$G$3,CZ$1:$KE$1,0),1,1))/(Summary!$G$8-Summary!$G$4)+OFFSET(CY595,0,MATCH(Summary!$G$3,CZ$1:$KE$1,0),1,1))/(1+Summary!$G$8)^COUNTA(OFFSET(CY$1,0,0,1,MATCH(Summary!$G$3,CZ$1:$KE$1,0))))</f>
        <v>1485.384419735328</v>
      </c>
      <c r="CZ644" s="43">
        <f ca="1">IF(CZ$1=Summary!$G$3,((CZ515-CZ595*CZ318*(1-CZ129))*(1+Summary!$G$4)-CZ613*Summary!$G$4*CZ151)/(Summary!$G$8-Summary!$G$4)+CZ595,(((OFFSET(CZ515,0,MATCH(Summary!$G$3,DA$1:$KE$1,0),1,1)-OFFSET(CZ595,0,MATCH(Summary!$G$3,DA$1:$KE$1,0),1,1)*OFFSET(CZ318,0,MATCH(Summary!$G$3,DA$1:$KE$1,0),1,1)*(1-OFFSET(CZ129,0,MATCH(Summary!$G$3,DA$1:$KE$1,0),1,1)))*(1+Summary!$G$4)-OFFSET(CZ613,0,MATCH(Summary!$G$3,DA$1:$KE$1,0),1,1)*Summary!$G$4*OFFSET(CZ151,0,MATCH(Summary!$G$3,DA$1:$KE$1,0),1,1))/(Summary!$G$8-Summary!$G$4)+OFFSET(CZ595,0,MATCH(Summary!$G$3,DA$1:$KE$1,0),1,1))/(1+Summary!$G$8)^COUNTA(OFFSET(CZ$1,0,0,1,MATCH(Summary!$G$3,DA$1:$KE$1,0))))</f>
        <v>1644.3205526470085</v>
      </c>
      <c r="DA644" s="42">
        <f ca="1">IF(DA$1=Summary!$G$3,((DA515-DA595*DA318*(1-DA129))*(1+Summary!$G$4)-DA613*Summary!$G$4*DA151)/(Summary!$G$8-Summary!$G$4)+DA595,(((OFFSET(DA515,0,MATCH(Summary!$G$3,DB$1:$KE$1,0),1,1)-OFFSET(DA595,0,MATCH(Summary!$G$3,DB$1:$KE$1,0),1,1)*OFFSET(DA318,0,MATCH(Summary!$G$3,DB$1:$KE$1,0),1,1)*(1-OFFSET(DA129,0,MATCH(Summary!$G$3,DB$1:$KE$1,0),1,1)))*(1+Summary!$G$4)-OFFSET(DA613,0,MATCH(Summary!$G$3,DB$1:$KE$1,0),1,1)*Summary!$G$4*OFFSET(DA151,0,MATCH(Summary!$G$3,DB$1:$KE$1,0),1,1))/(Summary!$G$8-Summary!$G$4)+OFFSET(DA595,0,MATCH(Summary!$G$3,DB$1:$KE$1,0),1,1))/(1+Summary!$G$8)^COUNTA(OFFSET(DA$1,0,0,1,MATCH(Summary!$G$3,DB$1:$KE$1,0))))</f>
        <v>1820.2628517802382</v>
      </c>
      <c r="DB644" s="42">
        <f ca="1">IF(DB$1=Summary!$G$3,((DB515-DB595*DB318*(1-DB129))*(1+Summary!$G$4)-DB613*Summary!$G$4*DB151)/(Summary!$G$8-Summary!$G$4)+DB595,(((OFFSET(DB515,0,MATCH(Summary!$G$3,DC$1:$KE$1,0),1,1)-OFFSET(DB595,0,MATCH(Summary!$G$3,DC$1:$KE$1,0),1,1)*OFFSET(DB318,0,MATCH(Summary!$G$3,DC$1:$KE$1,0),1,1)*(1-OFFSET(DB129,0,MATCH(Summary!$G$3,DC$1:$KE$1,0),1,1)))*(1+Summary!$G$4)-OFFSET(DB613,0,MATCH(Summary!$G$3,DC$1:$KE$1,0),1,1)*Summary!$G$4*OFFSET(DB151,0,MATCH(Summary!$G$3,DC$1:$KE$1,0),1,1))/(Summary!$G$8-Summary!$G$4)+OFFSET(DB595,0,MATCH(Summary!$G$3,DC$1:$KE$1,0),1,1))/(1+Summary!$G$8)^COUNTA(OFFSET(DB$1,0,0,1,MATCH(Summary!$G$3,DC$1:$KE$1,0))))</f>
        <v>2015.0309769207236</v>
      </c>
      <c r="DC644" s="42">
        <f ca="1">IF(DC$1=Summary!$G$3,((DC515-DC595*DC318*(1-DC129))*(1+Summary!$G$4)-DC613*Summary!$G$4*DC151)/(Summary!$G$8-Summary!$G$4)+DC595,(((OFFSET(DC515,0,MATCH(Summary!$G$3,DD$1:$KE$1,0),1,1)-OFFSET(DC595,0,MATCH(Summary!$G$3,DD$1:$KE$1,0),1,1)*OFFSET(DC318,0,MATCH(Summary!$G$3,DD$1:$KE$1,0),1,1)*(1-OFFSET(DC129,0,MATCH(Summary!$G$3,DD$1:$KE$1,0),1,1)))*(1+Summary!$G$4)-OFFSET(DC613,0,MATCH(Summary!$G$3,DD$1:$KE$1,0),1,1)*Summary!$G$4*OFFSET(DC151,0,MATCH(Summary!$G$3,DD$1:$KE$1,0),1,1))/(Summary!$G$8-Summary!$G$4)+OFFSET(DC595,0,MATCH(Summary!$G$3,DD$1:$KE$1,0),1,1))/(1+Summary!$G$8)^COUNTA(OFFSET(DC$1,0,0,1,MATCH(Summary!$G$3,DD$1:$KE$1,0))))</f>
        <v>2230.6392914512408</v>
      </c>
      <c r="DD644" s="42">
        <f ca="1">IF(DD$1=Summary!$G$3,((DD515-DD595*DD318*(1-DD129))*(1+Summary!$G$4)-DD613*Summary!$G$4*DD151)/(Summary!$G$8-Summary!$G$4)+DD595,(((OFFSET(DD515,0,MATCH(Summary!$G$3,DE$1:$KE$1,0),1,1)-OFFSET(DD595,0,MATCH(Summary!$G$3,DE$1:$KE$1,0),1,1)*OFFSET(DD318,0,MATCH(Summary!$G$3,DE$1:$KE$1,0),1,1)*(1-OFFSET(DD129,0,MATCH(Summary!$G$3,DE$1:$KE$1,0),1,1)))*(1+Summary!$G$4)-OFFSET(DD613,0,MATCH(Summary!$G$3,DE$1:$KE$1,0),1,1)*Summary!$G$4*OFFSET(DD151,0,MATCH(Summary!$G$3,DE$1:$KE$1,0),1,1))/(Summary!$G$8-Summary!$G$4)+OFFSET(DD595,0,MATCH(Summary!$G$3,DE$1:$KE$1,0),1,1))/(1+Summary!$G$8)^COUNTA(OFFSET(DD$1,0,0,1,MATCH(Summary!$G$3,DE$1:$KE$1,0))))</f>
        <v>2469.3176956365237</v>
      </c>
      <c r="DE644" s="42">
        <f ca="1">IF(DE$1=Summary!$G$3,((DE515-DE595*DE318*(1-DE129))*(1+Summary!$G$4)-DE613*Summary!$G$4*DE151)/(Summary!$G$8-Summary!$G$4)+DE595,(((OFFSET(DE515,0,MATCH(Summary!$G$3,DF$1:$KE$1,0),1,1)-OFFSET(DE595,0,MATCH(Summary!$G$3,DF$1:$KE$1,0),1,1)*OFFSET(DE318,0,MATCH(Summary!$G$3,DF$1:$KE$1,0),1,1)*(1-OFFSET(DE129,0,MATCH(Summary!$G$3,DF$1:$KE$1,0),1,1)))*(1+Summary!$G$4)-OFFSET(DE613,0,MATCH(Summary!$G$3,DF$1:$KE$1,0),1,1)*Summary!$G$4*OFFSET(DE151,0,MATCH(Summary!$G$3,DF$1:$KE$1,0),1,1))/(Summary!$G$8-Summary!$G$4)+OFFSET(DE595,0,MATCH(Summary!$G$3,DF$1:$KE$1,0),1,1))/(1+Summary!$G$8)^COUNTA(OFFSET(DE$1,0,0,1,MATCH(Summary!$G$3,DF$1:$KE$1,0))))</f>
        <v>2733.5346890696319</v>
      </c>
      <c r="DF644" s="42">
        <f ca="1">IF(DF$1=Summary!$G$3,((DF515-DF595*DF318*(1-DF129))*(1+Summary!$G$4)-DF613*Summary!$G$4*DF151)/(Summary!$G$8-Summary!$G$4)+DF595,(((OFFSET(DF515,0,MATCH(Summary!$G$3,DG$1:$KE$1,0),1,1)-OFFSET(DF595,0,MATCH(Summary!$G$3,DG$1:$KE$1,0),1,1)*OFFSET(DF318,0,MATCH(Summary!$G$3,DG$1:$KE$1,0),1,1)*(1-OFFSET(DF129,0,MATCH(Summary!$G$3,DG$1:$KE$1,0),1,1)))*(1+Summary!$G$4)-OFFSET(DF613,0,MATCH(Summary!$G$3,DG$1:$KE$1,0),1,1)*Summary!$G$4*OFFSET(DF151,0,MATCH(Summary!$G$3,DG$1:$KE$1,0),1,1))/(Summary!$G$8-Summary!$G$4)+OFFSET(DF595,0,MATCH(Summary!$G$3,DG$1:$KE$1,0),1,1))/(1+Summary!$G$8)^COUNTA(OFFSET(DF$1,0,0,1,MATCH(Summary!$G$3,DG$1:$KE$1,0))))</f>
        <v>3026.0229008000829</v>
      </c>
      <c r="DG644" s="42">
        <f ca="1">IF(DG$1=Summary!$G$3,((DG515-DG595*DG318*(1-DG129))*(1+Summary!$G$4)-DG613*Summary!$G$4*DG151)/(Summary!$G$8-Summary!$G$4)+DG595,(((OFFSET(DG515,0,MATCH(Summary!$G$3,DH$1:$KE$1,0),1,1)-OFFSET(DG595,0,MATCH(Summary!$G$3,DH$1:$KE$1,0),1,1)*OFFSET(DG318,0,MATCH(Summary!$G$3,DH$1:$KE$1,0),1,1)*(1-OFFSET(DG129,0,MATCH(Summary!$G$3,DH$1:$KE$1,0),1,1)))*(1+Summary!$G$4)-OFFSET(DG613,0,MATCH(Summary!$G$3,DH$1:$KE$1,0),1,1)*Summary!$G$4*OFFSET(DG151,0,MATCH(Summary!$G$3,DH$1:$KE$1,0),1,1))/(Summary!$G$8-Summary!$G$4)+OFFSET(DG595,0,MATCH(Summary!$G$3,DH$1:$KE$1,0),1,1))/(1+Summary!$G$8)^COUNTA(OFFSET(DG$1,0,0,1,MATCH(Summary!$G$3,DH$1:$KE$1,0))))</f>
        <v>3349.8073511856915</v>
      </c>
      <c r="DH644" s="42">
        <f ca="1">IF(DH$1=Summary!$G$3,((DH515-DH595*DH318*(1-DH129))*(1+Summary!$G$4)-DH613*Summary!$G$4*DH151)/(Summary!$G$8-Summary!$G$4)+DH595,(((OFFSET(DH515,0,MATCH(Summary!$G$3,DI$1:$KE$1,0),1,1)-OFFSET(DH595,0,MATCH(Summary!$G$3,DI$1:$KE$1,0),1,1)*OFFSET(DH318,0,MATCH(Summary!$G$3,DI$1:$KE$1,0),1,1)*(1-OFFSET(DH129,0,MATCH(Summary!$G$3,DI$1:$KE$1,0),1,1)))*(1+Summary!$G$4)-OFFSET(DH613,0,MATCH(Summary!$G$3,DI$1:$KE$1,0),1,1)*Summary!$G$4*OFFSET(DH151,0,MATCH(Summary!$G$3,DI$1:$KE$1,0),1,1))/(Summary!$G$8-Summary!$G$4)+OFFSET(DH595,0,MATCH(Summary!$G$3,DI$1:$KE$1,0),1,1))/(1+Summary!$G$8)^COUNTA(OFFSET(DH$1,0,0,1,MATCH(Summary!$G$3,DI$1:$KE$1,0))))</f>
        <v>3708.2367377625606</v>
      </c>
      <c r="DI644" s="42">
        <f ca="1">IF(DI$1=Summary!$G$3,((DI515-DI595*DI318*(1-DI129))*(1+Summary!$G$4)-DI613*Summary!$G$4*DI151)/(Summary!$G$8-Summary!$G$4)+DI595,(((OFFSET(DI515,0,MATCH(Summary!$G$3,DJ$1:$KE$1,0),1,1)-OFFSET(DI595,0,MATCH(Summary!$G$3,DJ$1:$KE$1,0),1,1)*OFFSET(DI318,0,MATCH(Summary!$G$3,DJ$1:$KE$1,0),1,1)*(1-OFFSET(DI129,0,MATCH(Summary!$G$3,DJ$1:$KE$1,0),1,1)))*(1+Summary!$G$4)-OFFSET(DI613,0,MATCH(Summary!$G$3,DJ$1:$KE$1,0),1,1)*Summary!$G$4*OFFSET(DI151,0,MATCH(Summary!$G$3,DJ$1:$KE$1,0),1,1))/(Summary!$G$8-Summary!$G$4)+OFFSET(DI595,0,MATCH(Summary!$G$3,DJ$1:$KE$1,0),1,1))/(1+Summary!$G$8)^COUNTA(OFFSET(DI$1,0,0,1,MATCH(Summary!$G$3,DJ$1:$KE$1,0))))</f>
        <v>4105.0180687031543</v>
      </c>
    </row>
    <row r="645" spans="1:113" s="24" customFormat="1" ht="12" hidden="1" outlineLevel="1">
      <c r="A645" s="1" t="s">
        <v>749</v>
      </c>
      <c r="B645" s="24" t="s">
        <v>166</v>
      </c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4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13"/>
      <c r="BT645" s="55"/>
      <c r="BU645" s="55"/>
      <c r="BV645" s="55"/>
      <c r="BW645" s="55"/>
      <c r="BX645" s="55"/>
      <c r="BY645" s="55"/>
      <c r="BZ645" s="55"/>
      <c r="CA645" s="55"/>
      <c r="CB645" s="55"/>
      <c r="CC645" s="55"/>
      <c r="CD645" s="55"/>
      <c r="CE645" s="55"/>
      <c r="CF645" s="55"/>
      <c r="CG645" s="55"/>
      <c r="CH645" s="55"/>
      <c r="CI645" s="55"/>
      <c r="CJ645" s="55"/>
      <c r="CK645" s="55"/>
      <c r="CL645" s="55"/>
      <c r="CM645" s="55"/>
      <c r="CN645" s="55"/>
      <c r="CO645" s="55"/>
      <c r="CP645" s="55"/>
      <c r="CQ645" s="55"/>
      <c r="CR645" s="55"/>
      <c r="CS645" s="55"/>
      <c r="CT645" s="55"/>
      <c r="CU645" s="13"/>
      <c r="CV645" s="55">
        <f t="shared" ref="CV645:DI645" ca="1" si="3393">SUM(CV643:CV644)</f>
        <v>901.44200415072999</v>
      </c>
      <c r="CW645" s="55">
        <f t="shared" ca="1" si="3393"/>
        <v>1369.7962985948586</v>
      </c>
      <c r="CX645" s="55">
        <f t="shared" ca="1" si="3393"/>
        <v>1516.3645025445085</v>
      </c>
      <c r="CY645" s="55">
        <f t="shared" ca="1" si="3393"/>
        <v>1678.6155043167707</v>
      </c>
      <c r="CZ645" s="56">
        <f t="shared" ca="1" si="3393"/>
        <v>1858.2273632786655</v>
      </c>
      <c r="DA645" s="55">
        <f t="shared" ca="1" si="3393"/>
        <v>2057.0576911494823</v>
      </c>
      <c r="DB645" s="55">
        <f t="shared" ca="1" si="3393"/>
        <v>2277.1628641024768</v>
      </c>
      <c r="DC645" s="55">
        <f t="shared" ca="1" si="3393"/>
        <v>2665.1257274679861</v>
      </c>
      <c r="DD645" s="55">
        <f t="shared" ca="1" si="3393"/>
        <v>2950.2941803070603</v>
      </c>
      <c r="DE645" s="55">
        <f t="shared" ca="1" si="3393"/>
        <v>3230.2438094799159</v>
      </c>
      <c r="DF645" s="55">
        <f t="shared" ca="1" si="3393"/>
        <v>3468.6843527342676</v>
      </c>
      <c r="DG645" s="55">
        <f t="shared" ca="1" si="3393"/>
        <v>3696.9061859968338</v>
      </c>
      <c r="DH645" s="55">
        <f t="shared" ca="1" si="3393"/>
        <v>3901.9052912584953</v>
      </c>
      <c r="DI645" s="55">
        <f t="shared" ca="1" si="3393"/>
        <v>4105.0180687031543</v>
      </c>
    </row>
    <row r="646" spans="1:113" ht="12" hidden="1" outlineLevel="1">
      <c r="AP646" s="44"/>
      <c r="AQ646" s="44"/>
      <c r="AR646" s="44"/>
      <c r="AS646" s="44"/>
      <c r="AT646" s="44"/>
      <c r="AU646" s="44"/>
      <c r="AV646" s="44"/>
      <c r="AW646" s="44"/>
      <c r="AX646" s="44"/>
      <c r="AY646" s="44"/>
      <c r="AZ646" s="45"/>
      <c r="BA646" s="44"/>
      <c r="BB646" s="44"/>
      <c r="BC646" s="44"/>
      <c r="BD646" s="44"/>
      <c r="BE646" s="44"/>
      <c r="BF646" s="44"/>
      <c r="BG646" s="44"/>
      <c r="BH646" s="44"/>
      <c r="BI646" s="44"/>
      <c r="BJ646" s="44"/>
      <c r="BK646" s="44"/>
      <c r="BL646" s="44"/>
      <c r="BM646" s="44"/>
      <c r="BN646" s="44"/>
      <c r="BO646" s="44"/>
      <c r="BP646" s="44"/>
      <c r="BQ646" s="44"/>
      <c r="BR646" s="44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V646" s="42"/>
      <c r="CW646" s="42"/>
      <c r="CX646" s="42"/>
      <c r="CY646" s="42"/>
      <c r="CZ646" s="43"/>
      <c r="DA646" s="42"/>
      <c r="DB646" s="42"/>
      <c r="DC646" s="88"/>
      <c r="DD646" s="88"/>
      <c r="DE646" s="88"/>
      <c r="DF646" s="88"/>
      <c r="DG646" s="88"/>
      <c r="DH646" s="88"/>
      <c r="DI646" s="88"/>
    </row>
    <row r="647" spans="1:113" ht="12" hidden="1" outlineLevel="1">
      <c r="A647" s="1" t="s">
        <v>750</v>
      </c>
      <c r="B647" s="19" t="s">
        <v>661</v>
      </c>
      <c r="AP647" s="44"/>
      <c r="AQ647" s="44"/>
      <c r="AR647" s="44"/>
      <c r="AS647" s="44"/>
      <c r="AT647" s="44"/>
      <c r="AU647" s="44"/>
      <c r="AV647" s="44"/>
      <c r="AW647" s="44"/>
      <c r="AX647" s="44"/>
      <c r="AY647" s="44"/>
      <c r="AZ647" s="45"/>
      <c r="BA647" s="44"/>
      <c r="BB647" s="44"/>
      <c r="BC647" s="44"/>
      <c r="BD647" s="44"/>
      <c r="BE647" s="44"/>
      <c r="BF647" s="44"/>
      <c r="BG647" s="44"/>
      <c r="BH647" s="44"/>
      <c r="BI647" s="44"/>
      <c r="BJ647" s="44"/>
      <c r="BK647" s="44"/>
      <c r="BL647" s="44"/>
      <c r="BM647" s="44"/>
      <c r="BN647" s="44"/>
      <c r="BO647" s="44"/>
      <c r="BP647" s="44"/>
      <c r="BQ647" s="44"/>
      <c r="BR647" s="44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V647" s="42">
        <f ca="1">IF(CV$1=Summary!$G$3,0,NPV(Summary!$G$8,OFFSET(CV636,0,1,1,MATCH(Summary!$G$3,CW$1:$KF$1,0))))</f>
        <v>54.84251237844412</v>
      </c>
      <c r="CW647" s="42">
        <f ca="1">IF(CW$1=Summary!$G$3,0,NPV(Summary!$G$8,OFFSET(CW636,0,1,1,MATCH(Summary!$G$3,CX$1:$KE$1,0))))</f>
        <v>60.710661202937651</v>
      </c>
      <c r="CX647" s="42">
        <f ca="1">IF(CX$1=Summary!$G$3,0,NPV(Summary!$G$8,OFFSET(CX636,0,1,1,MATCH(Summary!$G$3,CY$1:$KE$1,0))))</f>
        <v>67.206701951651965</v>
      </c>
      <c r="CY647" s="42">
        <f ca="1">IF(CY$1=Summary!$G$3,0,NPV(Summary!$G$8,OFFSET(CY636,0,1,1,MATCH(Summary!$G$3,CZ$1:$KE$1,0))))</f>
        <v>74.397819060478739</v>
      </c>
      <c r="CZ647" s="43">
        <f ca="1">IF(CZ$1=Summary!$G$3,0,NPV(Summary!$G$8,OFFSET(CZ636,0,1,1,MATCH(Summary!$G$3,DA$1:$KE$1,0))))</f>
        <v>82.358385699949949</v>
      </c>
      <c r="DA647" s="42">
        <f ca="1">IF(DA$1=Summary!$G$3,0,NPV(Summary!$G$8,OFFSET(DA636,0,1,1,MATCH(Summary!$G$3,DB$1:$KE$1,0))))</f>
        <v>91.170732969844593</v>
      </c>
      <c r="DB647" s="42">
        <f ca="1">IF(DB$1=Summary!$G$3,0,NPV(Summary!$G$8,OFFSET(DB636,0,1,1,MATCH(Summary!$G$3,DC$1:$KE$1,0))))</f>
        <v>100.92600139761797</v>
      </c>
      <c r="DC647" s="42">
        <f ca="1">IF(DC$1=Summary!$G$3,0,NPV(Summary!$G$8,OFFSET(DC636,0,1,1,MATCH(Summary!$G$3,DD$1:$KE$1,0))))</f>
        <v>111.72508354716308</v>
      </c>
      <c r="DD647" s="42">
        <f ca="1">IF(DD$1=Summary!$G$3,0,NPV(Summary!$G$8,OFFSET(DD636,0,1,1,MATCH(Summary!$G$3,DE$1:$KE$1,0))))</f>
        <v>123.67966748670953</v>
      </c>
      <c r="DE647" s="42">
        <f ca="1">IF(DE$1=Summary!$G$3,0,NPV(Summary!$G$8,OFFSET(DE636,0,1,1,MATCH(Summary!$G$3,DF$1:$KE$1,0))))</f>
        <v>127.72520239121602</v>
      </c>
      <c r="DF647" s="42">
        <f ca="1">IF(DF$1=Summary!$G$3,0,NPV(Summary!$G$8,OFFSET(DF636,0,1,1,MATCH(Summary!$G$3,DG$1:$KE$1,0))))</f>
        <v>113.82723049736184</v>
      </c>
      <c r="DG647" s="42">
        <f ca="1">IF(DG$1=Summary!$G$3,0,NPV(Summary!$G$8,OFFSET(DG636,0,1,1,MATCH(Summary!$G$3,DH$1:$KE$1,0))))</f>
        <v>89.25398609429385</v>
      </c>
      <c r="DH647" s="42">
        <f ca="1">IF(DH$1=Summary!$G$3,0,NPV(Summary!$G$8,OFFSET(DH636,0,1,1,MATCH(Summary!$G$3,DI$1:$KE$1,0))))</f>
        <v>49.800485184668993</v>
      </c>
      <c r="DI647" s="42">
        <f ca="1">IF(DI$1=Summary!$G$3,0,NPV(Summary!$G$8,OFFSET(DI636,0,1,1,MATCH(Summary!$G$3,DJ$1:$KE$1,0))))</f>
        <v>0</v>
      </c>
    </row>
    <row r="648" spans="1:113" ht="12" hidden="1" outlineLevel="1">
      <c r="A648" s="1" t="s">
        <v>751</v>
      </c>
      <c r="B648" s="19" t="s">
        <v>546</v>
      </c>
      <c r="AP648" s="44"/>
      <c r="AQ648" s="44"/>
      <c r="AR648" s="44"/>
      <c r="AS648" s="44"/>
      <c r="AT648" s="44"/>
      <c r="AU648" s="44"/>
      <c r="AV648" s="44"/>
      <c r="AW648" s="44"/>
      <c r="AX648" s="44"/>
      <c r="AY648" s="44"/>
      <c r="AZ648" s="45"/>
      <c r="BA648" s="44"/>
      <c r="BB648" s="44"/>
      <c r="BC648" s="44"/>
      <c r="BD648" s="44"/>
      <c r="BE648" s="44"/>
      <c r="BF648" s="44"/>
      <c r="BG648" s="44"/>
      <c r="BH648" s="44"/>
      <c r="BI648" s="44"/>
      <c r="BJ648" s="44"/>
      <c r="BK648" s="44"/>
      <c r="BL648" s="44"/>
      <c r="BM648" s="44"/>
      <c r="BN648" s="44"/>
      <c r="BO648" s="44"/>
      <c r="BP648" s="44"/>
      <c r="BQ648" s="44"/>
      <c r="BR648" s="44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V648" s="42">
        <f ca="1">IF(CV$1=Summary!$G$3,CV636*(1+Summary!$G$4)/(Summary!$G$8-Summary!$G$4),OFFSET(CV636,0,MATCH(Summary!$G$3,CW$1:$KF$1,0),1,1)*(1+Summary!$G$4)/(Summary!$G$8-Summary!$G$4)/(1+Summary!$G$8)^COUNTA(OFFSET(CV$1,0,0,1,MATCH(Summary!$G$3,CW$1:$KF$1,0))))</f>
        <v>183.81127028437672</v>
      </c>
      <c r="CW648" s="42">
        <f ca="1">IF(CW$1=Summary!$G$3,CW636*(1+Summary!$G$4)/(Summary!$G$8-Summary!$G$4),OFFSET(CW636,0,MATCH(Summary!$G$3,CX$1:$KE$1,0),1,1)*(1+Summary!$G$4)/(Summary!$G$8-Summary!$G$4)/(1+Summary!$G$8)^COUNTA(OFFSET(CW$1,0,0,1,MATCH(Summary!$G$3,CX$1:$KE$1,0))))</f>
        <v>203.47907620480504</v>
      </c>
      <c r="CX648" s="42">
        <f ca="1">IF(CX$1=Summary!$G$3,CX636*(1+Summary!$G$4)/(Summary!$G$8-Summary!$G$4),OFFSET(CX636,0,MATCH(Summary!$G$3,CY$1:$KE$1,0),1,1)*(1+Summary!$G$4)/(Summary!$G$8-Summary!$G$4)/(1+Summary!$G$8)^COUNTA(OFFSET(CX$1,0,0,1,MATCH(Summary!$G$3,CY$1:$KE$1,0))))</f>
        <v>225.25133735871918</v>
      </c>
      <c r="CY648" s="42">
        <f ca="1">IF(CY$1=Summary!$G$3,CY636*(1+Summary!$G$4)/(Summary!$G$8-Summary!$G$4),OFFSET(CY636,0,MATCH(Summary!$G$3,CZ$1:$KE$1,0),1,1)*(1+Summary!$G$4)/(Summary!$G$8-Summary!$G$4)/(1+Summary!$G$8)^COUNTA(OFFSET(CY$1,0,0,1,MATCH(Summary!$G$3,CZ$1:$KE$1,0))))</f>
        <v>249.35323045610212</v>
      </c>
      <c r="CZ648" s="43">
        <f ca="1">IF(CZ$1=Summary!$G$3,CZ636*(1+Summary!$G$4)/(Summary!$G$8-Summary!$G$4),OFFSET(CZ636,0,MATCH(Summary!$G$3,DA$1:$KE$1,0),1,1)*(1+Summary!$G$4)/(Summary!$G$8-Summary!$G$4)/(1+Summary!$G$8)^COUNTA(OFFSET(CZ$1,0,0,1,MATCH(Summary!$G$3,DA$1:$KE$1,0))))</f>
        <v>276.03402611490509</v>
      </c>
      <c r="DA648" s="42">
        <f ca="1">IF(DA$1=Summary!$G$3,DA636*(1+Summary!$G$4)/(Summary!$G$8-Summary!$G$4),OFFSET(DA636,0,MATCH(Summary!$G$3,DB$1:$KE$1,0),1,1)*(1+Summary!$G$4)/(Summary!$G$8-Summary!$G$4)/(1+Summary!$G$8)^COUNTA(OFFSET(DA$1,0,0,1,MATCH(Summary!$G$3,DB$1:$KE$1,0))))</f>
        <v>305.5696669091999</v>
      </c>
      <c r="DB648" s="42">
        <f ca="1">IF(DB$1=Summary!$G$3,DB636*(1+Summary!$G$4)/(Summary!$G$8-Summary!$G$4),OFFSET(DB636,0,MATCH(Summary!$G$3,DC$1:$KE$1,0),1,1)*(1+Summary!$G$4)/(Summary!$G$8-Summary!$G$4)/(1+Summary!$G$8)^COUNTA(OFFSET(DB$1,0,0,1,MATCH(Summary!$G$3,DC$1:$KE$1,0))))</f>
        <v>338.26562126848427</v>
      </c>
      <c r="DC648" s="42">
        <f ca="1">IF(DC$1=Summary!$G$3,DC636*(1+Summary!$G$4)/(Summary!$G$8-Summary!$G$4),OFFSET(DC636,0,MATCH(Summary!$G$3,DD$1:$KE$1,0),1,1)*(1+Summary!$G$4)/(Summary!$G$8-Summary!$G$4)/(1+Summary!$G$8)^COUNTA(OFFSET(DC$1,0,0,1,MATCH(Summary!$G$3,DD$1:$KE$1,0))))</f>
        <v>374.4600427442121</v>
      </c>
      <c r="DD648" s="42">
        <f ca="1">IF(DD$1=Summary!$G$3,DD636*(1+Summary!$G$4)/(Summary!$G$8-Summary!$G$4),OFFSET(DD636,0,MATCH(Summary!$G$3,DE$1:$KE$1,0),1,1)*(1+Summary!$G$4)/(Summary!$G$8-Summary!$G$4)/(1+Summary!$G$8)^COUNTA(OFFSET(DD$1,0,0,1,MATCH(Summary!$G$3,DE$1:$KE$1,0))))</f>
        <v>414.52726731784281</v>
      </c>
      <c r="DE648" s="42">
        <f ca="1">IF(DE$1=Summary!$G$3,DE636*(1+Summary!$G$4)/(Summary!$G$8-Summary!$G$4),OFFSET(DE636,0,MATCH(Summary!$G$3,DF$1:$KE$1,0),1,1)*(1+Summary!$G$4)/(Summary!$G$8-Summary!$G$4)/(1+Summary!$G$8)^COUNTA(OFFSET(DE$1,0,0,1,MATCH(Summary!$G$3,DF$1:$KE$1,0))))</f>
        <v>458.88168492085197</v>
      </c>
      <c r="DF648" s="42">
        <f ca="1">IF(DF$1=Summary!$G$3,DF636*(1+Summary!$G$4)/(Summary!$G$8-Summary!$G$4),OFFSET(DF636,0,MATCH(Summary!$G$3,DG$1:$KE$1,0),1,1)*(1+Summary!$G$4)/(Summary!$G$8-Summary!$G$4)/(1+Summary!$G$8)^COUNTA(OFFSET(DF$1,0,0,1,MATCH(Summary!$G$3,DG$1:$KE$1,0))))</f>
        <v>507.98202520738317</v>
      </c>
      <c r="DG648" s="42">
        <f ca="1">IF(DG$1=Summary!$G$3,DG636*(1+Summary!$G$4)/(Summary!$G$8-Summary!$G$4),OFFSET(DG636,0,MATCH(Summary!$G$3,DH$1:$KE$1,0),1,1)*(1+Summary!$G$4)/(Summary!$G$8-Summary!$G$4)/(1+Summary!$G$8)^COUNTA(OFFSET(DG$1,0,0,1,MATCH(Summary!$G$3,DH$1:$KE$1,0))))</f>
        <v>562.33610190457318</v>
      </c>
      <c r="DH648" s="42">
        <f ca="1">IF(DH$1=Summary!$G$3,DH636*(1+Summary!$G$4)/(Summary!$G$8-Summary!$G$4),OFFSET(DH636,0,MATCH(Summary!$G$3,DI$1:$KE$1,0),1,1)*(1+Summary!$G$4)/(Summary!$G$8-Summary!$G$4)/(1+Summary!$G$8)^COUNTA(OFFSET(DH$1,0,0,1,MATCH(Summary!$G$3,DI$1:$KE$1,0))))</f>
        <v>622.50606480836245</v>
      </c>
      <c r="DI648" s="42">
        <f ca="1">IF(DI$1=Summary!$G$3,DI636*(1+Summary!$G$4)/(Summary!$G$8-Summary!$G$4),OFFSET(DI636,0,MATCH(Summary!$G$3,DJ$1:$KE$1,0),1,1)*(1+Summary!$G$4)/(Summary!$G$8-Summary!$G$4)/(1+Summary!$G$8)^COUNTA(OFFSET(DI$1,0,0,1,MATCH(Summary!$G$3,DJ$1:$KE$1,0))))</f>
        <v>689.11421374285726</v>
      </c>
    </row>
    <row r="649" spans="1:113" s="24" customFormat="1" ht="12" hidden="1" outlineLevel="1">
      <c r="A649" s="1" t="s">
        <v>752</v>
      </c>
      <c r="B649" s="24" t="s">
        <v>166</v>
      </c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4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13"/>
      <c r="BT649" s="55"/>
      <c r="BU649" s="55"/>
      <c r="BV649" s="55"/>
      <c r="BW649" s="55"/>
      <c r="BX649" s="55"/>
      <c r="BY649" s="55"/>
      <c r="BZ649" s="55"/>
      <c r="CA649" s="55"/>
      <c r="CB649" s="55"/>
      <c r="CC649" s="55"/>
      <c r="CD649" s="55"/>
      <c r="CE649" s="55"/>
      <c r="CF649" s="55"/>
      <c r="CG649" s="55"/>
      <c r="CH649" s="55"/>
      <c r="CI649" s="55"/>
      <c r="CJ649" s="55"/>
      <c r="CK649" s="55"/>
      <c r="CL649" s="55"/>
      <c r="CM649" s="55"/>
      <c r="CN649" s="55"/>
      <c r="CO649" s="55"/>
      <c r="CP649" s="55"/>
      <c r="CQ649" s="55"/>
      <c r="CR649" s="55"/>
      <c r="CS649" s="55"/>
      <c r="CT649" s="55"/>
      <c r="CU649" s="13"/>
      <c r="CV649" s="55">
        <f t="shared" ref="CV649:DI649" ca="1" si="3394">SUM(CV647:CV648)</f>
        <v>238.65378266282084</v>
      </c>
      <c r="CW649" s="55">
        <f t="shared" ca="1" si="3394"/>
        <v>264.18973740774271</v>
      </c>
      <c r="CX649" s="55">
        <f t="shared" ca="1" si="3394"/>
        <v>292.45803931037113</v>
      </c>
      <c r="CY649" s="55">
        <f t="shared" ca="1" si="3394"/>
        <v>323.75104951658085</v>
      </c>
      <c r="CZ649" s="56">
        <f t="shared" ca="1" si="3394"/>
        <v>358.39241181485505</v>
      </c>
      <c r="DA649" s="55">
        <f t="shared" ca="1" si="3394"/>
        <v>396.7403998790445</v>
      </c>
      <c r="DB649" s="55">
        <f t="shared" ca="1" si="3394"/>
        <v>439.19162266610226</v>
      </c>
      <c r="DC649" s="55">
        <f t="shared" ca="1" si="3394"/>
        <v>486.18512629137518</v>
      </c>
      <c r="DD649" s="55">
        <f t="shared" ca="1" si="3394"/>
        <v>538.20693480455236</v>
      </c>
      <c r="DE649" s="55">
        <f t="shared" ca="1" si="3394"/>
        <v>586.60688731206801</v>
      </c>
      <c r="DF649" s="55">
        <f t="shared" ca="1" si="3394"/>
        <v>621.80925570474506</v>
      </c>
      <c r="DG649" s="55">
        <f t="shared" ca="1" si="3394"/>
        <v>651.59008799886703</v>
      </c>
      <c r="DH649" s="55">
        <f t="shared" ca="1" si="3394"/>
        <v>672.30654999303147</v>
      </c>
      <c r="DI649" s="55">
        <f t="shared" ca="1" si="3394"/>
        <v>689.11421374285726</v>
      </c>
    </row>
    <row r="650" spans="1:113" ht="12" hidden="1" outlineLevel="1">
      <c r="AP650" s="44"/>
      <c r="AQ650" s="44"/>
      <c r="AR650" s="44"/>
      <c r="AS650" s="44"/>
      <c r="AT650" s="44"/>
      <c r="AU650" s="44"/>
      <c r="AV650" s="44"/>
      <c r="AW650" s="44"/>
      <c r="AX650" s="44"/>
      <c r="AY650" s="44"/>
      <c r="AZ650" s="45"/>
      <c r="BA650" s="44"/>
      <c r="BB650" s="44"/>
      <c r="BC650" s="44"/>
      <c r="BD650" s="44"/>
      <c r="BE650" s="44"/>
      <c r="BF650" s="44"/>
      <c r="BG650" s="44"/>
      <c r="BH650" s="44"/>
      <c r="BI650" s="44"/>
      <c r="BJ650" s="44"/>
      <c r="BK650" s="44"/>
      <c r="BL650" s="44"/>
      <c r="BM650" s="44"/>
      <c r="BN650" s="44"/>
      <c r="BO650" s="44"/>
      <c r="BP650" s="44"/>
      <c r="BQ650" s="44"/>
      <c r="BR650" s="44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V650" s="42"/>
      <c r="CW650" s="42"/>
      <c r="CX650" s="42"/>
      <c r="CY650" s="42"/>
      <c r="CZ650" s="43"/>
      <c r="DA650" s="42"/>
      <c r="DB650" s="42"/>
      <c r="DC650" s="88"/>
      <c r="DD650" s="88"/>
      <c r="DE650" s="88"/>
      <c r="DF650" s="88"/>
      <c r="DG650" s="88"/>
      <c r="DH650" s="88"/>
      <c r="DI650" s="88"/>
    </row>
    <row r="651" spans="1:113" s="24" customFormat="1" ht="12" hidden="1" outlineLevel="1">
      <c r="A651" s="1" t="s">
        <v>753</v>
      </c>
      <c r="B651" s="24" t="s">
        <v>547</v>
      </c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4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13"/>
      <c r="BT651" s="55"/>
      <c r="BU651" s="55"/>
      <c r="BV651" s="55"/>
      <c r="BW651" s="55"/>
      <c r="BX651" s="55"/>
      <c r="BY651" s="55"/>
      <c r="BZ651" s="55"/>
      <c r="CA651" s="55"/>
      <c r="CB651" s="55"/>
      <c r="CC651" s="55"/>
      <c r="CD651" s="55"/>
      <c r="CE651" s="55"/>
      <c r="CF651" s="55"/>
      <c r="CG651" s="55"/>
      <c r="CH651" s="55"/>
      <c r="CI651" s="55"/>
      <c r="CJ651" s="55"/>
      <c r="CK651" s="55"/>
      <c r="CL651" s="55"/>
      <c r="CM651" s="55"/>
      <c r="CN651" s="55"/>
      <c r="CO651" s="55"/>
      <c r="CP651" s="55"/>
      <c r="CQ651" s="55"/>
      <c r="CR651" s="55"/>
      <c r="CS651" s="55"/>
      <c r="CT651" s="55"/>
      <c r="CU651" s="13"/>
      <c r="CV651" s="55">
        <f t="shared" ref="CV651:DI651" ca="1" si="3395">CV645+CV649</f>
        <v>1140.0957868135508</v>
      </c>
      <c r="CW651" s="55">
        <f t="shared" ca="1" si="3395"/>
        <v>1633.9860360026014</v>
      </c>
      <c r="CX651" s="55">
        <f t="shared" ca="1" si="3395"/>
        <v>1808.8225418548795</v>
      </c>
      <c r="CY651" s="55">
        <f t="shared" ca="1" si="3395"/>
        <v>2002.3665538333516</v>
      </c>
      <c r="CZ651" s="56">
        <f t="shared" ca="1" si="3395"/>
        <v>2216.6197750935207</v>
      </c>
      <c r="DA651" s="55">
        <f t="shared" ca="1" si="3395"/>
        <v>2453.7980910285269</v>
      </c>
      <c r="DB651" s="55">
        <f t="shared" ca="1" si="3395"/>
        <v>2716.3544867685791</v>
      </c>
      <c r="DC651" s="55">
        <f t="shared" ca="1" si="3395"/>
        <v>3151.3108537593612</v>
      </c>
      <c r="DD651" s="55">
        <f t="shared" ca="1" si="3395"/>
        <v>3488.5011151116128</v>
      </c>
      <c r="DE651" s="55">
        <f t="shared" ca="1" si="3395"/>
        <v>3816.8506967919839</v>
      </c>
      <c r="DF651" s="55">
        <f t="shared" ca="1" si="3395"/>
        <v>4090.4936084390129</v>
      </c>
      <c r="DG651" s="55">
        <f t="shared" ca="1" si="3395"/>
        <v>4348.4962739957009</v>
      </c>
      <c r="DH651" s="55">
        <f t="shared" ca="1" si="3395"/>
        <v>4574.2118412515265</v>
      </c>
      <c r="DI651" s="55">
        <f t="shared" ca="1" si="3395"/>
        <v>4794.1322824460112</v>
      </c>
    </row>
    <row r="652" spans="1:113" ht="12" hidden="1" outlineLevel="1">
      <c r="A652" s="1" t="s">
        <v>754</v>
      </c>
      <c r="B652" s="19" t="str">
        <f>B543</f>
        <v>Shares on issue - EOP</v>
      </c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5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T652" s="42"/>
      <c r="BU652" s="42"/>
      <c r="BV652" s="42"/>
      <c r="BW652" s="42"/>
      <c r="BX652" s="42"/>
      <c r="BY652" s="42"/>
      <c r="BZ652" s="42"/>
      <c r="CA652" s="42"/>
      <c r="CB652" s="42"/>
      <c r="CC652" s="42"/>
      <c r="CD652" s="42"/>
      <c r="CE652" s="42"/>
      <c r="CF652" s="42"/>
      <c r="CG652" s="42"/>
      <c r="CH652" s="42"/>
      <c r="CI652" s="42"/>
      <c r="CJ652" s="42"/>
      <c r="CK652" s="42"/>
      <c r="CL652" s="42"/>
      <c r="CM652" s="42"/>
      <c r="CN652" s="42"/>
      <c r="CO652" s="42"/>
      <c r="CP652" s="42"/>
      <c r="CQ652" s="42"/>
      <c r="CR652" s="42"/>
      <c r="CS652" s="42"/>
      <c r="CT652" s="42"/>
      <c r="CV652" s="42">
        <f t="shared" ref="CV652:DF652" si="3396">CV543</f>
        <v>1105.5063729999999</v>
      </c>
      <c r="CW652" s="42">
        <f t="shared" si="3396"/>
        <v>1105.519873</v>
      </c>
      <c r="CX652" s="42">
        <f t="shared" si="3396"/>
        <v>1105.5198720000001</v>
      </c>
      <c r="CY652" s="42">
        <f t="shared" si="3396"/>
        <v>1109.300833</v>
      </c>
      <c r="CZ652" s="43">
        <f t="shared" si="3396"/>
        <v>1117.685772</v>
      </c>
      <c r="DA652" s="42">
        <f t="shared" si="3396"/>
        <v>1121.061604</v>
      </c>
      <c r="DB652" s="42">
        <f t="shared" si="3396"/>
        <v>1121.061604</v>
      </c>
      <c r="DC652" s="42">
        <f t="shared" si="3396"/>
        <v>1191.061604</v>
      </c>
      <c r="DD652" s="42">
        <f t="shared" si="3396"/>
        <v>1191.061604</v>
      </c>
      <c r="DE652" s="42">
        <f t="shared" si="3396"/>
        <v>1191.061604</v>
      </c>
      <c r="DF652" s="42">
        <f t="shared" si="3396"/>
        <v>1191.061604</v>
      </c>
      <c r="DG652" s="42">
        <f t="shared" ref="DG652:DH652" si="3397">DG543</f>
        <v>1191.061604</v>
      </c>
      <c r="DH652" s="42">
        <f t="shared" si="3397"/>
        <v>1191.061604</v>
      </c>
      <c r="DI652" s="42">
        <f t="shared" ref="DI652" si="3398">DI543</f>
        <v>1191.061604</v>
      </c>
    </row>
    <row r="653" spans="1:113" s="24" customFormat="1" ht="12" hidden="1" outlineLevel="1">
      <c r="A653" s="1" t="s">
        <v>755</v>
      </c>
      <c r="B653" s="24" t="s">
        <v>548</v>
      </c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4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13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13"/>
      <c r="CV653" s="66">
        <f t="shared" ref="CV653:DI653" ca="1" si="3399">CV651/CV652</f>
        <v>1.0312882988812502</v>
      </c>
      <c r="CW653" s="66">
        <f t="shared" ca="1" si="3399"/>
        <v>1.478025023257634</v>
      </c>
      <c r="CX653" s="66">
        <f t="shared" ca="1" si="3399"/>
        <v>1.6361737022262042</v>
      </c>
      <c r="CY653" s="66">
        <f t="shared" ca="1" si="3399"/>
        <v>1.8050708106097235</v>
      </c>
      <c r="CZ653" s="67">
        <f t="shared" ca="1" si="3399"/>
        <v>1.9832226826392139</v>
      </c>
      <c r="DA653" s="66">
        <f t="shared" ca="1" si="3399"/>
        <v>2.1888164595712323</v>
      </c>
      <c r="DB653" s="66">
        <f t="shared" ca="1" si="3399"/>
        <v>2.4230198207453539</v>
      </c>
      <c r="DC653" s="66">
        <f t="shared" ca="1" si="3399"/>
        <v>2.6458000519672207</v>
      </c>
      <c r="DD653" s="66">
        <f t="shared" ca="1" si="3399"/>
        <v>2.9289006575277132</v>
      </c>
      <c r="DE653" s="66">
        <f t="shared" ca="1" si="3399"/>
        <v>3.2045787421688927</v>
      </c>
      <c r="DF653" s="66">
        <f t="shared" ca="1" si="3399"/>
        <v>3.434325810438108</v>
      </c>
      <c r="DG653" s="66">
        <f t="shared" ca="1" si="3399"/>
        <v>3.6509415292978424</v>
      </c>
      <c r="DH653" s="66">
        <f t="shared" ca="1" si="3399"/>
        <v>3.8404494157898541</v>
      </c>
      <c r="DI653" s="66">
        <f t="shared" ca="1" si="3399"/>
        <v>4.0250917889936542</v>
      </c>
    </row>
    <row r="654" spans="1:113" ht="12" hidden="1" outlineLevel="1">
      <c r="AP654" s="44"/>
      <c r="AQ654" s="44"/>
      <c r="AR654" s="44"/>
      <c r="AS654" s="44"/>
      <c r="AT654" s="44"/>
      <c r="AU654" s="44"/>
      <c r="AV654" s="44"/>
      <c r="AW654" s="44"/>
      <c r="AX654" s="44"/>
      <c r="AY654" s="44"/>
      <c r="AZ654" s="45"/>
      <c r="BA654" s="44"/>
      <c r="BB654" s="44"/>
      <c r="BC654" s="44"/>
      <c r="BD654" s="44"/>
      <c r="BE654" s="44"/>
      <c r="BF654" s="44"/>
      <c r="BG654" s="44"/>
      <c r="BH654" s="44"/>
      <c r="BI654" s="44"/>
      <c r="BJ654" s="44"/>
      <c r="BK654" s="44"/>
      <c r="BL654" s="44"/>
      <c r="BM654" s="44"/>
      <c r="BN654" s="44"/>
      <c r="BO654" s="44"/>
      <c r="BP654" s="44"/>
      <c r="BQ654" s="44"/>
      <c r="BR654" s="44"/>
      <c r="DC654" s="19"/>
      <c r="DD654" s="19"/>
      <c r="DE654" s="19"/>
      <c r="DF654" s="19"/>
      <c r="DG654" s="19"/>
      <c r="DH654" s="19"/>
      <c r="DI654" s="19"/>
    </row>
    <row r="655" spans="1:113" s="5" customFormat="1" ht="12.95" hidden="1" customHeight="1" outlineLevel="1">
      <c r="A655" s="1"/>
      <c r="B655" s="6" t="s">
        <v>440</v>
      </c>
      <c r="C655" s="584"/>
      <c r="D655" s="584"/>
      <c r="E655" s="584"/>
      <c r="F655" s="584"/>
      <c r="G655" s="584"/>
      <c r="H655" s="584"/>
      <c r="I655" s="584"/>
      <c r="J655" s="584"/>
      <c r="K655" s="584"/>
      <c r="L655" s="584"/>
      <c r="M655" s="584"/>
      <c r="N655" s="584"/>
      <c r="O655" s="584"/>
      <c r="P655" s="584"/>
      <c r="Q655" s="584"/>
      <c r="R655" s="584"/>
      <c r="S655" s="584"/>
      <c r="T655" s="515"/>
      <c r="U655" s="584"/>
      <c r="V655" s="584"/>
      <c r="W655" s="584"/>
      <c r="X655" s="584"/>
      <c r="Y655" s="515"/>
      <c r="Z655" s="515"/>
      <c r="AA655" s="515"/>
      <c r="AB655" s="515"/>
      <c r="AC655" s="515"/>
      <c r="AD655" s="515"/>
      <c r="AE655" s="515"/>
      <c r="AF655" s="515"/>
      <c r="AG655" s="515"/>
      <c r="AH655" s="515"/>
      <c r="AI655" s="515"/>
      <c r="AJ655" s="515"/>
      <c r="AK655" s="515"/>
      <c r="AL655" s="515"/>
      <c r="AM655" s="515"/>
      <c r="AN655" s="515"/>
      <c r="AO655" s="515"/>
      <c r="AP655" s="621"/>
      <c r="AQ655" s="621"/>
      <c r="AR655" s="621"/>
      <c r="AS655" s="621"/>
      <c r="AT655" s="621"/>
      <c r="AU655" s="621"/>
      <c r="AV655" s="621"/>
      <c r="AW655" s="621"/>
      <c r="AX655" s="621"/>
      <c r="AY655" s="621"/>
      <c r="AZ655" s="589"/>
      <c r="BA655" s="590"/>
      <c r="BB655" s="590"/>
      <c r="BC655" s="590"/>
      <c r="BD655" s="590"/>
      <c r="BE655" s="590"/>
      <c r="BF655" s="590"/>
      <c r="BG655" s="590"/>
      <c r="BH655" s="590"/>
      <c r="BI655" s="590"/>
      <c r="BJ655" s="590"/>
      <c r="BK655" s="590"/>
      <c r="BL655" s="590"/>
      <c r="BM655" s="590"/>
      <c r="BN655" s="590"/>
      <c r="BO655" s="590"/>
      <c r="BP655" s="590"/>
      <c r="BQ655" s="590"/>
      <c r="BR655" s="599"/>
      <c r="BS655" s="418"/>
      <c r="BT655" s="418"/>
      <c r="BU655" s="418"/>
      <c r="BV655" s="418"/>
      <c r="BW655" s="418"/>
      <c r="BX655" s="418"/>
      <c r="BY655" s="418"/>
      <c r="BZ655" s="418"/>
      <c r="CA655" s="418"/>
      <c r="CB655" s="418"/>
      <c r="CC655" s="418"/>
      <c r="CD655" s="418"/>
      <c r="CE655" s="418"/>
      <c r="CF655" s="418"/>
      <c r="CG655" s="418"/>
      <c r="CH655" s="418"/>
      <c r="CI655" s="418"/>
      <c r="CJ655" s="418"/>
      <c r="CK655" s="418"/>
      <c r="CL655" s="418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 t="str">
        <f ca="1">IF(ISNA(CW651),"Ok",IF(ROUND((CW651+CW637)/CV651-1,5)&lt;&gt;Summary!$G$8,"Error","Ok"))</f>
        <v>Ok</v>
      </c>
      <c r="CX655" s="516" t="str">
        <f ca="1">IF(ISNA(CX651),"Ok",IF(ROUND((CX651+CX637)/CW651-1,5)&lt;&gt;Summary!$G$8,"Error","Ok"))</f>
        <v>Ok</v>
      </c>
      <c r="CY655" s="516" t="str">
        <f ca="1">IF(ISNA(CY651),"Ok",IF(ROUND((CY651+CY637)/CX651-1,5)&lt;&gt;Summary!$G$8,"Error","Ok"))</f>
        <v>Ok</v>
      </c>
      <c r="CZ655" s="583" t="str">
        <f ca="1">IF(ISNA(CZ651),"Ok",IF(ROUND((CZ651+CZ637)/CY651-1,5)&lt;&gt;Summary!$G$8,"Error","Ok"))</f>
        <v>Ok</v>
      </c>
      <c r="DA655" s="418" t="str">
        <f ca="1">IF(ISNA(DA651),"Ok",IF(ROUND((DA651+DA637)/CZ651-1,5)&lt;&gt;Summary!$G$8,"Error","Ok"))</f>
        <v>Ok</v>
      </c>
      <c r="DB655" s="418" t="str">
        <f ca="1">IF(ISNA(DB651),"Ok",IF(ROUND((DB651+DB637)/DA651-1,5)&lt;&gt;Summary!$G$8,"Error","Ok"))</f>
        <v>Ok</v>
      </c>
      <c r="DC655" s="418" t="str">
        <f ca="1">IF(ISNA(DC651),"Ok",IF(ROUND((DC651+DC637)/DB651-1,5)&lt;&gt;Summary!$G$8,"Error","Ok"))</f>
        <v>Ok</v>
      </c>
      <c r="DD655" s="418" t="str">
        <f ca="1">IF(ISNA(DD651),"Ok",IF(ROUND((DD651+DD637)/DC651-1,5)&lt;&gt;Summary!$G$8,"Error","Ok"))</f>
        <v>Ok</v>
      </c>
      <c r="DE655" s="418" t="str">
        <f ca="1">IF(ISNA(DE651),"Ok",IF(ROUND((DE651+DE637)/DD651-1,5)&lt;&gt;Summary!$G$8,"Error","Ok"))</f>
        <v>Ok</v>
      </c>
      <c r="DF655" s="418" t="str">
        <f ca="1">IF(ISNA(DF651),"Ok",IF(ROUND((DF651+DF637)/DE651-1,5)&lt;&gt;Summary!$G$8,"Error","Ok"))</f>
        <v>Ok</v>
      </c>
      <c r="DG655" s="418" t="str">
        <f ca="1">IF(ISNA(DG651),"Ok",IF(ROUND((DG651+DG637)/DF651-1,5)&lt;&gt;Summary!$G$8,"Error","Ok"))</f>
        <v>Ok</v>
      </c>
      <c r="DH655" s="418" t="str">
        <f ca="1">IF(ISNA(DH651),"Ok",IF(ROUND((DH651+DH637)/DG651-1,5)&lt;&gt;Summary!$G$8,"Error","Ok"))</f>
        <v>Ok</v>
      </c>
      <c r="DI655" s="418" t="str">
        <f ca="1">IF(ISNA(DI651),"Ok",IF(ROUND((DI651+DI637)/DH651-1,5)&lt;&gt;Summary!$G$8,"Error","Ok"))</f>
        <v>Ok</v>
      </c>
    </row>
    <row r="656" spans="1:113" ht="12" collapsed="1">
      <c r="AP656" s="44"/>
      <c r="AQ656" s="44"/>
      <c r="AR656" s="44"/>
      <c r="AS656" s="44"/>
      <c r="AT656" s="44"/>
      <c r="AU656" s="44"/>
      <c r="AV656" s="44"/>
      <c r="AW656" s="44"/>
      <c r="AX656" s="44"/>
      <c r="AY656" s="44"/>
      <c r="AZ656" s="45"/>
      <c r="BA656" s="44"/>
      <c r="BB656" s="44"/>
      <c r="BC656" s="44"/>
      <c r="BD656" s="44"/>
      <c r="BE656" s="44"/>
      <c r="BF656" s="44"/>
      <c r="BG656" s="44"/>
      <c r="BH656" s="44"/>
      <c r="BI656" s="44"/>
      <c r="BJ656" s="44"/>
      <c r="BK656" s="44"/>
      <c r="BL656" s="44"/>
      <c r="BM656" s="44"/>
      <c r="BN656" s="44"/>
      <c r="BO656" s="44"/>
      <c r="BP656" s="44"/>
      <c r="BQ656" s="44"/>
      <c r="BR656" s="44"/>
      <c r="DC656" s="19"/>
      <c r="DD656" s="19"/>
      <c r="DE656" s="19"/>
      <c r="DF656" s="19"/>
      <c r="DG656" s="19"/>
      <c r="DH656" s="19"/>
      <c r="DI656" s="19"/>
    </row>
    <row r="657" spans="1:113" s="36" customFormat="1" ht="12" collapsed="1">
      <c r="A657" s="1" t="s">
        <v>756</v>
      </c>
      <c r="B657" s="2" t="s">
        <v>445</v>
      </c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  <c r="AA657" s="55"/>
      <c r="AB657" s="55"/>
      <c r="AC657" s="55"/>
      <c r="AD657" s="55"/>
      <c r="AE657" s="55"/>
      <c r="AF657" s="55"/>
      <c r="AG657" s="55"/>
      <c r="AH657" s="55"/>
      <c r="AI657" s="55"/>
      <c r="AJ657" s="55"/>
      <c r="AK657" s="55"/>
      <c r="AL657" s="55"/>
      <c r="AM657" s="55"/>
      <c r="AN657" s="55"/>
      <c r="AO657" s="55"/>
      <c r="AP657" s="52"/>
      <c r="AQ657" s="52"/>
      <c r="AR657" s="52"/>
      <c r="AS657" s="52"/>
      <c r="AT657" s="52"/>
      <c r="AU657" s="52"/>
      <c r="AV657" s="52"/>
      <c r="AW657" s="52"/>
      <c r="AX657" s="52"/>
      <c r="AY657" s="52"/>
      <c r="AZ657" s="53"/>
      <c r="BA657" s="52"/>
      <c r="BB657" s="52"/>
      <c r="BC657" s="52"/>
      <c r="BD657" s="52"/>
      <c r="BE657" s="52"/>
      <c r="BF657" s="52"/>
      <c r="BG657" s="52"/>
      <c r="BH657" s="52"/>
      <c r="BI657" s="52"/>
      <c r="BJ657" s="52"/>
      <c r="BK657" s="52"/>
      <c r="BL657" s="52"/>
      <c r="BM657" s="52"/>
      <c r="BN657" s="52"/>
      <c r="BO657" s="52"/>
      <c r="BP657" s="52"/>
      <c r="BQ657" s="52"/>
      <c r="BR657" s="52"/>
      <c r="BS657" s="52"/>
      <c r="BT657" s="52"/>
      <c r="BU657" s="52"/>
      <c r="BV657" s="52"/>
      <c r="BW657" s="52"/>
      <c r="BX657" s="52"/>
      <c r="BY657" s="52"/>
      <c r="BZ657" s="52"/>
      <c r="CA657" s="52"/>
      <c r="CB657" s="52"/>
      <c r="CC657" s="52"/>
      <c r="CD657" s="52"/>
      <c r="CE657" s="52"/>
      <c r="CF657" s="52"/>
      <c r="CG657" s="52"/>
      <c r="CH657" s="52"/>
      <c r="CI657" s="52"/>
      <c r="CJ657" s="52"/>
      <c r="CK657" s="52"/>
      <c r="CL657" s="52"/>
      <c r="CM657" s="52"/>
      <c r="CN657" s="52"/>
      <c r="CO657" s="52"/>
      <c r="CP657" s="52"/>
      <c r="CQ657" s="52"/>
      <c r="CR657" s="52"/>
      <c r="CS657" s="52"/>
      <c r="CT657" s="52"/>
      <c r="CU657" s="52"/>
      <c r="CV657" s="52"/>
      <c r="CW657" s="52"/>
      <c r="CX657" s="52"/>
      <c r="CY657" s="52"/>
      <c r="CZ657" s="53"/>
      <c r="DA657" s="52"/>
      <c r="DB657" s="52"/>
      <c r="DC657" s="52"/>
      <c r="DD657" s="52"/>
      <c r="DE657" s="52"/>
      <c r="DF657" s="52"/>
      <c r="DG657" s="52"/>
      <c r="DH657" s="52"/>
      <c r="DI657" s="52"/>
    </row>
    <row r="658" spans="1:113" ht="12" hidden="1" outlineLevel="1">
      <c r="U658" s="610"/>
      <c r="Y658" s="42"/>
      <c r="DC658" s="19"/>
      <c r="DD658" s="19"/>
      <c r="DE658" s="19"/>
      <c r="DF658" s="19"/>
      <c r="DG658" s="19"/>
      <c r="DH658" s="19"/>
      <c r="DI658" s="19"/>
    </row>
    <row r="659" spans="1:113" s="24" customFormat="1" ht="12" hidden="1" outlineLevel="1">
      <c r="A659" s="1"/>
      <c r="B659" s="24" t="s">
        <v>446</v>
      </c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610"/>
      <c r="V659" s="13"/>
      <c r="W659" s="13"/>
      <c r="X659" s="55"/>
      <c r="Y659" s="55"/>
      <c r="Z659" s="13"/>
      <c r="AA659" s="13"/>
      <c r="AB659" s="13"/>
      <c r="AC659" s="21"/>
      <c r="AD659" s="21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2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  <c r="BY659" s="13"/>
      <c r="BZ659" s="13"/>
      <c r="CA659" s="13"/>
      <c r="CB659" s="13"/>
      <c r="CC659" s="13"/>
      <c r="CD659" s="13"/>
      <c r="CE659" s="13"/>
      <c r="CF659" s="13"/>
      <c r="CG659" s="13"/>
      <c r="CH659" s="13"/>
      <c r="CI659" s="13"/>
      <c r="CJ659" s="13"/>
      <c r="CK659" s="13"/>
      <c r="CL659" s="13"/>
      <c r="CM659" s="13"/>
      <c r="CN659" s="13"/>
      <c r="CO659" s="13"/>
      <c r="CP659" s="13"/>
      <c r="CQ659" s="13"/>
      <c r="CR659" s="13"/>
      <c r="CS659" s="13"/>
      <c r="CT659" s="13"/>
      <c r="CU659" s="13"/>
      <c r="CV659" s="510"/>
      <c r="CW659" s="510"/>
      <c r="CX659" s="510"/>
      <c r="CY659" s="510"/>
      <c r="CZ659" s="23"/>
      <c r="DA659" s="13"/>
      <c r="DB659" s="13"/>
    </row>
    <row r="660" spans="1:113" ht="12" hidden="1" outlineLevel="1">
      <c r="A660" s="1" t="s">
        <v>757</v>
      </c>
      <c r="B660" s="19" t="s">
        <v>493</v>
      </c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2"/>
      <c r="AN660" s="42"/>
      <c r="AO660" s="42"/>
      <c r="AP660" s="525">
        <v>3544.7</v>
      </c>
      <c r="AQ660" s="525">
        <v>7176</v>
      </c>
      <c r="AR660" s="525">
        <v>8412.2999999999993</v>
      </c>
      <c r="AS660" s="525">
        <v>9414.6</v>
      </c>
      <c r="AT660" s="525">
        <v>10838.5</v>
      </c>
      <c r="AU660" s="525">
        <v>12151.7</v>
      </c>
      <c r="AV660" s="525">
        <v>13647.6</v>
      </c>
      <c r="AW660" s="525">
        <v>13196.6</v>
      </c>
      <c r="AX660" s="525">
        <v>14040.6</v>
      </c>
      <c r="AY660" s="525">
        <v>14978.2</v>
      </c>
      <c r="AZ660" s="523">
        <v>16056.5</v>
      </c>
      <c r="BA660" s="44">
        <f t="shared" ref="BA660:BI660" si="3400">AZ660*BA181/AZ181</f>
        <v>17419.645245267329</v>
      </c>
      <c r="BB660" s="44">
        <f t="shared" si="3400"/>
        <v>18535.774214352754</v>
      </c>
      <c r="BC660" s="44">
        <f t="shared" si="3400"/>
        <v>19971.813465460324</v>
      </c>
      <c r="BD660" s="44">
        <f t="shared" si="3400"/>
        <v>21180.726248784791</v>
      </c>
      <c r="BE660" s="44">
        <f t="shared" si="3400"/>
        <v>22747.116090997803</v>
      </c>
      <c r="BF660" s="44">
        <f t="shared" si="3400"/>
        <v>24023.349552824155</v>
      </c>
      <c r="BG660" s="44">
        <f t="shared" si="3400"/>
        <v>25688.645870400615</v>
      </c>
      <c r="BH660" s="44">
        <f t="shared" si="3400"/>
        <v>26902.292312056248</v>
      </c>
      <c r="BI660" s="44">
        <f t="shared" si="3400"/>
        <v>28528.631430308546</v>
      </c>
      <c r="BJ660" s="44">
        <f t="shared" ref="BJ660" si="3401">BI660*BJ181/BI181</f>
        <v>29619.101374223475</v>
      </c>
      <c r="BK660" s="44">
        <f t="shared" ref="BK660" si="3402">BJ660*BK181/BJ181</f>
        <v>31153.033749811657</v>
      </c>
      <c r="BL660" s="44">
        <f t="shared" ref="BL660" si="3403">BK660*BL181/BK181</f>
        <v>32069.855130065946</v>
      </c>
      <c r="BM660" s="44">
        <f t="shared" ref="BM660" si="3404">BL660*BM181/BL181</f>
        <v>33449.263638759185</v>
      </c>
      <c r="BN660" s="44">
        <f t="shared" ref="BN660" si="3405">BM660*BN181/BM181</f>
        <v>34276.343044094865</v>
      </c>
      <c r="BO660" s="44">
        <f t="shared" ref="BO660" si="3406">BN660*BO181/BN181</f>
        <v>35590.057982461709</v>
      </c>
      <c r="BP660" s="44">
        <f t="shared" ref="BP660" si="3407">BO660*BP181/BO181</f>
        <v>36470.285630952974</v>
      </c>
      <c r="BQ660" s="44">
        <f t="shared" ref="BQ660" si="3408">BP660*BQ181/BP181</f>
        <v>37869.293652750406</v>
      </c>
      <c r="BR660" s="44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2"/>
      <c r="CD660" s="42"/>
      <c r="CE660" s="42"/>
      <c r="CF660" s="42"/>
      <c r="CG660" s="42"/>
      <c r="CH660" s="42"/>
      <c r="CI660" s="42"/>
      <c r="CJ660" s="42"/>
      <c r="CK660" s="42"/>
      <c r="CL660" s="42"/>
      <c r="CM660" s="42"/>
      <c r="CN660" s="42"/>
      <c r="CO660" s="42"/>
      <c r="CP660" s="42"/>
      <c r="CQ660" s="42"/>
      <c r="CR660" s="42"/>
      <c r="CS660" s="42"/>
      <c r="CT660" s="42"/>
      <c r="CU660" s="113"/>
      <c r="CV660" s="44">
        <f t="shared" ref="CV660:CV685" si="3409">AQ660</f>
        <v>7176</v>
      </c>
      <c r="CW660" s="44">
        <f t="shared" ref="CW660:CW682" si="3410">AS660</f>
        <v>9414.6</v>
      </c>
      <c r="CX660" s="44">
        <f t="shared" ref="CX660:CX682" si="3411">AU660</f>
        <v>12151.7</v>
      </c>
      <c r="CY660" s="44">
        <f t="shared" ref="CY660:CY682" si="3412">AW660</f>
        <v>13196.6</v>
      </c>
      <c r="CZ660" s="45">
        <f t="shared" ref="CZ660:CZ682" si="3413">AY660</f>
        <v>14978.2</v>
      </c>
      <c r="DA660" s="44">
        <f>BA660</f>
        <v>17419.645245267329</v>
      </c>
      <c r="DB660" s="44">
        <f t="shared" ref="DB660:DB682" si="3414">BC660</f>
        <v>19971.813465460324</v>
      </c>
      <c r="DC660" s="44">
        <f t="shared" ref="DC660:DC682" si="3415">BE660</f>
        <v>22747.116090997803</v>
      </c>
      <c r="DD660" s="44">
        <f t="shared" ref="DD660:DD682" si="3416">BG660</f>
        <v>25688.645870400615</v>
      </c>
      <c r="DE660" s="44">
        <f t="shared" ref="DE660:DE682" si="3417">BI660</f>
        <v>28528.631430308546</v>
      </c>
      <c r="DF660" s="44">
        <f t="shared" ref="DF660:DF682" si="3418">BK660</f>
        <v>31153.033749811657</v>
      </c>
      <c r="DG660" s="44">
        <f t="shared" ref="DG660:DG693" si="3419">BM660</f>
        <v>33449.263638759185</v>
      </c>
      <c r="DH660" s="44">
        <f t="shared" ref="DH660:DH693" si="3420">BO660</f>
        <v>35590.057982461709</v>
      </c>
      <c r="DI660" s="44">
        <f t="shared" ref="DI660:DI693" si="3421">BQ660</f>
        <v>37869.293652750406</v>
      </c>
    </row>
    <row r="661" spans="1:113" ht="12" hidden="1" outlineLevel="1">
      <c r="A661" s="1" t="s">
        <v>758</v>
      </c>
      <c r="B661" s="19" t="s">
        <v>494</v>
      </c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M661" s="42"/>
      <c r="AN661" s="42"/>
      <c r="AO661" s="42"/>
      <c r="AP661" s="525">
        <v>10.9</v>
      </c>
      <c r="AQ661" s="525">
        <v>16.100000000000001</v>
      </c>
      <c r="AR661" s="525">
        <v>17.3</v>
      </c>
      <c r="AS661" s="525">
        <v>23.8</v>
      </c>
      <c r="AT661" s="525">
        <v>31</v>
      </c>
      <c r="AU661" s="525">
        <v>38.299999999999997</v>
      </c>
      <c r="AV661" s="525">
        <v>45</v>
      </c>
      <c r="AW661" s="525">
        <v>48.3</v>
      </c>
      <c r="AX661" s="525">
        <v>49.8</v>
      </c>
      <c r="AY661" s="525">
        <v>47.7</v>
      </c>
      <c r="AZ661" s="523">
        <v>44.2</v>
      </c>
      <c r="BA661" s="44">
        <f t="shared" ref="BA661:BI661" si="3422">AZ661-(BA571-AZ571)</f>
        <v>44.2</v>
      </c>
      <c r="BB661" s="44">
        <f t="shared" si="3422"/>
        <v>44.2</v>
      </c>
      <c r="BC661" s="44">
        <f t="shared" si="3422"/>
        <v>44.2</v>
      </c>
      <c r="BD661" s="44">
        <f t="shared" si="3422"/>
        <v>44.2</v>
      </c>
      <c r="BE661" s="44">
        <f t="shared" si="3422"/>
        <v>44.2</v>
      </c>
      <c r="BF661" s="44">
        <f t="shared" si="3422"/>
        <v>44.2</v>
      </c>
      <c r="BG661" s="44">
        <f t="shared" si="3422"/>
        <v>44.2</v>
      </c>
      <c r="BH661" s="44">
        <f t="shared" si="3422"/>
        <v>44.2</v>
      </c>
      <c r="BI661" s="44">
        <f t="shared" si="3422"/>
        <v>44.2</v>
      </c>
      <c r="BJ661" s="44">
        <f t="shared" ref="BJ661" si="3423">BI661-(BJ571-BI571)</f>
        <v>44.2</v>
      </c>
      <c r="BK661" s="44">
        <f t="shared" ref="BK661" si="3424">BJ661-(BK571-BJ571)</f>
        <v>44.2</v>
      </c>
      <c r="BL661" s="44">
        <f t="shared" ref="BL661" si="3425">BK661-(BL571-BK571)</f>
        <v>44.2</v>
      </c>
      <c r="BM661" s="44">
        <f t="shared" ref="BM661" si="3426">BL661-(BM571-BL571)</f>
        <v>44.2</v>
      </c>
      <c r="BN661" s="44">
        <f t="shared" ref="BN661" si="3427">BM661-(BN571-BM571)</f>
        <v>44.2</v>
      </c>
      <c r="BO661" s="44">
        <f t="shared" ref="BO661" si="3428">BN661-(BO571-BN571)</f>
        <v>44.2</v>
      </c>
      <c r="BP661" s="44">
        <f t="shared" ref="BP661" si="3429">BO661-(BP571-BO571)</f>
        <v>44.2</v>
      </c>
      <c r="BQ661" s="44">
        <f t="shared" ref="BQ661" si="3430">BP661-(BQ571-BP571)</f>
        <v>44.2</v>
      </c>
      <c r="BR661" s="44"/>
      <c r="BS661" s="114"/>
      <c r="BT661" s="114"/>
      <c r="BU661" s="114"/>
      <c r="BV661" s="114"/>
      <c r="BW661" s="114"/>
      <c r="BX661" s="114"/>
      <c r="BY661" s="114"/>
      <c r="BZ661" s="114"/>
      <c r="CA661" s="114"/>
      <c r="CB661" s="114"/>
      <c r="CC661" s="42"/>
      <c r="CD661" s="42"/>
      <c r="CE661" s="42"/>
      <c r="CF661" s="42"/>
      <c r="CG661" s="42"/>
      <c r="CH661" s="42"/>
      <c r="CI661" s="42"/>
      <c r="CJ661" s="42"/>
      <c r="CK661" s="42"/>
      <c r="CL661" s="42"/>
      <c r="CM661" s="42"/>
      <c r="CN661" s="42"/>
      <c r="CO661" s="42"/>
      <c r="CP661" s="42"/>
      <c r="CQ661" s="42"/>
      <c r="CR661" s="42"/>
      <c r="CS661" s="42"/>
      <c r="CT661" s="42"/>
      <c r="CU661" s="113"/>
      <c r="CV661" s="44">
        <f t="shared" si="3409"/>
        <v>16.100000000000001</v>
      </c>
      <c r="CW661" s="44">
        <f t="shared" si="3410"/>
        <v>23.8</v>
      </c>
      <c r="CX661" s="44">
        <f t="shared" si="3411"/>
        <v>38.299999999999997</v>
      </c>
      <c r="CY661" s="44">
        <f t="shared" si="3412"/>
        <v>48.3</v>
      </c>
      <c r="CZ661" s="45">
        <f t="shared" si="3413"/>
        <v>47.7</v>
      </c>
      <c r="DA661" s="44">
        <f t="shared" ref="DA661:DA682" si="3431">BA661</f>
        <v>44.2</v>
      </c>
      <c r="DB661" s="44">
        <f t="shared" si="3414"/>
        <v>44.2</v>
      </c>
      <c r="DC661" s="44">
        <f t="shared" si="3415"/>
        <v>44.2</v>
      </c>
      <c r="DD661" s="44">
        <f t="shared" si="3416"/>
        <v>44.2</v>
      </c>
      <c r="DE661" s="44">
        <f t="shared" si="3417"/>
        <v>44.2</v>
      </c>
      <c r="DF661" s="44">
        <f t="shared" si="3418"/>
        <v>44.2</v>
      </c>
      <c r="DG661" s="44">
        <f t="shared" si="3419"/>
        <v>44.2</v>
      </c>
      <c r="DH661" s="44">
        <f t="shared" si="3420"/>
        <v>44.2</v>
      </c>
      <c r="DI661" s="44">
        <f t="shared" si="3421"/>
        <v>44.2</v>
      </c>
    </row>
    <row r="662" spans="1:113" ht="12" hidden="1" outlineLevel="1">
      <c r="A662" s="1" t="s">
        <v>759</v>
      </c>
      <c r="B662" s="19" t="s">
        <v>909</v>
      </c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M662" s="42"/>
      <c r="AN662" s="42"/>
      <c r="AO662" s="42"/>
      <c r="AP662" s="525">
        <v>0</v>
      </c>
      <c r="AQ662" s="525">
        <v>0</v>
      </c>
      <c r="AR662" s="525">
        <v>0</v>
      </c>
      <c r="AS662" s="525">
        <v>0</v>
      </c>
      <c r="AT662" s="525">
        <v>0</v>
      </c>
      <c r="AU662" s="525">
        <v>0</v>
      </c>
      <c r="AV662" s="525">
        <v>0</v>
      </c>
      <c r="AW662" s="525">
        <v>0</v>
      </c>
      <c r="AX662" s="525">
        <v>0</v>
      </c>
      <c r="AY662" s="525">
        <v>0</v>
      </c>
      <c r="AZ662" s="523">
        <v>0</v>
      </c>
      <c r="BA662" s="44">
        <f t="shared" ref="AY662:BI666" si="3432">AZ662*BA$660/AZ$660</f>
        <v>0</v>
      </c>
      <c r="BB662" s="44">
        <f t="shared" si="3432"/>
        <v>0</v>
      </c>
      <c r="BC662" s="44">
        <f t="shared" si="3432"/>
        <v>0</v>
      </c>
      <c r="BD662" s="44">
        <f t="shared" si="3432"/>
        <v>0</v>
      </c>
      <c r="BE662" s="44">
        <f t="shared" si="3432"/>
        <v>0</v>
      </c>
      <c r="BF662" s="44">
        <f t="shared" si="3432"/>
        <v>0</v>
      </c>
      <c r="BG662" s="44">
        <f t="shared" si="3432"/>
        <v>0</v>
      </c>
      <c r="BH662" s="44">
        <f t="shared" si="3432"/>
        <v>0</v>
      </c>
      <c r="BI662" s="44">
        <f t="shared" si="3432"/>
        <v>0</v>
      </c>
      <c r="BJ662" s="44">
        <f t="shared" ref="BJ662:BJ666" si="3433">BI662*BJ$660/BI$660</f>
        <v>0</v>
      </c>
      <c r="BK662" s="44">
        <f t="shared" ref="BK662:BK666" si="3434">BJ662*BK$660/BJ$660</f>
        <v>0</v>
      </c>
      <c r="BL662" s="44">
        <f t="shared" ref="BL662:BL666" si="3435">BK662*BL$660/BK$660</f>
        <v>0</v>
      </c>
      <c r="BM662" s="44">
        <f t="shared" ref="BM662:BM666" si="3436">BL662*BM$660/BL$660</f>
        <v>0</v>
      </c>
      <c r="BN662" s="44">
        <f t="shared" ref="BN662:BN666" si="3437">BM662*BN$660/BM$660</f>
        <v>0</v>
      </c>
      <c r="BO662" s="44">
        <f t="shared" ref="BO662:BO666" si="3438">BN662*BO$660/BN$660</f>
        <v>0</v>
      </c>
      <c r="BP662" s="44">
        <f t="shared" ref="BP662:BP666" si="3439">BO662*BP$660/BO$660</f>
        <v>0</v>
      </c>
      <c r="BQ662" s="44">
        <f t="shared" ref="BQ662:BQ666" si="3440">BP662*BQ$660/BP$660</f>
        <v>0</v>
      </c>
      <c r="BR662" s="44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2"/>
      <c r="CD662" s="42"/>
      <c r="CE662" s="42"/>
      <c r="CF662" s="42"/>
      <c r="CG662" s="42"/>
      <c r="CH662" s="42"/>
      <c r="CI662" s="42"/>
      <c r="CJ662" s="42"/>
      <c r="CK662" s="42"/>
      <c r="CL662" s="42"/>
      <c r="CM662" s="42"/>
      <c r="CN662" s="42"/>
      <c r="CO662" s="42"/>
      <c r="CP662" s="42"/>
      <c r="CQ662" s="42"/>
      <c r="CR662" s="42"/>
      <c r="CS662" s="42"/>
      <c r="CT662" s="42"/>
      <c r="CU662" s="113"/>
      <c r="CV662" s="44">
        <f t="shared" si="3409"/>
        <v>0</v>
      </c>
      <c r="CW662" s="44">
        <f t="shared" si="3410"/>
        <v>0</v>
      </c>
      <c r="CX662" s="44">
        <f t="shared" si="3411"/>
        <v>0</v>
      </c>
      <c r="CY662" s="44">
        <f t="shared" si="3412"/>
        <v>0</v>
      </c>
      <c r="CZ662" s="45">
        <f t="shared" si="3413"/>
        <v>0</v>
      </c>
      <c r="DA662" s="44">
        <f t="shared" si="3431"/>
        <v>0</v>
      </c>
      <c r="DB662" s="44">
        <f t="shared" si="3414"/>
        <v>0</v>
      </c>
      <c r="DC662" s="44">
        <f t="shared" si="3415"/>
        <v>0</v>
      </c>
      <c r="DD662" s="44">
        <f t="shared" si="3416"/>
        <v>0</v>
      </c>
      <c r="DE662" s="44">
        <f t="shared" si="3417"/>
        <v>0</v>
      </c>
      <c r="DF662" s="44">
        <f t="shared" si="3418"/>
        <v>0</v>
      </c>
      <c r="DG662" s="44">
        <f t="shared" si="3419"/>
        <v>0</v>
      </c>
      <c r="DH662" s="44">
        <f t="shared" si="3420"/>
        <v>0</v>
      </c>
      <c r="DI662" s="44">
        <f t="shared" si="3421"/>
        <v>0</v>
      </c>
    </row>
    <row r="663" spans="1:113" ht="12" hidden="1" outlineLevel="1">
      <c r="A663" s="1" t="s">
        <v>760</v>
      </c>
      <c r="B663" s="19" t="s">
        <v>1110</v>
      </c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M663" s="42"/>
      <c r="AN663" s="42"/>
      <c r="AO663" s="42"/>
      <c r="AP663" s="525">
        <f>761.8+0.5</f>
        <v>762.3</v>
      </c>
      <c r="AQ663" s="525">
        <f>3259.7+3.2</f>
        <v>3262.8999999999996</v>
      </c>
      <c r="AR663" s="525">
        <f>3025.1+6.7</f>
        <v>3031.7999999999997</v>
      </c>
      <c r="AS663" s="525">
        <f>2794+19.3</f>
        <v>2813.3</v>
      </c>
      <c r="AT663" s="525">
        <f>2454+10.6</f>
        <v>2464.6</v>
      </c>
      <c r="AU663" s="525">
        <f>2425.7+10</f>
        <v>2435.6999999999998</v>
      </c>
      <c r="AV663" s="525">
        <f>3006.1+7.4</f>
        <v>3013.5</v>
      </c>
      <c r="AW663" s="525">
        <f>1607.3+2.7</f>
        <v>1610</v>
      </c>
      <c r="AX663" s="525">
        <f>1626.1+1</f>
        <v>1627.1</v>
      </c>
      <c r="AY663" s="525">
        <v>1612.1</v>
      </c>
      <c r="AZ663" s="523">
        <v>2154.6999999999998</v>
      </c>
      <c r="BA663" s="44">
        <f t="shared" si="3432"/>
        <v>2337.6271049093834</v>
      </c>
      <c r="BB663" s="44">
        <f t="shared" si="3432"/>
        <v>2487.4058916741433</v>
      </c>
      <c r="BC663" s="44">
        <f t="shared" si="3432"/>
        <v>2680.1149985381226</v>
      </c>
      <c r="BD663" s="44">
        <f t="shared" si="3432"/>
        <v>2842.3448975963997</v>
      </c>
      <c r="BE663" s="44">
        <f t="shared" si="3432"/>
        <v>3052.5463856552155</v>
      </c>
      <c r="BF663" s="44">
        <f t="shared" si="3432"/>
        <v>3223.8103747062073</v>
      </c>
      <c r="BG663" s="44">
        <f t="shared" si="3432"/>
        <v>3447.2846047988178</v>
      </c>
      <c r="BH663" s="44">
        <f t="shared" si="3432"/>
        <v>3610.1497365420614</v>
      </c>
      <c r="BI663" s="44">
        <f t="shared" si="3432"/>
        <v>3828.3961101663399</v>
      </c>
      <c r="BJ663" s="44">
        <f t="shared" si="3433"/>
        <v>3974.731587272403</v>
      </c>
      <c r="BK663" s="44">
        <f t="shared" si="3434"/>
        <v>4180.5774496757822</v>
      </c>
      <c r="BL663" s="44">
        <f t="shared" si="3435"/>
        <v>4303.6101796003559</v>
      </c>
      <c r="BM663" s="44">
        <f t="shared" si="3436"/>
        <v>4488.7197311016989</v>
      </c>
      <c r="BN663" s="44">
        <f t="shared" si="3437"/>
        <v>4599.7095479781528</v>
      </c>
      <c r="BO663" s="44">
        <f t="shared" si="3438"/>
        <v>4776.0033590639459</v>
      </c>
      <c r="BP663" s="44">
        <f t="shared" si="3439"/>
        <v>4894.1253977525848</v>
      </c>
      <c r="BQ663" s="44">
        <f t="shared" si="3440"/>
        <v>5081.8651034522663</v>
      </c>
      <c r="BR663" s="44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2"/>
      <c r="CD663" s="42"/>
      <c r="CE663" s="42"/>
      <c r="CF663" s="42"/>
      <c r="CG663" s="42"/>
      <c r="CH663" s="42"/>
      <c r="CI663" s="42"/>
      <c r="CJ663" s="42"/>
      <c r="CK663" s="42"/>
      <c r="CL663" s="42"/>
      <c r="CM663" s="42"/>
      <c r="CN663" s="42"/>
      <c r="CO663" s="42"/>
      <c r="CP663" s="42"/>
      <c r="CQ663" s="42"/>
      <c r="CR663" s="42"/>
      <c r="CS663" s="42"/>
      <c r="CT663" s="42"/>
      <c r="CU663" s="113"/>
      <c r="CV663" s="44">
        <f t="shared" si="3409"/>
        <v>3262.8999999999996</v>
      </c>
      <c r="CW663" s="44">
        <f t="shared" si="3410"/>
        <v>2813.3</v>
      </c>
      <c r="CX663" s="44">
        <f t="shared" si="3411"/>
        <v>2435.6999999999998</v>
      </c>
      <c r="CY663" s="44">
        <f t="shared" si="3412"/>
        <v>1610</v>
      </c>
      <c r="CZ663" s="45">
        <f t="shared" si="3413"/>
        <v>1612.1</v>
      </c>
      <c r="DA663" s="44">
        <f t="shared" si="3431"/>
        <v>2337.6271049093834</v>
      </c>
      <c r="DB663" s="44">
        <f t="shared" si="3414"/>
        <v>2680.1149985381226</v>
      </c>
      <c r="DC663" s="44">
        <f t="shared" si="3415"/>
        <v>3052.5463856552155</v>
      </c>
      <c r="DD663" s="44">
        <f t="shared" si="3416"/>
        <v>3447.2846047988178</v>
      </c>
      <c r="DE663" s="44">
        <f t="shared" si="3417"/>
        <v>3828.3961101663399</v>
      </c>
      <c r="DF663" s="44">
        <f t="shared" si="3418"/>
        <v>4180.5774496757822</v>
      </c>
      <c r="DG663" s="44">
        <f t="shared" si="3419"/>
        <v>4488.7197311016989</v>
      </c>
      <c r="DH663" s="44">
        <f t="shared" si="3420"/>
        <v>4776.0033590639459</v>
      </c>
      <c r="DI663" s="44">
        <f t="shared" si="3421"/>
        <v>5081.8651034522663</v>
      </c>
    </row>
    <row r="664" spans="1:113" ht="12" hidden="1" outlineLevel="1">
      <c r="A664" s="1" t="s">
        <v>1068</v>
      </c>
      <c r="B664" s="19" t="s">
        <v>1069</v>
      </c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M664" s="42"/>
      <c r="AN664" s="42"/>
      <c r="AO664" s="42"/>
      <c r="AP664" s="525">
        <v>0</v>
      </c>
      <c r="AQ664" s="525">
        <v>0</v>
      </c>
      <c r="AR664" s="525">
        <v>0</v>
      </c>
      <c r="AS664" s="525">
        <v>0</v>
      </c>
      <c r="AT664" s="525">
        <v>0</v>
      </c>
      <c r="AU664" s="525">
        <v>0</v>
      </c>
      <c r="AV664" s="525">
        <v>0</v>
      </c>
      <c r="AW664" s="525">
        <v>0</v>
      </c>
      <c r="AX664" s="525">
        <v>0</v>
      </c>
      <c r="AY664" s="525">
        <v>0</v>
      </c>
      <c r="AZ664" s="523">
        <v>0</v>
      </c>
      <c r="BA664" s="44">
        <f t="shared" si="3432"/>
        <v>0</v>
      </c>
      <c r="BB664" s="44">
        <f t="shared" si="3432"/>
        <v>0</v>
      </c>
      <c r="BC664" s="44">
        <f t="shared" si="3432"/>
        <v>0</v>
      </c>
      <c r="BD664" s="44">
        <f t="shared" si="3432"/>
        <v>0</v>
      </c>
      <c r="BE664" s="44">
        <f t="shared" si="3432"/>
        <v>0</v>
      </c>
      <c r="BF664" s="44">
        <f t="shared" si="3432"/>
        <v>0</v>
      </c>
      <c r="BG664" s="44">
        <f t="shared" si="3432"/>
        <v>0</v>
      </c>
      <c r="BH664" s="44">
        <f t="shared" si="3432"/>
        <v>0</v>
      </c>
      <c r="BI664" s="44">
        <f t="shared" si="3432"/>
        <v>0</v>
      </c>
      <c r="BJ664" s="44">
        <f t="shared" si="3433"/>
        <v>0</v>
      </c>
      <c r="BK664" s="44">
        <f t="shared" si="3434"/>
        <v>0</v>
      </c>
      <c r="BL664" s="44">
        <f t="shared" si="3435"/>
        <v>0</v>
      </c>
      <c r="BM664" s="44">
        <f t="shared" si="3436"/>
        <v>0</v>
      </c>
      <c r="BN664" s="44">
        <f t="shared" si="3437"/>
        <v>0</v>
      </c>
      <c r="BO664" s="44">
        <f t="shared" si="3438"/>
        <v>0</v>
      </c>
      <c r="BP664" s="44">
        <f t="shared" si="3439"/>
        <v>0</v>
      </c>
      <c r="BQ664" s="44">
        <f t="shared" si="3440"/>
        <v>0</v>
      </c>
      <c r="BR664" s="44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2"/>
      <c r="CD664" s="42"/>
      <c r="CE664" s="42"/>
      <c r="CF664" s="42"/>
      <c r="CG664" s="42"/>
      <c r="CH664" s="42"/>
      <c r="CI664" s="42"/>
      <c r="CJ664" s="42"/>
      <c r="CK664" s="42"/>
      <c r="CL664" s="42"/>
      <c r="CM664" s="42"/>
      <c r="CN664" s="42"/>
      <c r="CO664" s="42"/>
      <c r="CP664" s="42"/>
      <c r="CQ664" s="42"/>
      <c r="CR664" s="42"/>
      <c r="CS664" s="42"/>
      <c r="CT664" s="42"/>
      <c r="CU664" s="113"/>
      <c r="CV664" s="44">
        <f t="shared" si="3409"/>
        <v>0</v>
      </c>
      <c r="CW664" s="44">
        <f t="shared" si="3410"/>
        <v>0</v>
      </c>
      <c r="CX664" s="44">
        <f t="shared" si="3411"/>
        <v>0</v>
      </c>
      <c r="CY664" s="44">
        <f t="shared" si="3412"/>
        <v>0</v>
      </c>
      <c r="CZ664" s="45">
        <f t="shared" si="3413"/>
        <v>0</v>
      </c>
      <c r="DA664" s="44">
        <f t="shared" si="3431"/>
        <v>0</v>
      </c>
      <c r="DB664" s="44">
        <f t="shared" si="3414"/>
        <v>0</v>
      </c>
      <c r="DC664" s="44">
        <f t="shared" si="3415"/>
        <v>0</v>
      </c>
      <c r="DD664" s="44">
        <f t="shared" si="3416"/>
        <v>0</v>
      </c>
      <c r="DE664" s="44">
        <f t="shared" si="3417"/>
        <v>0</v>
      </c>
      <c r="DF664" s="44">
        <f t="shared" si="3418"/>
        <v>0</v>
      </c>
      <c r="DG664" s="44">
        <f t="shared" si="3419"/>
        <v>0</v>
      </c>
      <c r="DH664" s="44">
        <f t="shared" si="3420"/>
        <v>0</v>
      </c>
      <c r="DI664" s="44">
        <f t="shared" si="3421"/>
        <v>0</v>
      </c>
    </row>
    <row r="665" spans="1:113" ht="12" hidden="1" outlineLevel="1">
      <c r="A665" s="1" t="s">
        <v>895</v>
      </c>
      <c r="B665" s="19" t="s">
        <v>910</v>
      </c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/>
      <c r="AL665" s="42"/>
      <c r="AM665" s="42"/>
      <c r="AN665" s="42"/>
      <c r="AO665" s="42"/>
      <c r="AP665" s="525">
        <v>0</v>
      </c>
      <c r="AQ665" s="525">
        <v>0</v>
      </c>
      <c r="AR665" s="525">
        <v>0</v>
      </c>
      <c r="AS665" s="525">
        <v>0</v>
      </c>
      <c r="AT665" s="525">
        <v>0</v>
      </c>
      <c r="AU665" s="525">
        <v>0</v>
      </c>
      <c r="AV665" s="525">
        <v>0</v>
      </c>
      <c r="AW665" s="525">
        <v>0</v>
      </c>
      <c r="AX665" s="525">
        <v>0</v>
      </c>
      <c r="AY665" s="525">
        <v>0</v>
      </c>
      <c r="AZ665" s="523">
        <v>0</v>
      </c>
      <c r="BA665" s="44">
        <f t="shared" si="3432"/>
        <v>0</v>
      </c>
      <c r="BB665" s="44">
        <f t="shared" si="3432"/>
        <v>0</v>
      </c>
      <c r="BC665" s="44">
        <f t="shared" si="3432"/>
        <v>0</v>
      </c>
      <c r="BD665" s="44">
        <f t="shared" si="3432"/>
        <v>0</v>
      </c>
      <c r="BE665" s="44">
        <f t="shared" si="3432"/>
        <v>0</v>
      </c>
      <c r="BF665" s="44">
        <f t="shared" si="3432"/>
        <v>0</v>
      </c>
      <c r="BG665" s="44">
        <f t="shared" si="3432"/>
        <v>0</v>
      </c>
      <c r="BH665" s="44">
        <f t="shared" si="3432"/>
        <v>0</v>
      </c>
      <c r="BI665" s="44">
        <f t="shared" si="3432"/>
        <v>0</v>
      </c>
      <c r="BJ665" s="44">
        <f t="shared" si="3433"/>
        <v>0</v>
      </c>
      <c r="BK665" s="44">
        <f t="shared" si="3434"/>
        <v>0</v>
      </c>
      <c r="BL665" s="44">
        <f t="shared" si="3435"/>
        <v>0</v>
      </c>
      <c r="BM665" s="44">
        <f t="shared" si="3436"/>
        <v>0</v>
      </c>
      <c r="BN665" s="44">
        <f t="shared" si="3437"/>
        <v>0</v>
      </c>
      <c r="BO665" s="44">
        <f t="shared" si="3438"/>
        <v>0</v>
      </c>
      <c r="BP665" s="44">
        <f t="shared" si="3439"/>
        <v>0</v>
      </c>
      <c r="BQ665" s="44">
        <f t="shared" si="3440"/>
        <v>0</v>
      </c>
      <c r="BR665" s="44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2"/>
      <c r="CD665" s="42"/>
      <c r="CE665" s="42"/>
      <c r="CF665" s="42"/>
      <c r="CG665" s="42"/>
      <c r="CH665" s="42"/>
      <c r="CI665" s="42"/>
      <c r="CJ665" s="42"/>
      <c r="CK665" s="42"/>
      <c r="CL665" s="42"/>
      <c r="CM665" s="42"/>
      <c r="CN665" s="42"/>
      <c r="CO665" s="42"/>
      <c r="CP665" s="42"/>
      <c r="CQ665" s="42"/>
      <c r="CR665" s="42"/>
      <c r="CS665" s="42"/>
      <c r="CT665" s="42"/>
      <c r="CU665" s="113"/>
      <c r="CV665" s="44">
        <f t="shared" si="3409"/>
        <v>0</v>
      </c>
      <c r="CW665" s="44">
        <f t="shared" si="3410"/>
        <v>0</v>
      </c>
      <c r="CX665" s="44">
        <f t="shared" si="3411"/>
        <v>0</v>
      </c>
      <c r="CY665" s="44">
        <f t="shared" si="3412"/>
        <v>0</v>
      </c>
      <c r="CZ665" s="45">
        <f t="shared" si="3413"/>
        <v>0</v>
      </c>
      <c r="DA665" s="44">
        <f t="shared" si="3431"/>
        <v>0</v>
      </c>
      <c r="DB665" s="44">
        <f t="shared" si="3414"/>
        <v>0</v>
      </c>
      <c r="DC665" s="44">
        <f t="shared" si="3415"/>
        <v>0</v>
      </c>
      <c r="DD665" s="44">
        <f t="shared" si="3416"/>
        <v>0</v>
      </c>
      <c r="DE665" s="44">
        <f t="shared" si="3417"/>
        <v>0</v>
      </c>
      <c r="DF665" s="44">
        <f t="shared" si="3418"/>
        <v>0</v>
      </c>
      <c r="DG665" s="44">
        <f t="shared" si="3419"/>
        <v>0</v>
      </c>
      <c r="DH665" s="44">
        <f t="shared" si="3420"/>
        <v>0</v>
      </c>
      <c r="DI665" s="44">
        <f t="shared" si="3421"/>
        <v>0</v>
      </c>
    </row>
    <row r="666" spans="1:113" ht="12" hidden="1" outlineLevel="1">
      <c r="A666" s="1" t="s">
        <v>896</v>
      </c>
      <c r="B666" s="19" t="s">
        <v>911</v>
      </c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M666" s="42"/>
      <c r="AN666" s="42"/>
      <c r="AO666" s="42"/>
      <c r="AP666" s="525">
        <v>2</v>
      </c>
      <c r="AQ666" s="525">
        <v>1.7</v>
      </c>
      <c r="AR666" s="525">
        <v>2.1</v>
      </c>
      <c r="AS666" s="525">
        <v>2.6</v>
      </c>
      <c r="AT666" s="525"/>
      <c r="AU666" s="525"/>
      <c r="AV666" s="525"/>
      <c r="AW666" s="525"/>
      <c r="AX666" s="525"/>
      <c r="AY666" s="44">
        <f t="shared" si="3432"/>
        <v>0</v>
      </c>
      <c r="AZ666" s="45">
        <f t="shared" si="3432"/>
        <v>0</v>
      </c>
      <c r="BA666" s="44">
        <f t="shared" si="3432"/>
        <v>0</v>
      </c>
      <c r="BB666" s="44">
        <f t="shared" si="3432"/>
        <v>0</v>
      </c>
      <c r="BC666" s="44">
        <f t="shared" si="3432"/>
        <v>0</v>
      </c>
      <c r="BD666" s="44">
        <f t="shared" si="3432"/>
        <v>0</v>
      </c>
      <c r="BE666" s="44">
        <f t="shared" si="3432"/>
        <v>0</v>
      </c>
      <c r="BF666" s="44">
        <f t="shared" si="3432"/>
        <v>0</v>
      </c>
      <c r="BG666" s="44">
        <f t="shared" si="3432"/>
        <v>0</v>
      </c>
      <c r="BH666" s="44">
        <f t="shared" si="3432"/>
        <v>0</v>
      </c>
      <c r="BI666" s="44">
        <f t="shared" si="3432"/>
        <v>0</v>
      </c>
      <c r="BJ666" s="44">
        <f t="shared" si="3433"/>
        <v>0</v>
      </c>
      <c r="BK666" s="44">
        <f t="shared" si="3434"/>
        <v>0</v>
      </c>
      <c r="BL666" s="44">
        <f t="shared" si="3435"/>
        <v>0</v>
      </c>
      <c r="BM666" s="44">
        <f t="shared" si="3436"/>
        <v>0</v>
      </c>
      <c r="BN666" s="44">
        <f t="shared" si="3437"/>
        <v>0</v>
      </c>
      <c r="BO666" s="44">
        <f t="shared" si="3438"/>
        <v>0</v>
      </c>
      <c r="BP666" s="44">
        <f t="shared" si="3439"/>
        <v>0</v>
      </c>
      <c r="BQ666" s="44">
        <f t="shared" si="3440"/>
        <v>0</v>
      </c>
      <c r="BR666" s="44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2"/>
      <c r="CD666" s="42"/>
      <c r="CE666" s="42"/>
      <c r="CF666" s="42"/>
      <c r="CG666" s="42"/>
      <c r="CH666" s="42"/>
      <c r="CI666" s="42"/>
      <c r="CJ666" s="42"/>
      <c r="CK666" s="42"/>
      <c r="CL666" s="42"/>
      <c r="CM666" s="42"/>
      <c r="CN666" s="42"/>
      <c r="CO666" s="42"/>
      <c r="CP666" s="42"/>
      <c r="CQ666" s="42"/>
      <c r="CR666" s="42"/>
      <c r="CS666" s="42"/>
      <c r="CT666" s="42"/>
      <c r="CU666" s="113"/>
      <c r="CV666" s="44">
        <f t="shared" si="3409"/>
        <v>1.7</v>
      </c>
      <c r="CW666" s="44">
        <f t="shared" si="3410"/>
        <v>2.6</v>
      </c>
      <c r="CX666" s="44">
        <f t="shared" si="3411"/>
        <v>0</v>
      </c>
      <c r="CY666" s="44">
        <f t="shared" si="3412"/>
        <v>0</v>
      </c>
      <c r="CZ666" s="45">
        <f t="shared" si="3413"/>
        <v>0</v>
      </c>
      <c r="DA666" s="44">
        <f t="shared" si="3431"/>
        <v>0</v>
      </c>
      <c r="DB666" s="44">
        <f t="shared" si="3414"/>
        <v>0</v>
      </c>
      <c r="DC666" s="44">
        <f t="shared" si="3415"/>
        <v>0</v>
      </c>
      <c r="DD666" s="44">
        <f t="shared" si="3416"/>
        <v>0</v>
      </c>
      <c r="DE666" s="44">
        <f t="shared" si="3417"/>
        <v>0</v>
      </c>
      <c r="DF666" s="44">
        <f t="shared" si="3418"/>
        <v>0</v>
      </c>
      <c r="DG666" s="44">
        <f t="shared" si="3419"/>
        <v>0</v>
      </c>
      <c r="DH666" s="44">
        <f t="shared" si="3420"/>
        <v>0</v>
      </c>
      <c r="DI666" s="44">
        <f t="shared" si="3421"/>
        <v>0</v>
      </c>
    </row>
    <row r="667" spans="1:113" ht="12" hidden="1" outlineLevel="1">
      <c r="A667" s="1" t="s">
        <v>900</v>
      </c>
      <c r="B667" s="19" t="s">
        <v>931</v>
      </c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M667" s="42"/>
      <c r="AN667" s="42"/>
      <c r="AO667" s="42"/>
      <c r="AP667" s="44">
        <f t="shared" ref="AP667:AR667" si="3441">AP660-SUM(AP661:AP666,AP668:AP669,AP178,-SUM(AP120:AP121))</f>
        <v>41.200000000000273</v>
      </c>
      <c r="AQ667" s="44">
        <f t="shared" si="3441"/>
        <v>68.300000000001091</v>
      </c>
      <c r="AR667" s="44">
        <f t="shared" si="3441"/>
        <v>103.79999999999927</v>
      </c>
      <c r="AS667" s="44">
        <f t="shared" ref="AS667:AT667" si="3442">AS660-SUM(AS661:AS666,AS668:AS669,AS178,-SUM(AS120:AS121))</f>
        <v>131.00000000000182</v>
      </c>
      <c r="AT667" s="44">
        <f t="shared" si="3442"/>
        <v>141.70000000000073</v>
      </c>
      <c r="AU667" s="44">
        <f t="shared" ref="AU667:AV667" si="3443">AU660-SUM(AU661:AU666,AU668:AU669,AU178,-SUM(AU120:AU121))</f>
        <v>162.70000000000073</v>
      </c>
      <c r="AV667" s="44">
        <f t="shared" si="3443"/>
        <v>181.70000000000073</v>
      </c>
      <c r="AW667" s="44">
        <f t="shared" ref="AW667:AX667" si="3444">AW660-SUM(AW661:AW666,AW668:AW669,AW178,-SUM(AW120:AW121))</f>
        <v>198.60000000000218</v>
      </c>
      <c r="AX667" s="44">
        <f t="shared" si="3444"/>
        <v>195.50000000000182</v>
      </c>
      <c r="AY667" s="44">
        <f t="shared" ref="AY667:BI667" si="3445">AY660-SUM(AY661:AY666,AY668:AY669,AY178,-SUM(AY120:AY121))</f>
        <v>176.80000000000109</v>
      </c>
      <c r="AZ667" s="45">
        <f t="shared" ref="AZ667" si="3446">AZ660-SUM(AZ661:AZ666,AZ668:AZ669,AZ178,-SUM(AZ120:AZ121))</f>
        <v>184.50000000000182</v>
      </c>
      <c r="BA667" s="44">
        <f t="shared" si="3445"/>
        <v>192.31843913949706</v>
      </c>
      <c r="BB667" s="44">
        <f t="shared" si="3445"/>
        <v>202.58165491047475</v>
      </c>
      <c r="BC667" s="44">
        <f t="shared" si="3445"/>
        <v>219.24470502248369</v>
      </c>
      <c r="BD667" s="44">
        <f t="shared" si="3445"/>
        <v>227.29728966421681</v>
      </c>
      <c r="BE667" s="44">
        <f t="shared" si="3445"/>
        <v>235.11401495942118</v>
      </c>
      <c r="BF667" s="44">
        <f t="shared" si="3445"/>
        <v>237.6426200785063</v>
      </c>
      <c r="BG667" s="44">
        <f t="shared" si="3445"/>
        <v>242.20254971872419</v>
      </c>
      <c r="BH667" s="44">
        <f t="shared" si="3445"/>
        <v>243.78466729963111</v>
      </c>
      <c r="BI667" s="44">
        <f t="shared" si="3445"/>
        <v>252.97475516231498</v>
      </c>
      <c r="BJ667" s="44">
        <f t="shared" ref="BJ667:BK667" si="3447">BJ660-SUM(BJ661:BJ666,BJ668:BJ669,BJ178,-SUM(BJ120:BJ121))</f>
        <v>256.82589711079345</v>
      </c>
      <c r="BK667" s="44">
        <f t="shared" si="3447"/>
        <v>264.62858795442298</v>
      </c>
      <c r="BL667" s="44">
        <f t="shared" ref="BL667:BM667" si="3448">BL660-SUM(BL661:BL666,BL668:BL669,BL178,-SUM(BL120:BL121))</f>
        <v>264.22087398393705</v>
      </c>
      <c r="BM667" s="44">
        <f t="shared" si="3448"/>
        <v>267.49190226246719</v>
      </c>
      <c r="BN667" s="44">
        <f t="shared" ref="BN667:BO667" si="3449">BN660-SUM(BN661:BN666,BN668:BN669,BN178,-SUM(BN120:BN121))</f>
        <v>262.92815522359888</v>
      </c>
      <c r="BO667" s="44">
        <f t="shared" si="3449"/>
        <v>262.59904657279549</v>
      </c>
      <c r="BP667" s="44">
        <f t="shared" ref="BP667:BQ667" si="3450">BP660-SUM(BP661:BP666,BP668:BP669,BP178,-SUM(BP120:BP121))</f>
        <v>255.02017309669463</v>
      </c>
      <c r="BQ667" s="44">
        <f t="shared" si="3450"/>
        <v>251.81493270921055</v>
      </c>
      <c r="BR667" s="44"/>
      <c r="BS667" s="42"/>
      <c r="BT667" s="42"/>
      <c r="BU667" s="42"/>
      <c r="BV667" s="42"/>
      <c r="BW667" s="42"/>
      <c r="BX667" s="42"/>
      <c r="BY667" s="42"/>
      <c r="BZ667" s="42"/>
      <c r="CA667" s="42"/>
      <c r="CB667" s="42"/>
      <c r="CC667" s="42"/>
      <c r="CD667" s="42"/>
      <c r="CE667" s="42"/>
      <c r="CF667" s="42"/>
      <c r="CG667" s="42"/>
      <c r="CH667" s="42"/>
      <c r="CI667" s="42"/>
      <c r="CJ667" s="42"/>
      <c r="CK667" s="42"/>
      <c r="CL667" s="42"/>
      <c r="CM667" s="42"/>
      <c r="CN667" s="42"/>
      <c r="CO667" s="42"/>
      <c r="CP667" s="42"/>
      <c r="CQ667" s="42"/>
      <c r="CR667" s="42"/>
      <c r="CS667" s="42"/>
      <c r="CT667" s="42"/>
      <c r="CU667" s="42"/>
      <c r="CV667" s="44">
        <f t="shared" si="3409"/>
        <v>68.300000000001091</v>
      </c>
      <c r="CW667" s="44">
        <f t="shared" si="3410"/>
        <v>131.00000000000182</v>
      </c>
      <c r="CX667" s="44">
        <f t="shared" si="3411"/>
        <v>162.70000000000073</v>
      </c>
      <c r="CY667" s="44">
        <f t="shared" si="3412"/>
        <v>198.60000000000218</v>
      </c>
      <c r="CZ667" s="45">
        <f t="shared" si="3413"/>
        <v>176.80000000000109</v>
      </c>
      <c r="DA667" s="44">
        <f t="shared" si="3431"/>
        <v>192.31843913949706</v>
      </c>
      <c r="DB667" s="44">
        <f t="shared" si="3414"/>
        <v>219.24470502248369</v>
      </c>
      <c r="DC667" s="44">
        <f t="shared" si="3415"/>
        <v>235.11401495942118</v>
      </c>
      <c r="DD667" s="44">
        <f t="shared" si="3416"/>
        <v>242.20254971872419</v>
      </c>
      <c r="DE667" s="44">
        <f t="shared" si="3417"/>
        <v>252.97475516231498</v>
      </c>
      <c r="DF667" s="44">
        <f t="shared" si="3418"/>
        <v>264.62858795442298</v>
      </c>
      <c r="DG667" s="44">
        <f t="shared" si="3419"/>
        <v>267.49190226246719</v>
      </c>
      <c r="DH667" s="44">
        <f t="shared" si="3420"/>
        <v>262.59904657279549</v>
      </c>
      <c r="DI667" s="44">
        <f t="shared" si="3421"/>
        <v>251.81493270921055</v>
      </c>
    </row>
    <row r="668" spans="1:113" ht="12" hidden="1" outlineLevel="1">
      <c r="A668" s="1" t="s">
        <v>901</v>
      </c>
      <c r="B668" s="19" t="s">
        <v>802</v>
      </c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M668" s="42"/>
      <c r="AN668" s="42"/>
      <c r="AO668" s="42"/>
      <c r="AP668" s="525">
        <v>135.19999999999999</v>
      </c>
      <c r="AQ668" s="525">
        <v>344</v>
      </c>
      <c r="AR668" s="525">
        <v>454</v>
      </c>
      <c r="AS668" s="525">
        <v>407.1</v>
      </c>
      <c r="AT668" s="525">
        <v>793.4</v>
      </c>
      <c r="AU668" s="525">
        <v>714.7</v>
      </c>
      <c r="AV668" s="525">
        <v>835</v>
      </c>
      <c r="AW668" s="525">
        <v>777.4</v>
      </c>
      <c r="AX668" s="525">
        <v>680.9</v>
      </c>
      <c r="AY668" s="525">
        <v>862.1</v>
      </c>
      <c r="AZ668" s="523">
        <v>471.2</v>
      </c>
      <c r="BA668" s="44">
        <f t="shared" ref="BA668:BI669" si="3451">AZ668*BA$660/AZ$660</f>
        <v>511.20336558838886</v>
      </c>
      <c r="BB668" s="44">
        <f t="shared" si="3451"/>
        <v>543.95769998461799</v>
      </c>
      <c r="BC668" s="44">
        <f t="shared" si="3451"/>
        <v>586.10024008500636</v>
      </c>
      <c r="BD668" s="44">
        <f t="shared" si="3451"/>
        <v>621.57744268224042</v>
      </c>
      <c r="BE668" s="44">
        <f t="shared" si="3451"/>
        <v>667.5452995408815</v>
      </c>
      <c r="BF668" s="44">
        <f t="shared" si="3451"/>
        <v>704.99811972040857</v>
      </c>
      <c r="BG668" s="44">
        <f t="shared" si="3451"/>
        <v>753.86852266264555</v>
      </c>
      <c r="BH668" s="44">
        <f t="shared" si="3451"/>
        <v>789.48464095169572</v>
      </c>
      <c r="BI668" s="44">
        <f t="shared" si="3451"/>
        <v>837.211791483909</v>
      </c>
      <c r="BJ668" s="44">
        <f t="shared" ref="BJ668:BJ669" si="3452">BI668*BJ$660/BI$660</f>
        <v>869.21312661751313</v>
      </c>
      <c r="BK668" s="44">
        <f t="shared" ref="BK668:BK669" si="3453">BJ668*BK$660/BJ$660</f>
        <v>914.22847463091273</v>
      </c>
      <c r="BL668" s="44">
        <f t="shared" ref="BL668:BL669" si="3454">BK668*BL$660/BK$660</f>
        <v>941.13385465618728</v>
      </c>
      <c r="BM668" s="44">
        <f t="shared" ref="BM668:BM669" si="3455">BL668*BM$660/BL$660</f>
        <v>981.61448800070536</v>
      </c>
      <c r="BN668" s="44">
        <f t="shared" ref="BN668:BN669" si="3456">BM668*BN$660/BM$660</f>
        <v>1005.8862667690654</v>
      </c>
      <c r="BO668" s="44">
        <f t="shared" ref="BO668:BO669" si="3457">BN668*BO$660/BN$660</f>
        <v>1044.4390322508614</v>
      </c>
      <c r="BP668" s="44">
        <f t="shared" ref="BP668:BP669" si="3458">BO668*BP$660/BO$660</f>
        <v>1070.2705190611302</v>
      </c>
      <c r="BQ668" s="44">
        <f t="shared" ref="BQ668:BQ669" si="3459">BP668*BQ$660/BP$660</f>
        <v>1111.3263269813465</v>
      </c>
      <c r="BR668" s="44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2"/>
      <c r="CD668" s="42"/>
      <c r="CE668" s="42"/>
      <c r="CF668" s="42"/>
      <c r="CG668" s="42"/>
      <c r="CH668" s="42"/>
      <c r="CI668" s="42"/>
      <c r="CJ668" s="42"/>
      <c r="CK668" s="42"/>
      <c r="CL668" s="42"/>
      <c r="CM668" s="42"/>
      <c r="CN668" s="42"/>
      <c r="CO668" s="42"/>
      <c r="CP668" s="42"/>
      <c r="CQ668" s="42"/>
      <c r="CR668" s="42"/>
      <c r="CS668" s="42"/>
      <c r="CT668" s="42"/>
      <c r="CU668" s="113"/>
      <c r="CV668" s="44">
        <f t="shared" si="3409"/>
        <v>344</v>
      </c>
      <c r="CW668" s="44">
        <f t="shared" si="3410"/>
        <v>407.1</v>
      </c>
      <c r="CX668" s="44">
        <f t="shared" si="3411"/>
        <v>714.7</v>
      </c>
      <c r="CY668" s="44">
        <f t="shared" si="3412"/>
        <v>777.4</v>
      </c>
      <c r="CZ668" s="45">
        <f t="shared" si="3413"/>
        <v>862.1</v>
      </c>
      <c r="DA668" s="44">
        <f t="shared" si="3431"/>
        <v>511.20336558838886</v>
      </c>
      <c r="DB668" s="44">
        <f t="shared" si="3414"/>
        <v>586.10024008500636</v>
      </c>
      <c r="DC668" s="44">
        <f t="shared" si="3415"/>
        <v>667.5452995408815</v>
      </c>
      <c r="DD668" s="44">
        <f t="shared" si="3416"/>
        <v>753.86852266264555</v>
      </c>
      <c r="DE668" s="44">
        <f t="shared" si="3417"/>
        <v>837.211791483909</v>
      </c>
      <c r="DF668" s="44">
        <f t="shared" si="3418"/>
        <v>914.22847463091273</v>
      </c>
      <c r="DG668" s="44">
        <f t="shared" si="3419"/>
        <v>981.61448800070536</v>
      </c>
      <c r="DH668" s="44">
        <f t="shared" si="3420"/>
        <v>1044.4390322508614</v>
      </c>
      <c r="DI668" s="44">
        <f t="shared" si="3421"/>
        <v>1111.3263269813465</v>
      </c>
    </row>
    <row r="669" spans="1:113" ht="12" hidden="1" outlineLevel="1">
      <c r="A669" s="1" t="s">
        <v>902</v>
      </c>
      <c r="B669" s="19" t="s">
        <v>803</v>
      </c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M669" s="42"/>
      <c r="AN669" s="42"/>
      <c r="AO669" s="42"/>
      <c r="AP669" s="525">
        <v>0</v>
      </c>
      <c r="AQ669" s="525">
        <v>0</v>
      </c>
      <c r="AR669" s="525">
        <v>0</v>
      </c>
      <c r="AS669" s="525">
        <v>0</v>
      </c>
      <c r="AT669" s="525">
        <v>0</v>
      </c>
      <c r="AU669" s="525">
        <v>0</v>
      </c>
      <c r="AV669" s="525">
        <v>0</v>
      </c>
      <c r="AW669" s="525">
        <v>0</v>
      </c>
      <c r="AX669" s="525">
        <v>0</v>
      </c>
      <c r="AY669" s="525">
        <v>0</v>
      </c>
      <c r="AZ669" s="523">
        <v>0</v>
      </c>
      <c r="BA669" s="44">
        <f t="shared" si="3451"/>
        <v>0</v>
      </c>
      <c r="BB669" s="44">
        <f t="shared" si="3451"/>
        <v>0</v>
      </c>
      <c r="BC669" s="44">
        <f t="shared" si="3451"/>
        <v>0</v>
      </c>
      <c r="BD669" s="44">
        <f t="shared" si="3451"/>
        <v>0</v>
      </c>
      <c r="BE669" s="44">
        <f t="shared" si="3451"/>
        <v>0</v>
      </c>
      <c r="BF669" s="44">
        <f t="shared" si="3451"/>
        <v>0</v>
      </c>
      <c r="BG669" s="44">
        <f t="shared" si="3451"/>
        <v>0</v>
      </c>
      <c r="BH669" s="44">
        <f t="shared" si="3451"/>
        <v>0</v>
      </c>
      <c r="BI669" s="44">
        <f t="shared" si="3451"/>
        <v>0</v>
      </c>
      <c r="BJ669" s="44">
        <f t="shared" si="3452"/>
        <v>0</v>
      </c>
      <c r="BK669" s="44">
        <f t="shared" si="3453"/>
        <v>0</v>
      </c>
      <c r="BL669" s="44">
        <f t="shared" si="3454"/>
        <v>0</v>
      </c>
      <c r="BM669" s="44">
        <f t="shared" si="3455"/>
        <v>0</v>
      </c>
      <c r="BN669" s="44">
        <f t="shared" si="3456"/>
        <v>0</v>
      </c>
      <c r="BO669" s="44">
        <f t="shared" si="3457"/>
        <v>0</v>
      </c>
      <c r="BP669" s="44">
        <f t="shared" si="3458"/>
        <v>0</v>
      </c>
      <c r="BQ669" s="44">
        <f t="shared" si="3459"/>
        <v>0</v>
      </c>
      <c r="BR669" s="44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2"/>
      <c r="CD669" s="42"/>
      <c r="CE669" s="42"/>
      <c r="CF669" s="42"/>
      <c r="CG669" s="42"/>
      <c r="CH669" s="42"/>
      <c r="CI669" s="42"/>
      <c r="CJ669" s="42"/>
      <c r="CK669" s="42"/>
      <c r="CL669" s="42"/>
      <c r="CM669" s="42"/>
      <c r="CN669" s="42"/>
      <c r="CO669" s="42"/>
      <c r="CP669" s="42"/>
      <c r="CQ669" s="42"/>
      <c r="CR669" s="42"/>
      <c r="CS669" s="42"/>
      <c r="CT669" s="42"/>
      <c r="CU669" s="113"/>
      <c r="CV669" s="44">
        <f t="shared" si="3409"/>
        <v>0</v>
      </c>
      <c r="CW669" s="44">
        <f t="shared" si="3410"/>
        <v>0</v>
      </c>
      <c r="CX669" s="44">
        <f t="shared" si="3411"/>
        <v>0</v>
      </c>
      <c r="CY669" s="44">
        <f t="shared" si="3412"/>
        <v>0</v>
      </c>
      <c r="CZ669" s="45">
        <f t="shared" si="3413"/>
        <v>0</v>
      </c>
      <c r="DA669" s="44">
        <f t="shared" si="3431"/>
        <v>0</v>
      </c>
      <c r="DB669" s="44">
        <f t="shared" si="3414"/>
        <v>0</v>
      </c>
      <c r="DC669" s="44">
        <f t="shared" si="3415"/>
        <v>0</v>
      </c>
      <c r="DD669" s="44">
        <f t="shared" si="3416"/>
        <v>0</v>
      </c>
      <c r="DE669" s="44">
        <f t="shared" si="3417"/>
        <v>0</v>
      </c>
      <c r="DF669" s="44">
        <f t="shared" si="3418"/>
        <v>0</v>
      </c>
      <c r="DG669" s="44">
        <f t="shared" si="3419"/>
        <v>0</v>
      </c>
      <c r="DH669" s="44">
        <f t="shared" si="3420"/>
        <v>0</v>
      </c>
      <c r="DI669" s="44">
        <f t="shared" si="3421"/>
        <v>0</v>
      </c>
    </row>
    <row r="670" spans="1:113" ht="12" hidden="1" outlineLevel="1">
      <c r="A670" s="1" t="s">
        <v>1070</v>
      </c>
      <c r="B670" s="19" t="s">
        <v>1071</v>
      </c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525">
        <v>0</v>
      </c>
      <c r="AQ670" s="525">
        <v>0</v>
      </c>
      <c r="AR670" s="525">
        <v>0</v>
      </c>
      <c r="AS670" s="525">
        <v>0</v>
      </c>
      <c r="AT670" s="525">
        <v>0</v>
      </c>
      <c r="AU670" s="525">
        <v>0</v>
      </c>
      <c r="AV670" s="525">
        <v>0</v>
      </c>
      <c r="AW670" s="525">
        <v>0</v>
      </c>
      <c r="AX670" s="525">
        <v>0</v>
      </c>
      <c r="AY670" s="525">
        <v>0</v>
      </c>
      <c r="AZ670" s="523">
        <v>0</v>
      </c>
      <c r="BA670" s="44">
        <f t="shared" ref="BA670:BI670" si="3460">AZ670*BA$204/AZ$204</f>
        <v>0</v>
      </c>
      <c r="BB670" s="44">
        <f t="shared" si="3460"/>
        <v>0</v>
      </c>
      <c r="BC670" s="44">
        <f t="shared" si="3460"/>
        <v>0</v>
      </c>
      <c r="BD670" s="44">
        <f t="shared" si="3460"/>
        <v>0</v>
      </c>
      <c r="BE670" s="44">
        <f t="shared" si="3460"/>
        <v>0</v>
      </c>
      <c r="BF670" s="44">
        <f t="shared" si="3460"/>
        <v>0</v>
      </c>
      <c r="BG670" s="44">
        <f t="shared" si="3460"/>
        <v>0</v>
      </c>
      <c r="BH670" s="44">
        <f t="shared" si="3460"/>
        <v>0</v>
      </c>
      <c r="BI670" s="44">
        <f t="shared" si="3460"/>
        <v>0</v>
      </c>
      <c r="BJ670" s="44">
        <f t="shared" ref="BJ670" si="3461">BI670*BJ$204/BI$204</f>
        <v>0</v>
      </c>
      <c r="BK670" s="44">
        <f t="shared" ref="BK670" si="3462">BJ670*BK$204/BJ$204</f>
        <v>0</v>
      </c>
      <c r="BL670" s="44">
        <f t="shared" ref="BL670" si="3463">BK670*BL$204/BK$204</f>
        <v>0</v>
      </c>
      <c r="BM670" s="44">
        <f t="shared" ref="BM670" si="3464">BL670*BM$204/BL$204</f>
        <v>0</v>
      </c>
      <c r="BN670" s="44">
        <f t="shared" ref="BN670" si="3465">BM670*BN$204/BM$204</f>
        <v>0</v>
      </c>
      <c r="BO670" s="44">
        <f t="shared" ref="BO670" si="3466">BN670*BO$204/BN$204</f>
        <v>0</v>
      </c>
      <c r="BP670" s="44">
        <f t="shared" ref="BP670" si="3467">BO670*BP$204/BO$204</f>
        <v>0</v>
      </c>
      <c r="BQ670" s="44">
        <f t="shared" ref="BQ670" si="3468">BP670*BQ$204/BP$204</f>
        <v>0</v>
      </c>
      <c r="BR670" s="44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2"/>
      <c r="CD670" s="42"/>
      <c r="CE670" s="42"/>
      <c r="CF670" s="42"/>
      <c r="CG670" s="42"/>
      <c r="CH670" s="42"/>
      <c r="CI670" s="42"/>
      <c r="CJ670" s="42"/>
      <c r="CK670" s="42"/>
      <c r="CL670" s="42"/>
      <c r="CM670" s="42"/>
      <c r="CN670" s="42"/>
      <c r="CO670" s="42"/>
      <c r="CP670" s="42"/>
      <c r="CQ670" s="42"/>
      <c r="CR670" s="42"/>
      <c r="CS670" s="42"/>
      <c r="CT670" s="42"/>
      <c r="CU670" s="113"/>
      <c r="CV670" s="44">
        <f t="shared" si="3409"/>
        <v>0</v>
      </c>
      <c r="CW670" s="44">
        <f t="shared" si="3410"/>
        <v>0</v>
      </c>
      <c r="CX670" s="44">
        <f t="shared" si="3411"/>
        <v>0</v>
      </c>
      <c r="CY670" s="44">
        <f t="shared" si="3412"/>
        <v>0</v>
      </c>
      <c r="CZ670" s="45">
        <f t="shared" si="3413"/>
        <v>0</v>
      </c>
      <c r="DA670" s="44">
        <f t="shared" si="3431"/>
        <v>0</v>
      </c>
      <c r="DB670" s="44">
        <f t="shared" si="3414"/>
        <v>0</v>
      </c>
      <c r="DC670" s="44">
        <f t="shared" si="3415"/>
        <v>0</v>
      </c>
      <c r="DD670" s="44">
        <f t="shared" si="3416"/>
        <v>0</v>
      </c>
      <c r="DE670" s="44">
        <f t="shared" si="3417"/>
        <v>0</v>
      </c>
      <c r="DF670" s="44">
        <f t="shared" si="3418"/>
        <v>0</v>
      </c>
      <c r="DG670" s="44">
        <f t="shared" si="3419"/>
        <v>0</v>
      </c>
      <c r="DH670" s="44">
        <f t="shared" si="3420"/>
        <v>0</v>
      </c>
      <c r="DI670" s="44">
        <f t="shared" si="3421"/>
        <v>0</v>
      </c>
    </row>
    <row r="671" spans="1:113" ht="12" hidden="1" outlineLevel="1">
      <c r="A671" s="1" t="s">
        <v>903</v>
      </c>
      <c r="B671" s="19" t="s">
        <v>664</v>
      </c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M671" s="42"/>
      <c r="AN671" s="42"/>
      <c r="AO671" s="42"/>
      <c r="AP671" s="525">
        <v>0</v>
      </c>
      <c r="AQ671" s="525">
        <v>0</v>
      </c>
      <c r="AR671" s="525">
        <v>0</v>
      </c>
      <c r="AS671" s="525">
        <v>0</v>
      </c>
      <c r="AT671" s="525">
        <v>0</v>
      </c>
      <c r="AU671" s="525">
        <v>0</v>
      </c>
      <c r="AV671" s="525">
        <v>0</v>
      </c>
      <c r="AW671" s="525">
        <v>0</v>
      </c>
      <c r="AX671" s="525">
        <v>0</v>
      </c>
      <c r="AY671" s="525">
        <v>0</v>
      </c>
      <c r="AZ671" s="523">
        <v>0</v>
      </c>
      <c r="BA671" s="44">
        <f t="shared" ref="BA671:BI671" si="3469">AZ671*(BA$660-BA$541)/(AZ$660-AZ$541)</f>
        <v>0</v>
      </c>
      <c r="BB671" s="44">
        <f t="shared" si="3469"/>
        <v>0</v>
      </c>
      <c r="BC671" s="44">
        <f t="shared" si="3469"/>
        <v>0</v>
      </c>
      <c r="BD671" s="44">
        <f t="shared" si="3469"/>
        <v>0</v>
      </c>
      <c r="BE671" s="44">
        <f t="shared" si="3469"/>
        <v>0</v>
      </c>
      <c r="BF671" s="44">
        <f t="shared" si="3469"/>
        <v>0</v>
      </c>
      <c r="BG671" s="44">
        <f t="shared" si="3469"/>
        <v>0</v>
      </c>
      <c r="BH671" s="44">
        <f t="shared" si="3469"/>
        <v>0</v>
      </c>
      <c r="BI671" s="44">
        <f t="shared" si="3469"/>
        <v>0</v>
      </c>
      <c r="BJ671" s="44">
        <f t="shared" ref="BJ671" si="3470">BI671*(BJ$660-BJ$541)/(BI$660-BI$541)</f>
        <v>0</v>
      </c>
      <c r="BK671" s="44">
        <f t="shared" ref="BK671" si="3471">BJ671*(BK$660-BK$541)/(BJ$660-BJ$541)</f>
        <v>0</v>
      </c>
      <c r="BL671" s="44">
        <f t="shared" ref="BL671" si="3472">BK671*(BL$660-BL$541)/(BK$660-BK$541)</f>
        <v>0</v>
      </c>
      <c r="BM671" s="44">
        <f t="shared" ref="BM671" si="3473">BL671*(BM$660-BM$541)/(BL$660-BL$541)</f>
        <v>0</v>
      </c>
      <c r="BN671" s="44">
        <f t="shared" ref="BN671" si="3474">BM671*(BN$660-BN$541)/(BM$660-BM$541)</f>
        <v>0</v>
      </c>
      <c r="BO671" s="44">
        <f t="shared" ref="BO671" si="3475">BN671*(BO$660-BO$541)/(BN$660-BN$541)</f>
        <v>0</v>
      </c>
      <c r="BP671" s="44">
        <f t="shared" ref="BP671" si="3476">BO671*(BP$660-BP$541)/(BO$660-BO$541)</f>
        <v>0</v>
      </c>
      <c r="BQ671" s="44">
        <f t="shared" ref="BQ671" si="3477">BP671*(BQ$660-BQ$541)/(BP$660-BP$541)</f>
        <v>0</v>
      </c>
      <c r="BR671" s="44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2"/>
      <c r="CD671" s="42"/>
      <c r="CE671" s="42"/>
      <c r="CF671" s="42"/>
      <c r="CG671" s="42"/>
      <c r="CH671" s="42"/>
      <c r="CI671" s="42"/>
      <c r="CJ671" s="42"/>
      <c r="CK671" s="42"/>
      <c r="CL671" s="42"/>
      <c r="CM671" s="42"/>
      <c r="CN671" s="42"/>
      <c r="CO671" s="42"/>
      <c r="CP671" s="42"/>
      <c r="CQ671" s="42"/>
      <c r="CR671" s="42"/>
      <c r="CS671" s="42"/>
      <c r="CT671" s="42"/>
      <c r="CU671" s="113"/>
      <c r="CV671" s="44">
        <f t="shared" si="3409"/>
        <v>0</v>
      </c>
      <c r="CW671" s="44">
        <f t="shared" si="3410"/>
        <v>0</v>
      </c>
      <c r="CX671" s="44">
        <f t="shared" si="3411"/>
        <v>0</v>
      </c>
      <c r="CY671" s="44">
        <f t="shared" si="3412"/>
        <v>0</v>
      </c>
      <c r="CZ671" s="45">
        <f t="shared" si="3413"/>
        <v>0</v>
      </c>
      <c r="DA671" s="44">
        <f t="shared" si="3431"/>
        <v>0</v>
      </c>
      <c r="DB671" s="44">
        <f t="shared" si="3414"/>
        <v>0</v>
      </c>
      <c r="DC671" s="44">
        <f t="shared" si="3415"/>
        <v>0</v>
      </c>
      <c r="DD671" s="44">
        <f t="shared" si="3416"/>
        <v>0</v>
      </c>
      <c r="DE671" s="44">
        <f t="shared" si="3417"/>
        <v>0</v>
      </c>
      <c r="DF671" s="44">
        <f t="shared" si="3418"/>
        <v>0</v>
      </c>
      <c r="DG671" s="44">
        <f t="shared" si="3419"/>
        <v>0</v>
      </c>
      <c r="DH671" s="44">
        <f t="shared" si="3420"/>
        <v>0</v>
      </c>
      <c r="DI671" s="44">
        <f t="shared" si="3421"/>
        <v>0</v>
      </c>
    </row>
    <row r="672" spans="1:113" ht="12" hidden="1" outlineLevel="1">
      <c r="A672" s="1" t="s">
        <v>1046</v>
      </c>
      <c r="B672" s="19" t="s">
        <v>665</v>
      </c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525">
        <f>20.2+846.8</f>
        <v>867</v>
      </c>
      <c r="AQ672" s="525">
        <f>17.6+3528.5</f>
        <v>3546.1</v>
      </c>
      <c r="AR672" s="525">
        <f>27+3743.5</f>
        <v>3770.5</v>
      </c>
      <c r="AS672" s="525">
        <f>37+3833.2</f>
        <v>3870.2</v>
      </c>
      <c r="AT672" s="525">
        <f>79+3989.4</f>
        <v>4068.4</v>
      </c>
      <c r="AU672" s="525">
        <f>115.3+4507.4</f>
        <v>4622.7</v>
      </c>
      <c r="AV672" s="525">
        <f>152.4+4949.1</f>
        <v>5101.5</v>
      </c>
      <c r="AW672" s="525">
        <f>185.2+3134.8</f>
        <v>3320</v>
      </c>
      <c r="AX672" s="525">
        <f>203.1+3139.8</f>
        <v>3342.9</v>
      </c>
      <c r="AY672" s="525">
        <f>207.7+3108.7</f>
        <v>3316.3999999999996</v>
      </c>
      <c r="AZ672" s="523">
        <f>198.4+3186.2</f>
        <v>3384.6</v>
      </c>
      <c r="BA672" s="44">
        <f t="shared" ref="BA672:BI672" si="3478">(BA660-BA541)-SUM(BA670:BA671,BA673:BA674,BA204)</f>
        <v>3520.4925111853372</v>
      </c>
      <c r="BB672" s="44">
        <f t="shared" si="3478"/>
        <v>3590.137657208059</v>
      </c>
      <c r="BC672" s="44">
        <f t="shared" si="3478"/>
        <v>3703.5963774703978</v>
      </c>
      <c r="BD672" s="44">
        <f t="shared" si="3478"/>
        <v>3651.3530579250673</v>
      </c>
      <c r="BE672" s="44">
        <f t="shared" si="3478"/>
        <v>3806.3265609045484</v>
      </c>
      <c r="BF672" s="44">
        <f t="shared" si="3478"/>
        <v>3789.4492162075185</v>
      </c>
      <c r="BG672" s="44">
        <f t="shared" si="3478"/>
        <v>3888.7162913567809</v>
      </c>
      <c r="BH672" s="44">
        <f t="shared" si="3478"/>
        <v>4048.0180647534107</v>
      </c>
      <c r="BI672" s="44">
        <f t="shared" si="3478"/>
        <v>4340.2785818136072</v>
      </c>
      <c r="BJ672" s="44">
        <f t="shared" ref="BJ672:BK672" si="3479">(BJ660-BJ541)-SUM(BJ670:BJ671,BJ673:BJ674,BJ204)</f>
        <v>4509.5360219838221</v>
      </c>
      <c r="BK672" s="44">
        <f t="shared" si="3479"/>
        <v>4773.4036156699003</v>
      </c>
      <c r="BL672" s="44">
        <f t="shared" ref="BL672:BM672" si="3480">(BL660-BL541)-SUM(BL670:BL671,BL673:BL674,BL204)</f>
        <v>4895.8566276610582</v>
      </c>
      <c r="BM672" s="44">
        <f t="shared" si="3480"/>
        <v>5130.2654495764255</v>
      </c>
      <c r="BN672" s="44">
        <f t="shared" ref="BN672:BO672" si="3481">(BN660-BN541)-SUM(BN670:BN671,BN673:BN674,BN204)</f>
        <v>5240.3246571121126</v>
      </c>
      <c r="BO672" s="44">
        <f t="shared" si="3481"/>
        <v>5471.036327805803</v>
      </c>
      <c r="BP672" s="44">
        <f t="shared" ref="BP672:BQ672" si="3482">(BP660-BP541)-SUM(BP670:BP671,BP673:BP674,BP204)</f>
        <v>5595.1574522331648</v>
      </c>
      <c r="BQ672" s="44">
        <f t="shared" si="3482"/>
        <v>5848.2514721206389</v>
      </c>
      <c r="BR672" s="44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2"/>
      <c r="CD672" s="42"/>
      <c r="CE672" s="42"/>
      <c r="CF672" s="42"/>
      <c r="CG672" s="42"/>
      <c r="CH672" s="42"/>
      <c r="CI672" s="42"/>
      <c r="CJ672" s="42"/>
      <c r="CK672" s="42"/>
      <c r="CL672" s="42"/>
      <c r="CM672" s="42"/>
      <c r="CN672" s="42"/>
      <c r="CO672" s="42"/>
      <c r="CP672" s="42"/>
      <c r="CQ672" s="42"/>
      <c r="CR672" s="42"/>
      <c r="CS672" s="42"/>
      <c r="CT672" s="42"/>
      <c r="CU672" s="113"/>
      <c r="CV672" s="44">
        <f t="shared" si="3409"/>
        <v>3546.1</v>
      </c>
      <c r="CW672" s="44">
        <f t="shared" si="3410"/>
        <v>3870.2</v>
      </c>
      <c r="CX672" s="44">
        <f t="shared" si="3411"/>
        <v>4622.7</v>
      </c>
      <c r="CY672" s="44">
        <f t="shared" si="3412"/>
        <v>3320</v>
      </c>
      <c r="CZ672" s="45">
        <f t="shared" si="3413"/>
        <v>3316.3999999999996</v>
      </c>
      <c r="DA672" s="44">
        <f t="shared" si="3431"/>
        <v>3520.4925111853372</v>
      </c>
      <c r="DB672" s="44">
        <f t="shared" si="3414"/>
        <v>3703.5963774703978</v>
      </c>
      <c r="DC672" s="44">
        <f t="shared" si="3415"/>
        <v>3806.3265609045484</v>
      </c>
      <c r="DD672" s="44">
        <f t="shared" si="3416"/>
        <v>3888.7162913567809</v>
      </c>
      <c r="DE672" s="44">
        <f t="shared" si="3417"/>
        <v>4340.2785818136072</v>
      </c>
      <c r="DF672" s="44">
        <f t="shared" si="3418"/>
        <v>4773.4036156699003</v>
      </c>
      <c r="DG672" s="44">
        <f t="shared" si="3419"/>
        <v>5130.2654495764255</v>
      </c>
      <c r="DH672" s="44">
        <f t="shared" si="3420"/>
        <v>5471.036327805803</v>
      </c>
      <c r="DI672" s="44">
        <f t="shared" si="3421"/>
        <v>5848.2514721206389</v>
      </c>
    </row>
    <row r="673" spans="1:113" ht="12" hidden="1" outlineLevel="1">
      <c r="A673" s="1" t="s">
        <v>937</v>
      </c>
      <c r="B673" s="19" t="s">
        <v>662</v>
      </c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525">
        <v>3</v>
      </c>
      <c r="AQ673" s="525">
        <v>3.8</v>
      </c>
      <c r="AR673" s="525">
        <v>5.6</v>
      </c>
      <c r="AS673" s="525">
        <v>40.200000000000003</v>
      </c>
      <c r="AT673" s="525"/>
      <c r="AU673" s="525"/>
      <c r="AV673" s="525"/>
      <c r="AW673" s="525"/>
      <c r="AX673" s="525"/>
      <c r="AY673" s="44"/>
      <c r="AZ673" s="45">
        <f t="shared" ref="AY673:BI674" si="3483">AY673*(AZ$660-AZ$541)/(AY$660-AY$541)</f>
        <v>0</v>
      </c>
      <c r="BA673" s="44">
        <f t="shared" si="3483"/>
        <v>0</v>
      </c>
      <c r="BB673" s="44">
        <f t="shared" si="3483"/>
        <v>0</v>
      </c>
      <c r="BC673" s="44">
        <f t="shared" si="3483"/>
        <v>0</v>
      </c>
      <c r="BD673" s="44">
        <f t="shared" si="3483"/>
        <v>0</v>
      </c>
      <c r="BE673" s="44">
        <f t="shared" si="3483"/>
        <v>0</v>
      </c>
      <c r="BF673" s="44">
        <f t="shared" si="3483"/>
        <v>0</v>
      </c>
      <c r="BG673" s="44">
        <f t="shared" si="3483"/>
        <v>0</v>
      </c>
      <c r="BH673" s="44">
        <f t="shared" si="3483"/>
        <v>0</v>
      </c>
      <c r="BI673" s="44">
        <f t="shared" si="3483"/>
        <v>0</v>
      </c>
      <c r="BJ673" s="44">
        <f t="shared" ref="BJ673:BJ674" si="3484">BI673*(BJ$660-BJ$541)/(BI$660-BI$541)</f>
        <v>0</v>
      </c>
      <c r="BK673" s="44">
        <f t="shared" ref="BK673:BK674" si="3485">BJ673*(BK$660-BK$541)/(BJ$660-BJ$541)</f>
        <v>0</v>
      </c>
      <c r="BL673" s="44">
        <f t="shared" ref="BL673:BL674" si="3486">BK673*(BL$660-BL$541)/(BK$660-BK$541)</f>
        <v>0</v>
      </c>
      <c r="BM673" s="44">
        <f t="shared" ref="BM673:BM674" si="3487">BL673*(BM$660-BM$541)/(BL$660-BL$541)</f>
        <v>0</v>
      </c>
      <c r="BN673" s="44">
        <f t="shared" ref="BN673:BN674" si="3488">BM673*(BN$660-BN$541)/(BM$660-BM$541)</f>
        <v>0</v>
      </c>
      <c r="BO673" s="44">
        <f t="shared" ref="BO673:BO674" si="3489">BN673*(BO$660-BO$541)/(BN$660-BN$541)</f>
        <v>0</v>
      </c>
      <c r="BP673" s="44">
        <f t="shared" ref="BP673:BP674" si="3490">BO673*(BP$660-BP$541)/(BO$660-BO$541)</f>
        <v>0</v>
      </c>
      <c r="BQ673" s="44">
        <f t="shared" ref="BQ673:BQ674" si="3491">BP673*(BQ$660-BQ$541)/(BP$660-BP$541)</f>
        <v>0</v>
      </c>
      <c r="BR673" s="44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2"/>
      <c r="CD673" s="42"/>
      <c r="CE673" s="42"/>
      <c r="CF673" s="42"/>
      <c r="CG673" s="42"/>
      <c r="CH673" s="42"/>
      <c r="CI673" s="42"/>
      <c r="CJ673" s="42"/>
      <c r="CK673" s="42"/>
      <c r="CL673" s="42"/>
      <c r="CM673" s="42"/>
      <c r="CN673" s="42"/>
      <c r="CO673" s="42"/>
      <c r="CP673" s="42"/>
      <c r="CQ673" s="42"/>
      <c r="CR673" s="42"/>
      <c r="CS673" s="42"/>
      <c r="CT673" s="42"/>
      <c r="CU673" s="113"/>
      <c r="CV673" s="44">
        <f t="shared" si="3409"/>
        <v>3.8</v>
      </c>
      <c r="CW673" s="44">
        <f t="shared" si="3410"/>
        <v>40.200000000000003</v>
      </c>
      <c r="CX673" s="44">
        <f t="shared" si="3411"/>
        <v>0</v>
      </c>
      <c r="CY673" s="44">
        <f t="shared" si="3412"/>
        <v>0</v>
      </c>
      <c r="CZ673" s="45">
        <f t="shared" si="3413"/>
        <v>0</v>
      </c>
      <c r="DA673" s="44">
        <f t="shared" si="3431"/>
        <v>0</v>
      </c>
      <c r="DB673" s="44">
        <f t="shared" si="3414"/>
        <v>0</v>
      </c>
      <c r="DC673" s="44">
        <f t="shared" si="3415"/>
        <v>0</v>
      </c>
      <c r="DD673" s="44">
        <f t="shared" si="3416"/>
        <v>0</v>
      </c>
      <c r="DE673" s="44">
        <f t="shared" si="3417"/>
        <v>0</v>
      </c>
      <c r="DF673" s="44">
        <f t="shared" si="3418"/>
        <v>0</v>
      </c>
      <c r="DG673" s="44">
        <f t="shared" si="3419"/>
        <v>0</v>
      </c>
      <c r="DH673" s="44">
        <f t="shared" si="3420"/>
        <v>0</v>
      </c>
      <c r="DI673" s="44">
        <f t="shared" si="3421"/>
        <v>0</v>
      </c>
    </row>
    <row r="674" spans="1:113" ht="12" hidden="1" outlineLevel="1">
      <c r="A674" s="1" t="s">
        <v>938</v>
      </c>
      <c r="B674" s="19" t="s">
        <v>663</v>
      </c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M674" s="42"/>
      <c r="AN674" s="42"/>
      <c r="AO674" s="42"/>
      <c r="AP674" s="44">
        <f t="shared" ref="AP674:AR674" si="3492">(AP660-AP541)-SUM(AP670:AP673,AP204)</f>
        <v>3.5</v>
      </c>
      <c r="AQ674" s="44">
        <f t="shared" si="3492"/>
        <v>2.6999999999989086</v>
      </c>
      <c r="AR674" s="44">
        <f t="shared" si="3492"/>
        <v>2.2999999999992724</v>
      </c>
      <c r="AS674" s="44">
        <f t="shared" ref="AS674:AT674" si="3493">(AS660-AS541)-SUM(AS670:AS673,AS204)</f>
        <v>9.1000000000003638</v>
      </c>
      <c r="AT674" s="44">
        <f t="shared" si="3493"/>
        <v>69</v>
      </c>
      <c r="AU674" s="44">
        <f t="shared" ref="AU674:AV674" si="3494">(AU660-AU541)-SUM(AU670:AU673,AU204)</f>
        <v>96.899999999999636</v>
      </c>
      <c r="AV674" s="44">
        <f t="shared" si="3494"/>
        <v>74.600000000000364</v>
      </c>
      <c r="AW674" s="44">
        <f t="shared" ref="AW674:AX674" si="3495">(AW660-AW541)-SUM(AW670:AW673,AW204)</f>
        <v>83.300000000001091</v>
      </c>
      <c r="AX674" s="44">
        <f t="shared" si="3495"/>
        <v>81.300000000001091</v>
      </c>
      <c r="AY674" s="44">
        <f t="shared" si="3483"/>
        <v>87.046050490568419</v>
      </c>
      <c r="AZ674" s="45">
        <f t="shared" si="3483"/>
        <v>93.85434099660192</v>
      </c>
      <c r="BA674" s="44">
        <f t="shared" si="3483"/>
        <v>102.30041256795927</v>
      </c>
      <c r="BB674" s="44">
        <f t="shared" si="3483"/>
        <v>109.08695326249571</v>
      </c>
      <c r="BC674" s="44">
        <f t="shared" si="3483"/>
        <v>117.94981778921122</v>
      </c>
      <c r="BD674" s="44">
        <f t="shared" si="3483"/>
        <v>124.2866464996186</v>
      </c>
      <c r="BE674" s="44">
        <f t="shared" si="3483"/>
        <v>133.85170556540842</v>
      </c>
      <c r="BF674" s="44">
        <f t="shared" si="3483"/>
        <v>141.41672393828534</v>
      </c>
      <c r="BG674" s="44">
        <f t="shared" si="3483"/>
        <v>151.45819174050507</v>
      </c>
      <c r="BH674" s="44">
        <f t="shared" si="3483"/>
        <v>158.45278344267822</v>
      </c>
      <c r="BI674" s="44">
        <f t="shared" si="3483"/>
        <v>168.3452292534032</v>
      </c>
      <c r="BJ674" s="44">
        <f t="shared" si="3484"/>
        <v>174.80212998643051</v>
      </c>
      <c r="BK674" s="44">
        <f t="shared" si="3485"/>
        <v>184.05479681255429</v>
      </c>
      <c r="BL674" s="44">
        <f t="shared" si="3486"/>
        <v>189.35262423976872</v>
      </c>
      <c r="BM674" s="44">
        <f t="shared" si="3487"/>
        <v>197.65423546214566</v>
      </c>
      <c r="BN674" s="44">
        <f t="shared" si="3488"/>
        <v>202.43080413685414</v>
      </c>
      <c r="BO674" s="44">
        <f t="shared" si="3489"/>
        <v>210.38627539127316</v>
      </c>
      <c r="BP674" s="44">
        <f t="shared" si="3490"/>
        <v>215.51586268734354</v>
      </c>
      <c r="BQ674" s="44">
        <f t="shared" si="3491"/>
        <v>224.03664769130307</v>
      </c>
      <c r="BR674" s="44"/>
      <c r="BS674" s="42"/>
      <c r="BT674" s="42"/>
      <c r="BU674" s="42"/>
      <c r="BV674" s="42"/>
      <c r="BW674" s="42"/>
      <c r="BX674" s="42"/>
      <c r="BY674" s="42"/>
      <c r="BZ674" s="42"/>
      <c r="CA674" s="42"/>
      <c r="CB674" s="42"/>
      <c r="CC674" s="42"/>
      <c r="CD674" s="42"/>
      <c r="CE674" s="42"/>
      <c r="CF674" s="42"/>
      <c r="CG674" s="42"/>
      <c r="CH674" s="42"/>
      <c r="CI674" s="42"/>
      <c r="CJ674" s="42"/>
      <c r="CK674" s="42"/>
      <c r="CL674" s="42"/>
      <c r="CM674" s="42"/>
      <c r="CN674" s="42"/>
      <c r="CO674" s="42"/>
      <c r="CP674" s="42"/>
      <c r="CQ674" s="42"/>
      <c r="CR674" s="42"/>
      <c r="CS674" s="42"/>
      <c r="CT674" s="42"/>
      <c r="CU674" s="42"/>
      <c r="CV674" s="44">
        <f t="shared" si="3409"/>
        <v>2.6999999999989086</v>
      </c>
      <c r="CW674" s="44">
        <f t="shared" si="3410"/>
        <v>9.1000000000003638</v>
      </c>
      <c r="CX674" s="44">
        <f t="shared" si="3411"/>
        <v>96.899999999999636</v>
      </c>
      <c r="CY674" s="44">
        <f t="shared" si="3412"/>
        <v>83.300000000001091</v>
      </c>
      <c r="CZ674" s="45">
        <f t="shared" si="3413"/>
        <v>87.046050490568419</v>
      </c>
      <c r="DA674" s="44">
        <f t="shared" si="3431"/>
        <v>102.30041256795927</v>
      </c>
      <c r="DB674" s="44">
        <f t="shared" si="3414"/>
        <v>117.94981778921122</v>
      </c>
      <c r="DC674" s="44">
        <f t="shared" si="3415"/>
        <v>133.85170556540842</v>
      </c>
      <c r="DD674" s="44">
        <f t="shared" si="3416"/>
        <v>151.45819174050507</v>
      </c>
      <c r="DE674" s="44">
        <f t="shared" si="3417"/>
        <v>168.3452292534032</v>
      </c>
      <c r="DF674" s="44">
        <f t="shared" si="3418"/>
        <v>184.05479681255429</v>
      </c>
      <c r="DG674" s="44">
        <f t="shared" si="3419"/>
        <v>197.65423546214566</v>
      </c>
      <c r="DH674" s="44">
        <f t="shared" si="3420"/>
        <v>210.38627539127316</v>
      </c>
      <c r="DI674" s="44">
        <f t="shared" si="3421"/>
        <v>224.03664769130307</v>
      </c>
    </row>
    <row r="675" spans="1:113" ht="12" hidden="1" outlineLevel="1">
      <c r="A675" s="1" t="s">
        <v>939</v>
      </c>
      <c r="B675" s="19" t="s">
        <v>552</v>
      </c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M675" s="42"/>
      <c r="AN675" s="42"/>
      <c r="AO675" s="42"/>
      <c r="AP675" s="525">
        <v>1.4</v>
      </c>
      <c r="AQ675" s="525">
        <v>3</v>
      </c>
      <c r="AR675" s="525">
        <v>-28.5</v>
      </c>
      <c r="AS675" s="525">
        <v>-32.299999999999997</v>
      </c>
      <c r="AT675" s="525">
        <v>-31</v>
      </c>
      <c r="AU675" s="525"/>
      <c r="AV675" s="525"/>
      <c r="AW675" s="525"/>
      <c r="AX675" s="525"/>
      <c r="AY675" s="44"/>
      <c r="AZ675" s="45"/>
      <c r="BA675" s="44">
        <f t="shared" ref="BA675:BE675" si="3496">AZ675+SUM(BA526:BA528)</f>
        <v>0</v>
      </c>
      <c r="BB675" s="44">
        <f t="shared" si="3496"/>
        <v>0</v>
      </c>
      <c r="BC675" s="44">
        <f t="shared" si="3496"/>
        <v>0</v>
      </c>
      <c r="BD675" s="44">
        <f t="shared" si="3496"/>
        <v>0</v>
      </c>
      <c r="BE675" s="44">
        <f t="shared" si="3496"/>
        <v>0</v>
      </c>
      <c r="BF675" s="44">
        <f t="shared" ref="BF675" si="3497">BE675+SUM(BF526:BF528)</f>
        <v>0</v>
      </c>
      <c r="BG675" s="44">
        <f t="shared" ref="BG675:BI675" si="3498">BF675+SUM(BG526:BG528)</f>
        <v>0</v>
      </c>
      <c r="BH675" s="44">
        <f t="shared" si="3498"/>
        <v>0</v>
      </c>
      <c r="BI675" s="44">
        <f t="shared" si="3498"/>
        <v>0</v>
      </c>
      <c r="BJ675" s="44">
        <f t="shared" ref="BJ675" si="3499">BI675+SUM(BJ526:BJ528)</f>
        <v>0</v>
      </c>
      <c r="BK675" s="44">
        <f t="shared" ref="BK675" si="3500">BJ675+SUM(BK526:BK528)</f>
        <v>0</v>
      </c>
      <c r="BL675" s="44">
        <f t="shared" ref="BL675" si="3501">BK675+SUM(BL526:BL528)</f>
        <v>0</v>
      </c>
      <c r="BM675" s="44">
        <f t="shared" ref="BM675" si="3502">BL675+SUM(BM526:BM528)</f>
        <v>0</v>
      </c>
      <c r="BN675" s="44">
        <f t="shared" ref="BN675" si="3503">BM675+SUM(BN526:BN528)</f>
        <v>0</v>
      </c>
      <c r="BO675" s="44">
        <f t="shared" ref="BO675" si="3504">BN675+SUM(BO526:BO528)</f>
        <v>0</v>
      </c>
      <c r="BP675" s="44">
        <f t="shared" ref="BP675" si="3505">BO675+SUM(BP526:BP528)</f>
        <v>0</v>
      </c>
      <c r="BQ675" s="44">
        <f t="shared" ref="BQ675" si="3506">BP675+SUM(BQ526:BQ528)</f>
        <v>0</v>
      </c>
      <c r="BR675" s="44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2"/>
      <c r="CD675" s="42"/>
      <c r="CE675" s="42"/>
      <c r="CF675" s="42"/>
      <c r="CG675" s="42"/>
      <c r="CH675" s="42"/>
      <c r="CI675" s="42"/>
      <c r="CJ675" s="42"/>
      <c r="CK675" s="42"/>
      <c r="CL675" s="42"/>
      <c r="CM675" s="42"/>
      <c r="CN675" s="42"/>
      <c r="CO675" s="42"/>
      <c r="CP675" s="42"/>
      <c r="CQ675" s="42"/>
      <c r="CR675" s="42"/>
      <c r="CS675" s="42"/>
      <c r="CT675" s="42"/>
      <c r="CU675" s="113"/>
      <c r="CV675" s="44">
        <f t="shared" si="3409"/>
        <v>3</v>
      </c>
      <c r="CW675" s="44">
        <f t="shared" si="3410"/>
        <v>-32.299999999999997</v>
      </c>
      <c r="CX675" s="44">
        <f t="shared" si="3411"/>
        <v>0</v>
      </c>
      <c r="CY675" s="44">
        <f t="shared" si="3412"/>
        <v>0</v>
      </c>
      <c r="CZ675" s="45">
        <f t="shared" si="3413"/>
        <v>0</v>
      </c>
      <c r="DA675" s="44">
        <f t="shared" si="3431"/>
        <v>0</v>
      </c>
      <c r="DB675" s="44">
        <f t="shared" si="3414"/>
        <v>0</v>
      </c>
      <c r="DC675" s="44">
        <f t="shared" si="3415"/>
        <v>0</v>
      </c>
      <c r="DD675" s="44">
        <f t="shared" si="3416"/>
        <v>0</v>
      </c>
      <c r="DE675" s="44">
        <f t="shared" si="3417"/>
        <v>0</v>
      </c>
      <c r="DF675" s="44">
        <f t="shared" si="3418"/>
        <v>0</v>
      </c>
      <c r="DG675" s="44">
        <f t="shared" si="3419"/>
        <v>0</v>
      </c>
      <c r="DH675" s="44">
        <f t="shared" si="3420"/>
        <v>0</v>
      </c>
      <c r="DI675" s="44">
        <f t="shared" si="3421"/>
        <v>0</v>
      </c>
    </row>
    <row r="676" spans="1:113" ht="12" hidden="1" outlineLevel="1">
      <c r="A676" s="1" t="s">
        <v>940</v>
      </c>
      <c r="B676" s="19" t="s">
        <v>553</v>
      </c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M676" s="42"/>
      <c r="AN676" s="42"/>
      <c r="AO676" s="42"/>
      <c r="AP676" s="525">
        <v>-75.5</v>
      </c>
      <c r="AQ676" s="525">
        <v>-73.599999999999994</v>
      </c>
      <c r="AR676" s="525">
        <v>-89.7</v>
      </c>
      <c r="AS676" s="525">
        <v>-81.3</v>
      </c>
      <c r="AT676" s="525">
        <v>-45.2</v>
      </c>
      <c r="AU676" s="525"/>
      <c r="AV676" s="525"/>
      <c r="AW676" s="525"/>
      <c r="AX676" s="525"/>
      <c r="AY676" s="44"/>
      <c r="AZ676" s="45"/>
      <c r="BA676" s="44">
        <f t="shared" ref="BA676:BI676" si="3507">AZ676+BA525+BA535+BA536</f>
        <v>73.462321514032539</v>
      </c>
      <c r="BB676" s="44">
        <f t="shared" si="3507"/>
        <v>153.31240388219686</v>
      </c>
      <c r="BC676" s="44">
        <f t="shared" si="3507"/>
        <v>236.02603620071287</v>
      </c>
      <c r="BD676" s="44">
        <f t="shared" si="3507"/>
        <v>333.02280110894048</v>
      </c>
      <c r="BE676" s="44">
        <f t="shared" si="3507"/>
        <v>438.86459591080029</v>
      </c>
      <c r="BF676" s="44">
        <f t="shared" si="3507"/>
        <v>559.94859790238104</v>
      </c>
      <c r="BG676" s="44">
        <f t="shared" si="3507"/>
        <v>691.95107057952509</v>
      </c>
      <c r="BH676" s="44">
        <f t="shared" si="3507"/>
        <v>837.55002995820132</v>
      </c>
      <c r="BI676" s="44">
        <f t="shared" si="3507"/>
        <v>953.35039318589418</v>
      </c>
      <c r="BJ676" s="44">
        <f t="shared" ref="BJ676" si="3508">BI676+BJ525+BJ535+BJ536</f>
        <v>1057.8762155762658</v>
      </c>
      <c r="BK676" s="44">
        <f t="shared" ref="BK676" si="3509">BJ676+BK525+BK535+BK536</f>
        <v>1178.9616475867792</v>
      </c>
      <c r="BL676" s="44">
        <f t="shared" ref="BL676" si="3510">BK676+BL525+BL535+BL536</f>
        <v>1286.8249805234252</v>
      </c>
      <c r="BM676" s="44">
        <f t="shared" ref="BM676" si="3511">BL676+BM525+BM535+BM536</f>
        <v>1398.6091099198557</v>
      </c>
      <c r="BN676" s="44">
        <f t="shared" ref="BN676" si="3512">BM676+BN525+BN535+BN536</f>
        <v>1496.3246918660477</v>
      </c>
      <c r="BO676" s="44">
        <f t="shared" ref="BO676" si="3513">BN676+BO525+BO535+BO536</f>
        <v>1595.2695041983609</v>
      </c>
      <c r="BP676" s="44">
        <f t="shared" ref="BP676" si="3514">BO676+BP525+BP535+BP536</f>
        <v>1692.2287318916462</v>
      </c>
      <c r="BQ676" s="44">
        <f t="shared" ref="BQ676" si="3515">BP676+BQ525+BQ535+BQ536</f>
        <v>1790.1453736625951</v>
      </c>
      <c r="BR676" s="44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2"/>
      <c r="CD676" s="42"/>
      <c r="CE676" s="42"/>
      <c r="CF676" s="42"/>
      <c r="CG676" s="42"/>
      <c r="CH676" s="42"/>
      <c r="CI676" s="42"/>
      <c r="CJ676" s="42"/>
      <c r="CK676" s="42"/>
      <c r="CL676" s="42"/>
      <c r="CM676" s="42"/>
      <c r="CN676" s="42"/>
      <c r="CO676" s="42"/>
      <c r="CP676" s="42"/>
      <c r="CQ676" s="42"/>
      <c r="CR676" s="42"/>
      <c r="CS676" s="42"/>
      <c r="CT676" s="42"/>
      <c r="CU676" s="113"/>
      <c r="CV676" s="44">
        <f t="shared" si="3409"/>
        <v>-73.599999999999994</v>
      </c>
      <c r="CW676" s="44">
        <f t="shared" si="3410"/>
        <v>-81.3</v>
      </c>
      <c r="CX676" s="44">
        <f t="shared" si="3411"/>
        <v>0</v>
      </c>
      <c r="CY676" s="44">
        <f t="shared" si="3412"/>
        <v>0</v>
      </c>
      <c r="CZ676" s="45">
        <f t="shared" si="3413"/>
        <v>0</v>
      </c>
      <c r="DA676" s="44">
        <f t="shared" si="3431"/>
        <v>73.462321514032539</v>
      </c>
      <c r="DB676" s="44">
        <f t="shared" si="3414"/>
        <v>236.02603620071287</v>
      </c>
      <c r="DC676" s="44">
        <f t="shared" si="3415"/>
        <v>438.86459591080029</v>
      </c>
      <c r="DD676" s="44">
        <f t="shared" si="3416"/>
        <v>691.95107057952509</v>
      </c>
      <c r="DE676" s="44">
        <f t="shared" si="3417"/>
        <v>953.35039318589418</v>
      </c>
      <c r="DF676" s="44">
        <f t="shared" si="3418"/>
        <v>1178.9616475867792</v>
      </c>
      <c r="DG676" s="44">
        <f t="shared" si="3419"/>
        <v>1398.6091099198557</v>
      </c>
      <c r="DH676" s="44">
        <f t="shared" si="3420"/>
        <v>1595.2695041983609</v>
      </c>
      <c r="DI676" s="44">
        <f t="shared" si="3421"/>
        <v>1790.1453736625951</v>
      </c>
    </row>
    <row r="677" spans="1:113" ht="12" hidden="1" outlineLevel="1">
      <c r="A677" s="121" t="s">
        <v>2213</v>
      </c>
      <c r="B677" s="19" t="s">
        <v>1628</v>
      </c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M677" s="42"/>
      <c r="AN677" s="42"/>
      <c r="AO677" s="42"/>
      <c r="AP677" s="525">
        <v>0</v>
      </c>
      <c r="AQ677" s="525">
        <v>0</v>
      </c>
      <c r="AR677" s="525">
        <v>0</v>
      </c>
      <c r="AS677" s="525">
        <v>0</v>
      </c>
      <c r="AT677" s="525">
        <v>0</v>
      </c>
      <c r="AU677" s="525">
        <v>0</v>
      </c>
      <c r="AV677" s="525">
        <v>0</v>
      </c>
      <c r="AW677" s="525">
        <v>0</v>
      </c>
      <c r="AX677" s="525">
        <v>0</v>
      </c>
      <c r="AY677" s="525">
        <v>0</v>
      </c>
      <c r="AZ677" s="523">
        <v>0</v>
      </c>
      <c r="BA677" s="44">
        <f t="shared" ref="BA677:BI678" si="3516">AZ677</f>
        <v>0</v>
      </c>
      <c r="BB677" s="44">
        <f t="shared" si="3516"/>
        <v>0</v>
      </c>
      <c r="BC677" s="44">
        <f t="shared" si="3516"/>
        <v>0</v>
      </c>
      <c r="BD677" s="44">
        <f t="shared" si="3516"/>
        <v>0</v>
      </c>
      <c r="BE677" s="44">
        <f t="shared" si="3516"/>
        <v>0</v>
      </c>
      <c r="BF677" s="44">
        <f t="shared" si="3516"/>
        <v>0</v>
      </c>
      <c r="BG677" s="44">
        <f t="shared" si="3516"/>
        <v>0</v>
      </c>
      <c r="BH677" s="44">
        <f t="shared" si="3516"/>
        <v>0</v>
      </c>
      <c r="BI677" s="44">
        <f t="shared" si="3516"/>
        <v>0</v>
      </c>
      <c r="BJ677" s="44">
        <f t="shared" ref="BJ677:BJ678" si="3517">BI677</f>
        <v>0</v>
      </c>
      <c r="BK677" s="44">
        <f t="shared" ref="BK677:BK678" si="3518">BJ677</f>
        <v>0</v>
      </c>
      <c r="BL677" s="44">
        <f t="shared" ref="BL677:BL678" si="3519">BK677</f>
        <v>0</v>
      </c>
      <c r="BM677" s="44">
        <f t="shared" ref="BM677:BM678" si="3520">BL677</f>
        <v>0</v>
      </c>
      <c r="BN677" s="44">
        <f t="shared" ref="BN677:BN678" si="3521">BM677</f>
        <v>0</v>
      </c>
      <c r="BO677" s="44">
        <f t="shared" ref="BO677:BO678" si="3522">BN677</f>
        <v>0</v>
      </c>
      <c r="BP677" s="44">
        <f t="shared" ref="BP677:BP678" si="3523">BO677</f>
        <v>0</v>
      </c>
      <c r="BQ677" s="44">
        <f t="shared" ref="BQ677:BQ678" si="3524">BP677</f>
        <v>0</v>
      </c>
      <c r="BR677" s="44"/>
      <c r="BS677" s="42"/>
      <c r="BT677" s="42"/>
      <c r="BU677" s="42"/>
      <c r="BV677" s="42"/>
      <c r="BW677" s="42"/>
      <c r="BX677" s="42"/>
      <c r="BY677" s="42"/>
      <c r="BZ677" s="42"/>
      <c r="CA677" s="42"/>
      <c r="CB677" s="42"/>
      <c r="CC677" s="42"/>
      <c r="CD677" s="42"/>
      <c r="CE677" s="42"/>
      <c r="CF677" s="42"/>
      <c r="CG677" s="42"/>
      <c r="CH677" s="42"/>
      <c r="CI677" s="42"/>
      <c r="CJ677" s="42"/>
      <c r="CK677" s="42"/>
      <c r="CL677" s="42"/>
      <c r="CM677" s="42"/>
      <c r="CN677" s="42"/>
      <c r="CO677" s="42"/>
      <c r="CP677" s="42"/>
      <c r="CQ677" s="42"/>
      <c r="CR677" s="42"/>
      <c r="CS677" s="42"/>
      <c r="CT677" s="42"/>
      <c r="CU677" s="113"/>
      <c r="CV677" s="44">
        <f t="shared" si="3409"/>
        <v>0</v>
      </c>
      <c r="CW677" s="44">
        <f t="shared" si="3410"/>
        <v>0</v>
      </c>
      <c r="CX677" s="44">
        <f t="shared" si="3411"/>
        <v>0</v>
      </c>
      <c r="CY677" s="44">
        <f t="shared" si="3412"/>
        <v>0</v>
      </c>
      <c r="CZ677" s="45">
        <f t="shared" si="3413"/>
        <v>0</v>
      </c>
      <c r="DA677" s="44">
        <f t="shared" si="3431"/>
        <v>0</v>
      </c>
      <c r="DB677" s="44">
        <f t="shared" si="3414"/>
        <v>0</v>
      </c>
      <c r="DC677" s="44">
        <f t="shared" si="3415"/>
        <v>0</v>
      </c>
      <c r="DD677" s="44">
        <f t="shared" si="3416"/>
        <v>0</v>
      </c>
      <c r="DE677" s="44">
        <f t="shared" si="3417"/>
        <v>0</v>
      </c>
      <c r="DF677" s="44">
        <f t="shared" si="3418"/>
        <v>0</v>
      </c>
      <c r="DG677" s="44">
        <f t="shared" si="3419"/>
        <v>0</v>
      </c>
      <c r="DH677" s="44">
        <f t="shared" si="3420"/>
        <v>0</v>
      </c>
      <c r="DI677" s="44">
        <f t="shared" si="3421"/>
        <v>0</v>
      </c>
    </row>
    <row r="678" spans="1:113" ht="12" hidden="1" outlineLevel="1">
      <c r="A678" s="1" t="s">
        <v>2214</v>
      </c>
      <c r="B678" s="19" t="s">
        <v>2215</v>
      </c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M678" s="42"/>
      <c r="AN678" s="42"/>
      <c r="AO678" s="42"/>
      <c r="AP678" s="525">
        <v>0</v>
      </c>
      <c r="AQ678" s="525">
        <v>0</v>
      </c>
      <c r="AR678" s="525">
        <v>0</v>
      </c>
      <c r="AS678" s="525">
        <v>0</v>
      </c>
      <c r="AT678" s="525">
        <v>0</v>
      </c>
      <c r="AU678" s="525">
        <v>0</v>
      </c>
      <c r="AV678" s="525">
        <v>0</v>
      </c>
      <c r="AW678" s="525">
        <v>0</v>
      </c>
      <c r="AX678" s="525">
        <v>0</v>
      </c>
      <c r="AY678" s="525">
        <v>0</v>
      </c>
      <c r="AZ678" s="523">
        <v>0</v>
      </c>
      <c r="BA678" s="44">
        <f t="shared" si="3516"/>
        <v>0</v>
      </c>
      <c r="BB678" s="44">
        <f t="shared" si="3516"/>
        <v>0</v>
      </c>
      <c r="BC678" s="44">
        <f t="shared" si="3516"/>
        <v>0</v>
      </c>
      <c r="BD678" s="44">
        <f t="shared" si="3516"/>
        <v>0</v>
      </c>
      <c r="BE678" s="44">
        <f t="shared" si="3516"/>
        <v>0</v>
      </c>
      <c r="BF678" s="44">
        <f t="shared" si="3516"/>
        <v>0</v>
      </c>
      <c r="BG678" s="44">
        <f t="shared" si="3516"/>
        <v>0</v>
      </c>
      <c r="BH678" s="44">
        <f t="shared" si="3516"/>
        <v>0</v>
      </c>
      <c r="BI678" s="44">
        <f t="shared" si="3516"/>
        <v>0</v>
      </c>
      <c r="BJ678" s="44">
        <f t="shared" si="3517"/>
        <v>0</v>
      </c>
      <c r="BK678" s="44">
        <f t="shared" si="3518"/>
        <v>0</v>
      </c>
      <c r="BL678" s="44">
        <f t="shared" si="3519"/>
        <v>0</v>
      </c>
      <c r="BM678" s="44">
        <f t="shared" si="3520"/>
        <v>0</v>
      </c>
      <c r="BN678" s="44">
        <f t="shared" si="3521"/>
        <v>0</v>
      </c>
      <c r="BO678" s="44">
        <f t="shared" si="3522"/>
        <v>0</v>
      </c>
      <c r="BP678" s="44">
        <f t="shared" si="3523"/>
        <v>0</v>
      </c>
      <c r="BQ678" s="44">
        <f t="shared" si="3524"/>
        <v>0</v>
      </c>
      <c r="BR678" s="44"/>
      <c r="BS678" s="42"/>
      <c r="BT678" s="42"/>
      <c r="BU678" s="42"/>
      <c r="BV678" s="42"/>
      <c r="BW678" s="42"/>
      <c r="BX678" s="42"/>
      <c r="BY678" s="42"/>
      <c r="BZ678" s="42"/>
      <c r="CA678" s="42"/>
      <c r="CB678" s="42"/>
      <c r="CC678" s="42"/>
      <c r="CD678" s="42"/>
      <c r="CE678" s="42"/>
      <c r="CF678" s="42"/>
      <c r="CG678" s="42"/>
      <c r="CH678" s="42"/>
      <c r="CI678" s="42"/>
      <c r="CJ678" s="42"/>
      <c r="CK678" s="42"/>
      <c r="CL678" s="42"/>
      <c r="CM678" s="42"/>
      <c r="CN678" s="42"/>
      <c r="CO678" s="42"/>
      <c r="CP678" s="42"/>
      <c r="CQ678" s="42"/>
      <c r="CR678" s="42"/>
      <c r="CS678" s="42"/>
      <c r="CT678" s="42"/>
      <c r="CU678" s="113"/>
      <c r="CV678" s="44">
        <f t="shared" si="3409"/>
        <v>0</v>
      </c>
      <c r="CW678" s="44">
        <f t="shared" si="3410"/>
        <v>0</v>
      </c>
      <c r="CX678" s="44">
        <f t="shared" si="3411"/>
        <v>0</v>
      </c>
      <c r="CY678" s="44">
        <f t="shared" si="3412"/>
        <v>0</v>
      </c>
      <c r="CZ678" s="45">
        <f t="shared" si="3413"/>
        <v>0</v>
      </c>
      <c r="DA678" s="44">
        <f t="shared" si="3431"/>
        <v>0</v>
      </c>
      <c r="DB678" s="44">
        <f t="shared" si="3414"/>
        <v>0</v>
      </c>
      <c r="DC678" s="44">
        <f t="shared" si="3415"/>
        <v>0</v>
      </c>
      <c r="DD678" s="44">
        <f t="shared" si="3416"/>
        <v>0</v>
      </c>
      <c r="DE678" s="44">
        <f t="shared" si="3417"/>
        <v>0</v>
      </c>
      <c r="DF678" s="44">
        <f t="shared" si="3418"/>
        <v>0</v>
      </c>
      <c r="DG678" s="44">
        <f t="shared" si="3419"/>
        <v>0</v>
      </c>
      <c r="DH678" s="44">
        <f t="shared" si="3420"/>
        <v>0</v>
      </c>
      <c r="DI678" s="44">
        <f t="shared" si="3421"/>
        <v>0</v>
      </c>
    </row>
    <row r="679" spans="1:113" ht="12" hidden="1" outlineLevel="1">
      <c r="A679" s="1" t="s">
        <v>2216</v>
      </c>
      <c r="B679" s="19" t="s">
        <v>2217</v>
      </c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2"/>
      <c r="AN679" s="42"/>
      <c r="AO679" s="42"/>
      <c r="AP679" s="525">
        <f t="shared" ref="AP679:AR679" si="3525">AP124+AP125</f>
        <v>25.1</v>
      </c>
      <c r="AQ679" s="525">
        <f t="shared" si="3525"/>
        <v>12.100000000000001</v>
      </c>
      <c r="AR679" s="525">
        <f t="shared" si="3525"/>
        <v>10.299999999999999</v>
      </c>
      <c r="AS679" s="525">
        <f t="shared" ref="AS679:AT679" si="3526">AS124+AS125</f>
        <v>10</v>
      </c>
      <c r="AT679" s="525">
        <f t="shared" si="3526"/>
        <v>27.8</v>
      </c>
      <c r="AU679" s="525">
        <f t="shared" ref="AU679:AV679" si="3527">AU124+AU125</f>
        <v>97.1</v>
      </c>
      <c r="AV679" s="525">
        <f t="shared" si="3527"/>
        <v>167.8</v>
      </c>
      <c r="AW679" s="525">
        <f t="shared" ref="AW679:AY679" si="3528">AW124+AW125</f>
        <v>247.7</v>
      </c>
      <c r="AX679" s="525">
        <f t="shared" si="3528"/>
        <v>267.8</v>
      </c>
      <c r="AY679" s="525">
        <f t="shared" si="3528"/>
        <v>303.2</v>
      </c>
      <c r="AZ679" s="523">
        <f t="shared" ref="AZ679" si="3529">AZ124+AZ125</f>
        <v>356.2</v>
      </c>
      <c r="BA679" s="44">
        <f t="shared" ref="BA679:BI679" si="3530">AZ679*(BA124/AZ124)</f>
        <v>387.43298274638738</v>
      </c>
      <c r="BB679" s="44">
        <f t="shared" si="3530"/>
        <v>426.28181233087912</v>
      </c>
      <c r="BC679" s="44">
        <f t="shared" si="3530"/>
        <v>456.16318279687522</v>
      </c>
      <c r="BD679" s="44">
        <f t="shared" si="3530"/>
        <v>499.3082571777104</v>
      </c>
      <c r="BE679" s="44">
        <f t="shared" si="3530"/>
        <v>546.3463643959667</v>
      </c>
      <c r="BF679" s="44">
        <f t="shared" si="3530"/>
        <v>563.9613356002767</v>
      </c>
      <c r="BG679" s="44">
        <f t="shared" si="3530"/>
        <v>593.50601812238392</v>
      </c>
      <c r="BH679" s="44">
        <f t="shared" si="3530"/>
        <v>609.47203923880045</v>
      </c>
      <c r="BI679" s="44">
        <f t="shared" si="3530"/>
        <v>633.38585234003074</v>
      </c>
      <c r="BJ679" s="44">
        <f t="shared" ref="BJ679" si="3531">BI679*(BJ124/BI124)</f>
        <v>644.98964345109584</v>
      </c>
      <c r="BK679" s="44">
        <f t="shared" ref="BK679" si="3532">BJ679*(BK124/BJ124)</f>
        <v>664.61492774419116</v>
      </c>
      <c r="BL679" s="44">
        <f t="shared" ref="BL679" si="3533">BK679*(BL124/BK124)</f>
        <v>670.055842975887</v>
      </c>
      <c r="BM679" s="44">
        <f t="shared" ref="BM679" si="3534">BL679*(BM124/BL124)</f>
        <v>684.28490099881412</v>
      </c>
      <c r="BN679" s="44">
        <f t="shared" ref="BN679" si="3535">BM679*(BN124/BM124)</f>
        <v>686.14042226787524</v>
      </c>
      <c r="BO679" s="44">
        <f t="shared" ref="BO679" si="3536">BN679*(BO124/BN124)</f>
        <v>696.82672253347812</v>
      </c>
      <c r="BP679" s="44">
        <f t="shared" ref="BP679" si="3537">BO679*(BP124/BO124)</f>
        <v>698.08104040052422</v>
      </c>
      <c r="BQ679" s="44">
        <f t="shared" ref="BQ679" si="3538">BP679*(BQ124/BP124)</f>
        <v>708.24443694294189</v>
      </c>
      <c r="BR679" s="44"/>
      <c r="BS679" s="42"/>
      <c r="BT679" s="42"/>
      <c r="BU679" s="42"/>
      <c r="BV679" s="42"/>
      <c r="BW679" s="42"/>
      <c r="BX679" s="42"/>
      <c r="BY679" s="42"/>
      <c r="BZ679" s="42"/>
      <c r="CA679" s="42"/>
      <c r="CB679" s="42"/>
      <c r="CC679" s="42"/>
      <c r="CD679" s="42"/>
      <c r="CE679" s="42"/>
      <c r="CF679" s="42"/>
      <c r="CG679" s="42"/>
      <c r="CH679" s="42"/>
      <c r="CI679" s="42"/>
      <c r="CJ679" s="42"/>
      <c r="CK679" s="42"/>
      <c r="CL679" s="42"/>
      <c r="CM679" s="42"/>
      <c r="CN679" s="42"/>
      <c r="CO679" s="42"/>
      <c r="CP679" s="42"/>
      <c r="CQ679" s="42"/>
      <c r="CR679" s="42"/>
      <c r="CS679" s="42"/>
      <c r="CT679" s="42"/>
      <c r="CU679" s="113"/>
      <c r="CV679" s="44">
        <f t="shared" si="3409"/>
        <v>12.100000000000001</v>
      </c>
      <c r="CW679" s="44">
        <f t="shared" si="3410"/>
        <v>10</v>
      </c>
      <c r="CX679" s="44">
        <f t="shared" si="3411"/>
        <v>97.1</v>
      </c>
      <c r="CY679" s="44">
        <f t="shared" si="3412"/>
        <v>247.7</v>
      </c>
      <c r="CZ679" s="45">
        <f t="shared" si="3413"/>
        <v>303.2</v>
      </c>
      <c r="DA679" s="44">
        <f t="shared" si="3431"/>
        <v>387.43298274638738</v>
      </c>
      <c r="DB679" s="44">
        <f t="shared" si="3414"/>
        <v>456.16318279687522</v>
      </c>
      <c r="DC679" s="44">
        <f t="shared" si="3415"/>
        <v>546.3463643959667</v>
      </c>
      <c r="DD679" s="44">
        <f t="shared" si="3416"/>
        <v>593.50601812238392</v>
      </c>
      <c r="DE679" s="44">
        <f t="shared" si="3417"/>
        <v>633.38585234003074</v>
      </c>
      <c r="DF679" s="44">
        <f t="shared" si="3418"/>
        <v>664.61492774419116</v>
      </c>
      <c r="DG679" s="44">
        <f t="shared" si="3419"/>
        <v>684.28490099881412</v>
      </c>
      <c r="DH679" s="44">
        <f t="shared" si="3420"/>
        <v>696.82672253347812</v>
      </c>
      <c r="DI679" s="44">
        <f t="shared" si="3421"/>
        <v>708.24443694294189</v>
      </c>
    </row>
    <row r="680" spans="1:113" ht="12" hidden="1" outlineLevel="1">
      <c r="A680" s="1" t="s">
        <v>2218</v>
      </c>
      <c r="B680" s="19" t="s">
        <v>1487</v>
      </c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  <c r="AJ680" s="42"/>
      <c r="AK680" s="42"/>
      <c r="AL680" s="42"/>
      <c r="AM680" s="42"/>
      <c r="AN680" s="42"/>
      <c r="AO680" s="42"/>
      <c r="AP680" s="525">
        <v>1</v>
      </c>
      <c r="AQ680" s="525">
        <v>1</v>
      </c>
      <c r="AR680" s="525">
        <v>1</v>
      </c>
      <c r="AS680" s="525">
        <v>1</v>
      </c>
      <c r="AT680" s="525">
        <v>1</v>
      </c>
      <c r="AU680" s="525"/>
      <c r="AV680" s="525"/>
      <c r="AW680" s="525"/>
      <c r="AX680" s="525"/>
      <c r="AY680" s="44"/>
      <c r="AZ680" s="45">
        <f t="shared" ref="AZ680:BI680" si="3539">(AY680-AY543)+AZ543</f>
        <v>3.3758319999999458</v>
      </c>
      <c r="BA680" s="44">
        <f t="shared" si="3539"/>
        <v>3.3758319999999458</v>
      </c>
      <c r="BB680" s="44">
        <f t="shared" si="3539"/>
        <v>3.3758319999999458</v>
      </c>
      <c r="BC680" s="44">
        <f t="shared" si="3539"/>
        <v>3.3758319999999458</v>
      </c>
      <c r="BD680" s="44">
        <f t="shared" si="3539"/>
        <v>73.375831999999946</v>
      </c>
      <c r="BE680" s="44">
        <f t="shared" si="3539"/>
        <v>73.375831999999946</v>
      </c>
      <c r="BF680" s="44">
        <f t="shared" si="3539"/>
        <v>73.375831999999946</v>
      </c>
      <c r="BG680" s="44">
        <f t="shared" si="3539"/>
        <v>73.375831999999946</v>
      </c>
      <c r="BH680" s="44">
        <f t="shared" si="3539"/>
        <v>73.375831999999946</v>
      </c>
      <c r="BI680" s="44">
        <f t="shared" si="3539"/>
        <v>73.375831999999946</v>
      </c>
      <c r="BJ680" s="44">
        <f t="shared" ref="BJ680" si="3540">(BI680-BI543)+BJ543</f>
        <v>73.375831999999946</v>
      </c>
      <c r="BK680" s="44">
        <f t="shared" ref="BK680" si="3541">(BJ680-BJ543)+BK543</f>
        <v>73.375831999999946</v>
      </c>
      <c r="BL680" s="44">
        <f t="shared" ref="BL680" si="3542">(BK680-BK543)+BL543</f>
        <v>73.375831999999946</v>
      </c>
      <c r="BM680" s="44">
        <f t="shared" ref="BM680" si="3543">(BL680-BL543)+BM543</f>
        <v>73.375831999999946</v>
      </c>
      <c r="BN680" s="44">
        <f t="shared" ref="BN680" si="3544">(BM680-BM543)+BN543</f>
        <v>73.375831999999946</v>
      </c>
      <c r="BO680" s="44">
        <f t="shared" ref="BO680" si="3545">(BN680-BN543)+BO543</f>
        <v>73.375831999999946</v>
      </c>
      <c r="BP680" s="44">
        <f t="shared" ref="BP680" si="3546">(BO680-BO543)+BP543</f>
        <v>73.375831999999946</v>
      </c>
      <c r="BQ680" s="44">
        <f t="shared" ref="BQ680" si="3547">(BP680-BP543)+BQ543</f>
        <v>73.375831999999946</v>
      </c>
      <c r="BR680" s="44"/>
      <c r="BS680" s="42"/>
      <c r="BT680" s="42"/>
      <c r="BU680" s="42"/>
      <c r="BV680" s="42"/>
      <c r="BW680" s="42"/>
      <c r="BX680" s="42"/>
      <c r="BY680" s="42"/>
      <c r="BZ680" s="42"/>
      <c r="CA680" s="42"/>
      <c r="CB680" s="42"/>
      <c r="CC680" s="42"/>
      <c r="CD680" s="42"/>
      <c r="CE680" s="42"/>
      <c r="CF680" s="42"/>
      <c r="CG680" s="42"/>
      <c r="CH680" s="42"/>
      <c r="CI680" s="42"/>
      <c r="CJ680" s="42"/>
      <c r="CK680" s="42"/>
      <c r="CL680" s="42"/>
      <c r="CM680" s="42"/>
      <c r="CN680" s="42"/>
      <c r="CO680" s="42"/>
      <c r="CP680" s="42"/>
      <c r="CQ680" s="42"/>
      <c r="CR680" s="42"/>
      <c r="CS680" s="42"/>
      <c r="CT680" s="42"/>
      <c r="CU680" s="113"/>
      <c r="CV680" s="44">
        <f t="shared" si="3409"/>
        <v>1</v>
      </c>
      <c r="CW680" s="44">
        <f t="shared" si="3410"/>
        <v>1</v>
      </c>
      <c r="CX680" s="44">
        <f t="shared" si="3411"/>
        <v>0</v>
      </c>
      <c r="CY680" s="44">
        <f t="shared" si="3412"/>
        <v>0</v>
      </c>
      <c r="CZ680" s="45">
        <f t="shared" si="3413"/>
        <v>0</v>
      </c>
      <c r="DA680" s="44">
        <f t="shared" si="3431"/>
        <v>3.3758319999999458</v>
      </c>
      <c r="DB680" s="44">
        <f t="shared" si="3414"/>
        <v>3.3758319999999458</v>
      </c>
      <c r="DC680" s="44">
        <f t="shared" si="3415"/>
        <v>73.375831999999946</v>
      </c>
      <c r="DD680" s="44">
        <f t="shared" si="3416"/>
        <v>73.375831999999946</v>
      </c>
      <c r="DE680" s="44">
        <f t="shared" si="3417"/>
        <v>73.375831999999946</v>
      </c>
      <c r="DF680" s="44">
        <f t="shared" si="3418"/>
        <v>73.375831999999946</v>
      </c>
      <c r="DG680" s="44">
        <f t="shared" si="3419"/>
        <v>73.375831999999946</v>
      </c>
      <c r="DH680" s="44">
        <f t="shared" si="3420"/>
        <v>73.375831999999946</v>
      </c>
      <c r="DI680" s="44">
        <f t="shared" si="3421"/>
        <v>73.375831999999946</v>
      </c>
    </row>
    <row r="681" spans="1:113" ht="12" hidden="1" outlineLevel="1">
      <c r="A681" s="1" t="s">
        <v>2219</v>
      </c>
      <c r="B681" s="19" t="s">
        <v>2220</v>
      </c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  <c r="AJ681" s="42"/>
      <c r="AK681" s="42"/>
      <c r="AL681" s="42"/>
      <c r="AM681" s="42"/>
      <c r="AN681" s="42"/>
      <c r="AO681" s="42"/>
      <c r="AP681" s="525">
        <v>0</v>
      </c>
      <c r="AQ681" s="525">
        <v>0</v>
      </c>
      <c r="AR681" s="525">
        <v>0</v>
      </c>
      <c r="AS681" s="525">
        <v>0</v>
      </c>
      <c r="AT681" s="525">
        <v>0</v>
      </c>
      <c r="AU681" s="525">
        <v>0</v>
      </c>
      <c r="AV681" s="525">
        <v>0</v>
      </c>
      <c r="AW681" s="525">
        <v>0</v>
      </c>
      <c r="AX681" s="525">
        <v>0</v>
      </c>
      <c r="AY681" s="525">
        <v>0</v>
      </c>
      <c r="AZ681" s="523">
        <v>0</v>
      </c>
      <c r="BA681" s="44">
        <f t="shared" ref="BA681:BI682" si="3548">AZ681</f>
        <v>0</v>
      </c>
      <c r="BB681" s="44">
        <f t="shared" si="3548"/>
        <v>0</v>
      </c>
      <c r="BC681" s="44">
        <f t="shared" si="3548"/>
        <v>0</v>
      </c>
      <c r="BD681" s="44">
        <f t="shared" si="3548"/>
        <v>0</v>
      </c>
      <c r="BE681" s="44">
        <f t="shared" si="3548"/>
        <v>0</v>
      </c>
      <c r="BF681" s="44">
        <f t="shared" si="3548"/>
        <v>0</v>
      </c>
      <c r="BG681" s="44">
        <f t="shared" si="3548"/>
        <v>0</v>
      </c>
      <c r="BH681" s="44">
        <f t="shared" si="3548"/>
        <v>0</v>
      </c>
      <c r="BI681" s="44">
        <f t="shared" si="3548"/>
        <v>0</v>
      </c>
      <c r="BJ681" s="44">
        <f t="shared" ref="BJ681:BJ682" si="3549">BI681</f>
        <v>0</v>
      </c>
      <c r="BK681" s="44">
        <f t="shared" ref="BK681:BK682" si="3550">BJ681</f>
        <v>0</v>
      </c>
      <c r="BL681" s="44">
        <f t="shared" ref="BL681:BL682" si="3551">BK681</f>
        <v>0</v>
      </c>
      <c r="BM681" s="44">
        <f t="shared" ref="BM681:BM682" si="3552">BL681</f>
        <v>0</v>
      </c>
      <c r="BN681" s="44">
        <f t="shared" ref="BN681:BN682" si="3553">BM681</f>
        <v>0</v>
      </c>
      <c r="BO681" s="44">
        <f t="shared" ref="BO681:BO682" si="3554">BN681</f>
        <v>0</v>
      </c>
      <c r="BP681" s="44">
        <f t="shared" ref="BP681:BP682" si="3555">BO681</f>
        <v>0</v>
      </c>
      <c r="BQ681" s="44">
        <f t="shared" ref="BQ681:BQ682" si="3556">BP681</f>
        <v>0</v>
      </c>
      <c r="BR681" s="44"/>
      <c r="BS681" s="42"/>
      <c r="BT681" s="42"/>
      <c r="BU681" s="42"/>
      <c r="BV681" s="42"/>
      <c r="BW681" s="42"/>
      <c r="BX681" s="42"/>
      <c r="BY681" s="42"/>
      <c r="BZ681" s="42"/>
      <c r="CA681" s="42"/>
      <c r="CB681" s="42"/>
      <c r="CC681" s="42"/>
      <c r="CD681" s="42"/>
      <c r="CE681" s="42"/>
      <c r="CF681" s="42"/>
      <c r="CG681" s="42"/>
      <c r="CH681" s="42"/>
      <c r="CI681" s="42"/>
      <c r="CJ681" s="42"/>
      <c r="CK681" s="42"/>
      <c r="CL681" s="42"/>
      <c r="CM681" s="42"/>
      <c r="CN681" s="42"/>
      <c r="CO681" s="42"/>
      <c r="CP681" s="42"/>
      <c r="CQ681" s="42"/>
      <c r="CR681" s="42"/>
      <c r="CS681" s="42"/>
      <c r="CT681" s="42"/>
      <c r="CU681" s="113"/>
      <c r="CV681" s="44">
        <f t="shared" si="3409"/>
        <v>0</v>
      </c>
      <c r="CW681" s="44">
        <f t="shared" si="3410"/>
        <v>0</v>
      </c>
      <c r="CX681" s="44">
        <f t="shared" si="3411"/>
        <v>0</v>
      </c>
      <c r="CY681" s="44">
        <f t="shared" si="3412"/>
        <v>0</v>
      </c>
      <c r="CZ681" s="45">
        <f t="shared" si="3413"/>
        <v>0</v>
      </c>
      <c r="DA681" s="44">
        <f t="shared" si="3431"/>
        <v>0</v>
      </c>
      <c r="DB681" s="44">
        <f t="shared" si="3414"/>
        <v>0</v>
      </c>
      <c r="DC681" s="44">
        <f t="shared" si="3415"/>
        <v>0</v>
      </c>
      <c r="DD681" s="44">
        <f t="shared" si="3416"/>
        <v>0</v>
      </c>
      <c r="DE681" s="44">
        <f t="shared" si="3417"/>
        <v>0</v>
      </c>
      <c r="DF681" s="44">
        <f t="shared" si="3418"/>
        <v>0</v>
      </c>
      <c r="DG681" s="44">
        <f t="shared" si="3419"/>
        <v>0</v>
      </c>
      <c r="DH681" s="44">
        <f t="shared" si="3420"/>
        <v>0</v>
      </c>
      <c r="DI681" s="44">
        <f t="shared" si="3421"/>
        <v>0</v>
      </c>
    </row>
    <row r="682" spans="1:113" ht="12" hidden="1" outlineLevel="1">
      <c r="A682" s="1" t="s">
        <v>2221</v>
      </c>
      <c r="B682" s="19" t="s">
        <v>2222</v>
      </c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  <c r="AJ682" s="42"/>
      <c r="AK682" s="42"/>
      <c r="AL682" s="42"/>
      <c r="AM682" s="42"/>
      <c r="AN682" s="42"/>
      <c r="AO682" s="42"/>
      <c r="AP682" s="525">
        <v>0</v>
      </c>
      <c r="AQ682" s="525">
        <v>0</v>
      </c>
      <c r="AR682" s="525">
        <v>0</v>
      </c>
      <c r="AS682" s="525">
        <v>0</v>
      </c>
      <c r="AT682" s="525">
        <v>0</v>
      </c>
      <c r="AU682" s="525">
        <v>0</v>
      </c>
      <c r="AV682" s="525">
        <v>0</v>
      </c>
      <c r="AW682" s="525">
        <v>0</v>
      </c>
      <c r="AX682" s="525">
        <v>0</v>
      </c>
      <c r="AY682" s="525">
        <v>0</v>
      </c>
      <c r="AZ682" s="523">
        <v>0</v>
      </c>
      <c r="BA682" s="44">
        <f t="shared" si="3548"/>
        <v>0</v>
      </c>
      <c r="BB682" s="44">
        <f t="shared" si="3548"/>
        <v>0</v>
      </c>
      <c r="BC682" s="44">
        <f t="shared" si="3548"/>
        <v>0</v>
      </c>
      <c r="BD682" s="44">
        <f t="shared" si="3548"/>
        <v>0</v>
      </c>
      <c r="BE682" s="44">
        <f t="shared" si="3548"/>
        <v>0</v>
      </c>
      <c r="BF682" s="44">
        <f t="shared" si="3548"/>
        <v>0</v>
      </c>
      <c r="BG682" s="44">
        <f t="shared" si="3548"/>
        <v>0</v>
      </c>
      <c r="BH682" s="44">
        <f t="shared" si="3548"/>
        <v>0</v>
      </c>
      <c r="BI682" s="44">
        <f t="shared" si="3548"/>
        <v>0</v>
      </c>
      <c r="BJ682" s="44">
        <f t="shared" si="3549"/>
        <v>0</v>
      </c>
      <c r="BK682" s="44">
        <f t="shared" si="3550"/>
        <v>0</v>
      </c>
      <c r="BL682" s="44">
        <f t="shared" si="3551"/>
        <v>0</v>
      </c>
      <c r="BM682" s="44">
        <f t="shared" si="3552"/>
        <v>0</v>
      </c>
      <c r="BN682" s="44">
        <f t="shared" si="3553"/>
        <v>0</v>
      </c>
      <c r="BO682" s="44">
        <f t="shared" si="3554"/>
        <v>0</v>
      </c>
      <c r="BP682" s="44">
        <f t="shared" si="3555"/>
        <v>0</v>
      </c>
      <c r="BQ682" s="44">
        <f t="shared" si="3556"/>
        <v>0</v>
      </c>
      <c r="BR682" s="44"/>
      <c r="BS682" s="42"/>
      <c r="BT682" s="42"/>
      <c r="BU682" s="42"/>
      <c r="BV682" s="42"/>
      <c r="BW682" s="42"/>
      <c r="BX682" s="42"/>
      <c r="BY682" s="42"/>
      <c r="BZ682" s="42"/>
      <c r="CA682" s="42"/>
      <c r="CB682" s="42"/>
      <c r="CC682" s="42"/>
      <c r="CD682" s="42"/>
      <c r="CE682" s="42"/>
      <c r="CF682" s="42"/>
      <c r="CG682" s="42"/>
      <c r="CH682" s="42"/>
      <c r="CI682" s="42"/>
      <c r="CJ682" s="42"/>
      <c r="CK682" s="42"/>
      <c r="CL682" s="42"/>
      <c r="CM682" s="42"/>
      <c r="CN682" s="42"/>
      <c r="CO682" s="42"/>
      <c r="CP682" s="42"/>
      <c r="CQ682" s="42"/>
      <c r="CR682" s="42"/>
      <c r="CS682" s="42"/>
      <c r="CT682" s="42"/>
      <c r="CU682" s="113"/>
      <c r="CV682" s="44">
        <f t="shared" si="3409"/>
        <v>0</v>
      </c>
      <c r="CW682" s="44">
        <f t="shared" si="3410"/>
        <v>0</v>
      </c>
      <c r="CX682" s="44">
        <f t="shared" si="3411"/>
        <v>0</v>
      </c>
      <c r="CY682" s="44">
        <f t="shared" si="3412"/>
        <v>0</v>
      </c>
      <c r="CZ682" s="45">
        <f t="shared" si="3413"/>
        <v>0</v>
      </c>
      <c r="DA682" s="44">
        <f t="shared" si="3431"/>
        <v>0</v>
      </c>
      <c r="DB682" s="44">
        <f t="shared" si="3414"/>
        <v>0</v>
      </c>
      <c r="DC682" s="44">
        <f t="shared" si="3415"/>
        <v>0</v>
      </c>
      <c r="DD682" s="44">
        <f t="shared" si="3416"/>
        <v>0</v>
      </c>
      <c r="DE682" s="44">
        <f t="shared" si="3417"/>
        <v>0</v>
      </c>
      <c r="DF682" s="44">
        <f t="shared" si="3418"/>
        <v>0</v>
      </c>
      <c r="DG682" s="44">
        <f t="shared" si="3419"/>
        <v>0</v>
      </c>
      <c r="DH682" s="44">
        <f t="shared" si="3420"/>
        <v>0</v>
      </c>
      <c r="DI682" s="44">
        <f t="shared" si="3421"/>
        <v>0</v>
      </c>
    </row>
    <row r="683" spans="1:113" ht="12" hidden="1" outlineLevel="2">
      <c r="A683" s="1" t="s">
        <v>2223</v>
      </c>
      <c r="B683" s="19" t="s">
        <v>2224</v>
      </c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  <c r="AJ683" s="42"/>
      <c r="AK683" s="42"/>
      <c r="AL683" s="42"/>
      <c r="AM683" s="42"/>
      <c r="AN683" s="42"/>
      <c r="AO683" s="4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  <c r="AZ683" s="543"/>
      <c r="BA683" s="44"/>
      <c r="BB683" s="44"/>
      <c r="BC683" s="44"/>
      <c r="BD683" s="44"/>
      <c r="BE683" s="44"/>
      <c r="BF683" s="44"/>
      <c r="BG683" s="44"/>
      <c r="BH683" s="44"/>
      <c r="BI683" s="44"/>
      <c r="BJ683" s="44"/>
      <c r="BK683" s="44"/>
      <c r="BL683" s="44"/>
      <c r="BM683" s="44"/>
      <c r="BN683" s="44"/>
      <c r="BO683" s="44"/>
      <c r="BP683" s="44"/>
      <c r="BQ683" s="44"/>
      <c r="BR683" s="44"/>
      <c r="BS683" s="42"/>
      <c r="BT683" s="42"/>
      <c r="BU683" s="42"/>
      <c r="BV683" s="42"/>
      <c r="BW683" s="42"/>
      <c r="BX683" s="42"/>
      <c r="BY683" s="42"/>
      <c r="BZ683" s="42"/>
      <c r="CA683" s="42"/>
      <c r="CB683" s="42"/>
      <c r="CC683" s="42"/>
      <c r="CD683" s="42"/>
      <c r="CE683" s="42"/>
      <c r="CF683" s="42"/>
      <c r="CG683" s="42"/>
      <c r="CH683" s="42"/>
      <c r="CI683" s="42"/>
      <c r="CJ683" s="42"/>
      <c r="CK683" s="42"/>
      <c r="CL683" s="42"/>
      <c r="CM683" s="42"/>
      <c r="CN683" s="42"/>
      <c r="CO683" s="42"/>
      <c r="CP683" s="42"/>
      <c r="CQ683" s="42"/>
      <c r="CR683" s="42"/>
      <c r="CS683" s="42"/>
      <c r="CT683" s="42"/>
      <c r="CU683" s="42"/>
      <c r="CV683" s="622">
        <f t="shared" si="3409"/>
        <v>0</v>
      </c>
      <c r="CW683" s="622">
        <f t="shared" ref="CW683:CW693" si="3557">AS683</f>
        <v>0</v>
      </c>
      <c r="CX683" s="622">
        <f t="shared" ref="CX683:CX693" si="3558">AU683</f>
        <v>0</v>
      </c>
      <c r="CY683" s="622">
        <f t="shared" ref="CY683:CY693" si="3559">AW683</f>
        <v>0</v>
      </c>
      <c r="CZ683" s="45">
        <f t="shared" ref="CZ683:CZ693" si="3560">AY683</f>
        <v>0</v>
      </c>
      <c r="DA683" s="44">
        <f t="shared" ref="DA683:DA693" si="3561">BA683</f>
        <v>0</v>
      </c>
      <c r="DB683" s="44">
        <f t="shared" ref="DB683:DB693" si="3562">BC683</f>
        <v>0</v>
      </c>
      <c r="DC683" s="44">
        <f t="shared" ref="DC683:DC693" si="3563">BE683</f>
        <v>0</v>
      </c>
      <c r="DD683" s="44">
        <f t="shared" ref="DD683:DD693" si="3564">BG683</f>
        <v>0</v>
      </c>
      <c r="DE683" s="44">
        <f t="shared" ref="DE683:DE693" si="3565">BI683</f>
        <v>0</v>
      </c>
      <c r="DF683" s="44">
        <f t="shared" ref="DF683:DF693" si="3566">BK683</f>
        <v>0</v>
      </c>
      <c r="DG683" s="44">
        <f t="shared" si="3419"/>
        <v>0</v>
      </c>
      <c r="DH683" s="44">
        <f t="shared" si="3420"/>
        <v>0</v>
      </c>
      <c r="DI683" s="44">
        <f t="shared" si="3421"/>
        <v>0</v>
      </c>
    </row>
    <row r="684" spans="1:113" ht="12" hidden="1" outlineLevel="1">
      <c r="A684" s="121" t="s">
        <v>2257</v>
      </c>
      <c r="B684" s="19" t="s">
        <v>2255</v>
      </c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525">
        <f t="shared" ref="AP684:AR684" si="3567">AP120</f>
        <v>2.7</v>
      </c>
      <c r="AQ684" s="525">
        <f t="shared" si="3567"/>
        <v>5.8</v>
      </c>
      <c r="AR684" s="525">
        <f t="shared" si="3567"/>
        <v>5.6</v>
      </c>
      <c r="AS684" s="525">
        <f t="shared" ref="AS684:AT684" si="3568">AS120</f>
        <v>1.7</v>
      </c>
      <c r="AT684" s="525">
        <f t="shared" si="3568"/>
        <v>4.3</v>
      </c>
      <c r="AU684" s="525">
        <f t="shared" ref="AU684:AV684" si="3569">AU120</f>
        <v>18.8</v>
      </c>
      <c r="AV684" s="525">
        <f t="shared" si="3569"/>
        <v>34.700000000000003</v>
      </c>
      <c r="AW684" s="525">
        <f t="shared" ref="AW684:AX684" si="3570">AW120</f>
        <v>36.1</v>
      </c>
      <c r="AX684" s="525">
        <f t="shared" si="3570"/>
        <v>40.6</v>
      </c>
      <c r="AY684" s="525">
        <f t="shared" ref="AY684:AZ684" si="3571">AY120</f>
        <v>67.8</v>
      </c>
      <c r="AZ684" s="523">
        <f t="shared" si="3571"/>
        <v>72.7</v>
      </c>
      <c r="BA684" s="44">
        <f t="shared" ref="BA684:BI685" si="3572">AZ684*(BA120/AZ120)</f>
        <v>71.800127577450041</v>
      </c>
      <c r="BB684" s="44">
        <f t="shared" si="3572"/>
        <v>66.479611859268232</v>
      </c>
      <c r="BC684" s="44">
        <f t="shared" si="3572"/>
        <v>59.64281561435233</v>
      </c>
      <c r="BD684" s="44">
        <f t="shared" si="3572"/>
        <v>47.380443506106971</v>
      </c>
      <c r="BE684" s="44">
        <f t="shared" si="3572"/>
        <v>32.720820838305201</v>
      </c>
      <c r="BF684" s="44">
        <f t="shared" si="3572"/>
        <v>18.657654980925088</v>
      </c>
      <c r="BG684" s="44">
        <f t="shared" si="3572"/>
        <v>7.8405735113301489</v>
      </c>
      <c r="BH684" s="44">
        <f t="shared" si="3572"/>
        <v>-1.9257739080825615</v>
      </c>
      <c r="BI684" s="44">
        <f t="shared" si="3572"/>
        <v>-7.6874307436152378</v>
      </c>
      <c r="BJ684" s="44">
        <f t="shared" ref="BJ684:BJ685" si="3573">BI684*(BJ120/BI120)</f>
        <v>-14.00207371884656</v>
      </c>
      <c r="BK684" s="44">
        <f t="shared" ref="BK684:BK685" si="3574">BJ684*(BK120/BJ120)</f>
        <v>-20.340754679242352</v>
      </c>
      <c r="BL684" s="44">
        <f t="shared" ref="BL684:BL685" si="3575">BK684*(BL120/BK120)</f>
        <v>-29.377395940039307</v>
      </c>
      <c r="BM684" s="44">
        <f t="shared" ref="BM684:BM685" si="3576">BL684*(BM120/BL120)</f>
        <v>-38.882311628762082</v>
      </c>
      <c r="BN684" s="44">
        <f t="shared" ref="BN684:BN685" si="3577">BM684*(BN120/BM120)</f>
        <v>-51.289457139288359</v>
      </c>
      <c r="BO684" s="44">
        <f t="shared" ref="BO684:BO685" si="3578">BN684*(BO120/BN120)</f>
        <v>-63.824473242716124</v>
      </c>
      <c r="BP684" s="44">
        <f t="shared" ref="BP684:BP685" si="3579">BO684*(BP120/BO120)</f>
        <v>-79.740257275138873</v>
      </c>
      <c r="BQ684" s="44">
        <f t="shared" ref="BQ684:BQ685" si="3580">BP684*(BQ120/BP120)</f>
        <v>-95.932856705602092</v>
      </c>
      <c r="BR684" s="44"/>
      <c r="BS684" s="42"/>
      <c r="BT684" s="42"/>
      <c r="BU684" s="42"/>
      <c r="BV684" s="42"/>
      <c r="BW684" s="42"/>
      <c r="BX684" s="42"/>
      <c r="BY684" s="42"/>
      <c r="BZ684" s="42"/>
      <c r="CA684" s="42"/>
      <c r="CB684" s="42"/>
      <c r="CC684" s="42"/>
      <c r="CD684" s="42"/>
      <c r="CE684" s="42"/>
      <c r="CF684" s="42"/>
      <c r="CG684" s="42"/>
      <c r="CH684" s="42"/>
      <c r="CI684" s="42"/>
      <c r="CJ684" s="42"/>
      <c r="CK684" s="42"/>
      <c r="CL684" s="42"/>
      <c r="CM684" s="42"/>
      <c r="CN684" s="42"/>
      <c r="CO684" s="42"/>
      <c r="CP684" s="42"/>
      <c r="CQ684" s="42"/>
      <c r="CR684" s="42"/>
      <c r="CS684" s="42"/>
      <c r="CT684" s="42"/>
      <c r="CU684" s="113"/>
      <c r="CV684" s="44">
        <f t="shared" si="3409"/>
        <v>5.8</v>
      </c>
      <c r="CW684" s="44">
        <f t="shared" si="3557"/>
        <v>1.7</v>
      </c>
      <c r="CX684" s="44">
        <f t="shared" si="3558"/>
        <v>18.8</v>
      </c>
      <c r="CY684" s="44">
        <f t="shared" si="3559"/>
        <v>36.1</v>
      </c>
      <c r="CZ684" s="45">
        <f t="shared" si="3560"/>
        <v>67.8</v>
      </c>
      <c r="DA684" s="44">
        <f t="shared" si="3561"/>
        <v>71.800127577450041</v>
      </c>
      <c r="DB684" s="44">
        <f t="shared" si="3562"/>
        <v>59.64281561435233</v>
      </c>
      <c r="DC684" s="44">
        <f t="shared" si="3563"/>
        <v>32.720820838305201</v>
      </c>
      <c r="DD684" s="44">
        <f t="shared" si="3564"/>
        <v>7.8405735113301489</v>
      </c>
      <c r="DE684" s="44">
        <f t="shared" si="3565"/>
        <v>-7.6874307436152378</v>
      </c>
      <c r="DF684" s="44">
        <f t="shared" si="3566"/>
        <v>-20.340754679242352</v>
      </c>
      <c r="DG684" s="44">
        <f t="shared" si="3419"/>
        <v>-38.882311628762082</v>
      </c>
      <c r="DH684" s="44">
        <f t="shared" si="3420"/>
        <v>-63.824473242716124</v>
      </c>
      <c r="DI684" s="44">
        <f t="shared" si="3421"/>
        <v>-95.932856705602092</v>
      </c>
    </row>
    <row r="685" spans="1:113" ht="12" hidden="1" outlineLevel="1">
      <c r="A685" s="121" t="s">
        <v>2258</v>
      </c>
      <c r="B685" s="19" t="s">
        <v>2256</v>
      </c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  <c r="AJ685" s="42"/>
      <c r="AK685" s="42"/>
      <c r="AL685" s="42"/>
      <c r="AM685" s="42"/>
      <c r="AN685" s="42"/>
      <c r="AO685" s="42"/>
      <c r="AP685" s="525">
        <f t="shared" ref="AP685:AR685" si="3581">AP121</f>
        <v>31.2</v>
      </c>
      <c r="AQ685" s="525">
        <f t="shared" si="3581"/>
        <v>29.2</v>
      </c>
      <c r="AR685" s="525">
        <f t="shared" si="3581"/>
        <v>39.1</v>
      </c>
      <c r="AS685" s="525">
        <f t="shared" ref="AS685:AT685" si="3582">AS121</f>
        <v>53.5</v>
      </c>
      <c r="AT685" s="525">
        <f t="shared" si="3582"/>
        <v>73.2</v>
      </c>
      <c r="AU685" s="525">
        <f t="shared" ref="AU685:AV685" si="3583">AU121</f>
        <v>88.7</v>
      </c>
      <c r="AV685" s="525">
        <f t="shared" si="3583"/>
        <v>95.8</v>
      </c>
      <c r="AW685" s="525">
        <f t="shared" ref="AW685:AX685" si="3584">AW121</f>
        <v>113</v>
      </c>
      <c r="AX685" s="525">
        <f t="shared" si="3584"/>
        <v>119</v>
      </c>
      <c r="AY685" s="525">
        <f t="shared" ref="AY685:AZ685" si="3585">AY121</f>
        <v>118.00000000000001</v>
      </c>
      <c r="AZ685" s="523">
        <f t="shared" si="3585"/>
        <v>119.39999999999999</v>
      </c>
      <c r="BA685" s="44">
        <f t="shared" si="3572"/>
        <v>125.01108919248848</v>
      </c>
      <c r="BB685" s="44">
        <f t="shared" si="3572"/>
        <v>138.05065973321356</v>
      </c>
      <c r="BC685" s="44">
        <f t="shared" si="3572"/>
        <v>158.27712542868812</v>
      </c>
      <c r="BD685" s="44">
        <f t="shared" si="3572"/>
        <v>175.83642510086204</v>
      </c>
      <c r="BE685" s="44">
        <f t="shared" si="3572"/>
        <v>194.74226465762064</v>
      </c>
      <c r="BF685" s="44">
        <f t="shared" si="3572"/>
        <v>208.42492438924245</v>
      </c>
      <c r="BG685" s="44">
        <f t="shared" si="3572"/>
        <v>220.00597465931028</v>
      </c>
      <c r="BH685" s="44">
        <f t="shared" si="3572"/>
        <v>228.58799244108303</v>
      </c>
      <c r="BI685" s="44">
        <f t="shared" si="3572"/>
        <v>239.83257731442808</v>
      </c>
      <c r="BJ685" s="44">
        <f t="shared" si="3573"/>
        <v>247.51268977232314</v>
      </c>
      <c r="BK685" s="44">
        <f t="shared" si="3574"/>
        <v>258.15753836477916</v>
      </c>
      <c r="BL685" s="44">
        <f t="shared" si="3575"/>
        <v>264.6966165274884</v>
      </c>
      <c r="BM685" s="44">
        <f t="shared" si="3576"/>
        <v>274.32826681814953</v>
      </c>
      <c r="BN685" s="44">
        <f t="shared" si="3577"/>
        <v>280.28637856883256</v>
      </c>
      <c r="BO685" s="44">
        <f t="shared" si="3578"/>
        <v>289.49773759905548</v>
      </c>
      <c r="BP685" s="44">
        <f t="shared" si="3579"/>
        <v>295.82821263487784</v>
      </c>
      <c r="BQ685" s="44">
        <f t="shared" si="3580"/>
        <v>305.62660187760167</v>
      </c>
      <c r="BR685" s="44"/>
      <c r="BS685" s="42"/>
      <c r="BT685" s="42"/>
      <c r="BU685" s="42"/>
      <c r="BV685" s="42"/>
      <c r="BW685" s="42"/>
      <c r="BX685" s="42"/>
      <c r="BY685" s="42"/>
      <c r="BZ685" s="42"/>
      <c r="CA685" s="42"/>
      <c r="CB685" s="42"/>
      <c r="CC685" s="42"/>
      <c r="CD685" s="42"/>
      <c r="CE685" s="42"/>
      <c r="CF685" s="42"/>
      <c r="CG685" s="42"/>
      <c r="CH685" s="42"/>
      <c r="CI685" s="42"/>
      <c r="CJ685" s="42"/>
      <c r="CK685" s="42"/>
      <c r="CL685" s="42"/>
      <c r="CM685" s="42"/>
      <c r="CN685" s="42"/>
      <c r="CO685" s="42"/>
      <c r="CP685" s="42"/>
      <c r="CQ685" s="42"/>
      <c r="CR685" s="42"/>
      <c r="CS685" s="42"/>
      <c r="CT685" s="42"/>
      <c r="CU685" s="113"/>
      <c r="CV685" s="44">
        <f t="shared" si="3409"/>
        <v>29.2</v>
      </c>
      <c r="CW685" s="44">
        <f t="shared" si="3557"/>
        <v>53.5</v>
      </c>
      <c r="CX685" s="44">
        <f t="shared" si="3558"/>
        <v>88.7</v>
      </c>
      <c r="CY685" s="44">
        <f t="shared" si="3559"/>
        <v>113</v>
      </c>
      <c r="CZ685" s="45">
        <f t="shared" si="3560"/>
        <v>118.00000000000001</v>
      </c>
      <c r="DA685" s="44">
        <f t="shared" si="3561"/>
        <v>125.01108919248848</v>
      </c>
      <c r="DB685" s="44">
        <f t="shared" si="3562"/>
        <v>158.27712542868812</v>
      </c>
      <c r="DC685" s="44">
        <f t="shared" si="3563"/>
        <v>194.74226465762064</v>
      </c>
      <c r="DD685" s="44">
        <f t="shared" si="3564"/>
        <v>220.00597465931028</v>
      </c>
      <c r="DE685" s="44">
        <f t="shared" si="3565"/>
        <v>239.83257731442808</v>
      </c>
      <c r="DF685" s="44">
        <f t="shared" si="3566"/>
        <v>258.15753836477916</v>
      </c>
      <c r="DG685" s="44">
        <f t="shared" si="3419"/>
        <v>274.32826681814953</v>
      </c>
      <c r="DH685" s="44">
        <f t="shared" si="3420"/>
        <v>289.49773759905548</v>
      </c>
      <c r="DI685" s="44">
        <f t="shared" si="3421"/>
        <v>305.62660187760167</v>
      </c>
    </row>
    <row r="686" spans="1:113" ht="12" hidden="1" outlineLevel="2">
      <c r="A686" s="1" t="s">
        <v>2435</v>
      </c>
      <c r="B686" s="19" t="s">
        <v>801</v>
      </c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  <c r="AJ686" s="42"/>
      <c r="AK686" s="42"/>
      <c r="AL686" s="42"/>
      <c r="AM686" s="42"/>
      <c r="AN686" s="42"/>
      <c r="AO686" s="4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  <c r="AZ686" s="45"/>
      <c r="BA686" s="44"/>
      <c r="BB686" s="44"/>
      <c r="BC686" s="44"/>
      <c r="BD686" s="44"/>
      <c r="BE686" s="44"/>
      <c r="BF686" s="44"/>
      <c r="BG686" s="44"/>
      <c r="BH686" s="44"/>
      <c r="BI686" s="44"/>
      <c r="BJ686" s="44"/>
      <c r="BK686" s="44"/>
      <c r="BL686" s="44"/>
      <c r="BM686" s="44"/>
      <c r="BN686" s="44"/>
      <c r="BO686" s="44"/>
      <c r="BP686" s="44"/>
      <c r="BQ686" s="44"/>
      <c r="BR686" s="44"/>
      <c r="BS686" s="42"/>
      <c r="BT686" s="42"/>
      <c r="BU686" s="42"/>
      <c r="BV686" s="42"/>
      <c r="BW686" s="42"/>
      <c r="BX686" s="42"/>
      <c r="BY686" s="42"/>
      <c r="BZ686" s="42"/>
      <c r="CA686" s="42"/>
      <c r="CB686" s="42"/>
      <c r="CC686" s="42"/>
      <c r="CD686" s="42"/>
      <c r="CE686" s="42"/>
      <c r="CF686" s="42"/>
      <c r="CG686" s="42"/>
      <c r="CH686" s="42"/>
      <c r="CI686" s="42"/>
      <c r="CJ686" s="42"/>
      <c r="CK686" s="42"/>
      <c r="CL686" s="42"/>
      <c r="CM686" s="42"/>
      <c r="CN686" s="42"/>
      <c r="CO686" s="42"/>
      <c r="CP686" s="42"/>
      <c r="CQ686" s="42"/>
      <c r="CR686" s="42"/>
      <c r="CS686" s="42"/>
      <c r="CT686" s="42"/>
      <c r="CU686" s="42"/>
      <c r="CV686" s="622"/>
      <c r="CW686" s="622">
        <f t="shared" si="3557"/>
        <v>0</v>
      </c>
      <c r="CX686" s="622">
        <f t="shared" si="3558"/>
        <v>0</v>
      </c>
      <c r="CY686" s="622">
        <f t="shared" si="3559"/>
        <v>0</v>
      </c>
      <c r="CZ686" s="45">
        <f t="shared" si="3560"/>
        <v>0</v>
      </c>
      <c r="DA686" s="44">
        <f t="shared" si="3561"/>
        <v>0</v>
      </c>
      <c r="DB686" s="44">
        <f t="shared" si="3562"/>
        <v>0</v>
      </c>
      <c r="DC686" s="44">
        <f t="shared" si="3563"/>
        <v>0</v>
      </c>
      <c r="DD686" s="44">
        <f t="shared" si="3564"/>
        <v>0</v>
      </c>
      <c r="DE686" s="44">
        <f t="shared" si="3565"/>
        <v>0</v>
      </c>
      <c r="DF686" s="44">
        <f t="shared" si="3566"/>
        <v>0</v>
      </c>
      <c r="DG686" s="44">
        <f t="shared" si="3419"/>
        <v>0</v>
      </c>
      <c r="DH686" s="44">
        <f t="shared" si="3420"/>
        <v>0</v>
      </c>
      <c r="DI686" s="44">
        <f t="shared" si="3421"/>
        <v>0</v>
      </c>
    </row>
    <row r="687" spans="1:113" ht="12" hidden="1" outlineLevel="2">
      <c r="A687" s="1" t="s">
        <v>2436</v>
      </c>
      <c r="B687" s="19" t="s">
        <v>801</v>
      </c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  <c r="AZ687" s="45"/>
      <c r="BA687" s="44"/>
      <c r="BB687" s="44"/>
      <c r="BC687" s="44"/>
      <c r="BD687" s="44"/>
      <c r="BE687" s="44"/>
      <c r="BF687" s="44"/>
      <c r="BG687" s="44"/>
      <c r="BH687" s="44"/>
      <c r="BI687" s="44"/>
      <c r="BJ687" s="44"/>
      <c r="BK687" s="44"/>
      <c r="BL687" s="44"/>
      <c r="BM687" s="44"/>
      <c r="BN687" s="44"/>
      <c r="BO687" s="44"/>
      <c r="BP687" s="44"/>
      <c r="BQ687" s="44"/>
      <c r="BR687" s="44"/>
      <c r="BS687" s="42"/>
      <c r="BT687" s="42"/>
      <c r="BU687" s="42"/>
      <c r="BV687" s="42"/>
      <c r="BW687" s="42"/>
      <c r="BX687" s="42"/>
      <c r="BY687" s="42"/>
      <c r="BZ687" s="42"/>
      <c r="CA687" s="42"/>
      <c r="CB687" s="42"/>
      <c r="CC687" s="42"/>
      <c r="CD687" s="42"/>
      <c r="CE687" s="42"/>
      <c r="CF687" s="42"/>
      <c r="CG687" s="42"/>
      <c r="CH687" s="42"/>
      <c r="CI687" s="42"/>
      <c r="CJ687" s="42"/>
      <c r="CK687" s="42"/>
      <c r="CL687" s="42"/>
      <c r="CM687" s="42"/>
      <c r="CN687" s="42"/>
      <c r="CO687" s="42"/>
      <c r="CP687" s="42"/>
      <c r="CQ687" s="42"/>
      <c r="CR687" s="42"/>
      <c r="CS687" s="42"/>
      <c r="CT687" s="42"/>
      <c r="CU687" s="42"/>
      <c r="CV687" s="622"/>
      <c r="CW687" s="622">
        <f t="shared" si="3557"/>
        <v>0</v>
      </c>
      <c r="CX687" s="622">
        <f t="shared" si="3558"/>
        <v>0</v>
      </c>
      <c r="CY687" s="622">
        <f t="shared" si="3559"/>
        <v>0</v>
      </c>
      <c r="CZ687" s="45">
        <f t="shared" si="3560"/>
        <v>0</v>
      </c>
      <c r="DA687" s="44">
        <f t="shared" si="3561"/>
        <v>0</v>
      </c>
      <c r="DB687" s="44">
        <f t="shared" si="3562"/>
        <v>0</v>
      </c>
      <c r="DC687" s="44">
        <f t="shared" si="3563"/>
        <v>0</v>
      </c>
      <c r="DD687" s="44">
        <f t="shared" si="3564"/>
        <v>0</v>
      </c>
      <c r="DE687" s="44">
        <f t="shared" si="3565"/>
        <v>0</v>
      </c>
      <c r="DF687" s="44">
        <f t="shared" si="3566"/>
        <v>0</v>
      </c>
      <c r="DG687" s="44">
        <f t="shared" si="3419"/>
        <v>0</v>
      </c>
      <c r="DH687" s="44">
        <f t="shared" si="3420"/>
        <v>0</v>
      </c>
      <c r="DI687" s="44">
        <f t="shared" si="3421"/>
        <v>0</v>
      </c>
    </row>
    <row r="688" spans="1:113" ht="12" hidden="1" outlineLevel="2">
      <c r="A688" s="1" t="s">
        <v>2437</v>
      </c>
      <c r="B688" s="19" t="s">
        <v>801</v>
      </c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  <c r="AJ688" s="42"/>
      <c r="AK688" s="42"/>
      <c r="AL688" s="42"/>
      <c r="AM688" s="42"/>
      <c r="AN688" s="42"/>
      <c r="AO688" s="4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  <c r="AZ688" s="45"/>
      <c r="BA688" s="44"/>
      <c r="BB688" s="44"/>
      <c r="BC688" s="44"/>
      <c r="BD688" s="44"/>
      <c r="BE688" s="44"/>
      <c r="BF688" s="44"/>
      <c r="BG688" s="44"/>
      <c r="BH688" s="44"/>
      <c r="BI688" s="44"/>
      <c r="BJ688" s="44"/>
      <c r="BK688" s="44"/>
      <c r="BL688" s="44"/>
      <c r="BM688" s="44"/>
      <c r="BN688" s="44"/>
      <c r="BO688" s="44"/>
      <c r="BP688" s="44"/>
      <c r="BQ688" s="44"/>
      <c r="BR688" s="44"/>
      <c r="BS688" s="42"/>
      <c r="BT688" s="42"/>
      <c r="BU688" s="42"/>
      <c r="BV688" s="42"/>
      <c r="BW688" s="42"/>
      <c r="BX688" s="42"/>
      <c r="BY688" s="42"/>
      <c r="BZ688" s="42"/>
      <c r="CA688" s="42"/>
      <c r="CB688" s="42"/>
      <c r="CC688" s="42"/>
      <c r="CD688" s="42"/>
      <c r="CE688" s="42"/>
      <c r="CF688" s="42"/>
      <c r="CG688" s="42"/>
      <c r="CH688" s="42"/>
      <c r="CI688" s="42"/>
      <c r="CJ688" s="42"/>
      <c r="CK688" s="42"/>
      <c r="CL688" s="42"/>
      <c r="CM688" s="42"/>
      <c r="CN688" s="42"/>
      <c r="CO688" s="42"/>
      <c r="CP688" s="42"/>
      <c r="CQ688" s="42"/>
      <c r="CR688" s="42"/>
      <c r="CS688" s="42"/>
      <c r="CT688" s="42"/>
      <c r="CU688" s="42"/>
      <c r="CV688" s="622"/>
      <c r="CW688" s="622">
        <f t="shared" si="3557"/>
        <v>0</v>
      </c>
      <c r="CX688" s="622">
        <f t="shared" si="3558"/>
        <v>0</v>
      </c>
      <c r="CY688" s="622">
        <f t="shared" si="3559"/>
        <v>0</v>
      </c>
      <c r="CZ688" s="45">
        <f t="shared" si="3560"/>
        <v>0</v>
      </c>
      <c r="DA688" s="44">
        <f t="shared" si="3561"/>
        <v>0</v>
      </c>
      <c r="DB688" s="44">
        <f t="shared" si="3562"/>
        <v>0</v>
      </c>
      <c r="DC688" s="44">
        <f t="shared" si="3563"/>
        <v>0</v>
      </c>
      <c r="DD688" s="44">
        <f t="shared" si="3564"/>
        <v>0</v>
      </c>
      <c r="DE688" s="44">
        <f t="shared" si="3565"/>
        <v>0</v>
      </c>
      <c r="DF688" s="44">
        <f t="shared" si="3566"/>
        <v>0</v>
      </c>
      <c r="DG688" s="44">
        <f t="shared" si="3419"/>
        <v>0</v>
      </c>
      <c r="DH688" s="44">
        <f t="shared" si="3420"/>
        <v>0</v>
      </c>
      <c r="DI688" s="44">
        <f t="shared" si="3421"/>
        <v>0</v>
      </c>
    </row>
    <row r="689" spans="1:113" ht="12" hidden="1" outlineLevel="2">
      <c r="A689" s="1" t="s">
        <v>2438</v>
      </c>
      <c r="B689" s="19" t="s">
        <v>801</v>
      </c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  <c r="AJ689" s="42"/>
      <c r="AK689" s="42"/>
      <c r="AL689" s="42"/>
      <c r="AM689" s="42"/>
      <c r="AN689" s="42"/>
      <c r="AO689" s="4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  <c r="AZ689" s="45"/>
      <c r="BA689" s="44"/>
      <c r="BB689" s="44"/>
      <c r="BC689" s="44"/>
      <c r="BD689" s="44"/>
      <c r="BE689" s="44"/>
      <c r="BF689" s="44"/>
      <c r="BG689" s="44"/>
      <c r="BH689" s="44"/>
      <c r="BI689" s="44"/>
      <c r="BJ689" s="44"/>
      <c r="BK689" s="44"/>
      <c r="BL689" s="44"/>
      <c r="BM689" s="44"/>
      <c r="BN689" s="44"/>
      <c r="BO689" s="44"/>
      <c r="BP689" s="44"/>
      <c r="BQ689" s="44"/>
      <c r="BR689" s="44"/>
      <c r="BS689" s="42"/>
      <c r="BT689" s="42"/>
      <c r="BU689" s="42"/>
      <c r="BV689" s="42"/>
      <c r="BW689" s="42"/>
      <c r="BX689" s="42"/>
      <c r="BY689" s="42"/>
      <c r="BZ689" s="42"/>
      <c r="CA689" s="42"/>
      <c r="CB689" s="42"/>
      <c r="CC689" s="42"/>
      <c r="CD689" s="42"/>
      <c r="CE689" s="42"/>
      <c r="CF689" s="42"/>
      <c r="CG689" s="42"/>
      <c r="CH689" s="42"/>
      <c r="CI689" s="42"/>
      <c r="CJ689" s="42"/>
      <c r="CK689" s="42"/>
      <c r="CL689" s="42"/>
      <c r="CM689" s="42"/>
      <c r="CN689" s="42"/>
      <c r="CO689" s="42"/>
      <c r="CP689" s="42"/>
      <c r="CQ689" s="42"/>
      <c r="CR689" s="42"/>
      <c r="CS689" s="42"/>
      <c r="CT689" s="42"/>
      <c r="CU689" s="42"/>
      <c r="CV689" s="622"/>
      <c r="CW689" s="622">
        <f t="shared" si="3557"/>
        <v>0</v>
      </c>
      <c r="CX689" s="622">
        <f t="shared" si="3558"/>
        <v>0</v>
      </c>
      <c r="CY689" s="622">
        <f t="shared" si="3559"/>
        <v>0</v>
      </c>
      <c r="CZ689" s="45">
        <f t="shared" si="3560"/>
        <v>0</v>
      </c>
      <c r="DA689" s="44">
        <f t="shared" si="3561"/>
        <v>0</v>
      </c>
      <c r="DB689" s="44">
        <f t="shared" si="3562"/>
        <v>0</v>
      </c>
      <c r="DC689" s="44">
        <f t="shared" si="3563"/>
        <v>0</v>
      </c>
      <c r="DD689" s="44">
        <f t="shared" si="3564"/>
        <v>0</v>
      </c>
      <c r="DE689" s="44">
        <f t="shared" si="3565"/>
        <v>0</v>
      </c>
      <c r="DF689" s="44">
        <f t="shared" si="3566"/>
        <v>0</v>
      </c>
      <c r="DG689" s="44">
        <f t="shared" si="3419"/>
        <v>0</v>
      </c>
      <c r="DH689" s="44">
        <f t="shared" si="3420"/>
        <v>0</v>
      </c>
      <c r="DI689" s="44">
        <f t="shared" si="3421"/>
        <v>0</v>
      </c>
    </row>
    <row r="690" spans="1:113" ht="12" hidden="1" outlineLevel="2">
      <c r="A690" s="1" t="s">
        <v>2439</v>
      </c>
      <c r="B690" s="19" t="s">
        <v>801</v>
      </c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2"/>
      <c r="AK690" s="42"/>
      <c r="AL690" s="42"/>
      <c r="AM690" s="42"/>
      <c r="AN690" s="42"/>
      <c r="AO690" s="4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  <c r="AZ690" s="45"/>
      <c r="BA690" s="44"/>
      <c r="BB690" s="44"/>
      <c r="BC690" s="44"/>
      <c r="BD690" s="44"/>
      <c r="BE690" s="44"/>
      <c r="BF690" s="44"/>
      <c r="BG690" s="44"/>
      <c r="BH690" s="44"/>
      <c r="BI690" s="44"/>
      <c r="BJ690" s="44"/>
      <c r="BK690" s="44"/>
      <c r="BL690" s="44"/>
      <c r="BM690" s="44"/>
      <c r="BN690" s="44"/>
      <c r="BO690" s="44"/>
      <c r="BP690" s="44"/>
      <c r="BQ690" s="44"/>
      <c r="BR690" s="44"/>
      <c r="BS690" s="42"/>
      <c r="BT690" s="42"/>
      <c r="BU690" s="42"/>
      <c r="BV690" s="42"/>
      <c r="BW690" s="42"/>
      <c r="BX690" s="42"/>
      <c r="BY690" s="42"/>
      <c r="BZ690" s="42"/>
      <c r="CA690" s="42"/>
      <c r="CB690" s="42"/>
      <c r="CC690" s="42"/>
      <c r="CD690" s="42"/>
      <c r="CE690" s="42"/>
      <c r="CF690" s="42"/>
      <c r="CG690" s="42"/>
      <c r="CH690" s="42"/>
      <c r="CI690" s="42"/>
      <c r="CJ690" s="42"/>
      <c r="CK690" s="42"/>
      <c r="CL690" s="42"/>
      <c r="CM690" s="42"/>
      <c r="CN690" s="42"/>
      <c r="CO690" s="42"/>
      <c r="CP690" s="42"/>
      <c r="CQ690" s="42"/>
      <c r="CR690" s="42"/>
      <c r="CS690" s="42"/>
      <c r="CT690" s="42"/>
      <c r="CU690" s="42"/>
      <c r="CV690" s="622"/>
      <c r="CW690" s="622">
        <f t="shared" si="3557"/>
        <v>0</v>
      </c>
      <c r="CX690" s="622">
        <f t="shared" si="3558"/>
        <v>0</v>
      </c>
      <c r="CY690" s="622">
        <f t="shared" si="3559"/>
        <v>0</v>
      </c>
      <c r="CZ690" s="45">
        <f t="shared" si="3560"/>
        <v>0</v>
      </c>
      <c r="DA690" s="44">
        <f t="shared" si="3561"/>
        <v>0</v>
      </c>
      <c r="DB690" s="44">
        <f t="shared" si="3562"/>
        <v>0</v>
      </c>
      <c r="DC690" s="44">
        <f t="shared" si="3563"/>
        <v>0</v>
      </c>
      <c r="DD690" s="44">
        <f t="shared" si="3564"/>
        <v>0</v>
      </c>
      <c r="DE690" s="44">
        <f t="shared" si="3565"/>
        <v>0</v>
      </c>
      <c r="DF690" s="44">
        <f t="shared" si="3566"/>
        <v>0</v>
      </c>
      <c r="DG690" s="44">
        <f t="shared" si="3419"/>
        <v>0</v>
      </c>
      <c r="DH690" s="44">
        <f t="shared" si="3420"/>
        <v>0</v>
      </c>
      <c r="DI690" s="44">
        <f t="shared" si="3421"/>
        <v>0</v>
      </c>
    </row>
    <row r="691" spans="1:113" ht="12" hidden="1" outlineLevel="2">
      <c r="A691" s="1" t="s">
        <v>2440</v>
      </c>
      <c r="B691" s="19" t="s">
        <v>801</v>
      </c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  <c r="AZ691" s="45"/>
      <c r="BA691" s="44"/>
      <c r="BB691" s="44"/>
      <c r="BC691" s="44"/>
      <c r="BD691" s="44"/>
      <c r="BE691" s="44"/>
      <c r="BF691" s="44"/>
      <c r="BG691" s="44"/>
      <c r="BH691" s="44"/>
      <c r="BI691" s="44"/>
      <c r="BJ691" s="44"/>
      <c r="BK691" s="44"/>
      <c r="BL691" s="44"/>
      <c r="BM691" s="44"/>
      <c r="BN691" s="44"/>
      <c r="BO691" s="44"/>
      <c r="BP691" s="44"/>
      <c r="BQ691" s="44"/>
      <c r="BR691" s="44"/>
      <c r="BS691" s="42"/>
      <c r="BT691" s="42"/>
      <c r="BU691" s="42"/>
      <c r="BV691" s="42"/>
      <c r="BW691" s="42"/>
      <c r="BX691" s="42"/>
      <c r="BY691" s="42"/>
      <c r="BZ691" s="42"/>
      <c r="CA691" s="42"/>
      <c r="CB691" s="42"/>
      <c r="CC691" s="42"/>
      <c r="CD691" s="42"/>
      <c r="CE691" s="42"/>
      <c r="CF691" s="42"/>
      <c r="CG691" s="42"/>
      <c r="CH691" s="42"/>
      <c r="CI691" s="42"/>
      <c r="CJ691" s="42"/>
      <c r="CK691" s="42"/>
      <c r="CL691" s="42"/>
      <c r="CM691" s="42"/>
      <c r="CN691" s="42"/>
      <c r="CO691" s="42"/>
      <c r="CP691" s="42"/>
      <c r="CQ691" s="42"/>
      <c r="CR691" s="42"/>
      <c r="CS691" s="42"/>
      <c r="CT691" s="42"/>
      <c r="CU691" s="42"/>
      <c r="CV691" s="622"/>
      <c r="CW691" s="622">
        <f t="shared" si="3557"/>
        <v>0</v>
      </c>
      <c r="CX691" s="622">
        <f t="shared" si="3558"/>
        <v>0</v>
      </c>
      <c r="CY691" s="622">
        <f t="shared" si="3559"/>
        <v>0</v>
      </c>
      <c r="CZ691" s="45">
        <f t="shared" si="3560"/>
        <v>0</v>
      </c>
      <c r="DA691" s="44">
        <f t="shared" si="3561"/>
        <v>0</v>
      </c>
      <c r="DB691" s="44">
        <f t="shared" si="3562"/>
        <v>0</v>
      </c>
      <c r="DC691" s="44">
        <f t="shared" si="3563"/>
        <v>0</v>
      </c>
      <c r="DD691" s="44">
        <f t="shared" si="3564"/>
        <v>0</v>
      </c>
      <c r="DE691" s="44">
        <f t="shared" si="3565"/>
        <v>0</v>
      </c>
      <c r="DF691" s="44">
        <f t="shared" si="3566"/>
        <v>0</v>
      </c>
      <c r="DG691" s="44">
        <f t="shared" si="3419"/>
        <v>0</v>
      </c>
      <c r="DH691" s="44">
        <f t="shared" si="3420"/>
        <v>0</v>
      </c>
      <c r="DI691" s="44">
        <f t="shared" si="3421"/>
        <v>0</v>
      </c>
    </row>
    <row r="692" spans="1:113" ht="12" hidden="1" outlineLevel="2">
      <c r="A692" s="1" t="s">
        <v>2441</v>
      </c>
      <c r="B692" s="19" t="s">
        <v>801</v>
      </c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  <c r="AJ692" s="42"/>
      <c r="AK692" s="42"/>
      <c r="AL692" s="42"/>
      <c r="AM692" s="42"/>
      <c r="AN692" s="42"/>
      <c r="AO692" s="4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  <c r="AZ692" s="45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44"/>
      <c r="BL692" s="44"/>
      <c r="BM692" s="44"/>
      <c r="BN692" s="44"/>
      <c r="BO692" s="44"/>
      <c r="BP692" s="44"/>
      <c r="BQ692" s="44"/>
      <c r="BR692" s="44"/>
      <c r="BS692" s="42"/>
      <c r="BT692" s="42"/>
      <c r="BU692" s="42"/>
      <c r="BV692" s="42"/>
      <c r="BW692" s="42"/>
      <c r="BX692" s="42"/>
      <c r="BY692" s="42"/>
      <c r="BZ692" s="42"/>
      <c r="CA692" s="42"/>
      <c r="CB692" s="42"/>
      <c r="CC692" s="42"/>
      <c r="CD692" s="42"/>
      <c r="CE692" s="42"/>
      <c r="CF692" s="42"/>
      <c r="CG692" s="42"/>
      <c r="CH692" s="42"/>
      <c r="CI692" s="42"/>
      <c r="CJ692" s="42"/>
      <c r="CK692" s="42"/>
      <c r="CL692" s="42"/>
      <c r="CM692" s="42"/>
      <c r="CN692" s="42"/>
      <c r="CO692" s="42"/>
      <c r="CP692" s="42"/>
      <c r="CQ692" s="42"/>
      <c r="CR692" s="42"/>
      <c r="CS692" s="42"/>
      <c r="CT692" s="42"/>
      <c r="CU692" s="42"/>
      <c r="CV692" s="622"/>
      <c r="CW692" s="622">
        <f t="shared" si="3557"/>
        <v>0</v>
      </c>
      <c r="CX692" s="622">
        <f t="shared" si="3558"/>
        <v>0</v>
      </c>
      <c r="CY692" s="622">
        <f t="shared" si="3559"/>
        <v>0</v>
      </c>
      <c r="CZ692" s="45">
        <f t="shared" si="3560"/>
        <v>0</v>
      </c>
      <c r="DA692" s="44">
        <f t="shared" si="3561"/>
        <v>0</v>
      </c>
      <c r="DB692" s="44">
        <f t="shared" si="3562"/>
        <v>0</v>
      </c>
      <c r="DC692" s="44">
        <f t="shared" si="3563"/>
        <v>0</v>
      </c>
      <c r="DD692" s="44">
        <f t="shared" si="3564"/>
        <v>0</v>
      </c>
      <c r="DE692" s="44">
        <f t="shared" si="3565"/>
        <v>0</v>
      </c>
      <c r="DF692" s="44">
        <f t="shared" si="3566"/>
        <v>0</v>
      </c>
      <c r="DG692" s="44">
        <f t="shared" si="3419"/>
        <v>0</v>
      </c>
      <c r="DH692" s="44">
        <f t="shared" si="3420"/>
        <v>0</v>
      </c>
      <c r="DI692" s="44">
        <f t="shared" si="3421"/>
        <v>0</v>
      </c>
    </row>
    <row r="693" spans="1:113" ht="12" hidden="1" outlineLevel="2">
      <c r="A693" s="1" t="s">
        <v>1050</v>
      </c>
      <c r="B693" s="19" t="s">
        <v>801</v>
      </c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  <c r="AZ693" s="45"/>
      <c r="BA693" s="44"/>
      <c r="BB693" s="44"/>
      <c r="BC693" s="44"/>
      <c r="BD693" s="44"/>
      <c r="BE693" s="44"/>
      <c r="BF693" s="44"/>
      <c r="BG693" s="44"/>
      <c r="BH693" s="44"/>
      <c r="BI693" s="44"/>
      <c r="BJ693" s="44"/>
      <c r="BK693" s="44"/>
      <c r="BL693" s="44"/>
      <c r="BM693" s="44"/>
      <c r="BN693" s="44"/>
      <c r="BO693" s="44"/>
      <c r="BP693" s="44"/>
      <c r="BQ693" s="44"/>
      <c r="BR693" s="44"/>
      <c r="BS693" s="42"/>
      <c r="BT693" s="42"/>
      <c r="BU693" s="42"/>
      <c r="BV693" s="42"/>
      <c r="BW693" s="42"/>
      <c r="BX693" s="42"/>
      <c r="BY693" s="42"/>
      <c r="BZ693" s="42"/>
      <c r="CA693" s="42"/>
      <c r="CB693" s="42"/>
      <c r="CC693" s="42"/>
      <c r="CD693" s="42"/>
      <c r="CE693" s="42"/>
      <c r="CF693" s="42"/>
      <c r="CG693" s="42"/>
      <c r="CH693" s="42"/>
      <c r="CI693" s="42"/>
      <c r="CJ693" s="42"/>
      <c r="CK693" s="42"/>
      <c r="CL693" s="42"/>
      <c r="CM693" s="42"/>
      <c r="CN693" s="42"/>
      <c r="CO693" s="42"/>
      <c r="CP693" s="42"/>
      <c r="CQ693" s="42"/>
      <c r="CR693" s="42"/>
      <c r="CS693" s="42"/>
      <c r="CT693" s="42"/>
      <c r="CU693" s="42"/>
      <c r="CV693" s="622"/>
      <c r="CW693" s="622">
        <f t="shared" si="3557"/>
        <v>0</v>
      </c>
      <c r="CX693" s="622">
        <f t="shared" si="3558"/>
        <v>0</v>
      </c>
      <c r="CY693" s="622">
        <f t="shared" si="3559"/>
        <v>0</v>
      </c>
      <c r="CZ693" s="45">
        <f t="shared" si="3560"/>
        <v>0</v>
      </c>
      <c r="DA693" s="44">
        <f t="shared" si="3561"/>
        <v>0</v>
      </c>
      <c r="DB693" s="44">
        <f t="shared" si="3562"/>
        <v>0</v>
      </c>
      <c r="DC693" s="44">
        <f t="shared" si="3563"/>
        <v>0</v>
      </c>
      <c r="DD693" s="44">
        <f t="shared" si="3564"/>
        <v>0</v>
      </c>
      <c r="DE693" s="44">
        <f t="shared" si="3565"/>
        <v>0</v>
      </c>
      <c r="DF693" s="44">
        <f t="shared" si="3566"/>
        <v>0</v>
      </c>
      <c r="DG693" s="44">
        <f t="shared" si="3419"/>
        <v>0</v>
      </c>
      <c r="DH693" s="44">
        <f t="shared" si="3420"/>
        <v>0</v>
      </c>
      <c r="DI693" s="44">
        <f t="shared" si="3421"/>
        <v>0</v>
      </c>
    </row>
    <row r="694" spans="1:113" ht="12" hidden="1" outlineLevel="1" collapsed="1"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  <c r="AJ694" s="42"/>
      <c r="AK694" s="42"/>
      <c r="AL694" s="42"/>
      <c r="AM694" s="42"/>
      <c r="AN694" s="42"/>
      <c r="AO694" s="42"/>
      <c r="AP694" s="44"/>
      <c r="AQ694" s="44"/>
      <c r="AR694" s="44"/>
      <c r="AS694" s="44"/>
      <c r="AT694" s="44"/>
      <c r="AU694" s="44"/>
      <c r="AV694" s="44"/>
      <c r="AW694" s="44"/>
      <c r="AX694" s="44"/>
      <c r="AY694" s="44"/>
      <c r="AZ694" s="45"/>
      <c r="BA694" s="44"/>
      <c r="BB694" s="44"/>
      <c r="BC694" s="44"/>
      <c r="BD694" s="44"/>
      <c r="BE694" s="44"/>
      <c r="BF694" s="44"/>
      <c r="BG694" s="44"/>
      <c r="BH694" s="44"/>
      <c r="BI694" s="44"/>
      <c r="BJ694" s="44"/>
      <c r="BK694" s="44"/>
      <c r="BL694" s="44"/>
      <c r="BM694" s="44"/>
      <c r="BN694" s="44"/>
      <c r="BO694" s="44"/>
      <c r="BP694" s="44"/>
      <c r="BQ694" s="44"/>
      <c r="BR694" s="44"/>
      <c r="BS694" s="42"/>
      <c r="BT694" s="42"/>
      <c r="BU694" s="42"/>
      <c r="BV694" s="42"/>
      <c r="BW694" s="42"/>
      <c r="BX694" s="42"/>
      <c r="BY694" s="42"/>
      <c r="BZ694" s="42"/>
      <c r="CA694" s="42"/>
      <c r="CB694" s="42"/>
      <c r="CC694" s="42"/>
      <c r="CD694" s="42"/>
      <c r="CE694" s="42"/>
      <c r="CF694" s="42"/>
      <c r="CG694" s="42"/>
      <c r="CH694" s="42"/>
      <c r="CI694" s="42"/>
      <c r="CJ694" s="42"/>
      <c r="CK694" s="42"/>
      <c r="CL694" s="42"/>
      <c r="CM694" s="42"/>
      <c r="CN694" s="42"/>
      <c r="CO694" s="42"/>
      <c r="CP694" s="42"/>
      <c r="CQ694" s="42"/>
      <c r="CR694" s="42"/>
      <c r="CS694" s="42"/>
      <c r="CT694" s="42"/>
      <c r="CU694" s="42"/>
      <c r="CV694" s="44"/>
      <c r="CW694" s="44"/>
      <c r="CX694" s="44"/>
      <c r="CY694" s="44"/>
      <c r="CZ694" s="45"/>
      <c r="DA694" s="44"/>
      <c r="DB694" s="44"/>
      <c r="DC694" s="44"/>
      <c r="DD694" s="44"/>
      <c r="DE694" s="44"/>
      <c r="DF694" s="44"/>
      <c r="DG694" s="44"/>
      <c r="DH694" s="44"/>
      <c r="DI694" s="44"/>
    </row>
    <row r="695" spans="1:113" s="24" customFormat="1" ht="12" hidden="1" outlineLevel="1">
      <c r="A695" s="1"/>
      <c r="B695" s="24" t="s">
        <v>355</v>
      </c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  <c r="AA695" s="55"/>
      <c r="AB695" s="55"/>
      <c r="AC695" s="55"/>
      <c r="AD695" s="55"/>
      <c r="AE695" s="55"/>
      <c r="AF695" s="42"/>
      <c r="AG695" s="42"/>
      <c r="AH695" s="42"/>
      <c r="AI695" s="42"/>
      <c r="AJ695" s="55"/>
      <c r="AK695" s="42"/>
      <c r="AL695" s="55"/>
      <c r="AM695" s="55"/>
      <c r="AN695" s="55"/>
      <c r="AO695" s="55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4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5"/>
      <c r="BT695" s="55"/>
      <c r="BU695" s="55"/>
      <c r="BV695" s="55"/>
      <c r="BW695" s="55"/>
      <c r="BX695" s="55"/>
      <c r="BY695" s="55"/>
      <c r="BZ695" s="55"/>
      <c r="CA695" s="55"/>
      <c r="CB695" s="55"/>
      <c r="CC695" s="55"/>
      <c r="CD695" s="55"/>
      <c r="CE695" s="55"/>
      <c r="CF695" s="55"/>
      <c r="CG695" s="55"/>
      <c r="CH695" s="55"/>
      <c r="CI695" s="55"/>
      <c r="CJ695" s="55"/>
      <c r="CK695" s="55"/>
      <c r="CL695" s="55"/>
      <c r="CM695" s="55"/>
      <c r="CN695" s="55"/>
      <c r="CO695" s="55"/>
      <c r="CP695" s="55"/>
      <c r="CQ695" s="55"/>
      <c r="CR695" s="55"/>
      <c r="CS695" s="55"/>
      <c r="CT695" s="55"/>
      <c r="CU695" s="55"/>
      <c r="CV695" s="526"/>
      <c r="CW695" s="526"/>
      <c r="CX695" s="526"/>
      <c r="CY695" s="526"/>
      <c r="CZ695" s="524"/>
      <c r="DA695" s="526"/>
      <c r="DB695" s="526"/>
      <c r="DC695" s="541"/>
      <c r="DD695" s="541"/>
      <c r="DE695" s="541"/>
      <c r="DF695" s="541"/>
      <c r="DG695" s="541"/>
      <c r="DH695" s="541"/>
      <c r="DI695" s="541"/>
    </row>
    <row r="696" spans="1:113" ht="12" hidden="1" outlineLevel="1">
      <c r="A696" s="1" t="s">
        <v>1051</v>
      </c>
      <c r="B696" s="19" t="s">
        <v>356</v>
      </c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4">
        <f t="shared" ref="AP696:AR696" si="3586">AP697-AP239</f>
        <v>-8</v>
      </c>
      <c r="AQ696" s="44">
        <f t="shared" si="3586"/>
        <v>35</v>
      </c>
      <c r="AR696" s="44">
        <f t="shared" si="3586"/>
        <v>59</v>
      </c>
      <c r="AS696" s="44">
        <f t="shared" ref="AS696:AT696" si="3587">AS697-AS239</f>
        <v>102.58563535911526</v>
      </c>
      <c r="AT696" s="44">
        <f t="shared" si="3587"/>
        <v>99</v>
      </c>
      <c r="AU696" s="44">
        <f t="shared" ref="AU696:AV696" si="3588">AU697-AU239</f>
        <v>110</v>
      </c>
      <c r="AV696" s="44">
        <f t="shared" si="3588"/>
        <v>108</v>
      </c>
      <c r="AW696" s="44">
        <f t="shared" ref="AW696:AX696" si="3589">AW697-AW239</f>
        <v>103</v>
      </c>
      <c r="AX696" s="44">
        <f t="shared" si="3589"/>
        <v>51</v>
      </c>
      <c r="AY696" s="44">
        <f t="shared" ref="AY696:BI696" si="3590">AX696*AY239/AX239</f>
        <v>53.128116749779991</v>
      </c>
      <c r="AZ696" s="45">
        <f t="shared" si="3590"/>
        <v>57.668597829275441</v>
      </c>
      <c r="BA696" s="44">
        <f t="shared" si="3590"/>
        <v>62.534110740010092</v>
      </c>
      <c r="BB696" s="44">
        <f t="shared" si="3590"/>
        <v>66.639043645568989</v>
      </c>
      <c r="BC696" s="44">
        <f t="shared" si="3590"/>
        <v>71.720858047906773</v>
      </c>
      <c r="BD696" s="44">
        <f t="shared" si="3590"/>
        <v>76.129352754742243</v>
      </c>
      <c r="BE696" s="44">
        <f t="shared" si="3590"/>
        <v>81.617913562146398</v>
      </c>
      <c r="BF696" s="44">
        <f t="shared" si="3590"/>
        <v>86.278277946725822</v>
      </c>
      <c r="BG696" s="44">
        <f t="shared" si="3590"/>
        <v>92.133759961153686</v>
      </c>
      <c r="BH696" s="44">
        <f t="shared" si="3590"/>
        <v>96.538252983464432</v>
      </c>
      <c r="BI696" s="44">
        <f t="shared" si="3590"/>
        <v>102.09750619516328</v>
      </c>
      <c r="BJ696" s="44">
        <f t="shared" ref="BJ696" si="3591">BI696*BJ239/BI239</f>
        <v>106.01656071738151</v>
      </c>
      <c r="BK696" s="44">
        <f t="shared" ref="BK696" si="3592">BJ696*BK239/BJ239</f>
        <v>111.23422125534165</v>
      </c>
      <c r="BL696" s="44">
        <f t="shared" ref="BL696" si="3593">BK696*BL239/BK239</f>
        <v>114.55884109948474</v>
      </c>
      <c r="BM696" s="44">
        <f t="shared" ref="BM696" si="3594">BL696*BM239/BL239</f>
        <v>119.22665135909095</v>
      </c>
      <c r="BN696" s="44">
        <f t="shared" ref="BN696" si="3595">BM696*BN239/BM239</f>
        <v>122.21710672849433</v>
      </c>
      <c r="BO696" s="44">
        <f t="shared" ref="BO696" si="3596">BN696*BO239/BN239</f>
        <v>126.64497380445803</v>
      </c>
      <c r="BP696" s="44">
        <f t="shared" ref="BP696" si="3597">BO696*BP239/BO239</f>
        <v>129.78505338100064</v>
      </c>
      <c r="BQ696" s="44">
        <f t="shared" ref="BQ696" si="3598">BP696*BQ239/BP239</f>
        <v>134.4938250423198</v>
      </c>
      <c r="BR696" s="44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4">
        <f t="shared" ref="CV696:CW696" si="3599">CV697-CV239</f>
        <v>12</v>
      </c>
      <c r="CW696" s="44">
        <f t="shared" si="3599"/>
        <v>87</v>
      </c>
      <c r="CX696" s="44">
        <f>SUMPRODUCT(AT696:AU696,AT$5:AU$5)/SUM(AT$5:AU$5)</f>
        <v>104.54520547945205</v>
      </c>
      <c r="CY696" s="44">
        <f>SUMPRODUCT(AV696:AW696,AV$5:AW$5)/SUM(AV$5:AW$5)</f>
        <v>105.48633879781421</v>
      </c>
      <c r="CZ696" s="43">
        <f>SUMPRODUCT(AX696:AY696,AX$5:AY$5)/SUM(AX$5:AY$5)</f>
        <v>52.072804060163058</v>
      </c>
      <c r="DA696" s="42">
        <f>SUMPRODUCT(AZ696:BA696,AZ$5:BA$5)/SUM(AZ$5:BA$5)</f>
        <v>60.121349543180031</v>
      </c>
      <c r="DB696" s="42">
        <f>SUMPRODUCT(BB696:BC696,BB$5:BC$5)/SUM(BB$5:BC$5)</f>
        <v>69.200835015514613</v>
      </c>
      <c r="DC696" s="42">
        <f>SUMPRODUCT(BD696:BE696,BD$5:BE$5)/SUM(BD$5:BE$5)</f>
        <v>78.888629226224126</v>
      </c>
      <c r="DD696" s="42">
        <f>SUMPRODUCT(BF696:BG696,BF$5:BG$5)/SUM(BF$5:BG$5)</f>
        <v>89.230082578656578</v>
      </c>
      <c r="DE696" s="42">
        <f>SUMPRODUCT(BH696:BI696,BH$5:BI$5)/SUM(BH$5:BI$5)</f>
        <v>99.340725835389335</v>
      </c>
      <c r="DF696" s="42">
        <f>SUMPRODUCT(BJ696:BK696,BJ$5:BK$5)/SUM(BJ$5:BK$5)</f>
        <v>108.64683342692854</v>
      </c>
      <c r="DG696" s="42">
        <f>SUMPRODUCT(BL696:BM696,BL$5:BM$5)/SUM(BL$5:BM$5)</f>
        <v>116.90549980923213</v>
      </c>
      <c r="DH696" s="42">
        <f>SUMPRODUCT(BN696:BO696,BN$5:BO$5)/SUM(BN$5:BO$5)</f>
        <v>124.44923698048699</v>
      </c>
      <c r="DI696" s="42">
        <f>SUMPRODUCT(BP696:BQ696,BP$5:BQ$5)/SUM(BP$5:BQ$5)</f>
        <v>132.15879032807661</v>
      </c>
    </row>
    <row r="697" spans="1:113" ht="12" hidden="1" outlineLevel="1">
      <c r="A697" s="1" t="s">
        <v>1052</v>
      </c>
      <c r="B697" s="19" t="s">
        <v>493</v>
      </c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525">
        <v>3037</v>
      </c>
      <c r="AQ697" s="525">
        <v>4984</v>
      </c>
      <c r="AR697" s="525">
        <v>7748</v>
      </c>
      <c r="AS697" s="525">
        <f>(CW697*(AS$3-AQ$3)-AR697*(AR$3-AQ$3))/(AS$3-AR$3)</f>
        <v>8792.5856353591153</v>
      </c>
      <c r="AT697" s="525">
        <v>10102</v>
      </c>
      <c r="AU697" s="525">
        <v>11243</v>
      </c>
      <c r="AV697" s="525">
        <v>12968</v>
      </c>
      <c r="AW697" s="525">
        <v>13562</v>
      </c>
      <c r="AX697" s="525">
        <v>13687</v>
      </c>
      <c r="AY697" s="525">
        <v>14266</v>
      </c>
      <c r="AZ697" s="523">
        <v>15460</v>
      </c>
      <c r="BA697" s="44">
        <f t="shared" ref="BA697:BI697" si="3600">BA696+BA239</f>
        <v>16782.438699970946</v>
      </c>
      <c r="BB697" s="44">
        <f t="shared" si="3600"/>
        <v>17884.090007390252</v>
      </c>
      <c r="BC697" s="44">
        <f t="shared" si="3600"/>
        <v>19247.909492190196</v>
      </c>
      <c r="BD697" s="44">
        <f t="shared" si="3600"/>
        <v>20431.028454003081</v>
      </c>
      <c r="BE697" s="44">
        <f t="shared" si="3600"/>
        <v>21904.007508335253</v>
      </c>
      <c r="BF697" s="44">
        <f t="shared" si="3600"/>
        <v>23154.721377585029</v>
      </c>
      <c r="BG697" s="44">
        <f t="shared" si="3600"/>
        <v>24726.172011535502</v>
      </c>
      <c r="BH697" s="44">
        <f t="shared" si="3600"/>
        <v>25908.217031072112</v>
      </c>
      <c r="BI697" s="44">
        <f t="shared" si="3600"/>
        <v>27400.167986141176</v>
      </c>
      <c r="BJ697" s="44">
        <f t="shared" ref="BJ697:BK697" si="3601">BJ696+BJ239</f>
        <v>28451.934638015704</v>
      </c>
      <c r="BK697" s="44">
        <f t="shared" si="3601"/>
        <v>29852.211496507083</v>
      </c>
      <c r="BL697" s="44">
        <f t="shared" ref="BL697:BM697" si="3602">BL696+BL239</f>
        <v>30744.448198600938</v>
      </c>
      <c r="BM697" s="44">
        <f t="shared" si="3602"/>
        <v>31997.160336311335</v>
      </c>
      <c r="BN697" s="44">
        <f t="shared" ref="BN697:BO697" si="3603">BN696+BN239</f>
        <v>32799.71646652749</v>
      </c>
      <c r="BO697" s="44">
        <f t="shared" si="3603"/>
        <v>33988.034440423871</v>
      </c>
      <c r="BP697" s="44">
        <f t="shared" ref="BP697:BQ697" si="3604">BP696+BP239</f>
        <v>34830.745600505019</v>
      </c>
      <c r="BQ697" s="44">
        <f t="shared" si="3604"/>
        <v>36094.45065400454</v>
      </c>
      <c r="BR697" s="44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2"/>
      <c r="CD697" s="42"/>
      <c r="CE697" s="42"/>
      <c r="CF697" s="42"/>
      <c r="CG697" s="113"/>
      <c r="CH697" s="113"/>
      <c r="CI697" s="113"/>
      <c r="CJ697" s="113"/>
      <c r="CK697" s="113"/>
      <c r="CL697" s="113"/>
      <c r="CM697" s="113"/>
      <c r="CN697" s="113"/>
      <c r="CO697" s="113"/>
      <c r="CP697" s="113"/>
      <c r="CQ697" s="113"/>
      <c r="CR697" s="113"/>
      <c r="CS697" s="113"/>
      <c r="CT697" s="113"/>
      <c r="CU697" s="113"/>
      <c r="CV697" s="525">
        <v>4046</v>
      </c>
      <c r="CW697" s="525">
        <v>8266</v>
      </c>
      <c r="CX697" s="525">
        <v>10659</v>
      </c>
      <c r="CY697" s="525">
        <v>13235</v>
      </c>
      <c r="CZ697" s="43">
        <f>SUMPRODUCT(AX697:AY697,AX$5:AY$5)/SUM(AX$5:AY$5)</f>
        <v>13978.879452054794</v>
      </c>
      <c r="DA697" s="42">
        <f>SUMPRODUCT(AZ697:BA697,AZ$5:BA$5)/SUM(AZ$5:BA$5)</f>
        <v>16126.654029574394</v>
      </c>
      <c r="DB697" s="42">
        <f>SUMPRODUCT(BB697:BC697,BB$5:BC$5)/SUM(BB$5:BC$5)</f>
        <v>18571.604487398992</v>
      </c>
      <c r="DC697" s="42">
        <f>SUMPRODUCT(BD697:BE697,BD$5:BE$5)/SUM(BD$5:BE$5)</f>
        <v>21171.542514104502</v>
      </c>
      <c r="DD697" s="42">
        <f>SUMPRODUCT(BF697:BG697,BF$5:BG$5)/SUM(BF$5:BG$5)</f>
        <v>23946.904710864168</v>
      </c>
      <c r="DE697" s="42">
        <f>SUMPRODUCT(BH697:BI697,BH$5:BI$5)/SUM(BH$5:BI$5)</f>
        <v>26660.32381390145</v>
      </c>
      <c r="DF697" s="42">
        <f>SUMPRODUCT(BJ697:BK697,BJ$5:BK$5)/SUM(BJ$5:BK$5)</f>
        <v>29157.827629693551</v>
      </c>
      <c r="DG697" s="42">
        <f>SUMPRODUCT(BL697:BM697,BL$5:BM$5)/SUM(BL$5:BM$5)</f>
        <v>31374.226978214909</v>
      </c>
      <c r="DH697" s="42">
        <f>SUMPRODUCT(BN697:BO697,BN$5:BO$5)/SUM(BN$5:BO$5)</f>
        <v>33398.758951998541</v>
      </c>
      <c r="DI697" s="42">
        <f>SUMPRODUCT(BP697:BQ697,BP$5:BQ$5)/SUM(BP$5:BQ$5)</f>
        <v>35467.79143569382</v>
      </c>
    </row>
    <row r="698" spans="1:113" ht="12" hidden="1" outlineLevel="1">
      <c r="A698" s="1" t="s">
        <v>941</v>
      </c>
      <c r="B698" s="19" t="s">
        <v>265</v>
      </c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4">
        <f t="shared" ref="AP698" si="3605">AP697-AVERAGE(AO661:AP661)</f>
        <v>3026.1</v>
      </c>
      <c r="AQ698" s="44">
        <f t="shared" ref="AQ698" si="3606">AQ697-AVERAGE(AP661:AQ661)</f>
        <v>4970.5</v>
      </c>
      <c r="AR698" s="44">
        <f t="shared" ref="AR698:AX698" si="3607">AR697-AVERAGE(AQ661:AR661)</f>
        <v>7731.3</v>
      </c>
      <c r="AS698" s="44">
        <f t="shared" si="3607"/>
        <v>8772.035635359116</v>
      </c>
      <c r="AT698" s="44">
        <f t="shared" si="3607"/>
        <v>10074.6</v>
      </c>
      <c r="AU698" s="44">
        <f t="shared" si="3607"/>
        <v>11208.35</v>
      </c>
      <c r="AV698" s="44">
        <f t="shared" si="3607"/>
        <v>12926.35</v>
      </c>
      <c r="AW698" s="44">
        <f t="shared" si="3607"/>
        <v>13515.35</v>
      </c>
      <c r="AX698" s="44">
        <f t="shared" si="3607"/>
        <v>13637.95</v>
      </c>
      <c r="AY698" s="44">
        <f t="shared" ref="AY698:BI698" si="3608">AY697-AVERAGE(AX661:AY661)</f>
        <v>14217.25</v>
      </c>
      <c r="AZ698" s="45">
        <f t="shared" si="3608"/>
        <v>15414.05</v>
      </c>
      <c r="BA698" s="44">
        <f t="shared" si="3608"/>
        <v>16738.238699970945</v>
      </c>
      <c r="BB698" s="44">
        <f t="shared" si="3608"/>
        <v>17839.890007390251</v>
      </c>
      <c r="BC698" s="44">
        <f t="shared" si="3608"/>
        <v>19203.709492190195</v>
      </c>
      <c r="BD698" s="44">
        <f t="shared" si="3608"/>
        <v>20386.82845400308</v>
      </c>
      <c r="BE698" s="44">
        <f t="shared" si="3608"/>
        <v>21859.807508335252</v>
      </c>
      <c r="BF698" s="44">
        <f t="shared" si="3608"/>
        <v>23110.521377585028</v>
      </c>
      <c r="BG698" s="44">
        <f t="shared" si="3608"/>
        <v>24681.972011535501</v>
      </c>
      <c r="BH698" s="44">
        <f t="shared" si="3608"/>
        <v>25864.017031072111</v>
      </c>
      <c r="BI698" s="44">
        <f t="shared" si="3608"/>
        <v>27355.967986141175</v>
      </c>
      <c r="BJ698" s="44">
        <f t="shared" ref="BJ698" si="3609">BJ697-AVERAGE(BI661:BJ661)</f>
        <v>28407.734638015703</v>
      </c>
      <c r="BK698" s="44">
        <f t="shared" ref="BK698" si="3610">BK697-AVERAGE(BJ661:BK661)</f>
        <v>29808.011496507082</v>
      </c>
      <c r="BL698" s="44">
        <f t="shared" ref="BL698" si="3611">BL697-AVERAGE(BK661:BL661)</f>
        <v>30700.248198600937</v>
      </c>
      <c r="BM698" s="44">
        <f t="shared" ref="BM698" si="3612">BM697-AVERAGE(BL661:BM661)</f>
        <v>31952.960336311335</v>
      </c>
      <c r="BN698" s="44">
        <f t="shared" ref="BN698" si="3613">BN697-AVERAGE(BM661:BN661)</f>
        <v>32755.51646652749</v>
      </c>
      <c r="BO698" s="44">
        <f t="shared" ref="BO698" si="3614">BO697-AVERAGE(BN661:BO661)</f>
        <v>33943.834440423874</v>
      </c>
      <c r="BP698" s="44">
        <f t="shared" ref="BP698" si="3615">BP697-AVERAGE(BO661:BP661)</f>
        <v>34786.545600505022</v>
      </c>
      <c r="BQ698" s="44">
        <f t="shared" ref="BQ698" si="3616">BQ697-AVERAGE(BP661:BQ661)</f>
        <v>36050.250654004543</v>
      </c>
      <c r="BR698" s="44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4">
        <f t="shared" ref="CV698:CW698" si="3617">CV697-AVERAGE(CU661:CV661)</f>
        <v>4029.9</v>
      </c>
      <c r="CW698" s="44">
        <f t="shared" si="3617"/>
        <v>8246.0499999999993</v>
      </c>
      <c r="CX698" s="44">
        <f t="shared" ref="CX698:DF698" si="3618">CX697-AVERAGE(CX661:CX661)</f>
        <v>10620.7</v>
      </c>
      <c r="CY698" s="44">
        <f t="shared" si="3618"/>
        <v>13186.7</v>
      </c>
      <c r="CZ698" s="43">
        <f t="shared" si="3618"/>
        <v>13931.179452054794</v>
      </c>
      <c r="DA698" s="42">
        <f t="shared" si="3618"/>
        <v>16082.454029574394</v>
      </c>
      <c r="DB698" s="42">
        <f t="shared" si="3618"/>
        <v>18527.404487398991</v>
      </c>
      <c r="DC698" s="42">
        <f t="shared" si="3618"/>
        <v>21127.342514104501</v>
      </c>
      <c r="DD698" s="42">
        <f t="shared" si="3618"/>
        <v>23902.704710864167</v>
      </c>
      <c r="DE698" s="42">
        <f t="shared" si="3618"/>
        <v>26616.123813901449</v>
      </c>
      <c r="DF698" s="42">
        <f t="shared" si="3618"/>
        <v>29113.62762969355</v>
      </c>
      <c r="DG698" s="42">
        <f t="shared" ref="DG698:DH698" si="3619">DG697-AVERAGE(DG661:DG661)</f>
        <v>31330.026978214908</v>
      </c>
      <c r="DH698" s="42">
        <f t="shared" si="3619"/>
        <v>33354.558951998544</v>
      </c>
      <c r="DI698" s="42">
        <f t="shared" ref="DI698" si="3620">DI697-AVERAGE(DI661:DI661)</f>
        <v>35423.591435693823</v>
      </c>
    </row>
    <row r="699" spans="1:113" ht="12" hidden="1" outlineLevel="1">
      <c r="A699" s="1" t="s">
        <v>942</v>
      </c>
      <c r="B699" s="19" t="s">
        <v>266</v>
      </c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4">
        <f t="shared" ref="AP699:AR699" si="3621">AP700-(AP259+AP260)</f>
        <v>-56.641304347826008</v>
      </c>
      <c r="AQ699" s="44">
        <f t="shared" si="3621"/>
        <v>15</v>
      </c>
      <c r="AR699" s="44">
        <f t="shared" si="3621"/>
        <v>24</v>
      </c>
      <c r="AS699" s="44">
        <f t="shared" ref="AS699:AT699" si="3622">AS700-(AS259+AS260)</f>
        <v>70.38121546961338</v>
      </c>
      <c r="AT699" s="44">
        <f t="shared" si="3622"/>
        <v>102</v>
      </c>
      <c r="AU699" s="44">
        <f t="shared" ref="AU699:AV699" si="3623">AU700-(AU259+AU260)</f>
        <v>170</v>
      </c>
      <c r="AV699" s="44">
        <f t="shared" si="3623"/>
        <v>208</v>
      </c>
      <c r="AW699" s="44">
        <f t="shared" ref="AW699:AX699" si="3624">AW700-(AW259+AW260)</f>
        <v>231</v>
      </c>
      <c r="AX699" s="44">
        <f t="shared" si="3624"/>
        <v>224</v>
      </c>
      <c r="AY699" s="44">
        <f t="shared" ref="AY699:BI699" si="3625">AY700-(AY259+AY260)</f>
        <v>283</v>
      </c>
      <c r="AZ699" s="45">
        <f t="shared" ref="AZ699" si="3626">AZ700-(AZ259+AZ260)</f>
        <v>279</v>
      </c>
      <c r="BA699" s="44">
        <f t="shared" si="3625"/>
        <v>306.66703247893383</v>
      </c>
      <c r="BB699" s="44">
        <f t="shared" si="3625"/>
        <v>309.47659558777013</v>
      </c>
      <c r="BC699" s="44">
        <f t="shared" si="3625"/>
        <v>314.37725415168825</v>
      </c>
      <c r="BD699" s="44">
        <f t="shared" si="3625"/>
        <v>384.59206510534204</v>
      </c>
      <c r="BE699" s="44">
        <f t="shared" si="3625"/>
        <v>313.80860837473301</v>
      </c>
      <c r="BF699" s="44">
        <f t="shared" si="3625"/>
        <v>311.20187564271328</v>
      </c>
      <c r="BG699" s="44">
        <f t="shared" si="3625"/>
        <v>311.50671998131293</v>
      </c>
      <c r="BH699" s="44">
        <f t="shared" si="3625"/>
        <v>308.96066482033348</v>
      </c>
      <c r="BI699" s="44">
        <f t="shared" si="3625"/>
        <v>293.19514606205121</v>
      </c>
      <c r="BJ699" s="44">
        <f t="shared" ref="BJ699:BK699" si="3627">BJ700-(BJ259+BJ260)</f>
        <v>278.52787128278578</v>
      </c>
      <c r="BK699" s="44">
        <f t="shared" si="3627"/>
        <v>286.63686670122843</v>
      </c>
      <c r="BL699" s="44">
        <f t="shared" ref="BL699:BM699" si="3628">BL700-(BL259+BL260)</f>
        <v>272.08081165718249</v>
      </c>
      <c r="BM699" s="44">
        <f t="shared" si="3628"/>
        <v>273.88013062585014</v>
      </c>
      <c r="BN699" s="44">
        <f t="shared" ref="BN699:BO699" si="3629">BN700-(BN259+BN260)</f>
        <v>259.28616327706186</v>
      </c>
      <c r="BO699" s="44">
        <f t="shared" si="3629"/>
        <v>262.06690345022434</v>
      </c>
      <c r="BP699" s="44">
        <f t="shared" ref="BP699:BQ699" si="3630">BP700-(BP259+BP260)</f>
        <v>253.41361263312501</v>
      </c>
      <c r="BQ699" s="44">
        <f t="shared" si="3630"/>
        <v>256.48591520508489</v>
      </c>
      <c r="BR699" s="44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4">
        <f t="shared" ref="CV699:DF699" si="3631">CV700-(CV259+CV260)</f>
        <v>13</v>
      </c>
      <c r="CW699" s="44">
        <f t="shared" ref="CW699" si="3632">CW700-(CW259+CW260)</f>
        <v>47</v>
      </c>
      <c r="CX699" s="44">
        <f t="shared" si="3631"/>
        <v>134</v>
      </c>
      <c r="CY699" s="44">
        <f t="shared" si="3631"/>
        <v>220</v>
      </c>
      <c r="CZ699" s="43">
        <f t="shared" si="3631"/>
        <v>257.53150684931643</v>
      </c>
      <c r="DA699" s="42">
        <f t="shared" si="3631"/>
        <v>303.12686974618191</v>
      </c>
      <c r="DB699" s="42">
        <f t="shared" si="3631"/>
        <v>322.44621269485287</v>
      </c>
      <c r="DC699" s="42">
        <f t="shared" si="3631"/>
        <v>356.49150870898302</v>
      </c>
      <c r="DD699" s="42">
        <f t="shared" si="3631"/>
        <v>323.22591735461538</v>
      </c>
      <c r="DE699" s="42">
        <f t="shared" si="3631"/>
        <v>312.32788203643577</v>
      </c>
      <c r="DF699" s="42">
        <f t="shared" si="3631"/>
        <v>293.12825504627472</v>
      </c>
      <c r="DG699" s="42">
        <f t="shared" ref="DG699:DH699" si="3633">DG700-(DG259+DG260)</f>
        <v>279.21907028816713</v>
      </c>
      <c r="DH699" s="42">
        <f t="shared" si="3633"/>
        <v>269.62151687259757</v>
      </c>
      <c r="DI699" s="42">
        <f t="shared" ref="DI699" si="3634">DI700-(DI259+DI260)</f>
        <v>264.52052443170396</v>
      </c>
    </row>
    <row r="700" spans="1:113" ht="12" hidden="1" outlineLevel="1">
      <c r="A700" s="1" t="s">
        <v>943</v>
      </c>
      <c r="B700" s="19" t="s">
        <v>371</v>
      </c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525">
        <f t="shared" ref="AP700:AR700" si="3635">AP697-AP701</f>
        <v>2447</v>
      </c>
      <c r="AQ700" s="525">
        <f t="shared" si="3635"/>
        <v>4038</v>
      </c>
      <c r="AR700" s="525">
        <f t="shared" si="3635"/>
        <v>6569</v>
      </c>
      <c r="AS700" s="525">
        <f t="shared" ref="AS700:AT700" si="3636">AS697-AS701</f>
        <v>7399.8287292817677</v>
      </c>
      <c r="AT700" s="525">
        <f t="shared" si="3636"/>
        <v>8683</v>
      </c>
      <c r="AU700" s="525">
        <f t="shared" ref="AU700:AV700" si="3637">AU697-AU701</f>
        <v>9775</v>
      </c>
      <c r="AV700" s="525">
        <f t="shared" si="3637"/>
        <v>11456</v>
      </c>
      <c r="AW700" s="525">
        <v>11999</v>
      </c>
      <c r="AX700" s="525">
        <v>12089</v>
      </c>
      <c r="AY700" s="525">
        <v>12609</v>
      </c>
      <c r="AZ700" s="523">
        <v>13749</v>
      </c>
      <c r="BA700" s="44">
        <f t="shared" ref="BA700:BI700" si="3638">BA697-BA701-AVERAGE(AZ539:BA539)</f>
        <v>15015.191526223032</v>
      </c>
      <c r="BB700" s="44">
        <f t="shared" si="3638"/>
        <v>16039.959711908865</v>
      </c>
      <c r="BC700" s="44">
        <f t="shared" si="3638"/>
        <v>17322.256726581047</v>
      </c>
      <c r="BD700" s="44">
        <f t="shared" si="3638"/>
        <v>18342.887689565694</v>
      </c>
      <c r="BE700" s="44">
        <f t="shared" si="3638"/>
        <v>19641.78043151736</v>
      </c>
      <c r="BF700" s="44">
        <f t="shared" si="3638"/>
        <v>20778.695526385243</v>
      </c>
      <c r="BG700" s="44">
        <f t="shared" si="3638"/>
        <v>22223.228326237942</v>
      </c>
      <c r="BH700" s="44">
        <f t="shared" si="3638"/>
        <v>23266.06174805847</v>
      </c>
      <c r="BI700" s="44">
        <f t="shared" si="3638"/>
        <v>24626.926141100659</v>
      </c>
      <c r="BJ700" s="44">
        <f t="shared" ref="BJ700" si="3639">BJ697-BJ701-AVERAGE(BI539:BJ539)</f>
        <v>25568.203592356029</v>
      </c>
      <c r="BK700" s="44">
        <f t="shared" ref="BK700" si="3640">BK697-BK701-AVERAGE(BJ539:BK539)</f>
        <v>26855.340893334022</v>
      </c>
      <c r="BL700" s="44">
        <f t="shared" ref="BL700" si="3641">BL697-BL701-AVERAGE(BK539:BL539)</f>
        <v>27632.764342746206</v>
      </c>
      <c r="BM700" s="44">
        <f t="shared" ref="BM700" si="3642">BM697-BM701-AVERAGE(BL539:BM539)</f>
        <v>28775.327646067588</v>
      </c>
      <c r="BN700" s="44">
        <f t="shared" ref="BN700" si="3643">BN697-BN701-AVERAGE(BM539:BN539)</f>
        <v>29472.823837215416</v>
      </c>
      <c r="BO700" s="44">
        <f t="shared" ref="BO700" si="3644">BO697-BO701-AVERAGE(BN539:BO539)</f>
        <v>30562.520534224863</v>
      </c>
      <c r="BP700" s="44">
        <f t="shared" ref="BP700" si="3645">BP697-BP701-AVERAGE(BO539:BP539)</f>
        <v>31306.989714035837</v>
      </c>
      <c r="BQ700" s="44">
        <f t="shared" ref="BQ700" si="3646">BQ697-BQ701-AVERAGE(BP539:BQ539)</f>
        <v>32472.968394355223</v>
      </c>
      <c r="BR700" s="44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2"/>
      <c r="CD700" s="42"/>
      <c r="CE700" s="42"/>
      <c r="CF700" s="42"/>
      <c r="CG700" s="113"/>
      <c r="CH700" s="113"/>
      <c r="CI700" s="113"/>
      <c r="CJ700" s="113"/>
      <c r="CK700" s="113"/>
      <c r="CL700" s="113"/>
      <c r="CM700" s="113"/>
      <c r="CN700" s="113"/>
      <c r="CO700" s="113"/>
      <c r="CP700" s="113"/>
      <c r="CQ700" s="42"/>
      <c r="CR700" s="42"/>
      <c r="CS700" s="42"/>
      <c r="CT700" s="42"/>
      <c r="CU700" s="113"/>
      <c r="CV700" s="525">
        <f>CV697-CV701</f>
        <v>3272</v>
      </c>
      <c r="CW700" s="525">
        <f>CW697-CW701</f>
        <v>6981</v>
      </c>
      <c r="CX700" s="525">
        <v>9215</v>
      </c>
      <c r="CY700" s="525">
        <v>11699</v>
      </c>
      <c r="CZ700" s="43">
        <f>SUMPRODUCT(AX700:AY700,AX$5:AY$5)/SUM(AX$5:AY$5)</f>
        <v>12351.136986301372</v>
      </c>
      <c r="DA700" s="42">
        <f>SUMPRODUCT(AZ700:BA700,AZ$5:BA$5)/SUM(AZ$5:BA$5)</f>
        <v>14387.29928993161</v>
      </c>
      <c r="DB700" s="42">
        <f>SUMPRODUCT(BB700:BC700,BB$5:BC$5)/SUM(BB$5:BC$5)</f>
        <v>16686.377933003881</v>
      </c>
      <c r="DC700" s="42">
        <f>SUMPRODUCT(BD700:BE700,BD$5:BE$5)/SUM(BD$5:BE$5)</f>
        <v>18995.882947814618</v>
      </c>
      <c r="DD700" s="42">
        <f>SUMPRODUCT(BF700:BG700,BF$5:BG$5)/SUM(BF$5:BG$5)</f>
        <v>21506.898362475371</v>
      </c>
      <c r="DE700" s="42">
        <f>SUMPRODUCT(BH700:BI700,BH$5:BI$5)/SUM(BH$5:BI$5)</f>
        <v>23952.086537975625</v>
      </c>
      <c r="DF700" s="42">
        <f>SUMPRODUCT(BJ700:BK700,BJ$5:BK$5)/SUM(BJ$5:BK$5)</f>
        <v>26217.061848191512</v>
      </c>
      <c r="DG700" s="42">
        <f>SUMPRODUCT(BL700:BM700,BL$5:BM$5)/SUM(BL$5:BM$5)</f>
        <v>28207.167752066245</v>
      </c>
      <c r="DH700" s="42">
        <f>SUMPRODUCT(BN700:BO700,BN$5:BO$5)/SUM(BN$5:BO$5)</f>
        <v>30022.150391324285</v>
      </c>
      <c r="DI700" s="42">
        <f>SUMPRODUCT(BP700:BQ700,BP$5:BQ$5)/SUM(BP$5:BQ$5)</f>
        <v>31894.770747402319</v>
      </c>
    </row>
    <row r="701" spans="1:113" ht="12" hidden="1" outlineLevel="1">
      <c r="A701" s="1" t="s">
        <v>944</v>
      </c>
      <c r="B701" s="19" t="s">
        <v>372</v>
      </c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525">
        <v>590</v>
      </c>
      <c r="AQ701" s="525">
        <v>946</v>
      </c>
      <c r="AR701" s="525">
        <v>1179</v>
      </c>
      <c r="AS701" s="525">
        <f>(CW701*(AS$3-AQ$3)-AR701*(AR$3-AQ$3))/(AS$3-AR$3)</f>
        <v>1392.756906077348</v>
      </c>
      <c r="AT701" s="525">
        <v>1419</v>
      </c>
      <c r="AU701" s="525">
        <v>1468</v>
      </c>
      <c r="AV701" s="525">
        <v>1512</v>
      </c>
      <c r="AW701" s="525">
        <v>1563</v>
      </c>
      <c r="AX701" s="525">
        <v>1598</v>
      </c>
      <c r="AY701" s="525">
        <v>1657</v>
      </c>
      <c r="AZ701" s="523">
        <v>1711</v>
      </c>
      <c r="BA701" s="44">
        <f t="shared" ref="BA701:BI701" si="3647">AZ701*AVERAGE(AZ538:BA538)/AVERAGE(AY538:AZ538)</f>
        <v>1767.2471737479145</v>
      </c>
      <c r="BB701" s="44">
        <f t="shared" si="3647"/>
        <v>1844.1302954813882</v>
      </c>
      <c r="BC701" s="44">
        <f t="shared" si="3647"/>
        <v>1925.6527656091498</v>
      </c>
      <c r="BD701" s="44">
        <f t="shared" si="3647"/>
        <v>2088.1407644373853</v>
      </c>
      <c r="BE701" s="44">
        <f t="shared" si="3647"/>
        <v>2262.2270768178932</v>
      </c>
      <c r="BF701" s="44">
        <f t="shared" si="3647"/>
        <v>2376.0258511997854</v>
      </c>
      <c r="BG701" s="44">
        <f t="shared" si="3647"/>
        <v>2502.9436852975577</v>
      </c>
      <c r="BH701" s="44">
        <f t="shared" si="3647"/>
        <v>2642.155283013642</v>
      </c>
      <c r="BI701" s="44">
        <f t="shared" si="3647"/>
        <v>2773.241845040518</v>
      </c>
      <c r="BJ701" s="44">
        <f t="shared" ref="BJ701" si="3648">BI701*AVERAGE(BI538:BJ538)/AVERAGE(BH538:BI538)</f>
        <v>2883.7310456596765</v>
      </c>
      <c r="BK701" s="44">
        <f t="shared" ref="BK701" si="3649">BJ701*AVERAGE(BJ538:BK538)/AVERAGE(BI538:BJ538)</f>
        <v>2996.8706031730603</v>
      </c>
      <c r="BL701" s="44">
        <f t="shared" ref="BL701" si="3650">BK701*AVERAGE(BK538:BL538)/AVERAGE(BJ538:BK538)</f>
        <v>3111.6838558547302</v>
      </c>
      <c r="BM701" s="44">
        <f t="shared" ref="BM701" si="3651">BL701*AVERAGE(BL538:BM538)/AVERAGE(BK538:BL538)</f>
        <v>3221.8326902437489</v>
      </c>
      <c r="BN701" s="44">
        <f t="shared" ref="BN701" si="3652">BM701*AVERAGE(BM538:BN538)/AVERAGE(BL538:BM538)</f>
        <v>3326.8926293120767</v>
      </c>
      <c r="BO701" s="44">
        <f t="shared" ref="BO701" si="3653">BN701*AVERAGE(BN538:BO538)/AVERAGE(BM538:BN538)</f>
        <v>3425.5139061990085</v>
      </c>
      <c r="BP701" s="44">
        <f t="shared" ref="BP701" si="3654">BO701*AVERAGE(BO538:BP538)/AVERAGE(BN538:BO538)</f>
        <v>3523.7558864691805</v>
      </c>
      <c r="BQ701" s="44">
        <f t="shared" ref="BQ701" si="3655">BP701*AVERAGE(BP538:BQ538)/AVERAGE(BO538:BP538)</f>
        <v>3621.4822596493163</v>
      </c>
      <c r="BR701" s="44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2"/>
      <c r="CD701" s="42"/>
      <c r="CE701" s="42"/>
      <c r="CF701" s="42"/>
      <c r="CG701" s="113"/>
      <c r="CH701" s="113"/>
      <c r="CI701" s="113"/>
      <c r="CJ701" s="113"/>
      <c r="CK701" s="113"/>
      <c r="CL701" s="113"/>
      <c r="CM701" s="113"/>
      <c r="CN701" s="113"/>
      <c r="CO701" s="113"/>
      <c r="CP701" s="113"/>
      <c r="CQ701" s="113"/>
      <c r="CR701" s="113"/>
      <c r="CS701" s="113"/>
      <c r="CT701" s="113"/>
      <c r="CU701" s="113"/>
      <c r="CV701" s="525">
        <v>774</v>
      </c>
      <c r="CW701" s="525">
        <v>1285</v>
      </c>
      <c r="CX701" s="525">
        <v>1444</v>
      </c>
      <c r="CY701" s="525">
        <v>1536</v>
      </c>
      <c r="CZ701" s="43">
        <f>SUMPRODUCT(AX701:AY701,AX$5:AY$5)/SUM(AX$5:AY$5)</f>
        <v>1627.7424657534245</v>
      </c>
      <c r="DA701" s="42">
        <f>SUMPRODUCT(AZ701:BA701,AZ$5:BA$5)/SUM(AZ$5:BA$5)</f>
        <v>1739.3547396427844</v>
      </c>
      <c r="DB701" s="42">
        <f>SUMPRODUCT(BB701:BC701,BB$5:BC$5)/SUM(BB$5:BC$5)</f>
        <v>1885.2265543951089</v>
      </c>
      <c r="DC701" s="42">
        <f>SUMPRODUCT(BD701:BE701,BD$5:BE$5)/SUM(BD$5:BE$5)</f>
        <v>2175.6595662898812</v>
      </c>
      <c r="DD701" s="42">
        <f>SUMPRODUCT(BF701:BG701,BF$5:BG$5)/SUM(BF$5:BG$5)</f>
        <v>2440.0063483887993</v>
      </c>
      <c r="DE701" s="42">
        <f>SUMPRODUCT(BH701:BI701,BH$5:BI$5)/SUM(BH$5:BI$5)</f>
        <v>2708.2372759258205</v>
      </c>
      <c r="DF701" s="42">
        <f>SUMPRODUCT(BJ701:BK701,BJ$5:BK$5)/SUM(BJ$5:BK$5)</f>
        <v>2940.7657815020398</v>
      </c>
      <c r="DG701" s="42">
        <f>SUMPRODUCT(BL701:BM701,BL$5:BM$5)/SUM(BL$5:BM$5)</f>
        <v>3167.0592261486631</v>
      </c>
      <c r="DH701" s="42">
        <f>SUMPRODUCT(BN701:BO701,BN$5:BO$5)/SUM(BN$5:BO$5)</f>
        <v>3376.6085606742554</v>
      </c>
      <c r="DI701" s="42">
        <f>SUMPRODUCT(BP701:BQ701,BP$5:BQ$5)/SUM(BP$5:BQ$5)</f>
        <v>3573.0206882914954</v>
      </c>
    </row>
    <row r="702" spans="1:113" ht="12" hidden="1" outlineLevel="1">
      <c r="A702" s="1" t="s">
        <v>945</v>
      </c>
      <c r="B702" s="19" t="s">
        <v>301</v>
      </c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4">
        <f t="shared" ref="AP702" si="3656">AP701-AVERAGE(AO661:AP661)</f>
        <v>579.1</v>
      </c>
      <c r="AQ702" s="44">
        <f t="shared" ref="AQ702" si="3657">AQ701-AVERAGE(AP661:AQ661)</f>
        <v>932.5</v>
      </c>
      <c r="AR702" s="44">
        <f t="shared" ref="AR702:AX702" si="3658">AR701-AVERAGE(AQ661:AR661)</f>
        <v>1162.3</v>
      </c>
      <c r="AS702" s="44">
        <f t="shared" si="3658"/>
        <v>1372.2069060773481</v>
      </c>
      <c r="AT702" s="44">
        <f t="shared" si="3658"/>
        <v>1391.6</v>
      </c>
      <c r="AU702" s="44">
        <f t="shared" si="3658"/>
        <v>1433.35</v>
      </c>
      <c r="AV702" s="44">
        <f t="shared" si="3658"/>
        <v>1470.35</v>
      </c>
      <c r="AW702" s="44">
        <f t="shared" si="3658"/>
        <v>1516.35</v>
      </c>
      <c r="AX702" s="44">
        <f t="shared" si="3658"/>
        <v>1548.95</v>
      </c>
      <c r="AY702" s="44">
        <f t="shared" ref="AY702:BI702" si="3659">AY701-AVERAGE(AX661:AY661)</f>
        <v>1608.25</v>
      </c>
      <c r="AZ702" s="45">
        <f t="shared" si="3659"/>
        <v>1665.05</v>
      </c>
      <c r="BA702" s="44">
        <f t="shared" si="3659"/>
        <v>1723.0471737479145</v>
      </c>
      <c r="BB702" s="44">
        <f t="shared" si="3659"/>
        <v>1799.9302954813882</v>
      </c>
      <c r="BC702" s="44">
        <f t="shared" si="3659"/>
        <v>1881.4527656091498</v>
      </c>
      <c r="BD702" s="44">
        <f t="shared" si="3659"/>
        <v>2043.9407644373853</v>
      </c>
      <c r="BE702" s="44">
        <f t="shared" si="3659"/>
        <v>2218.0270768178934</v>
      </c>
      <c r="BF702" s="44">
        <f t="shared" si="3659"/>
        <v>2331.8258511997856</v>
      </c>
      <c r="BG702" s="44">
        <f t="shared" si="3659"/>
        <v>2458.7436852975579</v>
      </c>
      <c r="BH702" s="44">
        <f t="shared" si="3659"/>
        <v>2597.9552830136422</v>
      </c>
      <c r="BI702" s="44">
        <f t="shared" si="3659"/>
        <v>2729.0418450405182</v>
      </c>
      <c r="BJ702" s="44">
        <f t="shared" ref="BJ702" si="3660">BJ701-AVERAGE(BI661:BJ661)</f>
        <v>2839.5310456596767</v>
      </c>
      <c r="BK702" s="44">
        <f t="shared" ref="BK702" si="3661">BK701-AVERAGE(BJ661:BK661)</f>
        <v>2952.6706031730605</v>
      </c>
      <c r="BL702" s="44">
        <f t="shared" ref="BL702" si="3662">BL701-AVERAGE(BK661:BL661)</f>
        <v>3067.4838558547303</v>
      </c>
      <c r="BM702" s="44">
        <f t="shared" ref="BM702" si="3663">BM701-AVERAGE(BL661:BM661)</f>
        <v>3177.632690243749</v>
      </c>
      <c r="BN702" s="44">
        <f t="shared" ref="BN702" si="3664">BN701-AVERAGE(BM661:BN661)</f>
        <v>3282.6926293120769</v>
      </c>
      <c r="BO702" s="44">
        <f t="shared" ref="BO702" si="3665">BO701-AVERAGE(BN661:BO661)</f>
        <v>3381.3139061990087</v>
      </c>
      <c r="BP702" s="44">
        <f t="shared" ref="BP702" si="3666">BP701-AVERAGE(BO661:BP661)</f>
        <v>3479.5558864691807</v>
      </c>
      <c r="BQ702" s="44">
        <f t="shared" ref="BQ702" si="3667">BQ701-AVERAGE(BP661:BQ661)</f>
        <v>3577.2822596493165</v>
      </c>
      <c r="BR702" s="44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4">
        <f t="shared" ref="CV702:CW702" si="3668">CV701-AVERAGE(CU661:CV661)</f>
        <v>757.9</v>
      </c>
      <c r="CW702" s="44">
        <f t="shared" si="3668"/>
        <v>1265.05</v>
      </c>
      <c r="CX702" s="44">
        <f t="shared" ref="CX702:DF702" si="3669">CX701-AVERAGE(CX661:CX661)</f>
        <v>1405.7</v>
      </c>
      <c r="CY702" s="44">
        <f t="shared" si="3669"/>
        <v>1487.7</v>
      </c>
      <c r="CZ702" s="43">
        <f t="shared" si="3669"/>
        <v>1580.0424657534245</v>
      </c>
      <c r="DA702" s="42">
        <f t="shared" si="3669"/>
        <v>1695.1547396427843</v>
      </c>
      <c r="DB702" s="42">
        <f t="shared" si="3669"/>
        <v>1841.0265543951089</v>
      </c>
      <c r="DC702" s="42">
        <f t="shared" si="3669"/>
        <v>2131.4595662898814</v>
      </c>
      <c r="DD702" s="42">
        <f t="shared" si="3669"/>
        <v>2395.8063483887995</v>
      </c>
      <c r="DE702" s="42">
        <f t="shared" si="3669"/>
        <v>2664.0372759258207</v>
      </c>
      <c r="DF702" s="42">
        <f t="shared" si="3669"/>
        <v>2896.56578150204</v>
      </c>
      <c r="DG702" s="42">
        <f t="shared" ref="DG702:DH702" si="3670">DG701-AVERAGE(DG661:DG661)</f>
        <v>3122.8592261486633</v>
      </c>
      <c r="DH702" s="42">
        <f t="shared" si="3670"/>
        <v>3332.4085606742556</v>
      </c>
      <c r="DI702" s="42">
        <f t="shared" ref="DI702" si="3671">DI701-AVERAGE(DI661:DI661)</f>
        <v>3528.8206882914956</v>
      </c>
    </row>
    <row r="703" spans="1:113" ht="12" hidden="1" outlineLevel="1">
      <c r="A703" s="1" t="s">
        <v>946</v>
      </c>
      <c r="B703" s="19" t="s">
        <v>720</v>
      </c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4">
        <f t="shared" ref="AP703" si="3672">AVERAGE(AO613:AP613)</f>
        <v>3091</v>
      </c>
      <c r="AQ703" s="44">
        <f t="shared" ref="AQ703" si="3673">AVERAGE(AP613:AQ613)</f>
        <v>3592.5</v>
      </c>
      <c r="AR703" s="44">
        <f t="shared" ref="AR703:AX703" si="3674">AVERAGE(AQ613:AR613)</f>
        <v>4807</v>
      </c>
      <c r="AS703" s="44">
        <f t="shared" si="3674"/>
        <v>5915.5</v>
      </c>
      <c r="AT703" s="44">
        <f t="shared" si="3674"/>
        <v>7022.5</v>
      </c>
      <c r="AU703" s="44">
        <f t="shared" si="3674"/>
        <v>7956.5</v>
      </c>
      <c r="AV703" s="44">
        <f t="shared" si="3674"/>
        <v>8386</v>
      </c>
      <c r="AW703" s="44">
        <f t="shared" si="3674"/>
        <v>9102</v>
      </c>
      <c r="AX703" s="44">
        <f t="shared" si="3674"/>
        <v>10124.5</v>
      </c>
      <c r="AY703" s="44">
        <f t="shared" ref="AY703:BI703" si="3675">AVERAGE(AX613:AY613)</f>
        <v>11093</v>
      </c>
      <c r="AZ703" s="45">
        <f t="shared" si="3675"/>
        <v>12131</v>
      </c>
      <c r="BA703" s="44">
        <f t="shared" si="3675"/>
        <v>13336.951354101291</v>
      </c>
      <c r="BB703" s="44">
        <f t="shared" si="3675"/>
        <v>14454.325070608571</v>
      </c>
      <c r="BC703" s="44">
        <f t="shared" si="3675"/>
        <v>15496.508514495839</v>
      </c>
      <c r="BD703" s="44">
        <f t="shared" si="3675"/>
        <v>16607.224933394027</v>
      </c>
      <c r="BE703" s="44">
        <f t="shared" si="3675"/>
        <v>17850.10453118517</v>
      </c>
      <c r="BF703" s="44">
        <f t="shared" si="3675"/>
        <v>19136.283948921293</v>
      </c>
      <c r="BG703" s="44">
        <f t="shared" si="3675"/>
        <v>20364.994915791904</v>
      </c>
      <c r="BH703" s="44">
        <f t="shared" si="3675"/>
        <v>21475.60986376485</v>
      </c>
      <c r="BI703" s="44">
        <f t="shared" si="3675"/>
        <v>22563.873862909459</v>
      </c>
      <c r="BJ703" s="44">
        <f t="shared" ref="BJ703" si="3676">AVERAGE(BI613:BJ613)</f>
        <v>23602.683007429114</v>
      </c>
      <c r="BK703" s="44">
        <f t="shared" ref="BK703" si="3677">AVERAGE(BJ613:BK613)</f>
        <v>24605.921444937339</v>
      </c>
      <c r="BL703" s="44">
        <f t="shared" ref="BL703" si="3678">AVERAGE(BK613:BL613)</f>
        <v>25541.963271325578</v>
      </c>
      <c r="BM703" s="44">
        <f t="shared" ref="BM703" si="3679">AVERAGE(BL613:BM613)</f>
        <v>26424.449398322366</v>
      </c>
      <c r="BN703" s="44">
        <f t="shared" ref="BN703" si="3680">AVERAGE(BM613:BN613)</f>
        <v>27274.823238390163</v>
      </c>
      <c r="BO703" s="44">
        <f t="shared" ref="BO703" si="3681">AVERAGE(BN613:BO613)</f>
        <v>28093.313970427196</v>
      </c>
      <c r="BP703" s="44">
        <f t="shared" ref="BP703" si="3682">AVERAGE(BO613:BP613)</f>
        <v>28935.682482544406</v>
      </c>
      <c r="BQ703" s="44">
        <f t="shared" ref="BQ703" si="3683">AVERAGE(BP613:BQ613)</f>
        <v>29808.333836093239</v>
      </c>
      <c r="BR703" s="44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525">
        <f>AVERAGE(CV613,CV613/CV178*CU178)</f>
        <v>3087.7191219442866</v>
      </c>
      <c r="CW703" s="525">
        <f>AVERAGE(CW613,CW613/CW178*CV178)</f>
        <v>4977.7339133289561</v>
      </c>
      <c r="CX703" s="525">
        <f>SUMPRODUCT(AT703:AU703,AT$5:AU$5)/SUM(AT$5:AU$5)</f>
        <v>7493.3383561643832</v>
      </c>
      <c r="CY703" s="525">
        <f>SUMPRODUCT(AV703:AW703,AV$5:AW$5)/SUM(AV$5:AW$5)</f>
        <v>8745.956284153006</v>
      </c>
      <c r="CZ703" s="43">
        <f>SUMPRODUCT(AX703:AY703,AX$5:AY$5)/SUM(AX$5:AY$5)</f>
        <v>10612.730136986302</v>
      </c>
      <c r="DA703" s="42">
        <f>SUMPRODUCT(AZ703:BA703,AZ$5:BA$5)/SUM(AZ$5:BA$5)</f>
        <v>12738.931641519554</v>
      </c>
      <c r="DB703" s="42">
        <f>SUMPRODUCT(BB703:BC703,BB$5:BC$5)/SUM(BB$5:BC$5)</f>
        <v>14979.699738212015</v>
      </c>
      <c r="DC703" s="42">
        <f>SUMPRODUCT(BD703:BE703,BD$5:BE$5)/SUM(BD$5:BE$5)</f>
        <v>17232.060578185203</v>
      </c>
      <c r="DD703" s="42">
        <f>SUMPRODUCT(BF703:BG703,BF$5:BG$5)/SUM(BF$5:BG$5)</f>
        <v>19755.688929480726</v>
      </c>
      <c r="DE703" s="42">
        <f>SUMPRODUCT(BH703:BI703,BH$5:BI$5)/SUM(BH$5:BI$5)</f>
        <v>22024.214181141859</v>
      </c>
      <c r="DF703" s="42">
        <f>SUMPRODUCT(BJ703:BK703,BJ$5:BK$5)/SUM(BJ$5:BK$5)</f>
        <v>24108.425123871613</v>
      </c>
      <c r="DG703" s="42">
        <f>SUMPRODUCT(BL703:BM703,BL$5:BM$5)/SUM(BL$5:BM$5)</f>
        <v>25985.617499105385</v>
      </c>
      <c r="DH703" s="42">
        <f>SUMPRODUCT(BN703:BO703,BN$5:BO$5)/SUM(BN$5:BO$5)</f>
        <v>27687.432264951298</v>
      </c>
      <c r="DI703" s="42">
        <f>SUMPRODUCT(BP703:BQ703,BP$5:BQ$5)/SUM(BP$5:BQ$5)</f>
        <v>29375.594397758065</v>
      </c>
    </row>
    <row r="704" spans="1:113" ht="12" hidden="1" outlineLevel="1">
      <c r="A704" s="1" t="s">
        <v>2225</v>
      </c>
      <c r="B704" s="19" t="s">
        <v>2226</v>
      </c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525">
        <v>0</v>
      </c>
      <c r="AQ704" s="525">
        <v>0</v>
      </c>
      <c r="AR704" s="525">
        <v>0</v>
      </c>
      <c r="AS704" s="525">
        <v>0</v>
      </c>
      <c r="AT704" s="525">
        <v>0</v>
      </c>
      <c r="AU704" s="525">
        <v>0</v>
      </c>
      <c r="AV704" s="525">
        <v>0</v>
      </c>
      <c r="AW704" s="525">
        <v>0</v>
      </c>
      <c r="AX704" s="525">
        <v>0</v>
      </c>
      <c r="AY704" s="525">
        <v>0</v>
      </c>
      <c r="AZ704" s="523">
        <v>0</v>
      </c>
      <c r="BA704" s="44">
        <f t="shared" ref="BA704:BI704" si="3684">AZ704*(BA699/AZ699)</f>
        <v>0</v>
      </c>
      <c r="BB704" s="44">
        <f t="shared" si="3684"/>
        <v>0</v>
      </c>
      <c r="BC704" s="44">
        <f t="shared" si="3684"/>
        <v>0</v>
      </c>
      <c r="BD704" s="44">
        <f t="shared" si="3684"/>
        <v>0</v>
      </c>
      <c r="BE704" s="44">
        <f t="shared" si="3684"/>
        <v>0</v>
      </c>
      <c r="BF704" s="44">
        <f t="shared" si="3684"/>
        <v>0</v>
      </c>
      <c r="BG704" s="44">
        <f t="shared" si="3684"/>
        <v>0</v>
      </c>
      <c r="BH704" s="44">
        <f t="shared" si="3684"/>
        <v>0</v>
      </c>
      <c r="BI704" s="44">
        <f t="shared" si="3684"/>
        <v>0</v>
      </c>
      <c r="BJ704" s="44">
        <f t="shared" ref="BJ704" si="3685">BI704*(BJ699/BI699)</f>
        <v>0</v>
      </c>
      <c r="BK704" s="44">
        <f t="shared" ref="BK704" si="3686">BJ704*(BK699/BJ699)</f>
        <v>0</v>
      </c>
      <c r="BL704" s="44">
        <f t="shared" ref="BL704" si="3687">BK704*(BL699/BK699)</f>
        <v>0</v>
      </c>
      <c r="BM704" s="44">
        <f t="shared" ref="BM704" si="3688">BL704*(BM699/BL699)</f>
        <v>0</v>
      </c>
      <c r="BN704" s="44">
        <f t="shared" ref="BN704" si="3689">BM704*(BN699/BM699)</f>
        <v>0</v>
      </c>
      <c r="BO704" s="44">
        <f t="shared" ref="BO704" si="3690">BN704*(BO699/BN699)</f>
        <v>0</v>
      </c>
      <c r="BP704" s="44">
        <f t="shared" ref="BP704" si="3691">BO704*(BP699/BO699)</f>
        <v>0</v>
      </c>
      <c r="BQ704" s="44">
        <f t="shared" ref="BQ704" si="3692">BP704*(BQ699/BP699)</f>
        <v>0</v>
      </c>
      <c r="BR704" s="44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113"/>
      <c r="CV704" s="525">
        <v>0</v>
      </c>
      <c r="CW704" s="525">
        <v>0</v>
      </c>
      <c r="CX704" s="525">
        <f>SUMPRODUCT(AT704:AU704,AT$5:AU$5)/SUM(AT$5:AU$5)</f>
        <v>0</v>
      </c>
      <c r="CY704" s="44">
        <f>SUMPRODUCT(AV704:AW704,AV$5:AW$5)/SUM(AV$5:AW$5)</f>
        <v>0</v>
      </c>
      <c r="CZ704" s="43">
        <f>SUMPRODUCT(AX704:AY704,AX$5:AY$5)/SUM(AX$5:AY$5)</f>
        <v>0</v>
      </c>
      <c r="DA704" s="42">
        <f>SUMPRODUCT(AZ704:BA704,AZ$5:BA$5)/SUM(AZ$5:BA$5)</f>
        <v>0</v>
      </c>
      <c r="DB704" s="42">
        <f>SUMPRODUCT(BB704:BC704,BB$5:BC$5)/SUM(BB$5:BC$5)</f>
        <v>0</v>
      </c>
      <c r="DC704" s="42">
        <f>SUMPRODUCT(BD704:BE704,BD$5:BE$5)/SUM(BD$5:BE$5)</f>
        <v>0</v>
      </c>
      <c r="DD704" s="42">
        <f>SUMPRODUCT(BF704:BG704,BF$5:BG$5)/SUM(BF$5:BG$5)</f>
        <v>0</v>
      </c>
      <c r="DE704" s="42">
        <f>SUMPRODUCT(BH704:BI704,BH$5:BI$5)/SUM(BH$5:BI$5)</f>
        <v>0</v>
      </c>
      <c r="DF704" s="42">
        <f>SUMPRODUCT(BJ704:BK704,BJ$5:BK$5)/SUM(BJ$5:BK$5)</f>
        <v>0</v>
      </c>
      <c r="DG704" s="42">
        <f>SUMPRODUCT(BL704:BM704,BL$5:BM$5)/SUM(BL$5:BM$5)</f>
        <v>0</v>
      </c>
      <c r="DH704" s="42">
        <f>SUMPRODUCT(BN704:BO704,BN$5:BO$5)/SUM(BN$5:BO$5)</f>
        <v>0</v>
      </c>
      <c r="DI704" s="42">
        <f>SUMPRODUCT(BP704:BQ704,BP$5:BQ$5)/SUM(BP$5:BQ$5)</f>
        <v>0</v>
      </c>
    </row>
    <row r="705" spans="1:113" ht="12" hidden="1" outlineLevel="1">
      <c r="A705" s="1" t="s">
        <v>2227</v>
      </c>
      <c r="B705" s="19" t="s">
        <v>2228</v>
      </c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525">
        <v>0</v>
      </c>
      <c r="AQ705" s="525">
        <v>0</v>
      </c>
      <c r="AR705" s="525">
        <v>0</v>
      </c>
      <c r="AS705" s="525">
        <v>0</v>
      </c>
      <c r="AT705" s="525">
        <v>0</v>
      </c>
      <c r="AU705" s="525">
        <v>0</v>
      </c>
      <c r="AV705" s="525">
        <v>0</v>
      </c>
      <c r="AW705" s="525">
        <v>0</v>
      </c>
      <c r="AX705" s="525">
        <v>0</v>
      </c>
      <c r="AY705" s="525">
        <v>0</v>
      </c>
      <c r="AZ705" s="523">
        <v>0</v>
      </c>
      <c r="BA705" s="46">
        <v>0</v>
      </c>
      <c r="BB705" s="46">
        <v>0</v>
      </c>
      <c r="BC705" s="46">
        <v>0</v>
      </c>
      <c r="BD705" s="46">
        <v>0</v>
      </c>
      <c r="BE705" s="46">
        <v>0</v>
      </c>
      <c r="BF705" s="46">
        <v>0</v>
      </c>
      <c r="BG705" s="46">
        <v>0</v>
      </c>
      <c r="BH705" s="46">
        <v>0</v>
      </c>
      <c r="BI705" s="46">
        <v>0</v>
      </c>
      <c r="BJ705" s="46">
        <v>0</v>
      </c>
      <c r="BK705" s="46">
        <v>0</v>
      </c>
      <c r="BL705" s="46">
        <v>0</v>
      </c>
      <c r="BM705" s="46">
        <v>0</v>
      </c>
      <c r="BN705" s="46">
        <v>0</v>
      </c>
      <c r="BO705" s="46">
        <v>0</v>
      </c>
      <c r="BP705" s="46">
        <v>0</v>
      </c>
      <c r="BQ705" s="46">
        <v>0</v>
      </c>
      <c r="BR705" s="44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525">
        <v>0</v>
      </c>
      <c r="CW705" s="525">
        <v>0</v>
      </c>
      <c r="CX705" s="525">
        <f t="shared" ref="CX705:CX713" si="3693">SUM(AT705:AU705)</f>
        <v>0</v>
      </c>
      <c r="CY705" s="44">
        <f t="shared" ref="CY705:CY713" si="3694">SUM(AV705:AW705)</f>
        <v>0</v>
      </c>
      <c r="CZ705" s="43">
        <f t="shared" ref="CZ705:CZ713" si="3695">SUM(AX705:AY705)</f>
        <v>0</v>
      </c>
      <c r="DA705" s="42">
        <f>SUM(AZ705:BA705)</f>
        <v>0</v>
      </c>
      <c r="DB705" s="42">
        <f t="shared" ref="DB705:DB713" si="3696">SUM(BB705:BC705)</f>
        <v>0</v>
      </c>
      <c r="DC705" s="42">
        <f t="shared" ref="DC705:DC713" si="3697">SUM(BD705:BE705)</f>
        <v>0</v>
      </c>
      <c r="DD705" s="42">
        <f t="shared" ref="DD705:DD713" si="3698">SUM(BF705:BG705)</f>
        <v>0</v>
      </c>
      <c r="DE705" s="42">
        <f t="shared" ref="DE705:DE713" si="3699">SUM(BH705:BI705)</f>
        <v>0</v>
      </c>
      <c r="DF705" s="42">
        <f t="shared" ref="DF705:DF713" si="3700">SUM(BJ705:BK705)</f>
        <v>0</v>
      </c>
      <c r="DG705" s="42">
        <f t="shared" ref="DG705:DG713" si="3701">SUM(BL705:BM705)</f>
        <v>0</v>
      </c>
      <c r="DH705" s="42">
        <f t="shared" ref="DH705:DH713" si="3702">SUM(BN705:BO705)</f>
        <v>0</v>
      </c>
      <c r="DI705" s="42">
        <f t="shared" ref="DI705:DI713" si="3703">SUM(BP705:BQ705)</f>
        <v>0</v>
      </c>
    </row>
    <row r="706" spans="1:113" ht="12" hidden="1" outlineLevel="1">
      <c r="A706" s="1" t="s">
        <v>2229</v>
      </c>
      <c r="B706" s="19" t="s">
        <v>2230</v>
      </c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525">
        <v>0</v>
      </c>
      <c r="AQ706" s="525">
        <v>0</v>
      </c>
      <c r="AR706" s="525">
        <v>0</v>
      </c>
      <c r="AS706" s="525">
        <v>0</v>
      </c>
      <c r="AT706" s="525">
        <v>0</v>
      </c>
      <c r="AU706" s="525">
        <v>0</v>
      </c>
      <c r="AV706" s="525">
        <v>0</v>
      </c>
      <c r="AW706" s="525">
        <v>0</v>
      </c>
      <c r="AX706" s="525">
        <v>0</v>
      </c>
      <c r="AY706" s="525">
        <v>0</v>
      </c>
      <c r="AZ706" s="523">
        <v>0</v>
      </c>
      <c r="BA706" s="44">
        <f t="shared" ref="BA706:BI707" si="3704">AZ706</f>
        <v>0</v>
      </c>
      <c r="BB706" s="44">
        <f t="shared" si="3704"/>
        <v>0</v>
      </c>
      <c r="BC706" s="44">
        <f t="shared" si="3704"/>
        <v>0</v>
      </c>
      <c r="BD706" s="44">
        <f t="shared" si="3704"/>
        <v>0</v>
      </c>
      <c r="BE706" s="44">
        <f t="shared" si="3704"/>
        <v>0</v>
      </c>
      <c r="BF706" s="44">
        <f t="shared" si="3704"/>
        <v>0</v>
      </c>
      <c r="BG706" s="44">
        <f t="shared" si="3704"/>
        <v>0</v>
      </c>
      <c r="BH706" s="44">
        <f t="shared" si="3704"/>
        <v>0</v>
      </c>
      <c r="BI706" s="44">
        <f t="shared" si="3704"/>
        <v>0</v>
      </c>
      <c r="BJ706" s="44">
        <f t="shared" ref="BJ706:BJ707" si="3705">BI706</f>
        <v>0</v>
      </c>
      <c r="BK706" s="44">
        <f t="shared" ref="BK706:BK707" si="3706">BJ706</f>
        <v>0</v>
      </c>
      <c r="BL706" s="44">
        <f t="shared" ref="BL706:BL707" si="3707">BK706</f>
        <v>0</v>
      </c>
      <c r="BM706" s="44">
        <f t="shared" ref="BM706:BM707" si="3708">BL706</f>
        <v>0</v>
      </c>
      <c r="BN706" s="44">
        <f t="shared" ref="BN706:BN707" si="3709">BM706</f>
        <v>0</v>
      </c>
      <c r="BO706" s="44">
        <f t="shared" ref="BO706:BO707" si="3710">BN706</f>
        <v>0</v>
      </c>
      <c r="BP706" s="44">
        <f t="shared" ref="BP706:BP707" si="3711">BO706</f>
        <v>0</v>
      </c>
      <c r="BQ706" s="44">
        <f t="shared" ref="BQ706:BQ707" si="3712">BP706</f>
        <v>0</v>
      </c>
      <c r="BR706" s="44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525">
        <v>0</v>
      </c>
      <c r="CW706" s="525">
        <v>0</v>
      </c>
      <c r="CX706" s="525">
        <f t="shared" si="3693"/>
        <v>0</v>
      </c>
      <c r="CY706" s="44">
        <f t="shared" si="3694"/>
        <v>0</v>
      </c>
      <c r="CZ706" s="43">
        <f t="shared" si="3695"/>
        <v>0</v>
      </c>
      <c r="DA706" s="42">
        <f t="shared" ref="DA706:DA713" si="3713">SUM(AZ706:BA706)</f>
        <v>0</v>
      </c>
      <c r="DB706" s="42">
        <f t="shared" si="3696"/>
        <v>0</v>
      </c>
      <c r="DC706" s="42">
        <f t="shared" si="3697"/>
        <v>0</v>
      </c>
      <c r="DD706" s="42">
        <f t="shared" si="3698"/>
        <v>0</v>
      </c>
      <c r="DE706" s="42">
        <f t="shared" si="3699"/>
        <v>0</v>
      </c>
      <c r="DF706" s="42">
        <f t="shared" si="3700"/>
        <v>0</v>
      </c>
      <c r="DG706" s="42">
        <f t="shared" si="3701"/>
        <v>0</v>
      </c>
      <c r="DH706" s="42">
        <f t="shared" si="3702"/>
        <v>0</v>
      </c>
      <c r="DI706" s="42">
        <f t="shared" si="3703"/>
        <v>0</v>
      </c>
    </row>
    <row r="707" spans="1:113" ht="12" hidden="1" outlineLevel="1">
      <c r="A707" s="1" t="s">
        <v>2231</v>
      </c>
      <c r="B707" s="19" t="s">
        <v>2232</v>
      </c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525">
        <v>0</v>
      </c>
      <c r="AQ707" s="525">
        <v>0</v>
      </c>
      <c r="AR707" s="525">
        <v>0</v>
      </c>
      <c r="AS707" s="525">
        <v>0</v>
      </c>
      <c r="AT707" s="525">
        <v>0</v>
      </c>
      <c r="AU707" s="525">
        <v>0</v>
      </c>
      <c r="AV707" s="525">
        <v>0</v>
      </c>
      <c r="AW707" s="525">
        <v>0</v>
      </c>
      <c r="AX707" s="525">
        <v>0</v>
      </c>
      <c r="AY707" s="525">
        <v>0</v>
      </c>
      <c r="AZ707" s="523">
        <v>0</v>
      </c>
      <c r="BA707" s="44">
        <f t="shared" si="3704"/>
        <v>0</v>
      </c>
      <c r="BB707" s="44">
        <f t="shared" si="3704"/>
        <v>0</v>
      </c>
      <c r="BC707" s="44">
        <f t="shared" si="3704"/>
        <v>0</v>
      </c>
      <c r="BD707" s="44">
        <f t="shared" si="3704"/>
        <v>0</v>
      </c>
      <c r="BE707" s="44">
        <f t="shared" si="3704"/>
        <v>0</v>
      </c>
      <c r="BF707" s="44">
        <f t="shared" si="3704"/>
        <v>0</v>
      </c>
      <c r="BG707" s="44">
        <f t="shared" si="3704"/>
        <v>0</v>
      </c>
      <c r="BH707" s="44">
        <f t="shared" si="3704"/>
        <v>0</v>
      </c>
      <c r="BI707" s="44">
        <f t="shared" si="3704"/>
        <v>0</v>
      </c>
      <c r="BJ707" s="44">
        <f t="shared" si="3705"/>
        <v>0</v>
      </c>
      <c r="BK707" s="44">
        <f t="shared" si="3706"/>
        <v>0</v>
      </c>
      <c r="BL707" s="44">
        <f t="shared" si="3707"/>
        <v>0</v>
      </c>
      <c r="BM707" s="44">
        <f t="shared" si="3708"/>
        <v>0</v>
      </c>
      <c r="BN707" s="44">
        <f t="shared" si="3709"/>
        <v>0</v>
      </c>
      <c r="BO707" s="44">
        <f t="shared" si="3710"/>
        <v>0</v>
      </c>
      <c r="BP707" s="44">
        <f t="shared" si="3711"/>
        <v>0</v>
      </c>
      <c r="BQ707" s="44">
        <f t="shared" si="3712"/>
        <v>0</v>
      </c>
      <c r="BR707" s="44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525">
        <v>0</v>
      </c>
      <c r="CW707" s="525">
        <v>0</v>
      </c>
      <c r="CX707" s="525">
        <f t="shared" si="3693"/>
        <v>0</v>
      </c>
      <c r="CY707" s="44">
        <f t="shared" si="3694"/>
        <v>0</v>
      </c>
      <c r="CZ707" s="43">
        <f t="shared" si="3695"/>
        <v>0</v>
      </c>
      <c r="DA707" s="42">
        <f t="shared" si="3713"/>
        <v>0</v>
      </c>
      <c r="DB707" s="42">
        <f t="shared" si="3696"/>
        <v>0</v>
      </c>
      <c r="DC707" s="42">
        <f t="shared" si="3697"/>
        <v>0</v>
      </c>
      <c r="DD707" s="42">
        <f t="shared" si="3698"/>
        <v>0</v>
      </c>
      <c r="DE707" s="42">
        <f t="shared" si="3699"/>
        <v>0</v>
      </c>
      <c r="DF707" s="42">
        <f t="shared" si="3700"/>
        <v>0</v>
      </c>
      <c r="DG707" s="42">
        <f t="shared" si="3701"/>
        <v>0</v>
      </c>
      <c r="DH707" s="42">
        <f t="shared" si="3702"/>
        <v>0</v>
      </c>
      <c r="DI707" s="42">
        <f t="shared" si="3703"/>
        <v>0</v>
      </c>
    </row>
    <row r="708" spans="1:113" ht="12" hidden="1" outlineLevel="1">
      <c r="A708" s="1" t="s">
        <v>2233</v>
      </c>
      <c r="B708" s="19" t="s">
        <v>2234</v>
      </c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4">
        <f t="shared" ref="AP708:AR708" si="3714">AP432</f>
        <v>-22.7</v>
      </c>
      <c r="AQ708" s="44">
        <f t="shared" si="3714"/>
        <v>-28.3</v>
      </c>
      <c r="AR708" s="44">
        <f t="shared" si="3714"/>
        <v>-36.799999999999997</v>
      </c>
      <c r="AS708" s="44">
        <f t="shared" ref="AS708:AT708" si="3715">AS432</f>
        <v>-42.7</v>
      </c>
      <c r="AT708" s="44">
        <f t="shared" si="3715"/>
        <v>-56.3</v>
      </c>
      <c r="AU708" s="44">
        <f t="shared" ref="AU708:AV708" si="3716">AU432</f>
        <v>-63</v>
      </c>
      <c r="AV708" s="44">
        <f t="shared" si="3716"/>
        <v>-64.8</v>
      </c>
      <c r="AW708" s="44">
        <f t="shared" ref="AW708:AX708" si="3717">AW432</f>
        <v>-64.400000000000006</v>
      </c>
      <c r="AX708" s="44">
        <f t="shared" si="3717"/>
        <v>-71</v>
      </c>
      <c r="AY708" s="44">
        <f t="shared" ref="AY708:BI708" si="3718">AX708*(AY432/AX432)</f>
        <v>-61.8</v>
      </c>
      <c r="AZ708" s="45">
        <f t="shared" si="3718"/>
        <v>-71.8</v>
      </c>
      <c r="BA708" s="44">
        <f t="shared" si="3718"/>
        <v>-74.414994260682263</v>
      </c>
      <c r="BB708" s="44">
        <f t="shared" si="3718"/>
        <v>-79.84763078883735</v>
      </c>
      <c r="BC708" s="44">
        <f t="shared" si="3718"/>
        <v>-82.420204117802598</v>
      </c>
      <c r="BD708" s="44">
        <f t="shared" si="3718"/>
        <v>-87.324109060592619</v>
      </c>
      <c r="BE708" s="44">
        <f t="shared" si="3718"/>
        <v>-89.992995284146076</v>
      </c>
      <c r="BF708" s="44">
        <f t="shared" si="3718"/>
        <v>-95.212701637941905</v>
      </c>
      <c r="BG708" s="44">
        <f t="shared" si="3718"/>
        <v>-97.45662682156059</v>
      </c>
      <c r="BH708" s="44">
        <f t="shared" si="3718"/>
        <v>-103.26744849186103</v>
      </c>
      <c r="BI708" s="44">
        <f t="shared" si="3718"/>
        <v>-105.57706861741728</v>
      </c>
      <c r="BJ708" s="44">
        <f t="shared" ref="BJ708" si="3719">BI708*(BJ432/BI432)</f>
        <v>-111.74649475504995</v>
      </c>
      <c r="BK708" s="44">
        <f t="shared" ref="BK708" si="3720">BJ708*(BK432/BJ432)</f>
        <v>-113.60996789028215</v>
      </c>
      <c r="BL708" s="44">
        <f t="shared" ref="BL708" si="3721">BK708*(BL432/BK432)</f>
        <v>-119.27962377885959</v>
      </c>
      <c r="BM708" s="44">
        <f t="shared" ref="BM708" si="3722">BL708*(BM432/BL432)</f>
        <v>-121.33072655557466</v>
      </c>
      <c r="BN708" s="44">
        <f t="shared" ref="BN708" si="3723">BM708*(BN432/BM432)</f>
        <v>-126.76475565099419</v>
      </c>
      <c r="BO708" s="44">
        <f t="shared" ref="BO708" si="3724">BN708*(BO432/BN432)</f>
        <v>-128.19505126336662</v>
      </c>
      <c r="BP708" s="44">
        <f t="shared" ref="BP708" si="3725">BO708*(BP432/BO432)</f>
        <v>-134.83261266105458</v>
      </c>
      <c r="BQ708" s="44">
        <f t="shared" ref="BQ708" si="3726">BP708*(BQ432/BP432)</f>
        <v>-136.87109355791063</v>
      </c>
      <c r="BR708" s="44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113"/>
      <c r="CV708" s="44">
        <f>CV432</f>
        <v>-51</v>
      </c>
      <c r="CW708" s="44">
        <f>CW432</f>
        <v>-79.5</v>
      </c>
      <c r="CX708" s="44">
        <f t="shared" si="3693"/>
        <v>-119.3</v>
      </c>
      <c r="CY708" s="44">
        <f t="shared" si="3694"/>
        <v>-129.19999999999999</v>
      </c>
      <c r="CZ708" s="43">
        <f t="shared" si="3695"/>
        <v>-132.80000000000001</v>
      </c>
      <c r="DA708" s="42">
        <f t="shared" si="3713"/>
        <v>-146.21499426068226</v>
      </c>
      <c r="DB708" s="42">
        <f t="shared" si="3696"/>
        <v>-162.26783490663996</v>
      </c>
      <c r="DC708" s="42">
        <f t="shared" si="3697"/>
        <v>-177.31710434473871</v>
      </c>
      <c r="DD708" s="42">
        <f t="shared" si="3698"/>
        <v>-192.66932845950248</v>
      </c>
      <c r="DE708" s="42">
        <f t="shared" si="3699"/>
        <v>-208.84451710927831</v>
      </c>
      <c r="DF708" s="42">
        <f t="shared" si="3700"/>
        <v>-225.3564626453321</v>
      </c>
      <c r="DG708" s="42">
        <f t="shared" si="3701"/>
        <v>-240.61035033443426</v>
      </c>
      <c r="DH708" s="42">
        <f t="shared" si="3702"/>
        <v>-254.9598069143608</v>
      </c>
      <c r="DI708" s="42">
        <f t="shared" si="3703"/>
        <v>-271.70370621896518</v>
      </c>
    </row>
    <row r="709" spans="1:113" ht="12" hidden="1" outlineLevel="1">
      <c r="A709" s="1" t="s">
        <v>2235</v>
      </c>
      <c r="B709" s="19" t="s">
        <v>2236</v>
      </c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525">
        <v>0</v>
      </c>
      <c r="AQ709" s="525">
        <v>0</v>
      </c>
      <c r="AR709" s="525">
        <v>0</v>
      </c>
      <c r="AS709" s="525">
        <v>0</v>
      </c>
      <c r="AT709" s="525">
        <v>0</v>
      </c>
      <c r="AU709" s="525">
        <v>0</v>
      </c>
      <c r="AV709" s="525">
        <v>0</v>
      </c>
      <c r="AW709" s="525">
        <v>0</v>
      </c>
      <c r="AX709" s="525">
        <v>0</v>
      </c>
      <c r="AY709" s="525">
        <v>0</v>
      </c>
      <c r="AZ709" s="523">
        <v>0</v>
      </c>
      <c r="BA709" s="44">
        <f t="shared" ref="BA709:BI709" si="3727">AZ709*(BA432/AZ432)</f>
        <v>0</v>
      </c>
      <c r="BB709" s="44">
        <f t="shared" si="3727"/>
        <v>0</v>
      </c>
      <c r="BC709" s="44">
        <f t="shared" si="3727"/>
        <v>0</v>
      </c>
      <c r="BD709" s="44">
        <f t="shared" si="3727"/>
        <v>0</v>
      </c>
      <c r="BE709" s="44">
        <f t="shared" si="3727"/>
        <v>0</v>
      </c>
      <c r="BF709" s="44">
        <f t="shared" si="3727"/>
        <v>0</v>
      </c>
      <c r="BG709" s="44">
        <f t="shared" si="3727"/>
        <v>0</v>
      </c>
      <c r="BH709" s="44">
        <f t="shared" si="3727"/>
        <v>0</v>
      </c>
      <c r="BI709" s="44">
        <f t="shared" si="3727"/>
        <v>0</v>
      </c>
      <c r="BJ709" s="44">
        <f t="shared" ref="BJ709" si="3728">BI709*(BJ432/BI432)</f>
        <v>0</v>
      </c>
      <c r="BK709" s="44">
        <f t="shared" ref="BK709" si="3729">BJ709*(BK432/BJ432)</f>
        <v>0</v>
      </c>
      <c r="BL709" s="44">
        <f t="shared" ref="BL709" si="3730">BK709*(BL432/BK432)</f>
        <v>0</v>
      </c>
      <c r="BM709" s="44">
        <f t="shared" ref="BM709" si="3731">BL709*(BM432/BL432)</f>
        <v>0</v>
      </c>
      <c r="BN709" s="44">
        <f t="shared" ref="BN709" si="3732">BM709*(BN432/BM432)</f>
        <v>0</v>
      </c>
      <c r="BO709" s="44">
        <f t="shared" ref="BO709" si="3733">BN709*(BO432/BN432)</f>
        <v>0</v>
      </c>
      <c r="BP709" s="44">
        <f t="shared" ref="BP709" si="3734">BO709*(BP432/BO432)</f>
        <v>0</v>
      </c>
      <c r="BQ709" s="44">
        <f t="shared" ref="BQ709" si="3735">BP709*(BQ432/BP432)</f>
        <v>0</v>
      </c>
      <c r="BR709" s="44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113"/>
      <c r="CV709" s="525">
        <v>0</v>
      </c>
      <c r="CW709" s="525">
        <v>0</v>
      </c>
      <c r="CX709" s="525">
        <f t="shared" si="3693"/>
        <v>0</v>
      </c>
      <c r="CY709" s="44">
        <f t="shared" si="3694"/>
        <v>0</v>
      </c>
      <c r="CZ709" s="43">
        <f t="shared" si="3695"/>
        <v>0</v>
      </c>
      <c r="DA709" s="42">
        <f t="shared" si="3713"/>
        <v>0</v>
      </c>
      <c r="DB709" s="42">
        <f t="shared" si="3696"/>
        <v>0</v>
      </c>
      <c r="DC709" s="42">
        <f t="shared" si="3697"/>
        <v>0</v>
      </c>
      <c r="DD709" s="42">
        <f t="shared" si="3698"/>
        <v>0</v>
      </c>
      <c r="DE709" s="42">
        <f t="shared" si="3699"/>
        <v>0</v>
      </c>
      <c r="DF709" s="42">
        <f t="shared" si="3700"/>
        <v>0</v>
      </c>
      <c r="DG709" s="42">
        <f t="shared" si="3701"/>
        <v>0</v>
      </c>
      <c r="DH709" s="42">
        <f t="shared" si="3702"/>
        <v>0</v>
      </c>
      <c r="DI709" s="42">
        <f t="shared" si="3703"/>
        <v>0</v>
      </c>
    </row>
    <row r="710" spans="1:113" ht="12" hidden="1" outlineLevel="1">
      <c r="A710" s="1" t="s">
        <v>2237</v>
      </c>
      <c r="B710" s="19" t="s">
        <v>2238</v>
      </c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525">
        <v>-0.6</v>
      </c>
      <c r="AQ710" s="525">
        <v>-0.7</v>
      </c>
      <c r="AR710" s="525">
        <v>-1.3</v>
      </c>
      <c r="AS710" s="525">
        <f>-4.6-AR710</f>
        <v>-3.3</v>
      </c>
      <c r="AT710" s="525">
        <v>-3.2</v>
      </c>
      <c r="AU710" s="525">
        <f>-7.2-AT710</f>
        <v>-4</v>
      </c>
      <c r="AV710" s="525">
        <v>-4.2</v>
      </c>
      <c r="AW710" s="525">
        <f>-8.1-AV710</f>
        <v>-3.8999999999999995</v>
      </c>
      <c r="AX710" s="677">
        <f>+[3]JDO!K136*-1</f>
        <v>-3.9</v>
      </c>
      <c r="AY710" s="677">
        <f>+[3]JDO!L136*-1</f>
        <v>-4.0999999999999996</v>
      </c>
      <c r="AZ710" s="782">
        <f>+[3]JDO!M136*-1</f>
        <v>-4.4000000000000004</v>
      </c>
      <c r="BA710" s="44">
        <f t="shared" ref="BA710:BI710" si="3736">AZ710*(BA440/AZ440)</f>
        <v>-4.5033911314011315</v>
      </c>
      <c r="BB710" s="44">
        <f t="shared" si="3736"/>
        <v>-4.7287207513962102</v>
      </c>
      <c r="BC710" s="44">
        <f t="shared" si="3736"/>
        <v>-4.7519958416313406</v>
      </c>
      <c r="BD710" s="44">
        <f t="shared" si="3736"/>
        <v>-4.9587697412082585</v>
      </c>
      <c r="BE710" s="44">
        <f t="shared" si="3736"/>
        <v>-4.9651623803236635</v>
      </c>
      <c r="BF710" s="44">
        <f t="shared" si="3736"/>
        <v>-5.1559855224247846</v>
      </c>
      <c r="BG710" s="44">
        <f t="shared" si="3736"/>
        <v>-5.1553345472237648</v>
      </c>
      <c r="BH710" s="44">
        <f t="shared" si="3736"/>
        <v>-5.3420841794735336</v>
      </c>
      <c r="BI710" s="44">
        <f t="shared" si="3736"/>
        <v>-5.3337218004158196</v>
      </c>
      <c r="BJ710" s="44">
        <f t="shared" ref="BJ710" si="3737">BI710*(BJ440/BI440)</f>
        <v>-5.520109119096416</v>
      </c>
      <c r="BK710" s="44">
        <f t="shared" ref="BK710" si="3738">BJ710*(BK440/BJ440)</f>
        <v>-5.5057970435957921</v>
      </c>
      <c r="BL710" s="44">
        <f t="shared" ref="BL710" si="3739">BK710*(BL440/BK440)</f>
        <v>-5.6949157948178692</v>
      </c>
      <c r="BM710" s="44">
        <f t="shared" ref="BM710" si="3740">BL710*(BM440/BL440)</f>
        <v>-5.6731539197029504</v>
      </c>
      <c r="BN710" s="44">
        <f t="shared" ref="BN710" si="3741">BM710*(BN440/BM440)</f>
        <v>-5.8653075574150391</v>
      </c>
      <c r="BO710" s="44">
        <f t="shared" ref="BO710" si="3742">BN710*(BO440/BN440)</f>
        <v>-5.8439078791244459</v>
      </c>
      <c r="BP710" s="44">
        <f t="shared" ref="BP710" si="3743">BO710*(BP440/BO440)</f>
        <v>-6.038134908853543</v>
      </c>
      <c r="BQ710" s="44">
        <f t="shared" ref="BQ710" si="3744">BP710*(BQ440/BP440)</f>
        <v>-6.0145440740484517</v>
      </c>
      <c r="BR710" s="44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113"/>
      <c r="CV710" s="525">
        <v>-1.2250000000000001</v>
      </c>
      <c r="CW710" s="525">
        <v>-4.5999999999999996</v>
      </c>
      <c r="CX710" s="525">
        <f t="shared" si="3693"/>
        <v>-7.2</v>
      </c>
      <c r="CY710" s="44">
        <f t="shared" si="3694"/>
        <v>-8.1</v>
      </c>
      <c r="CZ710" s="43">
        <f t="shared" si="3695"/>
        <v>-8</v>
      </c>
      <c r="DA710" s="42">
        <f t="shared" si="3713"/>
        <v>-8.9033911314011327</v>
      </c>
      <c r="DB710" s="42">
        <f t="shared" si="3696"/>
        <v>-9.4807165930275517</v>
      </c>
      <c r="DC710" s="42">
        <f t="shared" si="3697"/>
        <v>-9.9239321215319229</v>
      </c>
      <c r="DD710" s="42">
        <f t="shared" si="3698"/>
        <v>-10.311320069648549</v>
      </c>
      <c r="DE710" s="42">
        <f t="shared" si="3699"/>
        <v>-10.675805979889354</v>
      </c>
      <c r="DF710" s="42">
        <f t="shared" si="3700"/>
        <v>-11.025906162692209</v>
      </c>
      <c r="DG710" s="42">
        <f t="shared" si="3701"/>
        <v>-11.36806971452082</v>
      </c>
      <c r="DH710" s="42">
        <f t="shared" si="3702"/>
        <v>-11.709215436539484</v>
      </c>
      <c r="DI710" s="42">
        <f t="shared" si="3703"/>
        <v>-12.052678982901995</v>
      </c>
    </row>
    <row r="711" spans="1:113" ht="12" hidden="1" outlineLevel="1">
      <c r="A711" s="1" t="s">
        <v>2239</v>
      </c>
      <c r="B711" s="19" t="s">
        <v>2240</v>
      </c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525">
        <v>-1.6</v>
      </c>
      <c r="AQ711" s="525">
        <v>-3.1</v>
      </c>
      <c r="AR711" s="525">
        <v>-0.2</v>
      </c>
      <c r="AS711" s="525">
        <v>-1.4</v>
      </c>
      <c r="AT711" s="525">
        <v>-2.6</v>
      </c>
      <c r="AU711" s="525">
        <v>-14.8</v>
      </c>
      <c r="AV711" s="525">
        <v>-21.6</v>
      </c>
      <c r="AW711" s="525">
        <v>-26.2</v>
      </c>
      <c r="AX711" s="677">
        <f>+-[3]JDO!K189</f>
        <v>-22.8</v>
      </c>
      <c r="AY711" s="677">
        <f>+-[3]JDO!L189</f>
        <v>-47.6</v>
      </c>
      <c r="AZ711" s="782">
        <f>+-[3]JDO!M189</f>
        <v>-38.6</v>
      </c>
      <c r="BA711" s="44">
        <f t="shared" ref="BA711:BI711" si="3745">AZ711*(BA465/AZ465)</f>
        <v>-42.332336378676587</v>
      </c>
      <c r="BB711" s="44">
        <f t="shared" si="3745"/>
        <v>-51.117918211347295</v>
      </c>
      <c r="BC711" s="44">
        <f t="shared" si="3745"/>
        <v>-62.227970757958907</v>
      </c>
      <c r="BD711" s="44">
        <f t="shared" si="3745"/>
        <v>-61.313178289174999</v>
      </c>
      <c r="BE711" s="44">
        <f t="shared" si="3745"/>
        <v>-67.238801599201295</v>
      </c>
      <c r="BF711" s="44">
        <f t="shared" si="3745"/>
        <v>-63.90402433653388</v>
      </c>
      <c r="BG711" s="44">
        <f t="shared" si="3745"/>
        <v>-64.882806083846916</v>
      </c>
      <c r="BH711" s="44">
        <f t="shared" si="3745"/>
        <v>-63.346467692193052</v>
      </c>
      <c r="BI711" s="44">
        <f t="shared" si="3745"/>
        <v>-68.638616163157423</v>
      </c>
      <c r="BJ711" s="44">
        <f t="shared" ref="BJ711" si="3746">BI711*(BJ465/BI465)</f>
        <v>-66.105969944208013</v>
      </c>
      <c r="BK711" s="44">
        <f t="shared" ref="BK711" si="3747">BJ711*(BK465/BJ465)</f>
        <v>-71.312648575795038</v>
      </c>
      <c r="BL711" s="44">
        <f t="shared" ref="BL711" si="3748">BK711*(BL465/BK465)</f>
        <v>-67.734195326049132</v>
      </c>
      <c r="BM711" s="44">
        <f t="shared" ref="BM711" si="3749">BL711*(BM465/BL465)</f>
        <v>-72.581294988005709</v>
      </c>
      <c r="BN711" s="44">
        <f t="shared" ref="BN711" si="3750">BM711*(BN465/BM465)</f>
        <v>-69.0855012969879</v>
      </c>
      <c r="BO711" s="44">
        <f t="shared" ref="BO711" si="3751">BN711*(BO465/BN465)</f>
        <v>-73.787061102606813</v>
      </c>
      <c r="BP711" s="44">
        <f t="shared" ref="BP711" si="3752">BO711*(BP465/BO465)</f>
        <v>-70.992874803241449</v>
      </c>
      <c r="BQ711" s="44">
        <f t="shared" ref="BQ711" si="3753">BP711*(BQ465/BP465)</f>
        <v>-75.869202992969903</v>
      </c>
      <c r="BR711" s="44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113"/>
      <c r="CV711" s="525">
        <v>0</v>
      </c>
      <c r="CW711" s="525">
        <v>0</v>
      </c>
      <c r="CX711" s="525">
        <f t="shared" si="3693"/>
        <v>-17.400000000000002</v>
      </c>
      <c r="CY711" s="44">
        <f t="shared" si="3694"/>
        <v>-47.8</v>
      </c>
      <c r="CZ711" s="43">
        <f t="shared" si="3695"/>
        <v>-70.400000000000006</v>
      </c>
      <c r="DA711" s="42">
        <f t="shared" si="3713"/>
        <v>-80.932336378676581</v>
      </c>
      <c r="DB711" s="42">
        <f t="shared" si="3696"/>
        <v>-113.3458889693062</v>
      </c>
      <c r="DC711" s="42">
        <f t="shared" si="3697"/>
        <v>-128.55197988837631</v>
      </c>
      <c r="DD711" s="42">
        <f t="shared" si="3698"/>
        <v>-128.7868304203808</v>
      </c>
      <c r="DE711" s="42">
        <f t="shared" si="3699"/>
        <v>-131.98508385535047</v>
      </c>
      <c r="DF711" s="42">
        <f t="shared" si="3700"/>
        <v>-137.41861852000306</v>
      </c>
      <c r="DG711" s="42">
        <f t="shared" si="3701"/>
        <v>-140.31549031405484</v>
      </c>
      <c r="DH711" s="42">
        <f t="shared" si="3702"/>
        <v>-142.8725623995947</v>
      </c>
      <c r="DI711" s="42">
        <f t="shared" si="3703"/>
        <v>-146.86207779621134</v>
      </c>
    </row>
    <row r="712" spans="1:113" ht="12" hidden="1" outlineLevel="1">
      <c r="A712" s="1" t="s">
        <v>2241</v>
      </c>
      <c r="B712" s="19" t="s">
        <v>2242</v>
      </c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4">
        <f t="shared" ref="AP712:AR712" si="3754">AP465-AP711</f>
        <v>-6.9</v>
      </c>
      <c r="AQ712" s="44">
        <f t="shared" si="3754"/>
        <v>1.6</v>
      </c>
      <c r="AR712" s="44">
        <f t="shared" si="3754"/>
        <v>-9.4</v>
      </c>
      <c r="AS712" s="44">
        <f t="shared" ref="AS712:AT712" si="3755">AS465-AS711</f>
        <v>-14.4</v>
      </c>
      <c r="AT712" s="44">
        <f t="shared" si="3755"/>
        <v>-19.7</v>
      </c>
      <c r="AU712" s="44">
        <f t="shared" ref="AU712:AV712" si="3756">AU465-AU711</f>
        <v>-17.499999999999996</v>
      </c>
      <c r="AV712" s="44">
        <f t="shared" si="3756"/>
        <v>-5.1999999999999993</v>
      </c>
      <c r="AW712" s="44">
        <f t="shared" ref="AW712:AX712" si="3757">AW465-AW711</f>
        <v>-17.099999999999998</v>
      </c>
      <c r="AX712" s="44">
        <f t="shared" si="3757"/>
        <v>-6</v>
      </c>
      <c r="AY712" s="44">
        <f t="shared" ref="AY712:BI712" si="3758">AY465-AY711</f>
        <v>0.89999999999999858</v>
      </c>
      <c r="AZ712" s="45">
        <f t="shared" ref="AZ712" si="3759">AZ465-AZ711</f>
        <v>-1.5</v>
      </c>
      <c r="BA712" s="44">
        <f t="shared" si="3758"/>
        <v>-1.6450389784459816</v>
      </c>
      <c r="BB712" s="44">
        <f t="shared" si="3758"/>
        <v>-1.9864475988865564</v>
      </c>
      <c r="BC712" s="44">
        <f t="shared" si="3758"/>
        <v>-2.4181853921486649</v>
      </c>
      <c r="BD712" s="44">
        <f t="shared" si="3758"/>
        <v>-2.3826364620145739</v>
      </c>
      <c r="BE712" s="44">
        <f t="shared" si="3758"/>
        <v>-2.6129067978964287</v>
      </c>
      <c r="BF712" s="44">
        <f t="shared" si="3758"/>
        <v>-2.4833170078964031</v>
      </c>
      <c r="BG712" s="44">
        <f t="shared" si="3758"/>
        <v>-2.5213525680251507</v>
      </c>
      <c r="BH712" s="44">
        <f t="shared" si="3758"/>
        <v>-2.4616502989194302</v>
      </c>
      <c r="BI712" s="44">
        <f t="shared" si="3758"/>
        <v>-2.6673037369102701</v>
      </c>
      <c r="BJ712" s="44">
        <f t="shared" ref="BJ712:BK712" si="3760">BJ465-BJ711</f>
        <v>-2.5688848423915118</v>
      </c>
      <c r="BK712" s="44">
        <f t="shared" si="3760"/>
        <v>-2.7712169135671729</v>
      </c>
      <c r="BL712" s="44">
        <f t="shared" ref="BL712:BM712" si="3761">BL465-BL711</f>
        <v>-2.6321578494578688</v>
      </c>
      <c r="BM712" s="44">
        <f t="shared" si="3761"/>
        <v>-2.8205166446116152</v>
      </c>
      <c r="BN712" s="44">
        <f t="shared" ref="BN712:BO712" si="3762">BN465-BN711</f>
        <v>-2.6846697395202455</v>
      </c>
      <c r="BO712" s="44">
        <f t="shared" si="3762"/>
        <v>-2.8673728407748627</v>
      </c>
      <c r="BP712" s="44">
        <f t="shared" ref="BP712:BQ712" si="3763">BP465-BP711</f>
        <v>-2.7587904716285436</v>
      </c>
      <c r="BQ712" s="44">
        <f t="shared" si="3763"/>
        <v>-2.9482850904003755</v>
      </c>
      <c r="BR712" s="44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4">
        <f t="shared" ref="CV712:CW712" si="3764">CV465-CV711</f>
        <v>-10</v>
      </c>
      <c r="CW712" s="44">
        <f t="shared" si="3764"/>
        <v>-25.4</v>
      </c>
      <c r="CX712" s="44">
        <f t="shared" si="3693"/>
        <v>-37.199999999999996</v>
      </c>
      <c r="CY712" s="44">
        <f t="shared" si="3694"/>
        <v>-22.299999999999997</v>
      </c>
      <c r="CZ712" s="43">
        <f t="shared" si="3695"/>
        <v>-5.1000000000000014</v>
      </c>
      <c r="DA712" s="42">
        <f t="shared" si="3713"/>
        <v>-3.1450389784459816</v>
      </c>
      <c r="DB712" s="42">
        <f t="shared" si="3696"/>
        <v>-4.4046329910352213</v>
      </c>
      <c r="DC712" s="42">
        <f t="shared" si="3697"/>
        <v>-4.9955432599110026</v>
      </c>
      <c r="DD712" s="42">
        <f t="shared" si="3698"/>
        <v>-5.0046695759215538</v>
      </c>
      <c r="DE712" s="42">
        <f t="shared" si="3699"/>
        <v>-5.1289540358297003</v>
      </c>
      <c r="DF712" s="42">
        <f t="shared" si="3700"/>
        <v>-5.3401017559586847</v>
      </c>
      <c r="DG712" s="42">
        <f t="shared" si="3701"/>
        <v>-5.452674494069484</v>
      </c>
      <c r="DH712" s="42">
        <f t="shared" si="3702"/>
        <v>-5.5520425802951081</v>
      </c>
      <c r="DI712" s="42">
        <f t="shared" si="3703"/>
        <v>-5.7070755620289191</v>
      </c>
    </row>
    <row r="713" spans="1:113" ht="12" hidden="1" outlineLevel="1">
      <c r="A713" s="1" t="s">
        <v>2243</v>
      </c>
      <c r="B713" s="19" t="s">
        <v>2244</v>
      </c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525">
        <v>0</v>
      </c>
      <c r="AQ713" s="525">
        <v>0</v>
      </c>
      <c r="AR713" s="525">
        <v>0</v>
      </c>
      <c r="AS713" s="525">
        <f t="shared" ref="AS713:AY713" si="3765">AS470</f>
        <v>-5.3</v>
      </c>
      <c r="AT713" s="525">
        <f t="shared" si="3765"/>
        <v>0</v>
      </c>
      <c r="AU713" s="525">
        <f t="shared" si="3765"/>
        <v>-5.0999999999999996</v>
      </c>
      <c r="AV713" s="525">
        <f t="shared" si="3765"/>
        <v>-5.9</v>
      </c>
      <c r="AW713" s="525">
        <f t="shared" si="3765"/>
        <v>-25</v>
      </c>
      <c r="AX713" s="525">
        <f t="shared" si="3765"/>
        <v>-18.3</v>
      </c>
      <c r="AY713" s="525">
        <f t="shared" si="3765"/>
        <v>-20.400000000000002</v>
      </c>
      <c r="AZ713" s="523">
        <f t="shared" ref="AZ713" si="3766">AZ470</f>
        <v>-33.6</v>
      </c>
      <c r="BA713" s="44">
        <f t="shared" ref="BA713:BM713" si="3767">AZ713+BA470-AZ470</f>
        <v>-39.26615858718403</v>
      </c>
      <c r="BB713" s="44">
        <f t="shared" si="3767"/>
        <v>-45.385310987690573</v>
      </c>
      <c r="BC713" s="44">
        <f t="shared" si="3767"/>
        <v>-51.256486699548908</v>
      </c>
      <c r="BD713" s="44">
        <f t="shared" si="3767"/>
        <v>-58.398887187260996</v>
      </c>
      <c r="BE713" s="44">
        <f t="shared" si="3767"/>
        <v>-65.605491508140886</v>
      </c>
      <c r="BF713" s="44">
        <f t="shared" si="3767"/>
        <v>-66.767847470188556</v>
      </c>
      <c r="BG713" s="44">
        <f t="shared" si="3767"/>
        <v>-66.640189851399143</v>
      </c>
      <c r="BH713" s="44">
        <f t="shared" si="3767"/>
        <v>-66.992447628752402</v>
      </c>
      <c r="BI713" s="44">
        <f t="shared" si="3767"/>
        <v>-65.822991862255236</v>
      </c>
      <c r="BJ713" s="44">
        <f t="shared" si="3767"/>
        <v>-67.309385303935699</v>
      </c>
      <c r="BK713" s="44">
        <f t="shared" si="3767"/>
        <v>-69.777697857301916</v>
      </c>
      <c r="BL713" s="44">
        <f t="shared" si="3767"/>
        <v>-72.863916273594654</v>
      </c>
      <c r="BM713" s="44">
        <f t="shared" si="3767"/>
        <v>-75.275077030678929</v>
      </c>
      <c r="BN713" s="44">
        <f t="shared" ref="BN713" si="3768">BM713+BN470-BM470</f>
        <v>-78.219204796351335</v>
      </c>
      <c r="BO713" s="44">
        <f t="shared" ref="BO713" si="3769">BN713+BO470-BN470</f>
        <v>-79.978091016586461</v>
      </c>
      <c r="BP713" s="44">
        <f t="shared" ref="BP713" si="3770">BO713+BP470-BO470</f>
        <v>-83.336974271470325</v>
      </c>
      <c r="BQ713" s="44">
        <f t="shared" ref="BQ713" si="3771">BP713+BQ470-BP470</f>
        <v>-85.211698271109611</v>
      </c>
      <c r="BR713" s="44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113"/>
      <c r="CV713" s="525">
        <v>0</v>
      </c>
      <c r="CW713" s="525">
        <v>0</v>
      </c>
      <c r="CX713" s="525">
        <f t="shared" si="3693"/>
        <v>-5.0999999999999996</v>
      </c>
      <c r="CY713" s="44">
        <f t="shared" si="3694"/>
        <v>-30.9</v>
      </c>
      <c r="CZ713" s="43">
        <f t="shared" si="3695"/>
        <v>-38.700000000000003</v>
      </c>
      <c r="DA713" s="42">
        <f t="shared" si="3713"/>
        <v>-72.866158587184032</v>
      </c>
      <c r="DB713" s="42">
        <f t="shared" si="3696"/>
        <v>-96.641797687239489</v>
      </c>
      <c r="DC713" s="42">
        <f t="shared" si="3697"/>
        <v>-124.00437869540188</v>
      </c>
      <c r="DD713" s="42">
        <f t="shared" si="3698"/>
        <v>-133.4080373215877</v>
      </c>
      <c r="DE713" s="42">
        <f t="shared" si="3699"/>
        <v>-132.81543949100762</v>
      </c>
      <c r="DF713" s="42">
        <f t="shared" si="3700"/>
        <v>-137.08708316123762</v>
      </c>
      <c r="DG713" s="42">
        <f t="shared" si="3701"/>
        <v>-148.13899330427358</v>
      </c>
      <c r="DH713" s="42">
        <f t="shared" si="3702"/>
        <v>-158.1972958129378</v>
      </c>
      <c r="DI713" s="42">
        <f t="shared" si="3703"/>
        <v>-168.54867254257994</v>
      </c>
    </row>
    <row r="714" spans="1:113" ht="12" hidden="1" outlineLevel="2">
      <c r="A714" s="1" t="s">
        <v>2442</v>
      </c>
      <c r="B714" s="19" t="s">
        <v>801</v>
      </c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4"/>
      <c r="AS714" s="44"/>
      <c r="AT714" s="44"/>
      <c r="AU714" s="44"/>
      <c r="AV714" s="44"/>
      <c r="AW714" s="44"/>
      <c r="AX714" s="44"/>
      <c r="AY714" s="44"/>
      <c r="AZ714" s="45"/>
      <c r="BA714" s="44"/>
      <c r="BB714" s="44"/>
      <c r="BC714" s="44"/>
      <c r="BD714" s="44"/>
      <c r="BE714" s="44"/>
      <c r="BF714" s="44"/>
      <c r="BG714" s="44"/>
      <c r="BH714" s="44"/>
      <c r="BI714" s="44"/>
      <c r="BJ714" s="44"/>
      <c r="BK714" s="44"/>
      <c r="BL714" s="44"/>
      <c r="BM714" s="44"/>
      <c r="BN714" s="44"/>
      <c r="BO714" s="44"/>
      <c r="BP714" s="44"/>
      <c r="BQ714" s="44"/>
      <c r="BR714" s="44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3"/>
      <c r="DA714" s="42"/>
      <c r="DB714" s="19"/>
      <c r="DC714" s="19"/>
      <c r="DD714" s="19"/>
      <c r="DE714" s="19"/>
      <c r="DF714" s="19"/>
      <c r="DG714" s="19"/>
      <c r="DH714" s="19"/>
      <c r="DI714" s="19"/>
    </row>
    <row r="715" spans="1:113" ht="12" hidden="1" outlineLevel="2">
      <c r="A715" s="1" t="s">
        <v>2443</v>
      </c>
      <c r="B715" s="19" t="s">
        <v>801</v>
      </c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2"/>
      <c r="AK715" s="42"/>
      <c r="AL715" s="42"/>
      <c r="AM715" s="42"/>
      <c r="AN715" s="42"/>
      <c r="AO715" s="42"/>
      <c r="AP715" s="42"/>
      <c r="AQ715" s="42"/>
      <c r="AR715" s="44"/>
      <c r="AS715" s="44"/>
      <c r="AT715" s="44"/>
      <c r="AU715" s="44"/>
      <c r="AV715" s="44"/>
      <c r="AW715" s="44"/>
      <c r="AX715" s="44"/>
      <c r="AY715" s="44"/>
      <c r="AZ715" s="45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2"/>
      <c r="BT715" s="42"/>
      <c r="BU715" s="42"/>
      <c r="BV715" s="42"/>
      <c r="BW715" s="42"/>
      <c r="BX715" s="42"/>
      <c r="BY715" s="42"/>
      <c r="BZ715" s="42"/>
      <c r="CA715" s="42"/>
      <c r="CB715" s="42"/>
      <c r="CC715" s="42"/>
      <c r="CD715" s="42"/>
      <c r="CE715" s="42"/>
      <c r="CF715" s="42"/>
      <c r="CG715" s="42"/>
      <c r="CH715" s="42"/>
      <c r="CI715" s="42"/>
      <c r="CJ715" s="42"/>
      <c r="CK715" s="42"/>
      <c r="CL715" s="42"/>
      <c r="CM715" s="42"/>
      <c r="CN715" s="42"/>
      <c r="CO715" s="42"/>
      <c r="CP715" s="42"/>
      <c r="CQ715" s="42"/>
      <c r="CR715" s="42"/>
      <c r="CS715" s="42"/>
      <c r="CT715" s="42"/>
      <c r="CU715" s="42"/>
      <c r="CV715" s="42"/>
      <c r="CW715" s="42"/>
      <c r="CX715" s="42"/>
      <c r="CY715" s="42"/>
      <c r="CZ715" s="43"/>
      <c r="DA715" s="42"/>
      <c r="DB715" s="19"/>
      <c r="DC715" s="19"/>
      <c r="DD715" s="19"/>
      <c r="DE715" s="19"/>
      <c r="DF715" s="19"/>
      <c r="DG715" s="19"/>
      <c r="DH715" s="19"/>
      <c r="DI715" s="19"/>
    </row>
    <row r="716" spans="1:113" ht="12" hidden="1" outlineLevel="2">
      <c r="A716" s="1" t="s">
        <v>2444</v>
      </c>
      <c r="B716" s="19" t="s">
        <v>801</v>
      </c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  <c r="AJ716" s="42"/>
      <c r="AK716" s="42"/>
      <c r="AL716" s="42"/>
      <c r="AM716" s="42"/>
      <c r="AN716" s="42"/>
      <c r="AO716" s="42"/>
      <c r="AP716" s="42"/>
      <c r="AQ716" s="42"/>
      <c r="AR716" s="44"/>
      <c r="AS716" s="44"/>
      <c r="AT716" s="44"/>
      <c r="AU716" s="44"/>
      <c r="AV716" s="44"/>
      <c r="AW716" s="44"/>
      <c r="AX716" s="44"/>
      <c r="AY716" s="44"/>
      <c r="AZ716" s="45"/>
      <c r="BA716" s="44"/>
      <c r="BB716" s="44"/>
      <c r="BC716" s="44"/>
      <c r="BD716" s="44"/>
      <c r="BE716" s="44"/>
      <c r="BF716" s="44"/>
      <c r="BG716" s="44"/>
      <c r="BH716" s="44"/>
      <c r="BI716" s="44"/>
      <c r="BJ716" s="44"/>
      <c r="BK716" s="44"/>
      <c r="BL716" s="44"/>
      <c r="BM716" s="44"/>
      <c r="BN716" s="44"/>
      <c r="BO716" s="44"/>
      <c r="BP716" s="44"/>
      <c r="BQ716" s="44"/>
      <c r="BR716" s="44"/>
      <c r="BS716" s="42"/>
      <c r="BT716" s="42"/>
      <c r="BU716" s="42"/>
      <c r="BV716" s="42"/>
      <c r="BW716" s="42"/>
      <c r="BX716" s="42"/>
      <c r="BY716" s="42"/>
      <c r="BZ716" s="42"/>
      <c r="CA716" s="42"/>
      <c r="CB716" s="42"/>
      <c r="CC716" s="42"/>
      <c r="CD716" s="42"/>
      <c r="CE716" s="42"/>
      <c r="CF716" s="42"/>
      <c r="CG716" s="42"/>
      <c r="CH716" s="42"/>
      <c r="CI716" s="42"/>
      <c r="CJ716" s="42"/>
      <c r="CK716" s="42"/>
      <c r="CL716" s="42"/>
      <c r="CM716" s="42"/>
      <c r="CN716" s="42"/>
      <c r="CO716" s="42"/>
      <c r="CP716" s="42"/>
      <c r="CQ716" s="42"/>
      <c r="CR716" s="42"/>
      <c r="CS716" s="42"/>
      <c r="CT716" s="42"/>
      <c r="CU716" s="42"/>
      <c r="CV716" s="42"/>
      <c r="CW716" s="42"/>
      <c r="CX716" s="42"/>
      <c r="CY716" s="42"/>
      <c r="CZ716" s="43"/>
      <c r="DA716" s="42"/>
      <c r="DB716" s="19"/>
      <c r="DC716" s="19"/>
      <c r="DD716" s="19"/>
      <c r="DE716" s="19"/>
      <c r="DF716" s="19"/>
      <c r="DG716" s="19"/>
      <c r="DH716" s="19"/>
      <c r="DI716" s="19"/>
    </row>
    <row r="717" spans="1:113" ht="12" hidden="1" outlineLevel="2">
      <c r="A717" s="1" t="s">
        <v>2445</v>
      </c>
      <c r="B717" s="19" t="s">
        <v>801</v>
      </c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2"/>
      <c r="AN717" s="42"/>
      <c r="AO717" s="42"/>
      <c r="AP717" s="42"/>
      <c r="AQ717" s="42"/>
      <c r="AR717" s="44"/>
      <c r="AS717" s="44"/>
      <c r="AT717" s="44"/>
      <c r="AU717" s="44"/>
      <c r="AV717" s="44"/>
      <c r="AW717" s="44"/>
      <c r="AX717" s="44"/>
      <c r="AY717" s="44"/>
      <c r="AZ717" s="45"/>
      <c r="BA717" s="44"/>
      <c r="BB717" s="44"/>
      <c r="BC717" s="44"/>
      <c r="BD717" s="44"/>
      <c r="BE717" s="44"/>
      <c r="BF717" s="44"/>
      <c r="BG717" s="44"/>
      <c r="BH717" s="44"/>
      <c r="BI717" s="44"/>
      <c r="BJ717" s="44"/>
      <c r="BK717" s="44"/>
      <c r="BL717" s="44"/>
      <c r="BM717" s="44"/>
      <c r="BN717" s="44"/>
      <c r="BO717" s="44"/>
      <c r="BP717" s="44"/>
      <c r="BQ717" s="44"/>
      <c r="BR717" s="44"/>
      <c r="BS717" s="42"/>
      <c r="BT717" s="42"/>
      <c r="BU717" s="42"/>
      <c r="BV717" s="42"/>
      <c r="BW717" s="42"/>
      <c r="BX717" s="42"/>
      <c r="BY717" s="42"/>
      <c r="BZ717" s="42"/>
      <c r="CA717" s="42"/>
      <c r="CB717" s="42"/>
      <c r="CC717" s="42"/>
      <c r="CD717" s="42"/>
      <c r="CE717" s="42"/>
      <c r="CF717" s="42"/>
      <c r="CG717" s="42"/>
      <c r="CH717" s="42"/>
      <c r="CI717" s="42"/>
      <c r="CJ717" s="42"/>
      <c r="CK717" s="42"/>
      <c r="CL717" s="42"/>
      <c r="CM717" s="42"/>
      <c r="CN717" s="42"/>
      <c r="CO717" s="42"/>
      <c r="CP717" s="42"/>
      <c r="CQ717" s="42"/>
      <c r="CR717" s="42"/>
      <c r="CS717" s="42"/>
      <c r="CT717" s="42"/>
      <c r="CU717" s="42"/>
      <c r="CV717" s="42"/>
      <c r="CW717" s="42"/>
      <c r="CX717" s="42"/>
      <c r="CY717" s="42"/>
      <c r="CZ717" s="43"/>
      <c r="DA717" s="42"/>
      <c r="DB717" s="19"/>
      <c r="DC717" s="19"/>
      <c r="DD717" s="19"/>
      <c r="DE717" s="19"/>
      <c r="DF717" s="19"/>
      <c r="DG717" s="19"/>
      <c r="DH717" s="19"/>
      <c r="DI717" s="19"/>
    </row>
    <row r="718" spans="1:113" ht="12" hidden="1" outlineLevel="2">
      <c r="A718" s="1" t="s">
        <v>2446</v>
      </c>
      <c r="B718" s="19" t="s">
        <v>801</v>
      </c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  <c r="AJ718" s="42"/>
      <c r="AK718" s="42"/>
      <c r="AL718" s="42"/>
      <c r="AM718" s="42"/>
      <c r="AN718" s="42"/>
      <c r="AO718" s="42"/>
      <c r="AP718" s="42"/>
      <c r="AQ718" s="42"/>
      <c r="AR718" s="44"/>
      <c r="AS718" s="44"/>
      <c r="AT718" s="44"/>
      <c r="AU718" s="44"/>
      <c r="AV718" s="44"/>
      <c r="AW718" s="44"/>
      <c r="AX718" s="44"/>
      <c r="AY718" s="44"/>
      <c r="AZ718" s="45"/>
      <c r="BA718" s="44"/>
      <c r="BB718" s="44"/>
      <c r="BC718" s="44"/>
      <c r="BD718" s="44"/>
      <c r="BE718" s="44"/>
      <c r="BF718" s="44"/>
      <c r="BG718" s="44"/>
      <c r="BH718" s="44"/>
      <c r="BI718" s="44"/>
      <c r="BJ718" s="44"/>
      <c r="BK718" s="44"/>
      <c r="BL718" s="44"/>
      <c r="BM718" s="44"/>
      <c r="BN718" s="44"/>
      <c r="BO718" s="44"/>
      <c r="BP718" s="44"/>
      <c r="BQ718" s="44"/>
      <c r="BR718" s="44"/>
      <c r="BS718" s="42"/>
      <c r="BT718" s="42"/>
      <c r="BU718" s="42"/>
      <c r="BV718" s="42"/>
      <c r="BW718" s="42"/>
      <c r="BX718" s="42"/>
      <c r="BY718" s="42"/>
      <c r="BZ718" s="42"/>
      <c r="CA718" s="42"/>
      <c r="CB718" s="42"/>
      <c r="CC718" s="42"/>
      <c r="CD718" s="42"/>
      <c r="CE718" s="42"/>
      <c r="CF718" s="42"/>
      <c r="CG718" s="42"/>
      <c r="CH718" s="42"/>
      <c r="CI718" s="42"/>
      <c r="CJ718" s="42"/>
      <c r="CK718" s="42"/>
      <c r="CL718" s="42"/>
      <c r="CM718" s="42"/>
      <c r="CN718" s="42"/>
      <c r="CO718" s="42"/>
      <c r="CP718" s="42"/>
      <c r="CQ718" s="42"/>
      <c r="CR718" s="42"/>
      <c r="CS718" s="42"/>
      <c r="CT718" s="42"/>
      <c r="CU718" s="42"/>
      <c r="CV718" s="42"/>
      <c r="CW718" s="42"/>
      <c r="CX718" s="42"/>
      <c r="CY718" s="42"/>
      <c r="CZ718" s="43"/>
      <c r="DA718" s="42"/>
      <c r="DB718" s="19"/>
      <c r="DC718" s="19"/>
      <c r="DD718" s="19"/>
      <c r="DE718" s="19"/>
      <c r="DF718" s="19"/>
      <c r="DG718" s="19"/>
      <c r="DH718" s="19"/>
      <c r="DI718" s="19"/>
    </row>
    <row r="719" spans="1:113" ht="12" hidden="1" outlineLevel="2">
      <c r="A719" s="1" t="s">
        <v>2447</v>
      </c>
      <c r="B719" s="19" t="s">
        <v>801</v>
      </c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4"/>
      <c r="AS719" s="44"/>
      <c r="AT719" s="44"/>
      <c r="AU719" s="44"/>
      <c r="AV719" s="44"/>
      <c r="AW719" s="44"/>
      <c r="AX719" s="44"/>
      <c r="AY719" s="44"/>
      <c r="AZ719" s="45"/>
      <c r="BA719" s="44"/>
      <c r="BB719" s="44"/>
      <c r="BC719" s="44"/>
      <c r="BD719" s="44"/>
      <c r="BE719" s="44"/>
      <c r="BF719" s="44"/>
      <c r="BG719" s="44"/>
      <c r="BH719" s="44"/>
      <c r="BI719" s="44"/>
      <c r="BJ719" s="44"/>
      <c r="BK719" s="44"/>
      <c r="BL719" s="44"/>
      <c r="BM719" s="44"/>
      <c r="BN719" s="44"/>
      <c r="BO719" s="44"/>
      <c r="BP719" s="44"/>
      <c r="BQ719" s="44"/>
      <c r="BR719" s="44"/>
      <c r="BS719" s="42"/>
      <c r="BT719" s="42"/>
      <c r="BU719" s="42"/>
      <c r="BV719" s="42"/>
      <c r="BW719" s="42"/>
      <c r="BX719" s="42"/>
      <c r="BY719" s="42"/>
      <c r="BZ719" s="42"/>
      <c r="CA719" s="42"/>
      <c r="CB719" s="42"/>
      <c r="CC719" s="42"/>
      <c r="CD719" s="42"/>
      <c r="CE719" s="42"/>
      <c r="CF719" s="42"/>
      <c r="CG719" s="42"/>
      <c r="CH719" s="42"/>
      <c r="CI719" s="42"/>
      <c r="CJ719" s="42"/>
      <c r="CK719" s="42"/>
      <c r="CL719" s="42"/>
      <c r="CM719" s="42"/>
      <c r="CN719" s="42"/>
      <c r="CO719" s="42"/>
      <c r="CP719" s="42"/>
      <c r="CQ719" s="42"/>
      <c r="CR719" s="42"/>
      <c r="CS719" s="42"/>
      <c r="CT719" s="42"/>
      <c r="CU719" s="42"/>
      <c r="CV719" s="42"/>
      <c r="CW719" s="42"/>
      <c r="CX719" s="42"/>
      <c r="CY719" s="42"/>
      <c r="CZ719" s="43"/>
      <c r="DA719" s="42"/>
      <c r="DB719" s="19"/>
      <c r="DC719" s="19"/>
      <c r="DD719" s="19"/>
      <c r="DE719" s="19"/>
      <c r="DF719" s="19"/>
      <c r="DG719" s="19"/>
      <c r="DH719" s="19"/>
      <c r="DI719" s="19"/>
    </row>
    <row r="720" spans="1:113" ht="12" hidden="1" outlineLevel="2">
      <c r="A720" s="1" t="s">
        <v>2448</v>
      </c>
      <c r="B720" s="19" t="s">
        <v>801</v>
      </c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  <c r="AJ720" s="42"/>
      <c r="AK720" s="42"/>
      <c r="AL720" s="42"/>
      <c r="AM720" s="42"/>
      <c r="AN720" s="42"/>
      <c r="AO720" s="42"/>
      <c r="AP720" s="42"/>
      <c r="AQ720" s="42"/>
      <c r="AR720" s="44"/>
      <c r="AS720" s="44"/>
      <c r="AT720" s="44"/>
      <c r="AU720" s="44"/>
      <c r="AV720" s="44"/>
      <c r="AW720" s="44"/>
      <c r="AX720" s="44"/>
      <c r="AY720" s="44"/>
      <c r="AZ720" s="45"/>
      <c r="BA720" s="44"/>
      <c r="BB720" s="44"/>
      <c r="BC720" s="44"/>
      <c r="BD720" s="44"/>
      <c r="BE720" s="44"/>
      <c r="BF720" s="44"/>
      <c r="BG720" s="44"/>
      <c r="BH720" s="44"/>
      <c r="BI720" s="44"/>
      <c r="BJ720" s="44"/>
      <c r="BK720" s="44"/>
      <c r="BL720" s="44"/>
      <c r="BM720" s="44"/>
      <c r="BN720" s="44"/>
      <c r="BO720" s="44"/>
      <c r="BP720" s="44"/>
      <c r="BQ720" s="44"/>
      <c r="BR720" s="44"/>
      <c r="BS720" s="42"/>
      <c r="BT720" s="42"/>
      <c r="BU720" s="42"/>
      <c r="BV720" s="42"/>
      <c r="BW720" s="42"/>
      <c r="BX720" s="42"/>
      <c r="BY720" s="42"/>
      <c r="BZ720" s="42"/>
      <c r="CA720" s="42"/>
      <c r="CB720" s="42"/>
      <c r="CC720" s="42"/>
      <c r="CD720" s="42"/>
      <c r="CE720" s="42"/>
      <c r="CF720" s="42"/>
      <c r="CG720" s="42"/>
      <c r="CH720" s="42"/>
      <c r="CI720" s="42"/>
      <c r="CJ720" s="42"/>
      <c r="CK720" s="42"/>
      <c r="CL720" s="42"/>
      <c r="CM720" s="42"/>
      <c r="CN720" s="42"/>
      <c r="CO720" s="42"/>
      <c r="CP720" s="42"/>
      <c r="CQ720" s="42"/>
      <c r="CR720" s="42"/>
      <c r="CS720" s="42"/>
      <c r="CT720" s="42"/>
      <c r="CU720" s="42"/>
      <c r="CV720" s="42"/>
      <c r="CW720" s="42"/>
      <c r="CX720" s="42"/>
      <c r="CY720" s="42"/>
      <c r="CZ720" s="43"/>
      <c r="DA720" s="42"/>
      <c r="DB720" s="19"/>
      <c r="DC720" s="19"/>
      <c r="DD720" s="19"/>
      <c r="DE720" s="19"/>
      <c r="DF720" s="19"/>
      <c r="DG720" s="19"/>
      <c r="DH720" s="19"/>
      <c r="DI720" s="19"/>
    </row>
    <row r="721" spans="1:115" ht="12" hidden="1" outlineLevel="2">
      <c r="A721" s="1" t="s">
        <v>2449</v>
      </c>
      <c r="B721" s="19" t="s">
        <v>801</v>
      </c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  <c r="AJ721" s="42"/>
      <c r="AK721" s="42"/>
      <c r="AL721" s="42"/>
      <c r="AM721" s="42"/>
      <c r="AN721" s="42"/>
      <c r="AO721" s="42"/>
      <c r="AP721" s="42"/>
      <c r="AQ721" s="42"/>
      <c r="AR721" s="44"/>
      <c r="AS721" s="44"/>
      <c r="AT721" s="44"/>
      <c r="AU721" s="44"/>
      <c r="AV721" s="44"/>
      <c r="AW721" s="44"/>
      <c r="AX721" s="44"/>
      <c r="AY721" s="44"/>
      <c r="AZ721" s="45"/>
      <c r="BA721" s="44"/>
      <c r="BB721" s="44"/>
      <c r="BC721" s="44"/>
      <c r="BD721" s="44"/>
      <c r="BE721" s="44"/>
      <c r="BF721" s="44"/>
      <c r="BG721" s="44"/>
      <c r="BH721" s="44"/>
      <c r="BI721" s="44"/>
      <c r="BJ721" s="44"/>
      <c r="BK721" s="44"/>
      <c r="BL721" s="44"/>
      <c r="BM721" s="44"/>
      <c r="BN721" s="44"/>
      <c r="BO721" s="44"/>
      <c r="BP721" s="44"/>
      <c r="BQ721" s="44"/>
      <c r="BR721" s="44"/>
      <c r="BS721" s="42"/>
      <c r="BT721" s="42"/>
      <c r="BU721" s="42"/>
      <c r="BV721" s="42"/>
      <c r="BW721" s="42"/>
      <c r="BX721" s="42"/>
      <c r="BY721" s="42"/>
      <c r="BZ721" s="42"/>
      <c r="CA721" s="42"/>
      <c r="CB721" s="42"/>
      <c r="CC721" s="42"/>
      <c r="CD721" s="42"/>
      <c r="CE721" s="42"/>
      <c r="CF721" s="42"/>
      <c r="CG721" s="42"/>
      <c r="CH721" s="42"/>
      <c r="CI721" s="42"/>
      <c r="CJ721" s="42"/>
      <c r="CK721" s="42"/>
      <c r="CL721" s="42"/>
      <c r="CM721" s="42"/>
      <c r="CN721" s="42"/>
      <c r="CO721" s="42"/>
      <c r="CP721" s="42"/>
      <c r="CQ721" s="42"/>
      <c r="CR721" s="42"/>
      <c r="CS721" s="42"/>
      <c r="CT721" s="42"/>
      <c r="CU721" s="42"/>
      <c r="CV721" s="42"/>
      <c r="CW721" s="42"/>
      <c r="CX721" s="42"/>
      <c r="CY721" s="42"/>
      <c r="CZ721" s="43"/>
      <c r="DA721" s="42"/>
      <c r="DC721" s="19"/>
      <c r="DD721" s="19"/>
      <c r="DE721" s="19"/>
      <c r="DF721" s="19"/>
      <c r="DG721" s="19"/>
      <c r="DH721" s="19"/>
      <c r="DI721" s="19"/>
    </row>
    <row r="722" spans="1:115" ht="12" hidden="1" outlineLevel="2">
      <c r="A722" s="1" t="s">
        <v>2450</v>
      </c>
      <c r="B722" s="19" t="s">
        <v>801</v>
      </c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2"/>
      <c r="AP722" s="42"/>
      <c r="AQ722" s="42"/>
      <c r="AR722" s="44"/>
      <c r="AS722" s="44"/>
      <c r="AT722" s="44"/>
      <c r="AU722" s="44"/>
      <c r="AV722" s="44"/>
      <c r="AW722" s="44"/>
      <c r="AX722" s="44"/>
      <c r="AY722" s="44"/>
      <c r="AZ722" s="45"/>
      <c r="BA722" s="44"/>
      <c r="BB722" s="44"/>
      <c r="BC722" s="44"/>
      <c r="BD722" s="44"/>
      <c r="BE722" s="44"/>
      <c r="BF722" s="44"/>
      <c r="BG722" s="44"/>
      <c r="BH722" s="44"/>
      <c r="BI722" s="44"/>
      <c r="BJ722" s="44"/>
      <c r="BK722" s="44"/>
      <c r="BL722" s="44"/>
      <c r="BM722" s="44"/>
      <c r="BN722" s="44"/>
      <c r="BO722" s="44"/>
      <c r="BP722" s="44"/>
      <c r="BQ722" s="44"/>
      <c r="BR722" s="44"/>
      <c r="BS722" s="42"/>
      <c r="BT722" s="42"/>
      <c r="BU722" s="42"/>
      <c r="BV722" s="42"/>
      <c r="BW722" s="42"/>
      <c r="BX722" s="42"/>
      <c r="BY722" s="42"/>
      <c r="BZ722" s="42"/>
      <c r="CA722" s="42"/>
      <c r="CB722" s="42"/>
      <c r="CC722" s="42"/>
      <c r="CD722" s="42"/>
      <c r="CE722" s="42"/>
      <c r="CF722" s="42"/>
      <c r="CG722" s="42"/>
      <c r="CH722" s="42"/>
      <c r="CI722" s="42"/>
      <c r="CJ722" s="42"/>
      <c r="CK722" s="42"/>
      <c r="CL722" s="42"/>
      <c r="CM722" s="42"/>
      <c r="CN722" s="42"/>
      <c r="CO722" s="42"/>
      <c r="CP722" s="42"/>
      <c r="CQ722" s="42"/>
      <c r="CR722" s="42"/>
      <c r="CS722" s="42"/>
      <c r="CT722" s="42"/>
      <c r="CU722" s="42"/>
      <c r="CV722" s="42"/>
      <c r="CW722" s="42"/>
      <c r="CX722" s="42"/>
      <c r="CY722" s="42"/>
      <c r="CZ722" s="43"/>
      <c r="DA722" s="42"/>
      <c r="DC722" s="19"/>
      <c r="DD722" s="19"/>
      <c r="DE722" s="19"/>
      <c r="DF722" s="19"/>
      <c r="DG722" s="19"/>
      <c r="DH722" s="19"/>
      <c r="DI722" s="19"/>
    </row>
    <row r="723" spans="1:115" ht="12" hidden="1" outlineLevel="2">
      <c r="A723" s="1" t="s">
        <v>2451</v>
      </c>
      <c r="B723" s="19" t="s">
        <v>801</v>
      </c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2"/>
      <c r="AP723" s="42"/>
      <c r="AQ723" s="42"/>
      <c r="AR723" s="44"/>
      <c r="AS723" s="44"/>
      <c r="AT723" s="44"/>
      <c r="AU723" s="44"/>
      <c r="AV723" s="44"/>
      <c r="AW723" s="44"/>
      <c r="AX723" s="44"/>
      <c r="AY723" s="44"/>
      <c r="AZ723" s="45"/>
      <c r="BA723" s="44"/>
      <c r="BB723" s="44"/>
      <c r="BC723" s="44"/>
      <c r="BD723" s="44"/>
      <c r="BE723" s="44"/>
      <c r="BF723" s="44"/>
      <c r="BG723" s="44"/>
      <c r="BH723" s="44"/>
      <c r="BI723" s="44"/>
      <c r="BJ723" s="44"/>
      <c r="BK723" s="44"/>
      <c r="BL723" s="44"/>
      <c r="BM723" s="44"/>
      <c r="BN723" s="44"/>
      <c r="BO723" s="44"/>
      <c r="BP723" s="44"/>
      <c r="BQ723" s="44"/>
      <c r="BR723" s="44"/>
      <c r="BS723" s="42"/>
      <c r="BT723" s="42"/>
      <c r="BU723" s="42"/>
      <c r="BV723" s="42"/>
      <c r="BW723" s="42"/>
      <c r="BX723" s="42"/>
      <c r="BY723" s="42"/>
      <c r="BZ723" s="42"/>
      <c r="CA723" s="42"/>
      <c r="CB723" s="42"/>
      <c r="CC723" s="42"/>
      <c r="CD723" s="42"/>
      <c r="CE723" s="42"/>
      <c r="CF723" s="42"/>
      <c r="CG723" s="42"/>
      <c r="CH723" s="42"/>
      <c r="CI723" s="42"/>
      <c r="CJ723" s="42"/>
      <c r="CK723" s="42"/>
      <c r="CL723" s="42"/>
      <c r="CM723" s="42"/>
      <c r="CN723" s="42"/>
      <c r="CO723" s="42"/>
      <c r="CP723" s="42"/>
      <c r="CQ723" s="42"/>
      <c r="CR723" s="42"/>
      <c r="CS723" s="42"/>
      <c r="CT723" s="42"/>
      <c r="CU723" s="42"/>
      <c r="CV723" s="42"/>
      <c r="CW723" s="42"/>
      <c r="CX723" s="42"/>
      <c r="CY723" s="42"/>
      <c r="CZ723" s="43"/>
      <c r="DA723" s="42"/>
      <c r="DC723" s="19"/>
      <c r="DD723" s="19"/>
      <c r="DE723" s="19"/>
      <c r="DF723" s="19"/>
      <c r="DG723" s="19"/>
      <c r="DH723" s="19"/>
      <c r="DI723" s="19"/>
    </row>
    <row r="724" spans="1:115" ht="12" hidden="1" outlineLevel="1" collapsed="1"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4"/>
      <c r="AS724" s="44"/>
      <c r="AT724" s="44"/>
      <c r="AU724" s="44"/>
      <c r="AV724" s="44"/>
      <c r="AW724" s="44"/>
      <c r="AX724" s="44"/>
      <c r="AY724" s="44"/>
      <c r="AZ724" s="45"/>
      <c r="BA724" s="44"/>
      <c r="BB724" s="44"/>
      <c r="BC724" s="44"/>
      <c r="BD724" s="44"/>
      <c r="BE724" s="44"/>
      <c r="BF724" s="44"/>
      <c r="BG724" s="44"/>
      <c r="BH724" s="44"/>
      <c r="BI724" s="44"/>
      <c r="BJ724" s="44"/>
      <c r="BK724" s="44"/>
      <c r="BL724" s="44"/>
      <c r="BM724" s="44"/>
      <c r="BN724" s="44"/>
      <c r="BO724" s="44"/>
      <c r="BP724" s="44"/>
      <c r="BQ724" s="44"/>
      <c r="BR724" s="44"/>
      <c r="BS724" s="42"/>
      <c r="BT724" s="42"/>
      <c r="BU724" s="42"/>
      <c r="BV724" s="42"/>
      <c r="BW724" s="42"/>
      <c r="BX724" s="42"/>
      <c r="BY724" s="42"/>
      <c r="BZ724" s="42"/>
      <c r="CA724" s="42"/>
      <c r="CB724" s="42"/>
      <c r="CC724" s="42"/>
      <c r="CD724" s="42"/>
      <c r="CE724" s="42"/>
      <c r="CF724" s="42"/>
      <c r="CG724" s="42"/>
      <c r="CH724" s="42"/>
      <c r="CI724" s="42"/>
      <c r="CJ724" s="42"/>
      <c r="CK724" s="42"/>
      <c r="CL724" s="42"/>
      <c r="CM724" s="42"/>
      <c r="CN724" s="42"/>
      <c r="CO724" s="42"/>
      <c r="CP724" s="42"/>
      <c r="CQ724" s="42"/>
      <c r="CR724" s="42"/>
      <c r="CS724" s="42"/>
      <c r="CT724" s="42"/>
      <c r="CU724" s="42"/>
      <c r="CV724" s="42"/>
      <c r="CW724" s="42"/>
      <c r="CX724" s="42"/>
      <c r="CY724" s="42"/>
      <c r="CZ724" s="43"/>
      <c r="DA724" s="42"/>
      <c r="DC724" s="19"/>
      <c r="DD724" s="19"/>
      <c r="DE724" s="19"/>
      <c r="DF724" s="19"/>
      <c r="DG724" s="19"/>
      <c r="DH724" s="19"/>
      <c r="DI724" s="19"/>
    </row>
    <row r="725" spans="1:115" s="5" customFormat="1" ht="12.95" hidden="1" customHeight="1" outlineLevel="1">
      <c r="A725" s="1"/>
      <c r="B725" s="6" t="s">
        <v>375</v>
      </c>
      <c r="C725" s="584"/>
      <c r="D725" s="584"/>
      <c r="E725" s="584"/>
      <c r="F725" s="584"/>
      <c r="G725" s="584"/>
      <c r="H725" s="584"/>
      <c r="I725" s="584"/>
      <c r="J725" s="584"/>
      <c r="K725" s="584"/>
      <c r="L725" s="584"/>
      <c r="M725" s="584"/>
      <c r="N725" s="584"/>
      <c r="O725" s="584"/>
      <c r="P725" s="584"/>
      <c r="Q725" s="584"/>
      <c r="R725" s="584"/>
      <c r="S725" s="584"/>
      <c r="T725" s="515"/>
      <c r="U725" s="584"/>
      <c r="V725" s="584"/>
      <c r="W725" s="584"/>
      <c r="X725" s="584"/>
      <c r="Y725" s="515"/>
      <c r="Z725" s="515"/>
      <c r="AA725" s="515"/>
      <c r="AB725" s="515"/>
      <c r="AC725" s="515"/>
      <c r="AD725" s="515"/>
      <c r="AE725" s="515"/>
      <c r="AF725" s="515"/>
      <c r="AG725" s="515"/>
      <c r="AH725" s="515"/>
      <c r="AI725" s="515"/>
      <c r="AJ725" s="515"/>
      <c r="AK725" s="515"/>
      <c r="AL725" s="515"/>
      <c r="AM725" s="515"/>
      <c r="AN725" s="515"/>
      <c r="AO725" s="515"/>
      <c r="AP725" s="516" t="str">
        <f t="shared" ref="AP725" si="3772">IF(AO$2="A","Ok",IF(ABS((AP699/AP239)-(AO699/AO239))&gt;1%,"Error","Ok"))</f>
        <v>Ok</v>
      </c>
      <c r="AQ725" s="516" t="str">
        <f t="shared" ref="AQ725" si="3773">IF(AP$2="A","Ok",IF(ABS((AQ699/AQ239)-(AP699/AP239))&gt;1%,"Error","Ok"))</f>
        <v>Ok</v>
      </c>
      <c r="AR725" s="516" t="str">
        <f t="shared" ref="AR725:AX725" si="3774">IF(AQ$2="A","Ok",IF(ABS((AR699/AR239)-(AQ699/AQ239))&gt;1%,"Error","Ok"))</f>
        <v>Ok</v>
      </c>
      <c r="AS725" s="516" t="str">
        <f t="shared" si="3774"/>
        <v>Ok</v>
      </c>
      <c r="AT725" s="516" t="str">
        <f t="shared" si="3774"/>
        <v>Ok</v>
      </c>
      <c r="AU725" s="516" t="str">
        <f t="shared" si="3774"/>
        <v>Ok</v>
      </c>
      <c r="AV725" s="516" t="str">
        <f t="shared" si="3774"/>
        <v>Ok</v>
      </c>
      <c r="AW725" s="516" t="str">
        <f t="shared" si="3774"/>
        <v>Ok</v>
      </c>
      <c r="AX725" s="516" t="str">
        <f t="shared" si="3774"/>
        <v>Ok</v>
      </c>
      <c r="AY725" s="516" t="str">
        <f t="shared" ref="AY725:BI725" si="3775">IF(AX$2="A","Ok",IF(ABS((AY699/AY239)-(AX699/AX239))&gt;1%,"Error","Ok"))</f>
        <v>Ok</v>
      </c>
      <c r="AZ725" s="583" t="str">
        <f t="shared" si="3775"/>
        <v>Ok</v>
      </c>
      <c r="BA725" s="418" t="str">
        <f t="shared" si="3775"/>
        <v>Ok</v>
      </c>
      <c r="BB725" s="418" t="str">
        <f t="shared" si="3775"/>
        <v>Ok</v>
      </c>
      <c r="BC725" s="418" t="str">
        <f t="shared" si="3775"/>
        <v>Ok</v>
      </c>
      <c r="BD725" s="418" t="str">
        <f t="shared" si="3775"/>
        <v>Ok</v>
      </c>
      <c r="BE725" s="418" t="str">
        <f t="shared" si="3775"/>
        <v>Ok</v>
      </c>
      <c r="BF725" s="418" t="str">
        <f t="shared" si="3775"/>
        <v>Ok</v>
      </c>
      <c r="BG725" s="418" t="str">
        <f t="shared" si="3775"/>
        <v>Ok</v>
      </c>
      <c r="BH725" s="418" t="str">
        <f t="shared" si="3775"/>
        <v>Ok</v>
      </c>
      <c r="BI725" s="418" t="str">
        <f t="shared" si="3775"/>
        <v>Ok</v>
      </c>
      <c r="BJ725" s="418" t="str">
        <f t="shared" ref="BJ725" si="3776">IF(BI$2="A","Ok",IF(ABS((BJ699/BJ239)-(BI699/BI239))&gt;1%,"Error","Ok"))</f>
        <v>Ok</v>
      </c>
      <c r="BK725" s="418" t="str">
        <f t="shared" ref="BK725" si="3777">IF(BJ$2="A","Ok",IF(ABS((BK699/BK239)-(BJ699/BJ239))&gt;1%,"Error","Ok"))</f>
        <v>Ok</v>
      </c>
      <c r="BL725" s="418" t="str">
        <f t="shared" ref="BL725" si="3778">IF(BK$2="A","Ok",IF(ABS((BL699/BL239)-(BK699/BK239))&gt;1%,"Error","Ok"))</f>
        <v>Ok</v>
      </c>
      <c r="BM725" s="418" t="str">
        <f t="shared" ref="BM725" si="3779">IF(BL$2="A","Ok",IF(ABS((BM699/BM239)-(BL699/BL239))&gt;1%,"Error","Ok"))</f>
        <v>Ok</v>
      </c>
      <c r="BN725" s="418" t="str">
        <f t="shared" ref="BN725" si="3780">IF(BM$2="A","Ok",IF(ABS((BN699/BN239)-(BM699/BM239))&gt;1%,"Error","Ok"))</f>
        <v>Ok</v>
      </c>
      <c r="BO725" s="418" t="str">
        <f t="shared" ref="BO725" si="3781">IF(BN$2="A","Ok",IF(ABS((BO699/BO239)-(BN699/BN239))&gt;1%,"Error","Ok"))</f>
        <v>Ok</v>
      </c>
      <c r="BP725" s="418" t="str">
        <f t="shared" ref="BP725" si="3782">IF(BO$2="A","Ok",IF(ABS((BP699/BP239)-(BO699/BO239))&gt;1%,"Error","Ok"))</f>
        <v>Ok</v>
      </c>
      <c r="BQ725" s="418" t="str">
        <f t="shared" ref="BQ725" si="3783">IF(BP$2="A","Ok",IF(ABS((BQ699/BQ239)-(BP699/BP239))&gt;1%,"Error","Ok"))</f>
        <v>Ok</v>
      </c>
      <c r="BR725" s="584"/>
      <c r="BS725" s="418"/>
      <c r="BT725" s="418"/>
      <c r="BU725" s="418"/>
      <c r="BV725" s="418"/>
      <c r="BW725" s="418"/>
      <c r="BX725" s="418"/>
      <c r="BY725" s="418"/>
      <c r="BZ725" s="418"/>
      <c r="CA725" s="418"/>
      <c r="CB725" s="418"/>
      <c r="CC725" s="418"/>
      <c r="CD725" s="418"/>
      <c r="CE725" s="418"/>
      <c r="CF725" s="418"/>
      <c r="CG725" s="418"/>
      <c r="CH725" s="418"/>
      <c r="CI725" s="418"/>
      <c r="CJ725" s="418"/>
      <c r="CK725" s="418"/>
      <c r="CL725" s="418"/>
      <c r="CM725" s="516"/>
      <c r="CN725" s="516"/>
      <c r="CO725" s="516"/>
      <c r="CP725" s="516"/>
      <c r="CQ725" s="516"/>
      <c r="CR725" s="516"/>
      <c r="CS725" s="516"/>
      <c r="CT725" s="516" t="str">
        <f t="shared" ref="CT725:DE725" si="3784">IF(CS$2="A","Ok",IF(ABS((CT699/CT239)-(CS699/CS239))&gt;1%,"Error","Ok"))</f>
        <v>Ok</v>
      </c>
      <c r="CU725" s="516" t="str">
        <f t="shared" si="3784"/>
        <v>Ok</v>
      </c>
      <c r="CV725" s="516" t="str">
        <f t="shared" si="3784"/>
        <v>Ok</v>
      </c>
      <c r="CW725" s="516" t="str">
        <f t="shared" si="3784"/>
        <v>Ok</v>
      </c>
      <c r="CX725" s="516" t="str">
        <f t="shared" si="3784"/>
        <v>Ok</v>
      </c>
      <c r="CY725" s="516" t="str">
        <f t="shared" si="3784"/>
        <v>Ok</v>
      </c>
      <c r="CZ725" s="583" t="str">
        <f t="shared" si="3784"/>
        <v>Ok</v>
      </c>
      <c r="DA725" s="418" t="str">
        <f t="shared" si="3784"/>
        <v>Ok</v>
      </c>
      <c r="DB725" s="418" t="str">
        <f t="shared" si="3784"/>
        <v>Ok</v>
      </c>
      <c r="DC725" s="418" t="str">
        <f t="shared" si="3784"/>
        <v>Ok</v>
      </c>
      <c r="DD725" s="418" t="str">
        <f t="shared" si="3784"/>
        <v>Ok</v>
      </c>
      <c r="DE725" s="418" t="str">
        <f t="shared" si="3784"/>
        <v>Ok</v>
      </c>
      <c r="DF725" s="418" t="str">
        <f>IF(DE$2="A","Ok",IF(ABS((DF699/DF239)-(DE699/DE239))&gt;1%,"Error","Ok"))</f>
        <v>Ok</v>
      </c>
      <c r="DG725" s="418" t="str">
        <f>IF(DF$2="A","Ok",IF(ABS((DG699/DG239)-(DF699/DF239))&gt;1%,"Error","Ok"))</f>
        <v>Ok</v>
      </c>
      <c r="DH725" s="418" t="str">
        <f>IF(DG$2="A","Ok",IF(ABS((DH699/DH239)-(DG699/DG239))&gt;1%,"Error","Ok"))</f>
        <v>Ok</v>
      </c>
      <c r="DI725" s="418" t="str">
        <f>IF(DH$2="A","Ok",IF(ABS((DI699/DI239)-(DH699/DH239))&gt;1%,"Error","Ok"))</f>
        <v>Ok</v>
      </c>
    </row>
    <row r="726" spans="1:115" ht="12" hidden="1" outlineLevel="1">
      <c r="DC726" s="19"/>
      <c r="DD726" s="19"/>
      <c r="DE726" s="19"/>
      <c r="DF726" s="19"/>
      <c r="DG726" s="19"/>
      <c r="DH726" s="19"/>
      <c r="DI726" s="19"/>
    </row>
    <row r="727" spans="1:115" s="24" customFormat="1" ht="12" hidden="1" outlineLevel="1">
      <c r="A727" s="1"/>
      <c r="B727" s="24" t="s">
        <v>376</v>
      </c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2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13"/>
      <c r="CI727" s="13"/>
      <c r="CJ727" s="13"/>
      <c r="CK727" s="13"/>
      <c r="CL727" s="13"/>
      <c r="CM727" s="13"/>
      <c r="CN727" s="13"/>
      <c r="CO727" s="13"/>
      <c r="CP727" s="13"/>
      <c r="CQ727" s="13"/>
      <c r="CR727" s="13"/>
      <c r="CS727" s="13"/>
      <c r="CT727" s="13"/>
      <c r="CU727" s="13"/>
      <c r="CV727" s="13"/>
      <c r="CW727" s="13"/>
      <c r="CX727" s="13"/>
      <c r="CY727" s="13"/>
      <c r="CZ727" s="23"/>
      <c r="DA727" s="13"/>
      <c r="DB727" s="13"/>
    </row>
    <row r="728" spans="1:115" ht="12" hidden="1" outlineLevel="1">
      <c r="A728" s="1" t="s">
        <v>947</v>
      </c>
      <c r="B728" s="19" t="s">
        <v>198</v>
      </c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  <c r="AM728" s="47"/>
      <c r="AN728" s="47"/>
      <c r="AO728" s="47"/>
      <c r="AP728" s="47">
        <f t="shared" ref="AP728:AR728" si="3785">(AP525-AP522)/AP544</f>
        <v>4.9999999999999996E-2</v>
      </c>
      <c r="AQ728" s="47">
        <f t="shared" si="3785"/>
        <v>2.9810980621789466E-3</v>
      </c>
      <c r="AR728" s="47">
        <f t="shared" si="3785"/>
        <v>-1.8000000000000002E-2</v>
      </c>
      <c r="AS728" s="47">
        <f t="shared" ref="AS728" si="3786">(AS525-AS522)/AS544</f>
        <v>8.3455661698406992E-3</v>
      </c>
      <c r="AT728" s="47">
        <f>(AT525-AT522)/AT544</f>
        <v>3.2000000000000001E-2</v>
      </c>
      <c r="AU728" s="47">
        <f>(AU525-AU522)/AU544</f>
        <v>3.3739782472223152E-2</v>
      </c>
      <c r="AV728" s="47">
        <f>(AV525-AV522)/AV544</f>
        <v>4.1448819407768366E-2</v>
      </c>
      <c r="AW728" s="47">
        <f>(AW525-AW522)/AW544</f>
        <v>2.163524923630885E-2</v>
      </c>
      <c r="AX728" s="47">
        <f>(AX525-AX522)/AX544</f>
        <v>3.6740000000000002E-2</v>
      </c>
      <c r="AY728" s="47">
        <f t="shared" ref="AY728:BI728" si="3787">(AY525-AY522)/AY544</f>
        <v>4.0713179194456786E-2</v>
      </c>
      <c r="AZ728" s="48">
        <f t="shared" si="3787"/>
        <v>5.3505774064442499E-2</v>
      </c>
      <c r="BA728" s="47">
        <f t="shared" si="3787"/>
        <v>6.5521539530422584E-2</v>
      </c>
      <c r="BB728" s="47">
        <f t="shared" si="3787"/>
        <v>7.1218826475471481E-2</v>
      </c>
      <c r="BC728" s="47">
        <f t="shared" si="3787"/>
        <v>7.3772845970124498E-2</v>
      </c>
      <c r="BD728" s="47">
        <f t="shared" si="3787"/>
        <v>8.3892897718386872E-2</v>
      </c>
      <c r="BE728" s="47">
        <f t="shared" si="3787"/>
        <v>8.8852958777341257E-2</v>
      </c>
      <c r="BF728" s="47">
        <f t="shared" si="3787"/>
        <v>0.10164861487557071</v>
      </c>
      <c r="BG728" s="47">
        <f t="shared" si="3787"/>
        <v>0.11081454434182837</v>
      </c>
      <c r="BH728" s="47">
        <f t="shared" si="3787"/>
        <v>0.12222863718359749</v>
      </c>
      <c r="BI728" s="47">
        <f t="shared" si="3787"/>
        <v>0.12720953337498891</v>
      </c>
      <c r="BJ728" s="47">
        <f t="shared" ref="BJ728:BK728" si="3788">(BJ525-BJ522)/BJ544</f>
        <v>0.13774233510860223</v>
      </c>
      <c r="BK728" s="47">
        <f t="shared" si="3788"/>
        <v>0.14164511128228433</v>
      </c>
      <c r="BL728" s="47">
        <f t="shared" ref="BL728:BM728" si="3789">(BL525-BL522)/BL544</f>
        <v>0.15054296047156238</v>
      </c>
      <c r="BM728" s="47">
        <f t="shared" si="3789"/>
        <v>0.15383442361112584</v>
      </c>
      <c r="BN728" s="47">
        <f t="shared" ref="BN728:BO728" si="3790">(BN525-BN522)/BN544</f>
        <v>0.1620216892087932</v>
      </c>
      <c r="BO728" s="47">
        <f t="shared" si="3790"/>
        <v>0.1630536138566164</v>
      </c>
      <c r="BP728" s="47">
        <f t="shared" ref="BP728:BQ728" si="3791">(BP525-BP522)/BP544</f>
        <v>0.17138556256917623</v>
      </c>
      <c r="BQ728" s="47">
        <f t="shared" si="3791"/>
        <v>0.17218930057961665</v>
      </c>
      <c r="BR728" s="47"/>
      <c r="BS728" s="47"/>
      <c r="BT728" s="47"/>
      <c r="BU728" s="47"/>
      <c r="BV728" s="47"/>
      <c r="BW728" s="47"/>
      <c r="BX728" s="47"/>
      <c r="BY728" s="47"/>
      <c r="BZ728" s="47"/>
      <c r="CA728" s="47"/>
      <c r="CB728" s="47"/>
      <c r="CC728" s="47"/>
      <c r="CD728" s="47"/>
      <c r="CE728" s="47"/>
      <c r="CF728" s="47"/>
      <c r="CG728" s="47"/>
      <c r="CH728" s="47"/>
      <c r="CI728" s="47"/>
      <c r="CJ728" s="47"/>
      <c r="CK728" s="47"/>
      <c r="CL728" s="47"/>
      <c r="CM728" s="47"/>
      <c r="CN728" s="47"/>
      <c r="CO728" s="47"/>
      <c r="CP728" s="47"/>
      <c r="CQ728" s="47"/>
      <c r="CR728" s="47"/>
      <c r="CS728" s="47"/>
      <c r="CT728" s="47"/>
      <c r="CU728" s="47"/>
      <c r="CV728" s="47">
        <f t="shared" ref="CV728:DF728" si="3792">(CV525-CV522)/CV544</f>
        <v>4.8885094102544012E-2</v>
      </c>
      <c r="CW728" s="47">
        <f t="shared" si="3792"/>
        <v>-7.6501023223539775E-3</v>
      </c>
      <c r="CX728" s="47">
        <f t="shared" si="3792"/>
        <v>6.5727642628141958E-2</v>
      </c>
      <c r="CY728" s="47">
        <f t="shared" si="3792"/>
        <v>6.306728430127348E-2</v>
      </c>
      <c r="CZ728" s="48">
        <f t="shared" si="3792"/>
        <v>7.7459679552223409E-2</v>
      </c>
      <c r="DA728" s="47">
        <f t="shared" si="3792"/>
        <v>0.11903562902712794</v>
      </c>
      <c r="DB728" s="47">
        <f t="shared" si="3792"/>
        <v>0.14499167244559596</v>
      </c>
      <c r="DC728" s="47">
        <f t="shared" si="3792"/>
        <v>0.17280573910377089</v>
      </c>
      <c r="DD728" s="47">
        <f t="shared" si="3792"/>
        <v>0.21246315921739903</v>
      </c>
      <c r="DE728" s="47">
        <f t="shared" si="3792"/>
        <v>0.24943817055858636</v>
      </c>
      <c r="DF728" s="47">
        <f t="shared" si="3792"/>
        <v>0.27938744639088653</v>
      </c>
      <c r="DG728" s="47">
        <f t="shared" ref="DG728:DH728" si="3793">(DG525-DG522)/DG544</f>
        <v>0.30437738408268822</v>
      </c>
      <c r="DH728" s="47">
        <f t="shared" si="3793"/>
        <v>0.32507530306540949</v>
      </c>
      <c r="DI728" s="47">
        <f t="shared" ref="DI728" si="3794">(DI525-DI522)/DI544</f>
        <v>0.34357486314879282</v>
      </c>
    </row>
    <row r="729" spans="1:115" ht="12" hidden="1" outlineLevel="1">
      <c r="A729" s="1" t="s">
        <v>948</v>
      </c>
      <c r="B729" s="19" t="s">
        <v>199</v>
      </c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  <c r="AM729" s="47"/>
      <c r="AN729" s="47"/>
      <c r="AO729" s="47"/>
      <c r="AP729" s="47">
        <f t="shared" ref="AP729:AR729" si="3795">(AP525-AP522+AP546)/AP545</f>
        <v>4.0999999999999995E-2</v>
      </c>
      <c r="AQ729" s="47">
        <f t="shared" si="3795"/>
        <v>2.5306296356240213E-3</v>
      </c>
      <c r="AR729" s="47">
        <f t="shared" si="3795"/>
        <v>-1.8000000000000002E-2</v>
      </c>
      <c r="AS729" s="47">
        <f t="shared" ref="AS729:AT729" si="3796">(AS525-AS522+AS546)/AS545</f>
        <v>8.3455661698406992E-3</v>
      </c>
      <c r="AT729" s="47">
        <f t="shared" si="3796"/>
        <v>3.2000000000000001E-2</v>
      </c>
      <c r="AU729" s="47">
        <f t="shared" ref="AU729:AV729" si="3797">(AU525-AU522+AU546)/AU545</f>
        <v>3.3232364758504093E-2</v>
      </c>
      <c r="AV729" s="47">
        <f t="shared" si="3797"/>
        <v>3.9999999999999994E-2</v>
      </c>
      <c r="AW729" s="47">
        <f t="shared" ref="AW729:AX729" si="3798">(AW525-AW522+AW546)/AW545</f>
        <v>2.0983656109500374E-2</v>
      </c>
      <c r="AX729" s="47">
        <f t="shared" si="3798"/>
        <v>3.4700000000000002E-2</v>
      </c>
      <c r="AY729" s="47">
        <f t="shared" ref="AY729:BI729" si="3799">(AY525-AY522+AY546)/AY545</f>
        <v>3.8262302472216458E-2</v>
      </c>
      <c r="AZ729" s="48">
        <f t="shared" si="3799"/>
        <v>4.8488321177710646E-2</v>
      </c>
      <c r="BA729" s="47">
        <f t="shared" si="3799"/>
        <v>5.9126963975970469E-2</v>
      </c>
      <c r="BB729" s="47">
        <f t="shared" si="3799"/>
        <v>6.4172077435864575E-2</v>
      </c>
      <c r="BC729" s="47">
        <f t="shared" si="3799"/>
        <v>6.6433736055763207E-2</v>
      </c>
      <c r="BD729" s="47">
        <f t="shared" si="3799"/>
        <v>7.5361860217272592E-2</v>
      </c>
      <c r="BE729" s="47">
        <f t="shared" si="3799"/>
        <v>7.9722629834805728E-2</v>
      </c>
      <c r="BF729" s="47">
        <f t="shared" si="3799"/>
        <v>9.1053555840815301E-2</v>
      </c>
      <c r="BG729" s="47">
        <f t="shared" si="3799"/>
        <v>9.9170253238836131E-2</v>
      </c>
      <c r="BH729" s="47">
        <f t="shared" si="3799"/>
        <v>0.10927776475860145</v>
      </c>
      <c r="BI729" s="47">
        <f t="shared" si="3799"/>
        <v>0.11368849334922684</v>
      </c>
      <c r="BJ729" s="47">
        <f t="shared" ref="BJ729:BK729" si="3800">(BJ525-BJ522+BJ546)/BJ545</f>
        <v>0.12301559593492827</v>
      </c>
      <c r="BK729" s="47">
        <f t="shared" si="3800"/>
        <v>0.12647161786162947</v>
      </c>
      <c r="BL729" s="47">
        <f t="shared" ref="BL729:BM729" si="3801">(BL525-BL522+BL546)/BL545</f>
        <v>0.13435092236953139</v>
      </c>
      <c r="BM729" s="47">
        <f t="shared" si="3801"/>
        <v>0.13726560880683428</v>
      </c>
      <c r="BN729" s="47">
        <f t="shared" ref="BN729:BO729" si="3802">(BN525-BN522+BN546)/BN545</f>
        <v>0.14451567085652889</v>
      </c>
      <c r="BO729" s="47">
        <f t="shared" si="3802"/>
        <v>0.14542947017549307</v>
      </c>
      <c r="BP729" s="47">
        <f t="shared" ref="BP729:BQ729" si="3803">(BP525-BP522+BP546)/BP545</f>
        <v>0.15280765333570986</v>
      </c>
      <c r="BQ729" s="47">
        <f t="shared" si="3803"/>
        <v>0.15351938674387627</v>
      </c>
      <c r="BR729" s="47"/>
      <c r="BS729" s="47"/>
      <c r="BT729" s="47"/>
      <c r="BU729" s="47"/>
      <c r="BV729" s="47"/>
      <c r="BW729" s="47"/>
      <c r="BX729" s="47"/>
      <c r="BY729" s="47"/>
      <c r="BZ729" s="47"/>
      <c r="CA729" s="47"/>
      <c r="CB729" s="47"/>
      <c r="CC729" s="47"/>
      <c r="CD729" s="47"/>
      <c r="CE729" s="47"/>
      <c r="CF729" s="47"/>
      <c r="CG729" s="47"/>
      <c r="CH729" s="47"/>
      <c r="CI729" s="47"/>
      <c r="CJ729" s="47"/>
      <c r="CK729" s="47"/>
      <c r="CL729" s="47"/>
      <c r="CM729" s="47"/>
      <c r="CN729" s="47"/>
      <c r="CO729" s="47"/>
      <c r="CP729" s="47"/>
      <c r="CQ729" s="47"/>
      <c r="CR729" s="47"/>
      <c r="CS729" s="47"/>
      <c r="CT729" s="47"/>
      <c r="CU729" s="47"/>
      <c r="CV729" s="47">
        <f t="shared" ref="CV729:DF729" si="3804">(CV525-CV522+CV546)/CV545</f>
        <v>4.0846584250274508E-2</v>
      </c>
      <c r="CW729" s="47">
        <f t="shared" si="3804"/>
        <v>-7.6501023223539775E-3</v>
      </c>
      <c r="CX729" s="47">
        <f t="shared" si="3804"/>
        <v>6.5244315460983762E-2</v>
      </c>
      <c r="CY729" s="47">
        <f t="shared" si="3804"/>
        <v>6.0559567749303211E-2</v>
      </c>
      <c r="CZ729" s="48">
        <f t="shared" si="3804"/>
        <v>7.2957769283680585E-2</v>
      </c>
      <c r="DA729" s="47">
        <f t="shared" si="3804"/>
        <v>0.10762263375075419</v>
      </c>
      <c r="DB729" s="47">
        <f t="shared" si="3804"/>
        <v>0.13060581349162775</v>
      </c>
      <c r="DC729" s="47">
        <f t="shared" si="3804"/>
        <v>0.15513687586165489</v>
      </c>
      <c r="DD729" s="47">
        <f t="shared" si="3804"/>
        <v>0.19022380907965142</v>
      </c>
      <c r="DE729" s="47">
        <f t="shared" si="3804"/>
        <v>0.2229662581078283</v>
      </c>
      <c r="DF729" s="47">
        <f t="shared" si="3804"/>
        <v>0.24948721379655772</v>
      </c>
      <c r="DG729" s="47">
        <f t="shared" ref="DG729:DH729" si="3805">(DG525-DG522+DG546)/DG545</f>
        <v>0.27161653117636558</v>
      </c>
      <c r="DH729" s="47">
        <f t="shared" si="3805"/>
        <v>0.28994514103202196</v>
      </c>
      <c r="DI729" s="47">
        <f t="shared" ref="DI729" si="3806">(DI525-DI522+DI546)/DI545</f>
        <v>0.30632704007958617</v>
      </c>
    </row>
    <row r="730" spans="1:115" ht="12" hidden="1" outlineLevel="1">
      <c r="A730" s="1" t="s">
        <v>949</v>
      </c>
      <c r="B730" s="19" t="s">
        <v>200</v>
      </c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  <c r="AM730" s="47"/>
      <c r="AN730" s="47"/>
      <c r="AO730" s="47"/>
      <c r="AP730" s="47">
        <f t="shared" ref="AP730:AR730" si="3807">AP515/AP544</f>
        <v>-1.2126865671641779E-2</v>
      </c>
      <c r="AQ730" s="47">
        <f t="shared" si="3807"/>
        <v>2.0396986741224392E-3</v>
      </c>
      <c r="AR730" s="47">
        <f t="shared" si="3807"/>
        <v>7.8260869565218469E-4</v>
      </c>
      <c r="AS730" s="47">
        <f t="shared" ref="AS730:AT730" si="3808">AS515/AS544</f>
        <v>8.3455661698406992E-3</v>
      </c>
      <c r="AT730" s="47">
        <f t="shared" si="3808"/>
        <v>3.2000000000000001E-2</v>
      </c>
      <c r="AU730" s="616">
        <f t="shared" ref="AU730:AV730" si="3809">AU515/AU544</f>
        <v>3.3739782472223152E-2</v>
      </c>
      <c r="AV730" s="616">
        <f t="shared" si="3809"/>
        <v>4.1448819407768366E-2</v>
      </c>
      <c r="AW730" s="616">
        <f t="shared" ref="AW730:AX730" si="3810">AW515/AW544</f>
        <v>2.163524923630885E-2</v>
      </c>
      <c r="AX730" s="616">
        <f t="shared" si="3810"/>
        <v>3.6740000000000002E-2</v>
      </c>
      <c r="AY730" s="47">
        <f t="shared" ref="AY730:BI730" si="3811">AY515/AY544</f>
        <v>4.0713179194456786E-2</v>
      </c>
      <c r="AZ730" s="48">
        <f t="shared" si="3811"/>
        <v>5.3505774064442499E-2</v>
      </c>
      <c r="BA730" s="47">
        <f t="shared" si="3811"/>
        <v>6.5521539530422584E-2</v>
      </c>
      <c r="BB730" s="47">
        <f t="shared" si="3811"/>
        <v>7.1218826475471481E-2</v>
      </c>
      <c r="BC730" s="47">
        <f t="shared" si="3811"/>
        <v>7.3772845970124498E-2</v>
      </c>
      <c r="BD730" s="47">
        <f t="shared" si="3811"/>
        <v>8.3892897718386872E-2</v>
      </c>
      <c r="BE730" s="47">
        <f t="shared" si="3811"/>
        <v>8.8852958777341257E-2</v>
      </c>
      <c r="BF730" s="47">
        <f t="shared" si="3811"/>
        <v>0.10164861487557071</v>
      </c>
      <c r="BG730" s="47">
        <f t="shared" si="3811"/>
        <v>0.11081454434182837</v>
      </c>
      <c r="BH730" s="47">
        <f t="shared" si="3811"/>
        <v>0.12222863718359749</v>
      </c>
      <c r="BI730" s="47">
        <f t="shared" si="3811"/>
        <v>0.12720953337498891</v>
      </c>
      <c r="BJ730" s="47">
        <f t="shared" ref="BJ730:BK730" si="3812">BJ515/BJ544</f>
        <v>0.13774233510860223</v>
      </c>
      <c r="BK730" s="47">
        <f t="shared" si="3812"/>
        <v>0.14164511128228433</v>
      </c>
      <c r="BL730" s="47">
        <f t="shared" ref="BL730:BM730" si="3813">BL515/BL544</f>
        <v>0.15054296047156238</v>
      </c>
      <c r="BM730" s="47">
        <f t="shared" si="3813"/>
        <v>0.15383442361112584</v>
      </c>
      <c r="BN730" s="47">
        <f t="shared" ref="BN730:BO730" si="3814">BN515/BN544</f>
        <v>0.1620216892087932</v>
      </c>
      <c r="BO730" s="47">
        <f t="shared" si="3814"/>
        <v>0.1630536138566164</v>
      </c>
      <c r="BP730" s="47">
        <f t="shared" ref="BP730:BQ730" si="3815">BP515/BP544</f>
        <v>0.17138556256917623</v>
      </c>
      <c r="BQ730" s="47">
        <f t="shared" si="3815"/>
        <v>0.17218930057961665</v>
      </c>
      <c r="BR730" s="47"/>
      <c r="BS730" s="47"/>
      <c r="BT730" s="47"/>
      <c r="BU730" s="47"/>
      <c r="BV730" s="47"/>
      <c r="BW730" s="47"/>
      <c r="BX730" s="47"/>
      <c r="BY730" s="47"/>
      <c r="BZ730" s="47"/>
      <c r="CA730" s="47"/>
      <c r="CB730" s="47"/>
      <c r="CC730" s="47"/>
      <c r="CD730" s="47"/>
      <c r="CE730" s="47"/>
      <c r="CF730" s="47"/>
      <c r="CG730" s="47"/>
      <c r="CH730" s="47"/>
      <c r="CI730" s="47"/>
      <c r="CJ730" s="47"/>
      <c r="CK730" s="47"/>
      <c r="CL730" s="47"/>
      <c r="CM730" s="47"/>
      <c r="CN730" s="47"/>
      <c r="CO730" s="47"/>
      <c r="CP730" s="47"/>
      <c r="CQ730" s="47"/>
      <c r="CR730" s="47"/>
      <c r="CS730" s="47"/>
      <c r="CT730" s="47"/>
      <c r="CU730" s="47"/>
      <c r="CV730" s="47">
        <f t="shared" ref="CV730:DE730" si="3816">CV515/CV544</f>
        <v>-8.8572295934922895E-3</v>
      </c>
      <c r="CW730" s="47">
        <f t="shared" si="3816"/>
        <v>9.0410300173274331E-3</v>
      </c>
      <c r="CX730" s="47">
        <f>CX515/CX544</f>
        <v>6.5727642628141986E-2</v>
      </c>
      <c r="CY730" s="47">
        <f t="shared" si="3816"/>
        <v>6.3067284301273438E-2</v>
      </c>
      <c r="CZ730" s="48">
        <f t="shared" si="3816"/>
        <v>7.7459679552223451E-2</v>
      </c>
      <c r="DA730" s="47">
        <f t="shared" si="3816"/>
        <v>0.11903562902712791</v>
      </c>
      <c r="DB730" s="47">
        <f t="shared" si="3816"/>
        <v>0.14499167244559608</v>
      </c>
      <c r="DC730" s="47">
        <f t="shared" si="3816"/>
        <v>0.17280573910377092</v>
      </c>
      <c r="DD730" s="47">
        <f t="shared" si="3816"/>
        <v>0.21246315921739908</v>
      </c>
      <c r="DE730" s="47">
        <f t="shared" si="3816"/>
        <v>0.24943817055858633</v>
      </c>
      <c r="DF730" s="47">
        <f>DF515/DF544</f>
        <v>0.27938744639088647</v>
      </c>
      <c r="DG730" s="47">
        <f>DG515/DG544</f>
        <v>0.30437738408268827</v>
      </c>
      <c r="DH730" s="47">
        <f>DH515/DH544</f>
        <v>0.32507530306540966</v>
      </c>
      <c r="DI730" s="47">
        <f>DI515/DI544</f>
        <v>0.34357486314879276</v>
      </c>
    </row>
    <row r="731" spans="1:115" s="68" customFormat="1" ht="12" hidden="1" outlineLevel="1">
      <c r="A731" s="1" t="s">
        <v>950</v>
      </c>
      <c r="B731" s="548" t="s">
        <v>201</v>
      </c>
      <c r="C731" s="408"/>
      <c r="D731" s="408"/>
      <c r="E731" s="408"/>
      <c r="F731" s="408"/>
      <c r="G731" s="408"/>
      <c r="H731" s="408"/>
      <c r="I731" s="408"/>
      <c r="J731" s="408"/>
      <c r="K731" s="408"/>
      <c r="L731" s="408"/>
      <c r="M731" s="408"/>
      <c r="N731" s="408"/>
      <c r="O731" s="408"/>
      <c r="P731" s="408"/>
      <c r="Q731" s="408"/>
      <c r="R731" s="408"/>
      <c r="S731" s="408"/>
      <c r="T731" s="394"/>
      <c r="U731" s="408"/>
      <c r="V731" s="408"/>
      <c r="W731" s="408"/>
      <c r="X731" s="408"/>
      <c r="Y731" s="394"/>
      <c r="Z731" s="394"/>
      <c r="AA731" s="394"/>
      <c r="AB731" s="394"/>
      <c r="AC731" s="394"/>
      <c r="AD731" s="394"/>
      <c r="AE731" s="394"/>
      <c r="AF731" s="394"/>
      <c r="AG731" s="394"/>
      <c r="AH731" s="394"/>
      <c r="AI731" s="394"/>
      <c r="AJ731" s="394"/>
      <c r="AK731" s="394"/>
      <c r="AL731" s="394"/>
      <c r="AM731" s="394"/>
      <c r="AN731" s="394"/>
      <c r="AO731" s="394"/>
      <c r="AP731" s="285"/>
      <c r="AQ731" s="285">
        <f t="shared" ref="AQ731" si="3817">AQ730/AP730-1</f>
        <v>-1.1681966906660968</v>
      </c>
      <c r="AR731" s="285">
        <f t="shared" ref="AR731:AX731" si="3818">AR730/AQ730-1</f>
        <v>-0.61631161230768827</v>
      </c>
      <c r="AS731" s="285">
        <f t="shared" si="3818"/>
        <v>9.6637789947963029</v>
      </c>
      <c r="AT731" s="285">
        <f t="shared" si="3818"/>
        <v>2.834371371428575</v>
      </c>
      <c r="AU731" s="285">
        <f t="shared" si="3818"/>
        <v>5.4368202256973586E-2</v>
      </c>
      <c r="AV731" s="285">
        <f t="shared" si="3818"/>
        <v>0.22848508113209709</v>
      </c>
      <c r="AW731" s="285">
        <f t="shared" si="3818"/>
        <v>-0.47802495835975589</v>
      </c>
      <c r="AX731" s="285">
        <f t="shared" si="3818"/>
        <v>0.6981546918508319</v>
      </c>
      <c r="AY731" s="285">
        <f t="shared" ref="AY731:BI731" si="3819">AY730/AX730-1</f>
        <v>0.10814314628352695</v>
      </c>
      <c r="AZ731" s="286">
        <f t="shared" si="3819"/>
        <v>0.31421262409611717</v>
      </c>
      <c r="BA731" s="162">
        <f t="shared" si="3819"/>
        <v>0.22456951004032333</v>
      </c>
      <c r="BB731" s="162">
        <f t="shared" si="3819"/>
        <v>8.6952885812513037E-2</v>
      </c>
      <c r="BC731" s="162">
        <f t="shared" si="3819"/>
        <v>3.586157791483191E-2</v>
      </c>
      <c r="BD731" s="162">
        <f t="shared" si="3819"/>
        <v>0.13717854605149227</v>
      </c>
      <c r="BE731" s="162">
        <f t="shared" si="3819"/>
        <v>5.9123730301990474E-2</v>
      </c>
      <c r="BF731" s="162">
        <f t="shared" si="3819"/>
        <v>0.14400934166181667</v>
      </c>
      <c r="BG731" s="162">
        <f t="shared" si="3819"/>
        <v>9.0172694212093063E-2</v>
      </c>
      <c r="BH731" s="162">
        <f t="shared" si="3819"/>
        <v>0.10300175766242559</v>
      </c>
      <c r="BI731" s="162">
        <f t="shared" si="3819"/>
        <v>4.0750648180014615E-2</v>
      </c>
      <c r="BJ731" s="162">
        <f t="shared" ref="BJ731" si="3820">BJ730/BI730-1</f>
        <v>8.2798839475062502E-2</v>
      </c>
      <c r="BK731" s="162">
        <f t="shared" ref="BK731" si="3821">BK730/BJ730-1</f>
        <v>2.8333890017219199E-2</v>
      </c>
      <c r="BL731" s="162">
        <f t="shared" ref="BL731" si="3822">BL730/BK730-1</f>
        <v>6.2817905317928968E-2</v>
      </c>
      <c r="BM731" s="162">
        <f t="shared" ref="BM731" si="3823">BM730/BL730-1</f>
        <v>2.1863945874674329E-2</v>
      </c>
      <c r="BN731" s="162">
        <f t="shared" ref="BN731" si="3824">BN730/BM730-1</f>
        <v>5.3221284322966245E-2</v>
      </c>
      <c r="BO731" s="162">
        <f t="shared" ref="BO731" si="3825">BO730/BN730-1</f>
        <v>6.3690525192179326E-3</v>
      </c>
      <c r="BP731" s="162">
        <f t="shared" ref="BP731" si="3826">BP730/BO730-1</f>
        <v>5.1099442174195708E-2</v>
      </c>
      <c r="BQ731" s="162">
        <f t="shared" ref="BQ731" si="3827">BQ730/BP730-1</f>
        <v>4.6896482900420366E-3</v>
      </c>
      <c r="BR731" s="162"/>
      <c r="BS731" s="162"/>
      <c r="BT731" s="162"/>
      <c r="BU731" s="162"/>
      <c r="BV731" s="162"/>
      <c r="BW731" s="162"/>
      <c r="BX731" s="162"/>
      <c r="BY731" s="162"/>
      <c r="BZ731" s="162"/>
      <c r="CA731" s="162"/>
      <c r="CB731" s="162"/>
      <c r="CC731" s="162"/>
      <c r="CD731" s="162"/>
      <c r="CE731" s="162"/>
      <c r="CF731" s="162"/>
      <c r="CG731" s="162"/>
      <c r="CH731" s="162"/>
      <c r="CI731" s="162"/>
      <c r="CJ731" s="162"/>
      <c r="CK731" s="162"/>
      <c r="CL731" s="162"/>
      <c r="CM731" s="285"/>
      <c r="CN731" s="285"/>
      <c r="CO731" s="285"/>
      <c r="CP731" s="285"/>
      <c r="CQ731" s="285"/>
      <c r="CR731" s="285"/>
      <c r="CS731" s="285"/>
      <c r="CT731" s="285"/>
      <c r="CU731" s="285"/>
      <c r="CV731" s="285"/>
      <c r="CW731" s="285">
        <f t="shared" ref="CW731:DI731" si="3828">CW730/CV730-1</f>
        <v>-2.020751457540424</v>
      </c>
      <c r="CX731" s="285">
        <f t="shared" si="3828"/>
        <v>6.2699285924471866</v>
      </c>
      <c r="CY731" s="285">
        <f t="shared" si="3828"/>
        <v>-4.0475486728159149E-2</v>
      </c>
      <c r="CZ731" s="286">
        <f t="shared" si="3828"/>
        <v>0.22820699211016149</v>
      </c>
      <c r="DA731" s="162">
        <f t="shared" si="3828"/>
        <v>0.53674311222619875</v>
      </c>
      <c r="DB731" s="162">
        <f t="shared" si="3828"/>
        <v>0.21805272615103211</v>
      </c>
      <c r="DC731" s="162">
        <f t="shared" si="3828"/>
        <v>0.19183216655847102</v>
      </c>
      <c r="DD731" s="162">
        <f t="shared" si="3828"/>
        <v>0.22949133703142599</v>
      </c>
      <c r="DE731" s="162">
        <f t="shared" si="3828"/>
        <v>0.17403022470993768</v>
      </c>
      <c r="DF731" s="162">
        <f t="shared" si="3828"/>
        <v>0.12006693187827833</v>
      </c>
      <c r="DG731" s="162">
        <f t="shared" si="3828"/>
        <v>8.9445456532212253E-2</v>
      </c>
      <c r="DH731" s="162">
        <f t="shared" si="3828"/>
        <v>6.8000843903364805E-2</v>
      </c>
      <c r="DI731" s="162">
        <f t="shared" si="3828"/>
        <v>5.6908537526336511E-2</v>
      </c>
      <c r="DJ731" s="548"/>
      <c r="DK731" s="548"/>
    </row>
    <row r="732" spans="1:115" ht="12" hidden="1" outlineLevel="1">
      <c r="A732" s="1" t="s">
        <v>107</v>
      </c>
      <c r="B732" s="19" t="s">
        <v>202</v>
      </c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  <c r="AM732" s="47"/>
      <c r="AN732" s="47"/>
      <c r="AO732" s="47"/>
      <c r="AP732" s="47">
        <f t="shared" ref="AP732:AR732" si="3829">(AP515+AP546)/AP545</f>
        <v>-9.9440298507462582E-3</v>
      </c>
      <c r="AQ732" s="47">
        <f t="shared" si="3829"/>
        <v>1.7314834349006479E-3</v>
      </c>
      <c r="AR732" s="47">
        <f t="shared" si="3829"/>
        <v>7.8260869565218469E-4</v>
      </c>
      <c r="AS732" s="47">
        <f t="shared" ref="AS732:AT732" si="3830">(AS515+AS546)/AS545</f>
        <v>8.3455661698406992E-3</v>
      </c>
      <c r="AT732" s="47">
        <f t="shared" si="3830"/>
        <v>3.2000000000000001E-2</v>
      </c>
      <c r="AU732" s="616">
        <f t="shared" ref="AU732:AV732" si="3831">(AU515+AU546)/AU545</f>
        <v>3.3232364758504093E-2</v>
      </c>
      <c r="AV732" s="616">
        <f t="shared" si="3831"/>
        <v>3.9999999999999994E-2</v>
      </c>
      <c r="AW732" s="616">
        <f t="shared" ref="AW732:AX732" si="3832">(AW515+AW546)/AW545</f>
        <v>2.0983656109500374E-2</v>
      </c>
      <c r="AX732" s="616">
        <f t="shared" si="3832"/>
        <v>3.4700000000000002E-2</v>
      </c>
      <c r="AY732" s="47">
        <f t="shared" ref="AY732:BI732" si="3833">(AY515+AY546)/AY545</f>
        <v>3.8262302472216458E-2</v>
      </c>
      <c r="AZ732" s="48">
        <f t="shared" si="3833"/>
        <v>4.8488321177710646E-2</v>
      </c>
      <c r="BA732" s="47">
        <f t="shared" si="3833"/>
        <v>5.9126963975970469E-2</v>
      </c>
      <c r="BB732" s="47">
        <f t="shared" si="3833"/>
        <v>6.4172077435864575E-2</v>
      </c>
      <c r="BC732" s="47">
        <f t="shared" si="3833"/>
        <v>6.6433736055763207E-2</v>
      </c>
      <c r="BD732" s="47">
        <f t="shared" si="3833"/>
        <v>7.5361860217272592E-2</v>
      </c>
      <c r="BE732" s="47">
        <f>(BE515+BE546)/BE545</f>
        <v>7.9722629834805728E-2</v>
      </c>
      <c r="BF732" s="47">
        <f t="shared" si="3833"/>
        <v>9.1053555840815301E-2</v>
      </c>
      <c r="BG732" s="47">
        <f t="shared" si="3833"/>
        <v>9.9170253238836131E-2</v>
      </c>
      <c r="BH732" s="47">
        <f t="shared" si="3833"/>
        <v>0.10927776475860145</v>
      </c>
      <c r="BI732" s="47">
        <f t="shared" si="3833"/>
        <v>0.11368849334922684</v>
      </c>
      <c r="BJ732" s="47">
        <f t="shared" ref="BJ732:BK732" si="3834">(BJ515+BJ546)/BJ545</f>
        <v>0.12301559593492827</v>
      </c>
      <c r="BK732" s="47">
        <f t="shared" si="3834"/>
        <v>0.12647161786162947</v>
      </c>
      <c r="BL732" s="47">
        <f t="shared" ref="BL732:BM732" si="3835">(BL515+BL546)/BL545</f>
        <v>0.13435092236953139</v>
      </c>
      <c r="BM732" s="47">
        <f t="shared" si="3835"/>
        <v>0.13726560880683428</v>
      </c>
      <c r="BN732" s="47">
        <f t="shared" ref="BN732:BO732" si="3836">(BN515+BN546)/BN545</f>
        <v>0.14451567085652889</v>
      </c>
      <c r="BO732" s="47">
        <f t="shared" si="3836"/>
        <v>0.14542947017549307</v>
      </c>
      <c r="BP732" s="47">
        <f t="shared" ref="BP732:BQ732" si="3837">(BP515+BP546)/BP545</f>
        <v>0.15280765333570986</v>
      </c>
      <c r="BQ732" s="47">
        <f t="shared" si="3837"/>
        <v>0.15351938674387627</v>
      </c>
      <c r="BR732" s="47"/>
      <c r="BS732" s="47"/>
      <c r="BT732" s="47"/>
      <c r="BU732" s="47"/>
      <c r="BV732" s="47"/>
      <c r="BW732" s="47"/>
      <c r="BX732" s="47"/>
      <c r="BY732" s="47"/>
      <c r="BZ732" s="47"/>
      <c r="CA732" s="47"/>
      <c r="CB732" s="47"/>
      <c r="CC732" s="47"/>
      <c r="CD732" s="47"/>
      <c r="CE732" s="47"/>
      <c r="CF732" s="47"/>
      <c r="CG732" s="47"/>
      <c r="CH732" s="47"/>
      <c r="CI732" s="47"/>
      <c r="CJ732" s="47"/>
      <c r="CK732" s="47"/>
      <c r="CL732" s="47"/>
      <c r="CM732" s="47"/>
      <c r="CN732" s="47"/>
      <c r="CO732" s="47"/>
      <c r="CP732" s="47"/>
      <c r="CQ732" s="47"/>
      <c r="CR732" s="47"/>
      <c r="CS732" s="47"/>
      <c r="CT732" s="47"/>
      <c r="CU732" s="47"/>
      <c r="CV732" s="47">
        <f t="shared" ref="CV732:DH732" si="3838">(CV515+CV546)/CV545</f>
        <v>-7.4007748467396269E-3</v>
      </c>
      <c r="CW732" s="47">
        <f t="shared" si="3838"/>
        <v>9.0410300173274331E-3</v>
      </c>
      <c r="CX732" s="47">
        <f t="shared" si="3838"/>
        <v>6.524431546098379E-2</v>
      </c>
      <c r="CY732" s="47">
        <f t="shared" si="3838"/>
        <v>6.0559567749303163E-2</v>
      </c>
      <c r="CZ732" s="48">
        <f t="shared" si="3838"/>
        <v>7.2957769283680612E-2</v>
      </c>
      <c r="DA732" s="47">
        <f t="shared" si="3838"/>
        <v>0.10762263375075418</v>
      </c>
      <c r="DB732" s="47">
        <f t="shared" si="3838"/>
        <v>0.13060581349162786</v>
      </c>
      <c r="DC732" s="47">
        <f t="shared" si="3838"/>
        <v>0.15513687586165492</v>
      </c>
      <c r="DD732" s="47">
        <f t="shared" si="3838"/>
        <v>0.19022380907965145</v>
      </c>
      <c r="DE732" s="47">
        <f t="shared" si="3838"/>
        <v>0.22296625810782827</v>
      </c>
      <c r="DF732" s="47">
        <f t="shared" si="3838"/>
        <v>0.24948721379655769</v>
      </c>
      <c r="DG732" s="47">
        <f t="shared" si="3838"/>
        <v>0.27161653117636564</v>
      </c>
      <c r="DH732" s="47">
        <f t="shared" si="3838"/>
        <v>0.28994514103202207</v>
      </c>
      <c r="DI732" s="47">
        <f t="shared" ref="DI732" si="3839">(DI515+DI546)/DI545</f>
        <v>0.30632704007958611</v>
      </c>
    </row>
    <row r="733" spans="1:115" s="68" customFormat="1" ht="12" hidden="1" outlineLevel="1">
      <c r="A733" s="1" t="s">
        <v>106</v>
      </c>
      <c r="B733" s="548" t="s">
        <v>127</v>
      </c>
      <c r="C733" s="408"/>
      <c r="D733" s="408"/>
      <c r="E733" s="408"/>
      <c r="F733" s="408"/>
      <c r="G733" s="408"/>
      <c r="H733" s="408"/>
      <c r="I733" s="408"/>
      <c r="J733" s="408"/>
      <c r="K733" s="408"/>
      <c r="L733" s="408"/>
      <c r="M733" s="408"/>
      <c r="N733" s="408"/>
      <c r="O733" s="408"/>
      <c r="P733" s="408"/>
      <c r="Q733" s="408"/>
      <c r="R733" s="408"/>
      <c r="S733" s="408"/>
      <c r="T733" s="394"/>
      <c r="U733" s="408"/>
      <c r="V733" s="408"/>
      <c r="W733" s="408"/>
      <c r="X733" s="408"/>
      <c r="Y733" s="394"/>
      <c r="Z733" s="394"/>
      <c r="AA733" s="394"/>
      <c r="AB733" s="394"/>
      <c r="AC733" s="394"/>
      <c r="AD733" s="394"/>
      <c r="AE733" s="394"/>
      <c r="AF733" s="394"/>
      <c r="AG733" s="394"/>
      <c r="AH733" s="394"/>
      <c r="AI733" s="394"/>
      <c r="AJ733" s="394"/>
      <c r="AK733" s="394"/>
      <c r="AL733" s="394"/>
      <c r="AM733" s="394"/>
      <c r="AN733" s="394"/>
      <c r="AO733" s="394"/>
      <c r="AP733" s="285"/>
      <c r="AQ733" s="285">
        <f t="shared" ref="AQ733" si="3840">AQ732/AP732-1</f>
        <v>-1.1741229120275325</v>
      </c>
      <c r="AR733" s="285">
        <f t="shared" ref="AR733:AX733" si="3841">AR732/AQ732-1</f>
        <v>-0.54801260013377462</v>
      </c>
      <c r="AS733" s="285">
        <f t="shared" si="3841"/>
        <v>9.6637789947963029</v>
      </c>
      <c r="AT733" s="285">
        <f t="shared" si="3841"/>
        <v>2.834371371428575</v>
      </c>
      <c r="AU733" s="285">
        <f t="shared" si="3841"/>
        <v>3.8511398703252819E-2</v>
      </c>
      <c r="AV733" s="285">
        <f t="shared" si="3841"/>
        <v>0.2036459123711345</v>
      </c>
      <c r="AW733" s="285">
        <f t="shared" si="3841"/>
        <v>-0.47540859726249052</v>
      </c>
      <c r="AX733" s="285">
        <f t="shared" si="3841"/>
        <v>0.65366796991538267</v>
      </c>
      <c r="AY733" s="285">
        <f t="shared" ref="AY733:BI733" si="3842">AY732/AX732-1</f>
        <v>0.10266001360854338</v>
      </c>
      <c r="AZ733" s="286">
        <f t="shared" si="3842"/>
        <v>0.26726093425558073</v>
      </c>
      <c r="BA733" s="162">
        <f t="shared" si="3842"/>
        <v>0.21940629289409697</v>
      </c>
      <c r="BB733" s="162">
        <f t="shared" si="3842"/>
        <v>8.5326780213921927E-2</v>
      </c>
      <c r="BC733" s="162">
        <f t="shared" si="3842"/>
        <v>3.5243655967955867E-2</v>
      </c>
      <c r="BD733" s="162">
        <f t="shared" si="3842"/>
        <v>0.13439142055800213</v>
      </c>
      <c r="BE733" s="162">
        <f t="shared" si="3842"/>
        <v>5.7864410524909982E-2</v>
      </c>
      <c r="BF733" s="162">
        <f t="shared" si="3842"/>
        <v>0.14212935561067819</v>
      </c>
      <c r="BG733" s="162">
        <f t="shared" si="3842"/>
        <v>8.91420145327535E-2</v>
      </c>
      <c r="BH733" s="162">
        <f t="shared" si="3842"/>
        <v>0.10192079973238499</v>
      </c>
      <c r="BI733" s="162">
        <f t="shared" si="3842"/>
        <v>4.0362544021364855E-2</v>
      </c>
      <c r="BJ733" s="162">
        <f t="shared" ref="BJ733" si="3843">BJ732/BI732-1</f>
        <v>8.2040867205888102E-2</v>
      </c>
      <c r="BK733" s="162">
        <f t="shared" ref="BK733" si="3844">BK732/BJ732-1</f>
        <v>2.8094177006054988E-2</v>
      </c>
      <c r="BL733" s="162">
        <f t="shared" ref="BL733" si="3845">BL732/BK732-1</f>
        <v>6.2300970297719527E-2</v>
      </c>
      <c r="BM733" s="162">
        <f t="shared" ref="BM733" si="3846">BM732/BL732-1</f>
        <v>2.1694577051626585E-2</v>
      </c>
      <c r="BN733" s="162">
        <f t="shared" ref="BN733" si="3847">BN732/BM732-1</f>
        <v>5.2817760491611576E-2</v>
      </c>
      <c r="BO733" s="162">
        <f t="shared" ref="BO733" si="3848">BO732/BN732-1</f>
        <v>6.3231849774365578E-3</v>
      </c>
      <c r="BP733" s="162">
        <f t="shared" ref="BP733" si="3849">BP732/BO732-1</f>
        <v>5.0733755347615483E-2</v>
      </c>
      <c r="BQ733" s="162">
        <f t="shared" ref="BQ733" si="3850">BQ732/BP732-1</f>
        <v>4.6577078610243738E-3</v>
      </c>
      <c r="BR733" s="162"/>
      <c r="BS733" s="162"/>
      <c r="BT733" s="162"/>
      <c r="BU733" s="162"/>
      <c r="BV733" s="162"/>
      <c r="BW733" s="162"/>
      <c r="BX733" s="162"/>
      <c r="BY733" s="162"/>
      <c r="BZ733" s="162"/>
      <c r="CA733" s="162"/>
      <c r="CB733" s="162"/>
      <c r="CC733" s="162"/>
      <c r="CD733" s="162"/>
      <c r="CE733" s="162"/>
      <c r="CF733" s="162"/>
      <c r="CG733" s="162"/>
      <c r="CH733" s="162"/>
      <c r="CI733" s="162"/>
      <c r="CJ733" s="162"/>
      <c r="CK733" s="162"/>
      <c r="CL733" s="162"/>
      <c r="CM733" s="285"/>
      <c r="CN733" s="285"/>
      <c r="CO733" s="285"/>
      <c r="CP733" s="285"/>
      <c r="CQ733" s="285"/>
      <c r="CR733" s="285"/>
      <c r="CS733" s="285"/>
      <c r="CT733" s="285"/>
      <c r="CU733" s="285"/>
      <c r="CV733" s="285"/>
      <c r="CW733" s="285">
        <f t="shared" ref="CW733:DI733" si="3851">CW732/CV732-1</f>
        <v>-2.2216328971702755</v>
      </c>
      <c r="CX733" s="285">
        <f t="shared" si="3851"/>
        <v>6.2164692890014637</v>
      </c>
      <c r="CY733" s="285">
        <f t="shared" si="3851"/>
        <v>-7.180315524165648E-2</v>
      </c>
      <c r="CZ733" s="286">
        <f t="shared" si="3851"/>
        <v>0.20472737826831855</v>
      </c>
      <c r="DA733" s="162">
        <f t="shared" si="3851"/>
        <v>0.47513602468143845</v>
      </c>
      <c r="DB733" s="162">
        <f t="shared" si="3851"/>
        <v>0.21355340359074448</v>
      </c>
      <c r="DC733" s="162">
        <f t="shared" si="3851"/>
        <v>0.18782519486852367</v>
      </c>
      <c r="DD733" s="162">
        <f t="shared" si="3851"/>
        <v>0.22616758925379998</v>
      </c>
      <c r="DE733" s="162">
        <f t="shared" si="3851"/>
        <v>0.17212592464945731</v>
      </c>
      <c r="DF733" s="162">
        <f t="shared" si="3851"/>
        <v>0.1189460500157995</v>
      </c>
      <c r="DG733" s="162">
        <f t="shared" si="3851"/>
        <v>8.8699204432388656E-2</v>
      </c>
      <c r="DH733" s="162">
        <f t="shared" si="3851"/>
        <v>6.7479728778935488E-2</v>
      </c>
      <c r="DI733" s="162">
        <f t="shared" si="3851"/>
        <v>5.6499995099951628E-2</v>
      </c>
      <c r="DJ733" s="548"/>
      <c r="DK733" s="548"/>
    </row>
    <row r="734" spans="1:115" ht="12" hidden="1" outlineLevel="1">
      <c r="A734" s="1" t="s">
        <v>951</v>
      </c>
      <c r="B734" s="19" t="s">
        <v>53</v>
      </c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  <c r="AB734" s="47"/>
      <c r="AC734" s="47"/>
      <c r="AD734" s="47"/>
      <c r="AE734" s="47"/>
      <c r="AF734" s="47"/>
      <c r="AG734" s="47"/>
      <c r="AH734" s="47"/>
      <c r="AI734" s="47"/>
      <c r="AJ734" s="47"/>
      <c r="AK734" s="47"/>
      <c r="AL734" s="47"/>
      <c r="AM734" s="47"/>
      <c r="AN734" s="47"/>
      <c r="AO734" s="47"/>
      <c r="AP734" s="47">
        <f t="shared" ref="AP734:AR734" si="3852">AP454/AP544</f>
        <v>3.5447761194029948E-3</v>
      </c>
      <c r="AQ734" s="47">
        <f t="shared" si="3852"/>
        <v>1.2551991840753498E-3</v>
      </c>
      <c r="AR734" s="47">
        <f t="shared" si="3852"/>
        <v>1.4086956521739153E-2</v>
      </c>
      <c r="AS734" s="47">
        <f t="shared" ref="AS734:AT734" si="3853">AS454/AS544</f>
        <v>2.8215961812318571E-2</v>
      </c>
      <c r="AT734" s="47">
        <f t="shared" si="3853"/>
        <v>6.6925207756232702E-2</v>
      </c>
      <c r="AU734" s="47">
        <f t="shared" ref="AU734:AV734" si="3854">AU454/AU544</f>
        <v>7.8334186651327756E-2</v>
      </c>
      <c r="AV734" s="47">
        <f t="shared" si="3854"/>
        <v>8.5064897346661866E-2</v>
      </c>
      <c r="AW734" s="47">
        <f t="shared" ref="AW734:AX734" si="3855">AW454/AW544</f>
        <v>7.2297791197998687E-2</v>
      </c>
      <c r="AX734" s="47">
        <f t="shared" si="3855"/>
        <v>7.6803667481662577E-2</v>
      </c>
      <c r="AY734" s="47">
        <f t="shared" ref="AY734:BI734" si="3856">AY454/AY544</f>
        <v>0.10343831900833413</v>
      </c>
      <c r="AZ734" s="48">
        <f t="shared" si="3856"/>
        <v>0.11308565937493191</v>
      </c>
      <c r="BA734" s="47">
        <f t="shared" si="3856"/>
        <v>0.13370519521255936</v>
      </c>
      <c r="BB734" s="47">
        <f t="shared" si="3856"/>
        <v>0.1499131818409595</v>
      </c>
      <c r="BC734" s="47">
        <f t="shared" si="3856"/>
        <v>0.16373221546833069</v>
      </c>
      <c r="BD734" s="47">
        <f t="shared" si="3856"/>
        <v>0.17554251212703828</v>
      </c>
      <c r="BE734" s="47">
        <f t="shared" si="3856"/>
        <v>0.18603009259651063</v>
      </c>
      <c r="BF734" s="47">
        <f t="shared" si="3856"/>
        <v>0.20125855798932138</v>
      </c>
      <c r="BG734" s="47">
        <f t="shared" si="3856"/>
        <v>0.21500793082107267</v>
      </c>
      <c r="BH734" s="47">
        <f t="shared" si="3856"/>
        <v>0.2297364559616597</v>
      </c>
      <c r="BI734" s="47">
        <f t="shared" si="3856"/>
        <v>0.24146243063584324</v>
      </c>
      <c r="BJ734" s="47">
        <f t="shared" ref="BJ734:BK734" si="3857">BJ454/BJ544</f>
        <v>0.25429011172426064</v>
      </c>
      <c r="BK734" s="47">
        <f t="shared" si="3857"/>
        <v>0.2644024433436134</v>
      </c>
      <c r="BL734" s="47">
        <f t="shared" ref="BL734:BM734" si="3858">BL454/BL544</f>
        <v>0.2739840370987992</v>
      </c>
      <c r="BM734" s="47">
        <f t="shared" si="3858"/>
        <v>0.28291007694770504</v>
      </c>
      <c r="BN734" s="47">
        <f t="shared" ref="BN734:BO734" si="3859">BN454/BN544</f>
        <v>0.29154934323808307</v>
      </c>
      <c r="BO734" s="47">
        <f t="shared" si="3859"/>
        <v>0.29712278150785115</v>
      </c>
      <c r="BP734" s="47">
        <f t="shared" ref="BP734:BQ734" si="3860">BP454/BP544</f>
        <v>0.30658047421980672</v>
      </c>
      <c r="BQ734" s="47">
        <f t="shared" si="3860"/>
        <v>0.31198057496720921</v>
      </c>
      <c r="BR734" s="47"/>
      <c r="BS734" s="47"/>
      <c r="BT734" s="47"/>
      <c r="BU734" s="47"/>
      <c r="BV734" s="47"/>
      <c r="BW734" s="47"/>
      <c r="BX734" s="47"/>
      <c r="BY734" s="47"/>
      <c r="BZ734" s="47"/>
      <c r="CA734" s="47"/>
      <c r="CB734" s="47"/>
      <c r="CC734" s="47"/>
      <c r="CD734" s="47"/>
      <c r="CE734" s="47"/>
      <c r="CF734" s="47"/>
      <c r="CG734" s="47"/>
      <c r="CH734" s="47"/>
      <c r="CI734" s="47"/>
      <c r="CJ734" s="47"/>
      <c r="CK734" s="47"/>
      <c r="CL734" s="47"/>
      <c r="CM734" s="47"/>
      <c r="CN734" s="47"/>
      <c r="CO734" s="47"/>
      <c r="CP734" s="47"/>
      <c r="CQ734" s="47"/>
      <c r="CR734" s="47"/>
      <c r="CS734" s="47"/>
      <c r="CT734" s="47"/>
      <c r="CU734" s="47"/>
      <c r="CV734" s="47">
        <f t="shared" ref="CV734:DF734" si="3861">CV454/CV544</f>
        <v>4.598946135082542E-3</v>
      </c>
      <c r="CW734" s="47">
        <f t="shared" si="3861"/>
        <v>4.0734311067079643E-2</v>
      </c>
      <c r="CX734" s="47">
        <f t="shared" si="3861"/>
        <v>0.14515600640356696</v>
      </c>
      <c r="CY734" s="47">
        <f t="shared" si="3861"/>
        <v>0.15735242320661072</v>
      </c>
      <c r="CZ734" s="48">
        <f t="shared" si="3861"/>
        <v>0.18029099025407555</v>
      </c>
      <c r="DA734" s="47">
        <f t="shared" si="3861"/>
        <v>0.24680486081703273</v>
      </c>
      <c r="DB734" s="47">
        <f t="shared" si="3861"/>
        <v>0.31364539730929031</v>
      </c>
      <c r="DC734" s="47">
        <f t="shared" si="3861"/>
        <v>0.36169952086132401</v>
      </c>
      <c r="DD734" s="47">
        <f t="shared" si="3861"/>
        <v>0.41626648881039402</v>
      </c>
      <c r="DE734" s="47">
        <f t="shared" si="3861"/>
        <v>0.47119888659750281</v>
      </c>
      <c r="DF734" s="47">
        <f t="shared" si="3861"/>
        <v>0.51869255506787393</v>
      </c>
      <c r="DG734" s="47">
        <f t="shared" ref="DG734:DH734" si="3862">DG454/DG544</f>
        <v>0.55689411404650435</v>
      </c>
      <c r="DH734" s="47">
        <f t="shared" si="3862"/>
        <v>0.58867212474593422</v>
      </c>
      <c r="DI734" s="47">
        <f t="shared" ref="DI734" si="3863">DI454/DI544</f>
        <v>0.61856104918701582</v>
      </c>
    </row>
    <row r="735" spans="1:115" ht="12" hidden="1" outlineLevel="1">
      <c r="A735" s="1" t="s">
        <v>981</v>
      </c>
      <c r="B735" s="19" t="s">
        <v>389</v>
      </c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  <c r="AM735" s="47"/>
      <c r="AN735" s="47"/>
      <c r="AO735" s="47"/>
      <c r="AP735" s="47">
        <f t="shared" ref="AP735:AR735" si="3864">AP135</f>
        <v>0</v>
      </c>
      <c r="AQ735" s="47">
        <f t="shared" si="3864"/>
        <v>0</v>
      </c>
      <c r="AR735" s="47">
        <f t="shared" si="3864"/>
        <v>0</v>
      </c>
      <c r="AS735" s="47">
        <f t="shared" ref="AS735:AT735" si="3865">AS135</f>
        <v>0</v>
      </c>
      <c r="AT735" s="47">
        <f t="shared" si="3865"/>
        <v>0</v>
      </c>
      <c r="AU735" s="47">
        <f t="shared" ref="AU735:AV735" si="3866">AU135</f>
        <v>0</v>
      </c>
      <c r="AV735" s="47">
        <f t="shared" si="3866"/>
        <v>0</v>
      </c>
      <c r="AW735" s="47">
        <f t="shared" ref="AW735:AX735" si="3867">AW135</f>
        <v>0</v>
      </c>
      <c r="AX735" s="47">
        <f t="shared" si="3867"/>
        <v>0</v>
      </c>
      <c r="AY735" s="47">
        <f t="shared" ref="AY735:BI735" si="3868">AY135</f>
        <v>0</v>
      </c>
      <c r="AZ735" s="48">
        <f t="shared" si="3868"/>
        <v>0</v>
      </c>
      <c r="BA735" s="47">
        <f t="shared" si="3868"/>
        <v>0</v>
      </c>
      <c r="BB735" s="47">
        <f t="shared" si="3868"/>
        <v>0</v>
      </c>
      <c r="BC735" s="47">
        <f t="shared" si="3868"/>
        <v>0</v>
      </c>
      <c r="BD735" s="47">
        <f t="shared" si="3868"/>
        <v>0</v>
      </c>
      <c r="BE735" s="47">
        <f t="shared" si="3868"/>
        <v>0</v>
      </c>
      <c r="BF735" s="47">
        <f t="shared" si="3868"/>
        <v>0</v>
      </c>
      <c r="BG735" s="47">
        <f t="shared" si="3868"/>
        <v>0</v>
      </c>
      <c r="BH735" s="47">
        <f t="shared" si="3868"/>
        <v>0.03</v>
      </c>
      <c r="BI735" s="47">
        <f t="shared" si="3868"/>
        <v>0.05</v>
      </c>
      <c r="BJ735" s="47">
        <f t="shared" ref="BJ735:BK735" si="3869">BJ135</f>
        <v>0.04</v>
      </c>
      <c r="BK735" s="47">
        <f t="shared" si="3869"/>
        <v>0.06</v>
      </c>
      <c r="BL735" s="47">
        <f t="shared" ref="BL735:BM735" si="3870">BL135</f>
        <v>0.06</v>
      </c>
      <c r="BM735" s="47">
        <f t="shared" si="3870"/>
        <v>0.08</v>
      </c>
      <c r="BN735" s="47">
        <f t="shared" ref="BN735:BO735" si="3871">BN135</f>
        <v>0.08</v>
      </c>
      <c r="BO735" s="47">
        <f t="shared" si="3871"/>
        <v>0.09</v>
      </c>
      <c r="BP735" s="47">
        <f t="shared" ref="BP735:BQ735" si="3872">BP135</f>
        <v>0.09</v>
      </c>
      <c r="BQ735" s="47">
        <f t="shared" si="3872"/>
        <v>0.09</v>
      </c>
      <c r="BR735" s="47"/>
      <c r="BS735" s="47"/>
      <c r="BT735" s="47"/>
      <c r="BU735" s="47"/>
      <c r="BV735" s="47"/>
      <c r="BW735" s="47"/>
      <c r="BX735" s="47"/>
      <c r="BY735" s="47"/>
      <c r="BZ735" s="47"/>
      <c r="CA735" s="47"/>
      <c r="CB735" s="47"/>
      <c r="CC735" s="47"/>
      <c r="CD735" s="47"/>
      <c r="CE735" s="47"/>
      <c r="CF735" s="47"/>
      <c r="CG735" s="47"/>
      <c r="CH735" s="47"/>
      <c r="CI735" s="47"/>
      <c r="CJ735" s="47"/>
      <c r="CK735" s="47"/>
      <c r="CL735" s="47"/>
      <c r="CM735" s="47"/>
      <c r="CN735" s="47"/>
      <c r="CO735" s="47"/>
      <c r="CP735" s="47"/>
      <c r="CQ735" s="47"/>
      <c r="CR735" s="47"/>
      <c r="CS735" s="47"/>
      <c r="CT735" s="47"/>
      <c r="CU735" s="47"/>
      <c r="CV735" s="47">
        <f t="shared" ref="CV735:DF735" si="3873">CV135</f>
        <v>0</v>
      </c>
      <c r="CW735" s="47">
        <f t="shared" si="3873"/>
        <v>0</v>
      </c>
      <c r="CX735" s="47">
        <f t="shared" si="3873"/>
        <v>0</v>
      </c>
      <c r="CY735" s="47">
        <f t="shared" si="3873"/>
        <v>0</v>
      </c>
      <c r="CZ735" s="48">
        <f t="shared" si="3873"/>
        <v>0</v>
      </c>
      <c r="DA735" s="47">
        <f t="shared" si="3873"/>
        <v>0</v>
      </c>
      <c r="DB735" s="47">
        <f t="shared" si="3873"/>
        <v>0</v>
      </c>
      <c r="DC735" s="47">
        <f t="shared" si="3873"/>
        <v>0</v>
      </c>
      <c r="DD735" s="47">
        <f t="shared" si="3873"/>
        <v>0</v>
      </c>
      <c r="DE735" s="47">
        <f t="shared" si="3873"/>
        <v>0.08</v>
      </c>
      <c r="DF735" s="47">
        <f t="shared" si="3873"/>
        <v>0.1</v>
      </c>
      <c r="DG735" s="47">
        <f t="shared" ref="DG735:DH735" si="3874">DG135</f>
        <v>0.14000000000000001</v>
      </c>
      <c r="DH735" s="47">
        <f t="shared" si="3874"/>
        <v>0.16999999999999998</v>
      </c>
      <c r="DI735" s="47">
        <f t="shared" ref="DI735" si="3875">DI135</f>
        <v>0.18</v>
      </c>
    </row>
    <row r="736" spans="1:115" ht="12" hidden="1" outlineLevel="1">
      <c r="A736" s="1" t="s">
        <v>2527</v>
      </c>
      <c r="B736" s="19" t="s">
        <v>2528</v>
      </c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389">
        <v>0</v>
      </c>
      <c r="AQ736" s="389">
        <v>0</v>
      </c>
      <c r="AR736" s="389">
        <v>0</v>
      </c>
      <c r="AS736" s="389">
        <v>0</v>
      </c>
      <c r="AT736" s="389">
        <v>0</v>
      </c>
      <c r="AU736" s="389">
        <v>0</v>
      </c>
      <c r="AV736" s="389">
        <v>0</v>
      </c>
      <c r="AW736" s="389">
        <v>0</v>
      </c>
      <c r="AX736" s="389">
        <v>0</v>
      </c>
      <c r="AY736" s="389">
        <v>0</v>
      </c>
      <c r="AZ736" s="785">
        <v>0</v>
      </c>
      <c r="BA736" s="391">
        <v>0</v>
      </c>
      <c r="BB736" s="391">
        <v>0</v>
      </c>
      <c r="BC736" s="391">
        <v>0</v>
      </c>
      <c r="BD736" s="391">
        <v>0</v>
      </c>
      <c r="BE736" s="391">
        <v>0</v>
      </c>
      <c r="BF736" s="391">
        <v>0</v>
      </c>
      <c r="BG736" s="391">
        <v>0</v>
      </c>
      <c r="BH736" s="391">
        <v>0</v>
      </c>
      <c r="BI736" s="391">
        <v>0</v>
      </c>
      <c r="BJ736" s="391">
        <v>0</v>
      </c>
      <c r="BK736" s="391">
        <v>0</v>
      </c>
      <c r="BL736" s="391">
        <v>0</v>
      </c>
      <c r="BM736" s="391">
        <v>0</v>
      </c>
      <c r="BN736" s="391">
        <v>0</v>
      </c>
      <c r="BO736" s="391">
        <v>0</v>
      </c>
      <c r="BP736" s="391">
        <v>0</v>
      </c>
      <c r="BQ736" s="391">
        <v>0</v>
      </c>
      <c r="BR736" s="42"/>
      <c r="BS736" s="419"/>
      <c r="BT736" s="419"/>
      <c r="BU736" s="419"/>
      <c r="BV736" s="419"/>
      <c r="BW736" s="419"/>
      <c r="BX736" s="419"/>
      <c r="BY736" s="419"/>
      <c r="BZ736" s="419"/>
      <c r="CA736" s="419"/>
      <c r="CB736" s="419"/>
      <c r="CC736" s="17"/>
      <c r="CD736" s="17"/>
      <c r="CE736" s="17"/>
      <c r="CF736" s="17"/>
      <c r="CG736" s="17"/>
      <c r="CH736" s="17"/>
      <c r="CI736" s="17"/>
      <c r="CJ736" s="17"/>
      <c r="CK736" s="17"/>
      <c r="CL736" s="17"/>
      <c r="CM736" s="17"/>
      <c r="CN736" s="17"/>
      <c r="CO736" s="47"/>
      <c r="CP736" s="47"/>
      <c r="CQ736" s="47"/>
      <c r="CR736" s="47"/>
      <c r="CS736" s="47"/>
      <c r="CT736" s="389"/>
      <c r="CU736" s="389"/>
      <c r="CV736" s="17">
        <f>SUM(AP736:AQ736)</f>
        <v>0</v>
      </c>
      <c r="CW736" s="17">
        <f>SUM(AR736:AS736)</f>
        <v>0</v>
      </c>
      <c r="CX736" s="17">
        <f>SUM(AT736:AU736)</f>
        <v>0</v>
      </c>
      <c r="CY736" s="17">
        <f>SUM(AV736:AW736)</f>
        <v>0</v>
      </c>
      <c r="CZ736" s="48">
        <f>SUM(AX736:AY736)</f>
        <v>0</v>
      </c>
      <c r="DA736" s="47">
        <f t="shared" ref="DA736" si="3876">SUM(AZ736:BA736)</f>
        <v>0</v>
      </c>
      <c r="DB736" s="47">
        <f>SUM(BB736:BC736)</f>
        <v>0</v>
      </c>
      <c r="DC736" s="47">
        <f>SUM(BD736:BE736)</f>
        <v>0</v>
      </c>
      <c r="DD736" s="47">
        <f>SUM(BF736:BG736)</f>
        <v>0</v>
      </c>
      <c r="DE736" s="47">
        <f>SUM(BH736:BI736)</f>
        <v>0</v>
      </c>
      <c r="DF736" s="47">
        <f>SUM(BJ736:BK736)</f>
        <v>0</v>
      </c>
      <c r="DG736" s="47">
        <f>SUM(BL736:BM736)</f>
        <v>0</v>
      </c>
      <c r="DH736" s="47">
        <f>SUM(BN736:BO736)</f>
        <v>0</v>
      </c>
      <c r="DI736" s="47">
        <f>SUM(BP736:BQ736)</f>
        <v>0</v>
      </c>
    </row>
    <row r="737" spans="1:113" ht="12" hidden="1" outlineLevel="1">
      <c r="A737" s="1" t="s">
        <v>952</v>
      </c>
      <c r="B737" s="19" t="s">
        <v>390</v>
      </c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  <c r="AB737" s="47"/>
      <c r="AC737" s="47"/>
      <c r="AD737" s="47"/>
      <c r="AE737" s="47"/>
      <c r="AF737" s="47"/>
      <c r="AG737" s="47"/>
      <c r="AH737" s="47"/>
      <c r="AI737" s="47"/>
      <c r="AJ737" s="47"/>
      <c r="AK737" s="47"/>
      <c r="AL737" s="47"/>
      <c r="AM737" s="47"/>
      <c r="AN737" s="47"/>
      <c r="AO737" s="47"/>
      <c r="AP737" s="47">
        <f t="shared" ref="AP737:BI737" si="3877">AP135*(1+1/(1-AP128)*AP128*AP138)</f>
        <v>0</v>
      </c>
      <c r="AQ737" s="47">
        <f t="shared" ref="AQ737:AR737" si="3878">AQ135*(1+1/(1-AQ128)*AQ128*AQ138)</f>
        <v>0</v>
      </c>
      <c r="AR737" s="47">
        <f t="shared" si="3878"/>
        <v>0</v>
      </c>
      <c r="AS737" s="47">
        <f t="shared" ref="AS737:AT737" si="3879">AS135*(1+1/(1-AS128)*AS128*AS138)</f>
        <v>0</v>
      </c>
      <c r="AT737" s="47">
        <f t="shared" si="3879"/>
        <v>0</v>
      </c>
      <c r="AU737" s="47">
        <f t="shared" ref="AU737:AV737" si="3880">AU135*(1+1/(1-AU128)*AU128*AU138)</f>
        <v>0</v>
      </c>
      <c r="AV737" s="47">
        <f t="shared" si="3880"/>
        <v>0</v>
      </c>
      <c r="AW737" s="47">
        <f t="shared" ref="AW737:AX737" si="3881">AW135*(1+1/(1-AW128)*AW128*AW138)</f>
        <v>0</v>
      </c>
      <c r="AX737" s="47">
        <f t="shared" si="3881"/>
        <v>0</v>
      </c>
      <c r="AY737" s="47">
        <f t="shared" si="3877"/>
        <v>0</v>
      </c>
      <c r="AZ737" s="48">
        <f t="shared" si="3877"/>
        <v>0</v>
      </c>
      <c r="BA737" s="47">
        <f t="shared" si="3877"/>
        <v>0</v>
      </c>
      <c r="BB737" s="47">
        <f t="shared" si="3877"/>
        <v>0</v>
      </c>
      <c r="BC737" s="47">
        <f t="shared" si="3877"/>
        <v>0</v>
      </c>
      <c r="BD737" s="47">
        <f t="shared" si="3877"/>
        <v>0</v>
      </c>
      <c r="BE737" s="47">
        <f t="shared" si="3877"/>
        <v>0</v>
      </c>
      <c r="BF737" s="47">
        <f t="shared" si="3877"/>
        <v>0</v>
      </c>
      <c r="BG737" s="47">
        <f t="shared" si="3877"/>
        <v>0</v>
      </c>
      <c r="BH737" s="47">
        <f t="shared" si="3877"/>
        <v>4.2857142857142858E-2</v>
      </c>
      <c r="BI737" s="47">
        <f t="shared" si="3877"/>
        <v>7.1428571428571438E-2</v>
      </c>
      <c r="BJ737" s="47">
        <f t="shared" ref="BJ737:BK737" si="3882">BJ135*(1+1/(1-BJ128)*BJ128*BJ138)</f>
        <v>5.7142857142857148E-2</v>
      </c>
      <c r="BK737" s="47">
        <f t="shared" si="3882"/>
        <v>8.5714285714285715E-2</v>
      </c>
      <c r="BL737" s="47">
        <f t="shared" ref="BL737:BM737" si="3883">BL135*(1+1/(1-BL128)*BL128*BL138)</f>
        <v>8.5714285714285715E-2</v>
      </c>
      <c r="BM737" s="47">
        <f t="shared" si="3883"/>
        <v>0.1142857142857143</v>
      </c>
      <c r="BN737" s="47">
        <f t="shared" ref="BN737:BO737" si="3884">BN135*(1+1/(1-BN128)*BN128*BN138)</f>
        <v>0.1142857142857143</v>
      </c>
      <c r="BO737" s="47">
        <f t="shared" si="3884"/>
        <v>0.12857142857142856</v>
      </c>
      <c r="BP737" s="47">
        <f t="shared" ref="BP737:BQ737" si="3885">BP135*(1+1/(1-BP128)*BP128*BP138)</f>
        <v>0.12857142857142856</v>
      </c>
      <c r="BQ737" s="47">
        <f t="shared" si="3885"/>
        <v>0.12857142857142856</v>
      </c>
      <c r="BR737" s="47"/>
      <c r="BS737" s="47"/>
      <c r="BT737" s="47"/>
      <c r="BU737" s="47"/>
      <c r="BV737" s="47"/>
      <c r="BW737" s="47"/>
      <c r="BX737" s="47"/>
      <c r="BY737" s="47"/>
      <c r="BZ737" s="47"/>
      <c r="CA737" s="47"/>
      <c r="CB737" s="47"/>
      <c r="CC737" s="47"/>
      <c r="CD737" s="47"/>
      <c r="CE737" s="47"/>
      <c r="CF737" s="47"/>
      <c r="CG737" s="47"/>
      <c r="CH737" s="47"/>
      <c r="CI737" s="47"/>
      <c r="CJ737" s="47"/>
      <c r="CK737" s="47"/>
      <c r="CL737" s="47"/>
      <c r="CM737" s="47"/>
      <c r="CN737" s="47"/>
      <c r="CO737" s="47"/>
      <c r="CP737" s="47"/>
      <c r="CQ737" s="47"/>
      <c r="CR737" s="47"/>
      <c r="CS737" s="47"/>
      <c r="CT737" s="47"/>
      <c r="CU737" s="47"/>
      <c r="CV737" s="47">
        <f>SUM(AP737:AQ737)</f>
        <v>0</v>
      </c>
      <c r="CW737" s="47">
        <f>SUM(AR737:AS737)</f>
        <v>0</v>
      </c>
      <c r="CX737" s="47">
        <f>SUM(AT737:AU737)</f>
        <v>0</v>
      </c>
      <c r="CY737" s="47">
        <f>SUM(AV737:AW737)</f>
        <v>0</v>
      </c>
      <c r="CZ737" s="48">
        <f>SUM(AX737:AY737)</f>
        <v>0</v>
      </c>
      <c r="DA737" s="47">
        <f t="shared" ref="DA737" si="3886">SUM(AZ737:BA737)</f>
        <v>0</v>
      </c>
      <c r="DB737" s="47">
        <f>SUM(BB737:BC737)</f>
        <v>0</v>
      </c>
      <c r="DC737" s="47">
        <f>SUM(BD737:BE737)</f>
        <v>0</v>
      </c>
      <c r="DD737" s="47">
        <f>SUM(BF737:BG737)</f>
        <v>0</v>
      </c>
      <c r="DE737" s="47">
        <f>SUM(BH737:BI737)</f>
        <v>0.1142857142857143</v>
      </c>
      <c r="DF737" s="47">
        <f>SUM(BJ737:BK737)</f>
        <v>0.14285714285714285</v>
      </c>
      <c r="DG737" s="47">
        <f>SUM(BL737:BM737)</f>
        <v>0.2</v>
      </c>
      <c r="DH737" s="47">
        <f>SUM(BN737:BO737)</f>
        <v>0.24285714285714285</v>
      </c>
      <c r="DI737" s="47">
        <f>SUM(BP737:BQ737)</f>
        <v>0.25714285714285712</v>
      </c>
    </row>
    <row r="738" spans="1:113" ht="12" hidden="1" outlineLevel="1">
      <c r="A738" s="1" t="s">
        <v>953</v>
      </c>
      <c r="B738" s="19" t="s">
        <v>391</v>
      </c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  <c r="AM738" s="47"/>
      <c r="AN738" s="47"/>
      <c r="AO738" s="47"/>
      <c r="AP738" s="47">
        <f t="shared" ref="AP738:BI738" si="3887">AP635/AP544</f>
        <v>-0.21212686567164174</v>
      </c>
      <c r="AQ738" s="47">
        <f t="shared" ref="AQ738:AR738" si="3888">AQ635/AQ544</f>
        <v>-0.60830090458251318</v>
      </c>
      <c r="AR738" s="47">
        <f t="shared" si="3888"/>
        <v>-0.41031055900621155</v>
      </c>
      <c r="AS738" s="47">
        <f t="shared" ref="AS738:AT738" si="3889">AS635/AS544</f>
        <v>-4.8682469324070783E-3</v>
      </c>
      <c r="AT738" s="47">
        <f t="shared" si="3889"/>
        <v>0</v>
      </c>
      <c r="AU738" s="47">
        <f t="shared" ref="AU738:AV738" si="3890">AU635/AU544</f>
        <v>0</v>
      </c>
      <c r="AV738" s="47">
        <f t="shared" si="3890"/>
        <v>0</v>
      </c>
      <c r="AW738" s="47">
        <f t="shared" ref="AW738:AX738" si="3891">AW635/AW544</f>
        <v>0</v>
      </c>
      <c r="AX738" s="47">
        <f t="shared" si="3891"/>
        <v>0</v>
      </c>
      <c r="AY738" s="47">
        <f t="shared" si="3887"/>
        <v>0</v>
      </c>
      <c r="AZ738" s="48">
        <f t="shared" si="3887"/>
        <v>0</v>
      </c>
      <c r="BA738" s="47">
        <f t="shared" si="3887"/>
        <v>0</v>
      </c>
      <c r="BB738" s="47">
        <f t="shared" si="3887"/>
        <v>0</v>
      </c>
      <c r="BC738" s="47">
        <f t="shared" si="3887"/>
        <v>0</v>
      </c>
      <c r="BD738" s="47">
        <f t="shared" si="3887"/>
        <v>-0.12481122605439246</v>
      </c>
      <c r="BE738" s="47">
        <f t="shared" si="3887"/>
        <v>0</v>
      </c>
      <c r="BF738" s="47">
        <f t="shared" si="3887"/>
        <v>0</v>
      </c>
      <c r="BG738" s="47">
        <f t="shared" si="3887"/>
        <v>0</v>
      </c>
      <c r="BH738" s="47">
        <f t="shared" si="3887"/>
        <v>0</v>
      </c>
      <c r="BI738" s="47">
        <f t="shared" si="3887"/>
        <v>2.9996471941807903E-2</v>
      </c>
      <c r="BJ738" s="47">
        <f t="shared" ref="BJ738:BK738" si="3892">BJ635/BJ544</f>
        <v>4.9994119903013182E-2</v>
      </c>
      <c r="BK738" s="47">
        <f t="shared" si="3892"/>
        <v>3.9995295922410544E-2</v>
      </c>
      <c r="BL738" s="47">
        <f t="shared" ref="BL738:BM738" si="3893">BL635/BL544</f>
        <v>5.9992943883615805E-2</v>
      </c>
      <c r="BM738" s="47">
        <f t="shared" si="3893"/>
        <v>5.9992943883615805E-2</v>
      </c>
      <c r="BN738" s="47">
        <f t="shared" ref="BN738:BO738" si="3894">BN635/BN544</f>
        <v>7.9990591844821088E-2</v>
      </c>
      <c r="BO738" s="47">
        <f t="shared" si="3894"/>
        <v>7.9990591844821088E-2</v>
      </c>
      <c r="BP738" s="47">
        <f t="shared" ref="BP738:BQ738" si="3895">BP635/BP544</f>
        <v>8.9989415825423719E-2</v>
      </c>
      <c r="BQ738" s="47">
        <f t="shared" si="3895"/>
        <v>8.9989415825423719E-2</v>
      </c>
      <c r="BR738" s="47"/>
      <c r="BS738" s="47"/>
      <c r="BT738" s="47"/>
      <c r="BU738" s="47"/>
      <c r="BV738" s="47"/>
      <c r="BW738" s="47"/>
      <c r="BX738" s="47"/>
      <c r="BY738" s="47"/>
      <c r="BZ738" s="47"/>
      <c r="CA738" s="47"/>
      <c r="CB738" s="47"/>
      <c r="CC738" s="47"/>
      <c r="CD738" s="47"/>
      <c r="CE738" s="47"/>
      <c r="CF738" s="47"/>
      <c r="CG738" s="47"/>
      <c r="CH738" s="47"/>
      <c r="CI738" s="47"/>
      <c r="CJ738" s="47"/>
      <c r="CK738" s="47"/>
      <c r="CL738" s="47"/>
      <c r="CM738" s="47"/>
      <c r="CN738" s="47"/>
      <c r="CO738" s="47"/>
      <c r="CP738" s="47"/>
      <c r="CQ738" s="47"/>
      <c r="CR738" s="47"/>
      <c r="CS738" s="47"/>
      <c r="CT738" s="47"/>
      <c r="CU738" s="47"/>
      <c r="CV738" s="47">
        <f t="shared" ref="CV738:DF738" si="3896">CV635/CV544</f>
        <v>0</v>
      </c>
      <c r="CW738" s="47">
        <f t="shared" si="3896"/>
        <v>-0.36949000697187606</v>
      </c>
      <c r="CX738" s="47">
        <f t="shared" si="3896"/>
        <v>0</v>
      </c>
      <c r="CY738" s="47">
        <f t="shared" si="3896"/>
        <v>0</v>
      </c>
      <c r="CZ738" s="48">
        <f t="shared" si="3896"/>
        <v>0</v>
      </c>
      <c r="DA738" s="47">
        <f t="shared" si="3896"/>
        <v>0</v>
      </c>
      <c r="DB738" s="47">
        <f t="shared" si="3896"/>
        <v>0</v>
      </c>
      <c r="DC738" s="47">
        <f t="shared" si="3896"/>
        <v>-0.12294003922483432</v>
      </c>
      <c r="DD738" s="47">
        <f t="shared" si="3896"/>
        <v>0</v>
      </c>
      <c r="DE738" s="47">
        <f t="shared" si="3896"/>
        <v>2.9996471941807899E-2</v>
      </c>
      <c r="DF738" s="47">
        <f t="shared" si="3896"/>
        <v>8.9989415825423719E-2</v>
      </c>
      <c r="DG738" s="47">
        <f t="shared" ref="DG738:DH738" si="3897">DG635/DG544</f>
        <v>0.11998588776723161</v>
      </c>
      <c r="DH738" s="47">
        <f t="shared" si="3897"/>
        <v>0.15998118368964215</v>
      </c>
      <c r="DI738" s="47">
        <f t="shared" ref="DI738" si="3898">DI635/DI544</f>
        <v>0.17997883165084741</v>
      </c>
    </row>
    <row r="739" spans="1:113" ht="12" hidden="1" outlineLevel="1">
      <c r="A739" s="1" t="s">
        <v>959</v>
      </c>
      <c r="B739" s="19" t="s">
        <v>489</v>
      </c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  <c r="AM739" s="47"/>
      <c r="AN739" s="47"/>
      <c r="AO739" s="47"/>
      <c r="AP739" s="47">
        <f t="shared" ref="AP739:BI739" si="3899">AP637/AP544</f>
        <v>-0.21212686567164174</v>
      </c>
      <c r="AQ739" s="47">
        <f t="shared" ref="AQ739:AR739" si="3900">AQ637/AQ544</f>
        <v>-0.60830090458251318</v>
      </c>
      <c r="AR739" s="47">
        <f t="shared" si="3900"/>
        <v>-0.41031055900621155</v>
      </c>
      <c r="AS739" s="47">
        <f t="shared" ref="AS739:AT739" si="3901">AS637/AS544</f>
        <v>-4.8682469324070783E-3</v>
      </c>
      <c r="AT739" s="47">
        <f t="shared" si="3901"/>
        <v>0</v>
      </c>
      <c r="AU739" s="47">
        <f t="shared" ref="AU739:AV739" si="3902">AU637/AU544</f>
        <v>0</v>
      </c>
      <c r="AV739" s="47">
        <f t="shared" si="3902"/>
        <v>0</v>
      </c>
      <c r="AW739" s="47">
        <f t="shared" ref="AW739:AX739" si="3903">AW637/AW544</f>
        <v>0</v>
      </c>
      <c r="AX739" s="47">
        <f t="shared" si="3903"/>
        <v>0</v>
      </c>
      <c r="AY739" s="47">
        <f t="shared" si="3899"/>
        <v>0</v>
      </c>
      <c r="AZ739" s="48">
        <f t="shared" si="3899"/>
        <v>0</v>
      </c>
      <c r="BA739" s="47">
        <f t="shared" si="3899"/>
        <v>0</v>
      </c>
      <c r="BB739" s="47">
        <f t="shared" si="3899"/>
        <v>0</v>
      </c>
      <c r="BC739" s="47">
        <f t="shared" si="3899"/>
        <v>0</v>
      </c>
      <c r="BD739" s="47">
        <f t="shared" si="3899"/>
        <v>-0.12481122605439246</v>
      </c>
      <c r="BE739" s="47">
        <f t="shared" si="3899"/>
        <v>0</v>
      </c>
      <c r="BF739" s="47">
        <f t="shared" si="3899"/>
        <v>0</v>
      </c>
      <c r="BG739" s="47">
        <f t="shared" si="3899"/>
        <v>0</v>
      </c>
      <c r="BH739" s="47">
        <f t="shared" si="3899"/>
        <v>0</v>
      </c>
      <c r="BI739" s="47">
        <f t="shared" si="3899"/>
        <v>3.7709850441129934E-2</v>
      </c>
      <c r="BJ739" s="47">
        <f t="shared" ref="BJ739:BK739" si="3904">BJ637/BJ544</f>
        <v>6.2849750735216564E-2</v>
      </c>
      <c r="BK739" s="47">
        <f t="shared" si="3904"/>
        <v>5.027980058817326E-2</v>
      </c>
      <c r="BL739" s="47">
        <f t="shared" ref="BL739:BM739" si="3905">BL637/BL544</f>
        <v>7.5419700882259869E-2</v>
      </c>
      <c r="BM739" s="47">
        <f t="shared" si="3905"/>
        <v>7.5419700882259869E-2</v>
      </c>
      <c r="BN739" s="47">
        <f t="shared" ref="BN739:BO739" si="3906">BN637/BN544</f>
        <v>0.10055960117634652</v>
      </c>
      <c r="BO739" s="47">
        <f t="shared" si="3906"/>
        <v>0.10055960117634652</v>
      </c>
      <c r="BP739" s="47">
        <f t="shared" ref="BP739:BQ739" si="3907">BP637/BP544</f>
        <v>0.11312955132338982</v>
      </c>
      <c r="BQ739" s="47">
        <f t="shared" si="3907"/>
        <v>0.11312955132338982</v>
      </c>
      <c r="BR739" s="47"/>
      <c r="BS739" s="47"/>
      <c r="BT739" s="47"/>
      <c r="BU739" s="47"/>
      <c r="BV739" s="47"/>
      <c r="BW739" s="47"/>
      <c r="BX739" s="47"/>
      <c r="BY739" s="47"/>
      <c r="BZ739" s="47"/>
      <c r="CA739" s="47"/>
      <c r="CB739" s="47"/>
      <c r="CC739" s="47"/>
      <c r="CD739" s="47"/>
      <c r="CE739" s="47"/>
      <c r="CF739" s="47"/>
      <c r="CG739" s="47"/>
      <c r="CH739" s="47"/>
      <c r="CI739" s="47"/>
      <c r="CJ739" s="47"/>
      <c r="CK739" s="47"/>
      <c r="CL739" s="47"/>
      <c r="CM739" s="47"/>
      <c r="CN739" s="47"/>
      <c r="CO739" s="47"/>
      <c r="CP739" s="47"/>
      <c r="CQ739" s="47"/>
      <c r="CR739" s="47"/>
      <c r="CS739" s="47"/>
      <c r="CT739" s="47"/>
      <c r="CU739" s="47"/>
      <c r="CV739" s="47">
        <f>SUM(AP739:AQ739)</f>
        <v>-0.82042777025415492</v>
      </c>
      <c r="CW739" s="47">
        <f t="shared" ref="CW739:DF739" si="3908">CW637/CW544</f>
        <v>-0.36949000697187606</v>
      </c>
      <c r="CX739" s="47">
        <f t="shared" si="3908"/>
        <v>0</v>
      </c>
      <c r="CY739" s="47">
        <f t="shared" si="3908"/>
        <v>0</v>
      </c>
      <c r="CZ739" s="48">
        <f t="shared" si="3908"/>
        <v>0</v>
      </c>
      <c r="DA739" s="47">
        <f t="shared" si="3908"/>
        <v>0</v>
      </c>
      <c r="DB739" s="47">
        <f t="shared" si="3908"/>
        <v>0</v>
      </c>
      <c r="DC739" s="47">
        <f t="shared" si="3908"/>
        <v>-0.12294003922483432</v>
      </c>
      <c r="DD739" s="47">
        <f t="shared" si="3908"/>
        <v>0</v>
      </c>
      <c r="DE739" s="47">
        <f t="shared" si="3908"/>
        <v>3.7709850441129927E-2</v>
      </c>
      <c r="DF739" s="47">
        <f t="shared" si="3908"/>
        <v>0.11312955132338982</v>
      </c>
      <c r="DG739" s="47">
        <f t="shared" ref="DG739:DH739" si="3909">DG637/DG544</f>
        <v>0.15083940176451974</v>
      </c>
      <c r="DH739" s="47">
        <f t="shared" si="3909"/>
        <v>0.20111920235269298</v>
      </c>
      <c r="DI739" s="47">
        <f t="shared" ref="DI739" si="3910">DI637/DI544</f>
        <v>0.22625910264677959</v>
      </c>
    </row>
    <row r="740" spans="1:113" ht="12" hidden="1" outlineLevel="1">
      <c r="A740" s="1" t="s">
        <v>960</v>
      </c>
      <c r="B740" s="19" t="s">
        <v>490</v>
      </c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  <c r="AM740" s="47"/>
      <c r="AN740" s="47"/>
      <c r="AO740" s="47"/>
      <c r="AP740" s="47">
        <f t="shared" ref="AP740:BI740" si="3911">(AP515-(AP613*AP151*AP148))/AP544</f>
        <v>-3.9807462686567145E-2</v>
      </c>
      <c r="AQ740" s="47">
        <f t="shared" ref="AQ740:AR740" si="3912">(AQ515-(AQ613*AQ151*AQ148))/AQ544</f>
        <v>-2.8793014083504286E-2</v>
      </c>
      <c r="AR740" s="47">
        <f t="shared" si="3912"/>
        <v>-2.884024844720498E-2</v>
      </c>
      <c r="AS740" s="47">
        <f t="shared" ref="AS740:AT740" si="3913">(AS515-(AS613*AS151*AS148))/AS544</f>
        <v>-2.1750929886081988E-2</v>
      </c>
      <c r="AT740" s="47">
        <f t="shared" si="3913"/>
        <v>-9.0699168975070165E-4</v>
      </c>
      <c r="AU740" s="47">
        <f t="shared" ref="AU740:AV740" si="3914">(AU515-(AU613*AU151*AU148))/AU544</f>
        <v>-2.9253205500047382E-4</v>
      </c>
      <c r="AV740" s="47">
        <f t="shared" si="3914"/>
        <v>5.7542520050148484E-3</v>
      </c>
      <c r="AW740" s="47">
        <f t="shared" ref="AW740:AX740" si="3915">(AW515-(AW613*AW151*AW148))/AW544</f>
        <v>-1.8219223675639287E-2</v>
      </c>
      <c r="AX740" s="47">
        <f t="shared" si="3915"/>
        <v>-7.2175685085574537E-3</v>
      </c>
      <c r="AY740" s="47">
        <f t="shared" si="3911"/>
        <v>-6.819054857255283E-3</v>
      </c>
      <c r="AZ740" s="48">
        <f t="shared" si="3911"/>
        <v>1.2644870411623174E-3</v>
      </c>
      <c r="BA740" s="47">
        <f t="shared" si="3911"/>
        <v>8.2472556238964139E-3</v>
      </c>
      <c r="BB740" s="47">
        <f t="shared" si="3911"/>
        <v>9.8875391146824275E-3</v>
      </c>
      <c r="BC740" s="47">
        <f t="shared" si="3911"/>
        <v>7.9468820561427265E-3</v>
      </c>
      <c r="BD740" s="47">
        <f t="shared" si="3911"/>
        <v>1.5580326451808301E-2</v>
      </c>
      <c r="BE740" s="47">
        <f t="shared" si="3911"/>
        <v>1.7296535511547941E-2</v>
      </c>
      <c r="BF740" s="47">
        <f t="shared" si="3911"/>
        <v>2.5409905237182246E-2</v>
      </c>
      <c r="BG740" s="47">
        <f t="shared" si="3911"/>
        <v>2.9768425943260658E-2</v>
      </c>
      <c r="BH740" s="47">
        <f t="shared" si="3911"/>
        <v>3.7412322599590257E-2</v>
      </c>
      <c r="BI740" s="47">
        <f t="shared" si="3911"/>
        <v>3.7758432963313028E-2</v>
      </c>
      <c r="BJ740" s="47">
        <f t="shared" ref="BJ740:BK740" si="3916">(BJ515-(BJ613*BJ151*BJ148))/BJ544</f>
        <v>4.4902992857041198E-2</v>
      </c>
      <c r="BK740" s="47">
        <f t="shared" si="3916"/>
        <v>4.4445706204881009E-2</v>
      </c>
      <c r="BL740" s="47">
        <f t="shared" ref="BL740:BM740" si="3917">(BL515-(BL613*BL151*BL148))/BL544</f>
        <v>5.047429268824255E-2</v>
      </c>
      <c r="BM740" s="47">
        <f t="shared" si="3917"/>
        <v>4.9819319374276277E-2</v>
      </c>
      <c r="BN740" s="47">
        <f t="shared" ref="BN740:BO740" si="3918">(BN515-(BN613*BN151*BN148))/BN544</f>
        <v>5.5385334875329768E-2</v>
      </c>
      <c r="BO740" s="47">
        <f t="shared" si="3918"/>
        <v>5.2717065663085094E-2</v>
      </c>
      <c r="BP740" s="47">
        <f t="shared" ref="BP740:BQ740" si="3919">(BP515-(BP613*BP151*BP148))/BP544</f>
        <v>5.8243349180999146E-2</v>
      </c>
      <c r="BQ740" s="47">
        <f t="shared" si="3919"/>
        <v>5.5113010066154197E-2</v>
      </c>
      <c r="BR740" s="47"/>
      <c r="BS740" s="47"/>
      <c r="BT740" s="47"/>
      <c r="BU740" s="47"/>
      <c r="BV740" s="47"/>
      <c r="BW740" s="47"/>
      <c r="BX740" s="47"/>
      <c r="BY740" s="47"/>
      <c r="BZ740" s="47"/>
      <c r="CA740" s="47"/>
      <c r="CB740" s="47"/>
      <c r="CC740" s="47"/>
      <c r="CD740" s="47"/>
      <c r="CE740" s="47"/>
      <c r="CF740" s="47"/>
      <c r="CG740" s="47"/>
      <c r="CH740" s="47"/>
      <c r="CI740" s="47"/>
      <c r="CJ740" s="47"/>
      <c r="CK740" s="47"/>
      <c r="CL740" s="47"/>
      <c r="CM740" s="47"/>
      <c r="CN740" s="47"/>
      <c r="CO740" s="47"/>
      <c r="CP740" s="47"/>
      <c r="CQ740" s="47"/>
      <c r="CR740" s="47"/>
      <c r="CS740" s="47"/>
      <c r="CT740" s="47"/>
      <c r="CU740" s="47"/>
      <c r="CV740" s="47">
        <f t="shared" ref="CV740:DF740" si="3920">(CV515-(CV613*CV151*CV148))/CV544</f>
        <v>-4.2329381552653013E-2</v>
      </c>
      <c r="CW740" s="47">
        <f t="shared" si="3920"/>
        <v>-2.1055466038595254E-2</v>
      </c>
      <c r="CX740" s="47">
        <f t="shared" si="3920"/>
        <v>3.2036942496593793E-2</v>
      </c>
      <c r="CY740" s="47">
        <f t="shared" si="3920"/>
        <v>2.3178264568370993E-2</v>
      </c>
      <c r="CZ740" s="48">
        <f t="shared" si="3920"/>
        <v>2.9835603793453219E-2</v>
      </c>
      <c r="DA740" s="47">
        <f t="shared" si="3920"/>
        <v>6.1718550309910594E-2</v>
      </c>
      <c r="DB740" s="47">
        <f t="shared" si="3920"/>
        <v>7.9165708531614296E-2</v>
      </c>
      <c r="DC740" s="47">
        <f t="shared" si="3920"/>
        <v>0.10018819292628477</v>
      </c>
      <c r="DD740" s="47">
        <f t="shared" si="3920"/>
        <v>0.13141704081883138</v>
      </c>
      <c r="DE740" s="47">
        <f t="shared" si="3920"/>
        <v>0.15998707014691044</v>
      </c>
      <c r="DF740" s="47">
        <f t="shared" si="3920"/>
        <v>0.18218804131348318</v>
      </c>
      <c r="DG740" s="47">
        <f t="shared" ref="DG740:DH740" si="3921">(DG515-(DG613*DG151*DG148))/DG544</f>
        <v>0.20036227984583868</v>
      </c>
      <c r="DH740" s="47">
        <f t="shared" si="3921"/>
        <v>0.21473875487187838</v>
      </c>
      <c r="DI740" s="47">
        <f t="shared" ref="DI740" si="3922">(DI515-(DI613*DI151*DI148))/DI544</f>
        <v>0.22649857263533035</v>
      </c>
    </row>
    <row r="741" spans="1:113" ht="12" hidden="1" outlineLevel="1">
      <c r="A741" s="1" t="s">
        <v>961</v>
      </c>
      <c r="B741" s="19" t="s">
        <v>400</v>
      </c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  <c r="AB741" s="47"/>
      <c r="AC741" s="47"/>
      <c r="AD741" s="47"/>
      <c r="AE741" s="47"/>
      <c r="AF741" s="47"/>
      <c r="AG741" s="47"/>
      <c r="AH741" s="47"/>
      <c r="AI741" s="47"/>
      <c r="AJ741" s="47"/>
      <c r="AK741" s="47"/>
      <c r="AL741" s="47"/>
      <c r="AM741" s="47"/>
      <c r="AN741" s="47"/>
      <c r="AO741" s="47"/>
      <c r="AP741" s="47">
        <f t="shared" ref="AP741:BI741" si="3923">(AP515-(AP613*AP151*AP148))/AP544+AP135/(1-AP128)*AP128*AP138</f>
        <v>-3.9807462686567145E-2</v>
      </c>
      <c r="AQ741" s="47">
        <f t="shared" ref="AQ741:AR741" si="3924">(AQ515-(AQ613*AQ151*AQ148))/AQ544+AQ135/(1-AQ128)*AQ128*AQ138</f>
        <v>-2.8793014083504286E-2</v>
      </c>
      <c r="AR741" s="47">
        <f t="shared" si="3924"/>
        <v>-2.884024844720498E-2</v>
      </c>
      <c r="AS741" s="47">
        <f t="shared" ref="AS741:AT741" si="3925">(AS515-(AS613*AS151*AS148))/AS544+AS135/(1-AS128)*AS128*AS138</f>
        <v>-2.1750929886081988E-2</v>
      </c>
      <c r="AT741" s="47">
        <f t="shared" si="3925"/>
        <v>-9.0699168975070165E-4</v>
      </c>
      <c r="AU741" s="47">
        <f t="shared" ref="AU741:AV741" si="3926">(AU515-(AU613*AU151*AU148))/AU544+AU135/(1-AU128)*AU128*AU138</f>
        <v>-2.9253205500047382E-4</v>
      </c>
      <c r="AV741" s="47">
        <f t="shared" si="3926"/>
        <v>5.7542520050148484E-3</v>
      </c>
      <c r="AW741" s="47">
        <f t="shared" ref="AW741:AX741" si="3927">(AW515-(AW613*AW151*AW148))/AW544+AW135/(1-AW128)*AW128*AW138</f>
        <v>-1.8219223675639287E-2</v>
      </c>
      <c r="AX741" s="47">
        <f t="shared" si="3927"/>
        <v>-7.2175685085574537E-3</v>
      </c>
      <c r="AY741" s="47">
        <f t="shared" si="3923"/>
        <v>-6.819054857255283E-3</v>
      </c>
      <c r="AZ741" s="48">
        <f t="shared" si="3923"/>
        <v>1.2644870411623174E-3</v>
      </c>
      <c r="BA741" s="47">
        <f t="shared" si="3923"/>
        <v>8.2472556238964139E-3</v>
      </c>
      <c r="BB741" s="47">
        <f t="shared" si="3923"/>
        <v>9.8875391146824275E-3</v>
      </c>
      <c r="BC741" s="47">
        <f t="shared" si="3923"/>
        <v>7.9468820561427265E-3</v>
      </c>
      <c r="BD741" s="47">
        <f t="shared" si="3923"/>
        <v>1.5580326451808301E-2</v>
      </c>
      <c r="BE741" s="47">
        <f t="shared" si="3923"/>
        <v>1.7296535511547941E-2</v>
      </c>
      <c r="BF741" s="47">
        <f t="shared" si="3923"/>
        <v>2.5409905237182246E-2</v>
      </c>
      <c r="BG741" s="47">
        <f t="shared" si="3923"/>
        <v>2.9768425943260658E-2</v>
      </c>
      <c r="BH741" s="47">
        <f t="shared" si="3923"/>
        <v>5.0269465456733116E-2</v>
      </c>
      <c r="BI741" s="47">
        <f t="shared" si="3923"/>
        <v>5.9187004391884457E-2</v>
      </c>
      <c r="BJ741" s="47">
        <f t="shared" ref="BJ741:BK741" si="3928">(BJ515-(BJ613*BJ151*BJ148))/BJ544+BJ135/(1-BJ128)*BJ128*BJ138</f>
        <v>6.2045849999898345E-2</v>
      </c>
      <c r="BK741" s="47">
        <f t="shared" si="3928"/>
        <v>7.015999191916672E-2</v>
      </c>
      <c r="BL741" s="47">
        <f t="shared" ref="BL741:BM741" si="3929">(BL515-(BL613*BL151*BL148))/BL544+BL135/(1-BL128)*BL128*BL138</f>
        <v>7.6188578402528268E-2</v>
      </c>
      <c r="BM741" s="47">
        <f t="shared" si="3929"/>
        <v>8.4105033659990558E-2</v>
      </c>
      <c r="BN741" s="47">
        <f t="shared" ref="BN741:BO741" si="3930">(BN515-(BN613*BN151*BN148))/BN544+BN135/(1-BN128)*BN128*BN138</f>
        <v>8.9671049161044056E-2</v>
      </c>
      <c r="BO741" s="47">
        <f t="shared" si="3930"/>
        <v>9.128849423451367E-2</v>
      </c>
      <c r="BP741" s="47">
        <f t="shared" ref="BP741:BQ741" si="3931">(BP515-(BP613*BP151*BP148))/BP544+BP135/(1-BP128)*BP128*BP138</f>
        <v>9.6814777752427722E-2</v>
      </c>
      <c r="BQ741" s="47">
        <f t="shared" si="3931"/>
        <v>9.3684438637582773E-2</v>
      </c>
      <c r="BR741" s="47"/>
      <c r="BS741" s="47"/>
      <c r="BT741" s="47"/>
      <c r="BU741" s="47"/>
      <c r="BV741" s="47"/>
      <c r="BW741" s="47"/>
      <c r="BX741" s="47"/>
      <c r="BY741" s="47"/>
      <c r="BZ741" s="47"/>
      <c r="CA741" s="47"/>
      <c r="CB741" s="47"/>
      <c r="CC741" s="47"/>
      <c r="CD741" s="47"/>
      <c r="CE741" s="47"/>
      <c r="CF741" s="47"/>
      <c r="CG741" s="47"/>
      <c r="CH741" s="47"/>
      <c r="CI741" s="47"/>
      <c r="CJ741" s="47"/>
      <c r="CK741" s="47"/>
      <c r="CL741" s="47"/>
      <c r="CM741" s="47"/>
      <c r="CN741" s="47"/>
      <c r="CO741" s="47"/>
      <c r="CP741" s="47"/>
      <c r="CQ741" s="47"/>
      <c r="CR741" s="47"/>
      <c r="CS741" s="47"/>
      <c r="CT741" s="47"/>
      <c r="CU741" s="47"/>
      <c r="CV741" s="47">
        <f t="shared" ref="CV741:DF741" si="3932">(CV515-(CV613*CV151*CV148))/CV544+CV135/(1-CV128)*CV128*CV138</f>
        <v>-4.2329381552653013E-2</v>
      </c>
      <c r="CW741" s="47">
        <f t="shared" si="3932"/>
        <v>-2.1055466038595254E-2</v>
      </c>
      <c r="CX741" s="47">
        <f t="shared" si="3932"/>
        <v>3.2036942496593793E-2</v>
      </c>
      <c r="CY741" s="47">
        <f t="shared" si="3932"/>
        <v>2.3178264568370993E-2</v>
      </c>
      <c r="CZ741" s="48">
        <f t="shared" si="3932"/>
        <v>2.9835603793453219E-2</v>
      </c>
      <c r="DA741" s="47">
        <f t="shared" si="3932"/>
        <v>6.1718550309910594E-2</v>
      </c>
      <c r="DB741" s="47">
        <f t="shared" si="3932"/>
        <v>7.9165708531614296E-2</v>
      </c>
      <c r="DC741" s="47">
        <f t="shared" si="3932"/>
        <v>0.10018819292628477</v>
      </c>
      <c r="DD741" s="47">
        <f t="shared" si="3932"/>
        <v>0.13141704081883138</v>
      </c>
      <c r="DE741" s="47">
        <f t="shared" si="3932"/>
        <v>0.19427278443262472</v>
      </c>
      <c r="DF741" s="47">
        <f t="shared" si="3932"/>
        <v>0.22504518417062605</v>
      </c>
      <c r="DG741" s="47">
        <f t="shared" ref="DG741:DH741" si="3933">(DG515-(DG613*DG151*DG148))/DG544+DG135/(1-DG128)*DG128*DG138</f>
        <v>0.26036227984583871</v>
      </c>
      <c r="DH741" s="47">
        <f t="shared" si="3933"/>
        <v>0.28759589772902122</v>
      </c>
      <c r="DI741" s="47">
        <f t="shared" ref="DI741" si="3934">(DI515-(DI613*DI151*DI148))/DI544+DI135/(1-DI128)*DI128*DI138</f>
        <v>0.30364142977818753</v>
      </c>
    </row>
    <row r="742" spans="1:113" ht="12" hidden="1" outlineLevel="1">
      <c r="A742" s="1" t="s">
        <v>962</v>
      </c>
      <c r="B742" s="19" t="s">
        <v>401</v>
      </c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  <c r="AM742" s="47"/>
      <c r="AN742" s="47"/>
      <c r="AO742" s="47"/>
      <c r="AP742" s="47">
        <f t="shared" ref="AP742:BI742" si="3935">AP538/AP543</f>
        <v>1.1719305736069578</v>
      </c>
      <c r="AQ742" s="47">
        <f t="shared" ref="AQ742:AR742" si="3936">AQ538/AQ543</f>
        <v>1.3422916658735145</v>
      </c>
      <c r="AR742" s="47">
        <f t="shared" si="3936"/>
        <v>1.261955637771796</v>
      </c>
      <c r="AS742" s="47">
        <f t="shared" ref="AS742:AT742" si="3937">AS538/AS543</f>
        <v>1.2705334696412103</v>
      </c>
      <c r="AT742" s="47">
        <f t="shared" si="3937"/>
        <v>1.3043637072637229</v>
      </c>
      <c r="AU742" s="47">
        <f t="shared" ref="AU742:AV742" si="3938">AU538/AU543</f>
        <v>1.3361134769362153</v>
      </c>
      <c r="AV742" s="47">
        <f t="shared" si="3938"/>
        <v>1.3977272475373683</v>
      </c>
      <c r="AW742" s="47">
        <f t="shared" ref="AW742:AX742" si="3939">AW538/AW543</f>
        <v>1.4110689845664255</v>
      </c>
      <c r="AX742" s="47">
        <f t="shared" si="3939"/>
        <v>1.4609248862146202</v>
      </c>
      <c r="AY742" s="47">
        <f t="shared" si="3935"/>
        <v>1.5090108886167335</v>
      </c>
      <c r="AZ742" s="48">
        <f t="shared" si="3935"/>
        <v>1.5389876826073154</v>
      </c>
      <c r="BA742" s="47">
        <f t="shared" si="3935"/>
        <v>1.6045169285041649</v>
      </c>
      <c r="BB742" s="47">
        <f t="shared" si="3935"/>
        <v>1.6757441314368633</v>
      </c>
      <c r="BC742" s="47">
        <f t="shared" si="3935"/>
        <v>1.749525654257188</v>
      </c>
      <c r="BD742" s="47">
        <f t="shared" si="3935"/>
        <v>1.8492991719473517</v>
      </c>
      <c r="BE742" s="47">
        <f t="shared" si="3935"/>
        <v>1.9381625812339969</v>
      </c>
      <c r="BF742" s="47">
        <f t="shared" si="3935"/>
        <v>2.0398231515898364</v>
      </c>
      <c r="BG742" s="47">
        <f t="shared" si="3935"/>
        <v>2.1506507294697994</v>
      </c>
      <c r="BH742" s="47">
        <f t="shared" si="3935"/>
        <v>2.2728937426688685</v>
      </c>
      <c r="BI742" s="47">
        <f t="shared" si="3935"/>
        <v>2.3701182378912775</v>
      </c>
      <c r="BJ742" s="47">
        <f t="shared" ref="BJ742:BK742" si="3940">BJ538/BJ543</f>
        <v>2.4578767736709026</v>
      </c>
      <c r="BK742" s="47">
        <f t="shared" si="3940"/>
        <v>2.559538544652241</v>
      </c>
      <c r="BL742" s="47">
        <f t="shared" ref="BL742:BM742" si="3941">BL538/BL543</f>
        <v>2.6500992113502551</v>
      </c>
      <c r="BM742" s="47">
        <f t="shared" si="3941"/>
        <v>2.7439517283158095</v>
      </c>
      <c r="BN742" s="47">
        <f t="shared" ref="BN742:BO742" si="3942">BN538/BN543</f>
        <v>2.8259924738305915</v>
      </c>
      <c r="BO742" s="47">
        <f t="shared" si="3942"/>
        <v>2.9090652653638105</v>
      </c>
      <c r="BP742" s="47">
        <f t="shared" ref="BP742:BQ742" si="3943">BP538/BP543</f>
        <v>2.9904709855781659</v>
      </c>
      <c r="BQ742" s="47">
        <f t="shared" si="3943"/>
        <v>3.072680538335228</v>
      </c>
      <c r="BR742" s="47"/>
      <c r="BS742" s="47"/>
      <c r="BT742" s="47"/>
      <c r="BU742" s="47"/>
      <c r="BV742" s="47"/>
      <c r="BW742" s="47"/>
      <c r="BX742" s="47"/>
      <c r="BY742" s="47"/>
      <c r="BZ742" s="47"/>
      <c r="CA742" s="47"/>
      <c r="CB742" s="47"/>
      <c r="CC742" s="47"/>
      <c r="CD742" s="47"/>
      <c r="CE742" s="47"/>
      <c r="CF742" s="47"/>
      <c r="CG742" s="47"/>
      <c r="CH742" s="47"/>
      <c r="CI742" s="47"/>
      <c r="CJ742" s="47"/>
      <c r="CK742" s="47"/>
      <c r="CL742" s="47"/>
      <c r="CM742" s="47"/>
      <c r="CN742" s="47"/>
      <c r="CO742" s="47"/>
      <c r="CP742" s="47"/>
      <c r="CQ742" s="47"/>
      <c r="CR742" s="47"/>
      <c r="CS742" s="47"/>
      <c r="CT742" s="47"/>
      <c r="CU742" s="47"/>
      <c r="CV742" s="47">
        <f t="shared" ref="CV742:DF742" si="3944">CV538/CV543</f>
        <v>0.9730382621683904</v>
      </c>
      <c r="CW742" s="47">
        <f t="shared" si="3944"/>
        <v>1.2705334696412101</v>
      </c>
      <c r="CX742" s="47">
        <f t="shared" si="3944"/>
        <v>1.3361134769362153</v>
      </c>
      <c r="CY742" s="47">
        <f t="shared" si="3944"/>
        <v>1.4110689845664255</v>
      </c>
      <c r="CZ742" s="48">
        <f t="shared" si="3944"/>
        <v>1.5090108886167335</v>
      </c>
      <c r="DA742" s="47">
        <f t="shared" si="3944"/>
        <v>1.6045169285041652</v>
      </c>
      <c r="DB742" s="47">
        <f t="shared" si="3944"/>
        <v>1.7495256542571884</v>
      </c>
      <c r="DC742" s="47">
        <f t="shared" si="3944"/>
        <v>1.9381625812339969</v>
      </c>
      <c r="DD742" s="47">
        <f t="shared" si="3944"/>
        <v>2.1506507294697994</v>
      </c>
      <c r="DE742" s="47">
        <f t="shared" si="3944"/>
        <v>2.3701182378912775</v>
      </c>
      <c r="DF742" s="47">
        <f t="shared" si="3944"/>
        <v>2.559538544652241</v>
      </c>
      <c r="DG742" s="47">
        <f t="shared" ref="DG742:DH742" si="3945">DG538/DG543</f>
        <v>2.7439517283158095</v>
      </c>
      <c r="DH742" s="47">
        <f t="shared" si="3945"/>
        <v>2.90906526536381</v>
      </c>
      <c r="DI742" s="47">
        <f t="shared" ref="DI742" si="3946">DI538/DI543</f>
        <v>3.0726805383352276</v>
      </c>
    </row>
    <row r="743" spans="1:113" ht="12" hidden="1" outlineLevel="1">
      <c r="A743" s="1" t="s">
        <v>963</v>
      </c>
      <c r="B743" s="19" t="s">
        <v>492</v>
      </c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  <c r="AM743" s="47"/>
      <c r="AN743" s="47"/>
      <c r="AO743" s="47"/>
      <c r="AP743" s="47">
        <f t="shared" ref="AP743:BI743" si="3947">(AP538-AP661)/AP543</f>
        <v>1.153268713486701</v>
      </c>
      <c r="AQ743" s="47">
        <f t="shared" ref="AQ743:AR743" si="3948">(AQ538-AQ661)/AQ543</f>
        <v>1.3222015888812644</v>
      </c>
      <c r="AR743" s="47">
        <f t="shared" si="3948"/>
        <v>1.2463067003956567</v>
      </c>
      <c r="AS743" s="47">
        <f t="shared" ref="AS743:AT743" si="3949">(AS538-AS661)/AS543</f>
        <v>1.2490051366087023</v>
      </c>
      <c r="AT743" s="47">
        <f t="shared" si="3949"/>
        <v>1.2763226012129771</v>
      </c>
      <c r="AU743" s="47">
        <f t="shared" ref="AU743:AV743" si="3950">(AU538-AU661)/AU543</f>
        <v>1.3014691426550855</v>
      </c>
      <c r="AV743" s="47">
        <f t="shared" si="3950"/>
        <v>1.3571611552192893</v>
      </c>
      <c r="AW743" s="47">
        <f t="shared" ref="AW743:AX743" si="3951">(AW538-AW661)/AW543</f>
        <v>1.367528045478354</v>
      </c>
      <c r="AX743" s="47">
        <f t="shared" si="3951"/>
        <v>1.416191696757237</v>
      </c>
      <c r="AY743" s="47">
        <f t="shared" si="3947"/>
        <v>1.4663334195149795</v>
      </c>
      <c r="AZ743" s="48">
        <f t="shared" si="3947"/>
        <v>1.4995607681163612</v>
      </c>
      <c r="BA743" s="47">
        <f t="shared" si="3947"/>
        <v>1.5650900140132107</v>
      </c>
      <c r="BB743" s="47">
        <f t="shared" si="3947"/>
        <v>1.636317216945909</v>
      </c>
      <c r="BC743" s="47">
        <f t="shared" si="3947"/>
        <v>1.7100987397662337</v>
      </c>
      <c r="BD743" s="47">
        <f t="shared" si="3947"/>
        <v>1.8121894205696223</v>
      </c>
      <c r="BE743" s="47">
        <f t="shared" si="3947"/>
        <v>1.9010528298562672</v>
      </c>
      <c r="BF743" s="47">
        <f t="shared" si="3947"/>
        <v>2.0027134002121065</v>
      </c>
      <c r="BG743" s="47">
        <f t="shared" si="3947"/>
        <v>2.11354097809207</v>
      </c>
      <c r="BH743" s="47">
        <f t="shared" si="3947"/>
        <v>2.235783991291139</v>
      </c>
      <c r="BI743" s="47">
        <f t="shared" si="3947"/>
        <v>2.3330084865135476</v>
      </c>
      <c r="BJ743" s="47">
        <f t="shared" ref="BJ743:BK743" si="3952">(BJ538-BJ661)/BJ543</f>
        <v>2.4207670222931732</v>
      </c>
      <c r="BK743" s="47">
        <f t="shared" si="3952"/>
        <v>2.5224287932745111</v>
      </c>
      <c r="BL743" s="47">
        <f t="shared" ref="BL743:BM743" si="3953">(BL538-BL661)/BL543</f>
        <v>2.6129894599725256</v>
      </c>
      <c r="BM743" s="47">
        <f t="shared" si="3953"/>
        <v>2.7068419769380796</v>
      </c>
      <c r="BN743" s="47">
        <f t="shared" ref="BN743:BO743" si="3954">(BN538-BN661)/BN543</f>
        <v>2.7888827224528621</v>
      </c>
      <c r="BO743" s="47">
        <f t="shared" si="3954"/>
        <v>2.8719555139860811</v>
      </c>
      <c r="BP743" s="47">
        <f t="shared" ref="BP743:BQ743" si="3955">(BP538-BP661)/BP543</f>
        <v>2.9533612342004365</v>
      </c>
      <c r="BQ743" s="47">
        <f t="shared" si="3955"/>
        <v>3.0355707869574986</v>
      </c>
      <c r="BR743" s="47"/>
      <c r="BS743" s="47"/>
      <c r="BT743" s="47"/>
      <c r="BU743" s="47"/>
      <c r="BV743" s="47"/>
      <c r="BW743" s="47"/>
      <c r="BX743" s="47"/>
      <c r="BY743" s="47"/>
      <c r="BZ743" s="47"/>
      <c r="CA743" s="47"/>
      <c r="CB743" s="47"/>
      <c r="CC743" s="47"/>
      <c r="CD743" s="47"/>
      <c r="CE743" s="47"/>
      <c r="CF743" s="47"/>
      <c r="CG743" s="47"/>
      <c r="CH743" s="47"/>
      <c r="CI743" s="47"/>
      <c r="CJ743" s="47"/>
      <c r="CK743" s="47"/>
      <c r="CL743" s="47"/>
      <c r="CM743" s="47"/>
      <c r="CN743" s="47"/>
      <c r="CO743" s="47"/>
      <c r="CP743" s="47"/>
      <c r="CQ743" s="47"/>
      <c r="CR743" s="47"/>
      <c r="CS743" s="47"/>
      <c r="CT743" s="47"/>
      <c r="CU743" s="47"/>
      <c r="CV743" s="47">
        <f t="shared" ref="CV743:DF743" si="3956">(CV538-CV661)/CV543</f>
        <v>0.95847480021718556</v>
      </c>
      <c r="CW743" s="47">
        <f t="shared" si="3956"/>
        <v>1.249005136608702</v>
      </c>
      <c r="CX743" s="47">
        <f t="shared" si="3956"/>
        <v>1.3014691426550855</v>
      </c>
      <c r="CY743" s="47">
        <f t="shared" si="3956"/>
        <v>1.367528045478354</v>
      </c>
      <c r="CZ743" s="48">
        <f t="shared" si="3956"/>
        <v>1.4663334195149795</v>
      </c>
      <c r="DA743" s="47">
        <f t="shared" si="3956"/>
        <v>1.5650900140132109</v>
      </c>
      <c r="DB743" s="47">
        <f t="shared" si="3956"/>
        <v>1.7100987397662342</v>
      </c>
      <c r="DC743" s="47">
        <f t="shared" si="3956"/>
        <v>1.9010528298562672</v>
      </c>
      <c r="DD743" s="47">
        <f t="shared" si="3956"/>
        <v>2.11354097809207</v>
      </c>
      <c r="DE743" s="47">
        <f t="shared" si="3956"/>
        <v>2.3330084865135476</v>
      </c>
      <c r="DF743" s="47">
        <f t="shared" si="3956"/>
        <v>2.5224287932745111</v>
      </c>
      <c r="DG743" s="47">
        <f t="shared" ref="DG743:DH743" si="3957">(DG538-DG661)/DG543</f>
        <v>2.7068419769380796</v>
      </c>
      <c r="DH743" s="47">
        <f t="shared" si="3957"/>
        <v>2.8719555139860806</v>
      </c>
      <c r="DI743" s="47">
        <f t="shared" ref="DI743" si="3958">(DI538-DI661)/DI543</f>
        <v>3.0355707869574982</v>
      </c>
    </row>
    <row r="744" spans="1:113" ht="12" hidden="1" outlineLevel="1">
      <c r="A744" s="1" t="s">
        <v>2452</v>
      </c>
      <c r="B744" s="19" t="s">
        <v>2453</v>
      </c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  <c r="AM744" s="47"/>
      <c r="AN744" s="47"/>
      <c r="AO744" s="47"/>
      <c r="AP744" s="47">
        <f t="shared" ref="AP744:BI744" si="3959" xml:space="preserve"> (AP538-AP661-AP595)/(AP543-AP595/AP143)</f>
        <v>-0.56023958471091906</v>
      </c>
      <c r="AQ744" s="47">
        <f t="shared" ref="AQ744:AR744" si="3960" xml:space="preserve"> (AQ538-AQ661-AQ595)/(AQ543-AQ595/AQ143)</f>
        <v>1.0639618852116299</v>
      </c>
      <c r="AR744" s="47">
        <f t="shared" si="3960"/>
        <v>1.2813158833639813</v>
      </c>
      <c r="AS744" s="47">
        <f t="shared" ref="AS744:AT744" si="3961" xml:space="preserve"> (AS538-AS661-AS595)/(AS543-AS595/AS143)</f>
        <v>0.76638057293244777</v>
      </c>
      <c r="AT744" s="47" t="e">
        <f t="shared" si="3961"/>
        <v>#DIV/0!</v>
      </c>
      <c r="AU744" s="47">
        <f t="shared" ref="AU744:AV744" si="3962" xml:space="preserve"> (AU538-AU661-AU595)/(AU543-AU595/AU143)</f>
        <v>1.3220184302877533</v>
      </c>
      <c r="AV744" s="47">
        <f t="shared" si="3962"/>
        <v>1.4913849029855737</v>
      </c>
      <c r="AW744" s="47">
        <f t="shared" ref="AW744:AX744" si="3963" xml:space="preserve"> (AW538-AW661-AW595)/(AW543-AW595/AW143)</f>
        <v>1.4441502833331363</v>
      </c>
      <c r="AX744" s="47">
        <f t="shared" si="3963"/>
        <v>1.3959773143697352</v>
      </c>
      <c r="AY744" s="47">
        <f t="shared" si="3959"/>
        <v>1.441231592516913</v>
      </c>
      <c r="AZ744" s="48">
        <f t="shared" si="3959"/>
        <v>1.4878992642152475</v>
      </c>
      <c r="BA744" s="47">
        <f t="shared" si="3959"/>
        <v>1.5576474463566277</v>
      </c>
      <c r="BB744" s="47">
        <f t="shared" si="3959"/>
        <v>1.6321495404897453</v>
      </c>
      <c r="BC744" s="47">
        <f t="shared" si="3959"/>
        <v>1.7105482288567369</v>
      </c>
      <c r="BD744" s="47">
        <f t="shared" si="3959"/>
        <v>1.8005925456226461</v>
      </c>
      <c r="BE744" s="47">
        <f t="shared" si="3959"/>
        <v>1.8947460960887899</v>
      </c>
      <c r="BF744" s="47">
        <f t="shared" si="3959"/>
        <v>1.998355977266058</v>
      </c>
      <c r="BG744" s="47">
        <f t="shared" si="3959"/>
        <v>2.1104039795557594</v>
      </c>
      <c r="BH744" s="47">
        <f t="shared" si="3959"/>
        <v>2.2294260722749528</v>
      </c>
      <c r="BI744" s="47">
        <f t="shared" si="3959"/>
        <v>2.3286268202618436</v>
      </c>
      <c r="BJ744" s="47">
        <f t="shared" ref="BJ744:BK744" si="3964" xml:space="preserve"> (BJ538-BJ661-BJ595)/(BJ543-BJ595/BJ143)</f>
        <v>2.4155433206204702</v>
      </c>
      <c r="BK744" s="47">
        <f t="shared" si="3964"/>
        <v>2.5180087753142733</v>
      </c>
      <c r="BL744" s="47">
        <f t="shared" ref="BL744:BM744" si="3965" xml:space="preserve"> (BL538-BL661-BL595)/(BL543-BL595/BL143)</f>
        <v>2.6051942070624663</v>
      </c>
      <c r="BM744" s="47">
        <f t="shared" si="3965"/>
        <v>2.6993264183937922</v>
      </c>
      <c r="BN744" s="47">
        <f t="shared" ref="BN744:BO744" si="3966" xml:space="preserve"> (BN538-BN661-BN595)/(BN543-BN595/BN143)</f>
        <v>2.7775160669260242</v>
      </c>
      <c r="BO744" s="47">
        <f t="shared" si="3966"/>
        <v>2.8616568569207947</v>
      </c>
      <c r="BP744" s="47">
        <f t="shared" ref="BP744:BQ744" si="3967" xml:space="preserve"> (BP538-BP661-BP595)/(BP543-BP595/BP143)</f>
        <v>2.939703183686484</v>
      </c>
      <c r="BQ744" s="47">
        <f t="shared" si="3967"/>
        <v>3.0249677062699281</v>
      </c>
      <c r="BR744" s="47"/>
      <c r="BS744" s="47"/>
      <c r="BT744" s="47"/>
      <c r="BU744" s="47"/>
      <c r="BV744" s="47"/>
      <c r="BW744" s="47"/>
      <c r="BX744" s="47"/>
      <c r="BY744" s="47"/>
      <c r="BZ744" s="47"/>
      <c r="CA744" s="47"/>
      <c r="CB744" s="47"/>
      <c r="CC744" s="47"/>
      <c r="CD744" s="47"/>
      <c r="CE744" s="47"/>
      <c r="CF744" s="47"/>
      <c r="CG744" s="47"/>
      <c r="CH744" s="47"/>
      <c r="CI744" s="47"/>
      <c r="CJ744" s="47"/>
      <c r="CK744" s="47"/>
      <c r="CL744" s="47"/>
      <c r="CM744" s="47"/>
      <c r="CN744" s="47"/>
      <c r="CO744" s="47"/>
      <c r="CP744" s="47"/>
      <c r="CQ744" s="47"/>
      <c r="CR744" s="47"/>
      <c r="CS744" s="47"/>
      <c r="CT744" s="47"/>
      <c r="CU744" s="47"/>
      <c r="CV744" s="47"/>
      <c r="CW744" s="47" t="e">
        <f xml:space="preserve"> (CW538-CW661-CW595)/(CW543-CW595/CW143)</f>
        <v>#VALUE!</v>
      </c>
      <c r="CX744" s="47">
        <f t="shared" ref="CX744:DG744" si="3968" xml:space="preserve"> (CX538-CX661-CX595)/(CX543-CX595/CX143)</f>
        <v>2.4016748414019675</v>
      </c>
      <c r="CY744" s="47">
        <f t="shared" si="3968"/>
        <v>1.4520978116438281</v>
      </c>
      <c r="CZ744" s="48">
        <f t="shared" si="3968"/>
        <v>1.448883417711851</v>
      </c>
      <c r="DA744" s="47">
        <f t="shared" si="3968"/>
        <v>1.5597385770871359</v>
      </c>
      <c r="DB744" s="47">
        <f t="shared" si="3968"/>
        <v>1.7104691977926514</v>
      </c>
      <c r="DC744" s="47">
        <f t="shared" si="3968"/>
        <v>1.8958862109043195</v>
      </c>
      <c r="DD744" s="47">
        <f t="shared" si="3968"/>
        <v>2.1109940435730326</v>
      </c>
      <c r="DE744" s="47">
        <f t="shared" si="3968"/>
        <v>2.3294314909319671</v>
      </c>
      <c r="DF744" s="47">
        <f t="shared" si="3968"/>
        <v>2.5186879408987495</v>
      </c>
      <c r="DG744" s="47">
        <f t="shared" si="3968"/>
        <v>2.7002684704250659</v>
      </c>
      <c r="DH744" s="47">
        <f t="shared" ref="DH744:DI744" si="3969" xml:space="preserve"> (DH538-DH661-DH595)/(DH543-DH595/DH143)</f>
        <v>2.8626862366053203</v>
      </c>
      <c r="DI744" s="47">
        <f t="shared" si="3969"/>
        <v>3.0258275499061869</v>
      </c>
    </row>
    <row r="745" spans="1:113" ht="12" hidden="1" outlineLevel="2">
      <c r="A745" s="1" t="s">
        <v>964</v>
      </c>
      <c r="B745" s="19" t="s">
        <v>801</v>
      </c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  <c r="AM745" s="47"/>
      <c r="AN745" s="47"/>
      <c r="AO745" s="47"/>
      <c r="AP745" s="47"/>
      <c r="AQ745" s="47"/>
      <c r="AR745" s="47"/>
      <c r="AS745" s="47"/>
      <c r="AT745" s="47"/>
      <c r="AU745" s="47"/>
      <c r="AV745" s="47"/>
      <c r="AW745" s="47"/>
      <c r="AX745" s="47"/>
      <c r="AY745" s="47"/>
      <c r="AZ745" s="48"/>
      <c r="BA745" s="47"/>
      <c r="BB745" s="47"/>
      <c r="BC745" s="47"/>
      <c r="BD745" s="47"/>
      <c r="BE745" s="47"/>
      <c r="BF745" s="47"/>
      <c r="BG745" s="47"/>
      <c r="BH745" s="47"/>
      <c r="BI745" s="47"/>
      <c r="BJ745" s="47"/>
      <c r="BK745" s="47"/>
      <c r="BL745" s="47"/>
      <c r="BM745" s="47"/>
      <c r="BN745" s="47"/>
      <c r="BO745" s="47"/>
      <c r="BP745" s="47"/>
      <c r="BQ745" s="47"/>
      <c r="BR745" s="47"/>
      <c r="BS745" s="47"/>
      <c r="BT745" s="47"/>
      <c r="BU745" s="47"/>
      <c r="BV745" s="47"/>
      <c r="BW745" s="47"/>
      <c r="BX745" s="47"/>
      <c r="BY745" s="47"/>
      <c r="BZ745" s="47"/>
      <c r="CA745" s="47"/>
      <c r="CB745" s="47"/>
      <c r="CC745" s="47"/>
      <c r="CD745" s="47"/>
      <c r="CE745" s="47"/>
      <c r="CF745" s="47"/>
      <c r="CG745" s="47"/>
      <c r="CH745" s="47"/>
      <c r="CI745" s="47"/>
      <c r="CJ745" s="47"/>
      <c r="CK745" s="47"/>
      <c r="CL745" s="47"/>
      <c r="CM745" s="47"/>
      <c r="CN745" s="47"/>
      <c r="CO745" s="47"/>
      <c r="CP745" s="47"/>
      <c r="CQ745" s="47"/>
      <c r="CR745" s="47"/>
      <c r="CS745" s="47"/>
      <c r="CT745" s="47"/>
      <c r="CU745" s="47"/>
      <c r="CV745" s="47"/>
      <c r="CW745" s="47"/>
      <c r="CX745" s="47"/>
      <c r="CY745" s="47"/>
      <c r="CZ745" s="48"/>
      <c r="DA745" s="47"/>
      <c r="DB745" s="19"/>
      <c r="DC745" s="19"/>
      <c r="DD745" s="19"/>
      <c r="DE745" s="19"/>
      <c r="DF745" s="19"/>
      <c r="DG745" s="19"/>
      <c r="DH745" s="19"/>
      <c r="DI745" s="19"/>
    </row>
    <row r="746" spans="1:113" ht="12" hidden="1" outlineLevel="2">
      <c r="A746" s="1" t="s">
        <v>34</v>
      </c>
      <c r="B746" s="19" t="s">
        <v>801</v>
      </c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  <c r="AM746" s="47"/>
      <c r="AN746" s="47"/>
      <c r="AO746" s="47"/>
      <c r="AP746" s="47"/>
      <c r="AQ746" s="47"/>
      <c r="AR746" s="47"/>
      <c r="AS746" s="47"/>
      <c r="AT746" s="47"/>
      <c r="AU746" s="47"/>
      <c r="AV746" s="47"/>
      <c r="AW746" s="47"/>
      <c r="AX746" s="47"/>
      <c r="AY746" s="47"/>
      <c r="AZ746" s="48"/>
      <c r="BA746" s="47"/>
      <c r="BB746" s="47"/>
      <c r="BC746" s="47"/>
      <c r="BD746" s="47"/>
      <c r="BE746" s="47"/>
      <c r="BF746" s="47"/>
      <c r="BG746" s="47"/>
      <c r="BH746" s="47"/>
      <c r="BI746" s="47"/>
      <c r="BJ746" s="47"/>
      <c r="BK746" s="47"/>
      <c r="BL746" s="47"/>
      <c r="BM746" s="47"/>
      <c r="BN746" s="47"/>
      <c r="BO746" s="47"/>
      <c r="BP746" s="47"/>
      <c r="BQ746" s="47"/>
      <c r="BR746" s="47"/>
      <c r="BS746" s="47"/>
      <c r="BT746" s="47"/>
      <c r="BU746" s="47"/>
      <c r="BV746" s="47"/>
      <c r="BW746" s="47"/>
      <c r="BX746" s="47"/>
      <c r="BY746" s="47"/>
      <c r="BZ746" s="47"/>
      <c r="CA746" s="47"/>
      <c r="CB746" s="47"/>
      <c r="CC746" s="47"/>
      <c r="CD746" s="47"/>
      <c r="CE746" s="47"/>
      <c r="CF746" s="47"/>
      <c r="CG746" s="47"/>
      <c r="CH746" s="47"/>
      <c r="CI746" s="47"/>
      <c r="CJ746" s="47"/>
      <c r="CK746" s="47"/>
      <c r="CL746" s="47"/>
      <c r="CM746" s="47"/>
      <c r="CN746" s="47"/>
      <c r="CO746" s="47"/>
      <c r="CP746" s="47"/>
      <c r="CQ746" s="47"/>
      <c r="CR746" s="47"/>
      <c r="CS746" s="47"/>
      <c r="CT746" s="47"/>
      <c r="CU746" s="47"/>
      <c r="CV746" s="47"/>
      <c r="CW746" s="47"/>
      <c r="CX746" s="47"/>
      <c r="CY746" s="47"/>
      <c r="CZ746" s="48"/>
      <c r="DA746" s="47"/>
      <c r="DB746" s="19"/>
      <c r="DC746" s="19"/>
      <c r="DD746" s="19"/>
      <c r="DE746" s="19"/>
      <c r="DF746" s="19"/>
      <c r="DG746" s="19"/>
      <c r="DH746" s="19"/>
      <c r="DI746" s="19"/>
    </row>
    <row r="747" spans="1:113" ht="12" hidden="1" outlineLevel="2">
      <c r="A747" s="1" t="s">
        <v>35</v>
      </c>
      <c r="B747" s="19" t="s">
        <v>801</v>
      </c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  <c r="AM747" s="47"/>
      <c r="AN747" s="47"/>
      <c r="AO747" s="47"/>
      <c r="AP747" s="47"/>
      <c r="AQ747" s="47"/>
      <c r="AR747" s="47"/>
      <c r="AS747" s="47"/>
      <c r="AT747" s="47"/>
      <c r="AU747" s="47"/>
      <c r="AV747" s="47"/>
      <c r="AW747" s="47"/>
      <c r="AX747" s="47"/>
      <c r="AY747" s="47"/>
      <c r="AZ747" s="48"/>
      <c r="BA747" s="47"/>
      <c r="BB747" s="47"/>
      <c r="BC747" s="47"/>
      <c r="BD747" s="47"/>
      <c r="BE747" s="47"/>
      <c r="BF747" s="47"/>
      <c r="BG747" s="47"/>
      <c r="BH747" s="47"/>
      <c r="BI747" s="47"/>
      <c r="BJ747" s="47"/>
      <c r="BK747" s="47"/>
      <c r="BL747" s="47"/>
      <c r="BM747" s="47"/>
      <c r="BN747" s="47"/>
      <c r="BO747" s="47"/>
      <c r="BP747" s="47"/>
      <c r="BQ747" s="47"/>
      <c r="BR747" s="47"/>
      <c r="BS747" s="47"/>
      <c r="BT747" s="47"/>
      <c r="BU747" s="47"/>
      <c r="BV747" s="47"/>
      <c r="BW747" s="47"/>
      <c r="BX747" s="47"/>
      <c r="BY747" s="47"/>
      <c r="BZ747" s="47"/>
      <c r="CA747" s="47"/>
      <c r="CB747" s="47"/>
      <c r="CC747" s="47"/>
      <c r="CD747" s="47"/>
      <c r="CE747" s="47"/>
      <c r="CF747" s="47"/>
      <c r="CG747" s="47"/>
      <c r="CH747" s="47"/>
      <c r="CI747" s="47"/>
      <c r="CJ747" s="47"/>
      <c r="CK747" s="47"/>
      <c r="CL747" s="47"/>
      <c r="CM747" s="47"/>
      <c r="CN747" s="47"/>
      <c r="CO747" s="47"/>
      <c r="CP747" s="47"/>
      <c r="CQ747" s="47"/>
      <c r="CR747" s="47"/>
      <c r="CS747" s="47"/>
      <c r="CT747" s="47"/>
      <c r="CU747" s="47"/>
      <c r="CV747" s="47"/>
      <c r="CW747" s="47"/>
      <c r="CX747" s="47"/>
      <c r="CY747" s="47"/>
      <c r="CZ747" s="48"/>
      <c r="DA747" s="47"/>
      <c r="DB747" s="19"/>
      <c r="DC747" s="19"/>
      <c r="DD747" s="19"/>
      <c r="DE747" s="19"/>
      <c r="DF747" s="19"/>
      <c r="DG747" s="19"/>
      <c r="DH747" s="19"/>
      <c r="DI747" s="19"/>
    </row>
    <row r="748" spans="1:113" ht="12" hidden="1" outlineLevel="2">
      <c r="A748" s="1" t="s">
        <v>36</v>
      </c>
      <c r="B748" s="19" t="s">
        <v>801</v>
      </c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7"/>
      <c r="AE748" s="47"/>
      <c r="AF748" s="47"/>
      <c r="AG748" s="47"/>
      <c r="AH748" s="47"/>
      <c r="AI748" s="47"/>
      <c r="AJ748" s="47"/>
      <c r="AK748" s="47"/>
      <c r="AL748" s="47"/>
      <c r="AM748" s="47"/>
      <c r="AN748" s="47"/>
      <c r="AO748" s="47"/>
      <c r="AP748" s="47"/>
      <c r="AQ748" s="47"/>
      <c r="AR748" s="47"/>
      <c r="AS748" s="47"/>
      <c r="AT748" s="47"/>
      <c r="AU748" s="47"/>
      <c r="AV748" s="47"/>
      <c r="AW748" s="47"/>
      <c r="AX748" s="47"/>
      <c r="AY748" s="47"/>
      <c r="AZ748" s="48"/>
      <c r="BA748" s="47"/>
      <c r="BB748" s="47"/>
      <c r="BC748" s="47"/>
      <c r="BD748" s="47"/>
      <c r="BE748" s="47"/>
      <c r="BF748" s="47"/>
      <c r="BG748" s="47"/>
      <c r="BH748" s="47"/>
      <c r="BI748" s="47"/>
      <c r="BJ748" s="47"/>
      <c r="BK748" s="47"/>
      <c r="BL748" s="47"/>
      <c r="BM748" s="47"/>
      <c r="BN748" s="47"/>
      <c r="BO748" s="47"/>
      <c r="BP748" s="47"/>
      <c r="BQ748" s="47"/>
      <c r="BR748" s="47"/>
      <c r="BS748" s="47"/>
      <c r="BT748" s="47"/>
      <c r="BU748" s="47"/>
      <c r="BV748" s="47"/>
      <c r="BW748" s="47"/>
      <c r="BX748" s="47"/>
      <c r="BY748" s="47"/>
      <c r="BZ748" s="47"/>
      <c r="CA748" s="47"/>
      <c r="CB748" s="47"/>
      <c r="CC748" s="47"/>
      <c r="CD748" s="47"/>
      <c r="CE748" s="47"/>
      <c r="CF748" s="47"/>
      <c r="CG748" s="47"/>
      <c r="CH748" s="47"/>
      <c r="CI748" s="47"/>
      <c r="CJ748" s="47"/>
      <c r="CK748" s="47"/>
      <c r="CL748" s="47"/>
      <c r="CM748" s="47"/>
      <c r="CN748" s="47"/>
      <c r="CO748" s="47"/>
      <c r="CP748" s="47"/>
      <c r="CQ748" s="47"/>
      <c r="CR748" s="47"/>
      <c r="CS748" s="47"/>
      <c r="CT748" s="47"/>
      <c r="CU748" s="47"/>
      <c r="CV748" s="47"/>
      <c r="CW748" s="47"/>
      <c r="CX748" s="47"/>
      <c r="CY748" s="47"/>
      <c r="CZ748" s="48"/>
      <c r="DA748" s="47"/>
      <c r="DB748" s="19"/>
      <c r="DC748" s="19"/>
      <c r="DD748" s="19"/>
      <c r="DE748" s="19"/>
      <c r="DF748" s="19"/>
      <c r="DG748" s="19"/>
      <c r="DH748" s="19"/>
      <c r="DI748" s="19"/>
    </row>
    <row r="749" spans="1:113" ht="12" hidden="1" outlineLevel="2">
      <c r="A749" s="1" t="s">
        <v>37</v>
      </c>
      <c r="B749" s="19" t="s">
        <v>801</v>
      </c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7"/>
      <c r="AE749" s="47"/>
      <c r="AF749" s="47"/>
      <c r="AG749" s="47"/>
      <c r="AH749" s="47"/>
      <c r="AI749" s="47"/>
      <c r="AJ749" s="47"/>
      <c r="AK749" s="47"/>
      <c r="AL749" s="47"/>
      <c r="AM749" s="47"/>
      <c r="AN749" s="47"/>
      <c r="AO749" s="47"/>
      <c r="AP749" s="47"/>
      <c r="AQ749" s="47"/>
      <c r="AR749" s="47"/>
      <c r="AS749" s="47"/>
      <c r="AT749" s="47"/>
      <c r="AU749" s="47"/>
      <c r="AV749" s="47"/>
      <c r="AW749" s="47"/>
      <c r="AX749" s="47"/>
      <c r="AY749" s="47"/>
      <c r="AZ749" s="48"/>
      <c r="BA749" s="47"/>
      <c r="BB749" s="47"/>
      <c r="BC749" s="47"/>
      <c r="BD749" s="47"/>
      <c r="BE749" s="47"/>
      <c r="BF749" s="47"/>
      <c r="BG749" s="47"/>
      <c r="BH749" s="47"/>
      <c r="BI749" s="47"/>
      <c r="BJ749" s="47"/>
      <c r="BK749" s="47"/>
      <c r="BL749" s="47"/>
      <c r="BM749" s="47"/>
      <c r="BN749" s="47"/>
      <c r="BO749" s="47"/>
      <c r="BP749" s="47"/>
      <c r="BQ749" s="47"/>
      <c r="BR749" s="47"/>
      <c r="BS749" s="47"/>
      <c r="BT749" s="47"/>
      <c r="BU749" s="47"/>
      <c r="BV749" s="47"/>
      <c r="BW749" s="47"/>
      <c r="BX749" s="47"/>
      <c r="BY749" s="47"/>
      <c r="BZ749" s="47"/>
      <c r="CA749" s="47"/>
      <c r="CB749" s="47"/>
      <c r="CC749" s="47"/>
      <c r="CD749" s="47"/>
      <c r="CE749" s="47"/>
      <c r="CF749" s="47"/>
      <c r="CG749" s="47"/>
      <c r="CH749" s="47"/>
      <c r="CI749" s="47"/>
      <c r="CJ749" s="47"/>
      <c r="CK749" s="47"/>
      <c r="CL749" s="47"/>
      <c r="CM749" s="47"/>
      <c r="CN749" s="47"/>
      <c r="CO749" s="47"/>
      <c r="CP749" s="47"/>
      <c r="CQ749" s="47"/>
      <c r="CR749" s="47"/>
      <c r="CS749" s="47"/>
      <c r="CT749" s="47"/>
      <c r="CU749" s="47"/>
      <c r="CV749" s="47"/>
      <c r="CW749" s="47"/>
      <c r="CX749" s="47"/>
      <c r="CY749" s="47"/>
      <c r="CZ749" s="48"/>
      <c r="DA749" s="47"/>
      <c r="DB749" s="19"/>
      <c r="DC749" s="19"/>
      <c r="DD749" s="19"/>
      <c r="DE749" s="19"/>
      <c r="DF749" s="19"/>
      <c r="DG749" s="19"/>
      <c r="DH749" s="19"/>
      <c r="DI749" s="19"/>
    </row>
    <row r="750" spans="1:113" ht="12" hidden="1" outlineLevel="2">
      <c r="A750" s="1" t="s">
        <v>12</v>
      </c>
      <c r="B750" s="19" t="s">
        <v>801</v>
      </c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7"/>
      <c r="AE750" s="47"/>
      <c r="AF750" s="47"/>
      <c r="AG750" s="47"/>
      <c r="AH750" s="47"/>
      <c r="AI750" s="47"/>
      <c r="AJ750" s="47"/>
      <c r="AK750" s="47"/>
      <c r="AL750" s="47"/>
      <c r="AM750" s="47"/>
      <c r="AN750" s="47"/>
      <c r="AO750" s="47"/>
      <c r="AP750" s="47"/>
      <c r="AQ750" s="47"/>
      <c r="AR750" s="47"/>
      <c r="AS750" s="47"/>
      <c r="AT750" s="47"/>
      <c r="AU750" s="47"/>
      <c r="AV750" s="47"/>
      <c r="AW750" s="47"/>
      <c r="AX750" s="47"/>
      <c r="AY750" s="47"/>
      <c r="AZ750" s="48"/>
      <c r="BA750" s="47"/>
      <c r="BB750" s="47"/>
      <c r="BC750" s="47"/>
      <c r="BD750" s="47"/>
      <c r="BE750" s="47"/>
      <c r="BF750" s="47"/>
      <c r="BG750" s="47"/>
      <c r="BH750" s="47"/>
      <c r="BI750" s="47"/>
      <c r="BJ750" s="47"/>
      <c r="BK750" s="47"/>
      <c r="BL750" s="47"/>
      <c r="BM750" s="47"/>
      <c r="BN750" s="47"/>
      <c r="BO750" s="47"/>
      <c r="BP750" s="47"/>
      <c r="BQ750" s="47"/>
      <c r="BR750" s="47"/>
      <c r="BS750" s="47"/>
      <c r="BT750" s="47"/>
      <c r="BU750" s="47"/>
      <c r="BV750" s="47"/>
      <c r="BW750" s="47"/>
      <c r="BX750" s="47"/>
      <c r="BY750" s="47"/>
      <c r="BZ750" s="47"/>
      <c r="CA750" s="47"/>
      <c r="CB750" s="47"/>
      <c r="CC750" s="47"/>
      <c r="CD750" s="47"/>
      <c r="CE750" s="47"/>
      <c r="CF750" s="47"/>
      <c r="CG750" s="47"/>
      <c r="CH750" s="47"/>
      <c r="CI750" s="47"/>
      <c r="CJ750" s="47"/>
      <c r="CK750" s="47"/>
      <c r="CL750" s="47"/>
      <c r="CM750" s="47"/>
      <c r="CN750" s="47"/>
      <c r="CO750" s="47"/>
      <c r="CP750" s="47"/>
      <c r="CQ750" s="47"/>
      <c r="CR750" s="47"/>
      <c r="CS750" s="47"/>
      <c r="CT750" s="47"/>
      <c r="CU750" s="47"/>
      <c r="CV750" s="47"/>
      <c r="CW750" s="47"/>
      <c r="CX750" s="47"/>
      <c r="CY750" s="47"/>
      <c r="CZ750" s="48"/>
      <c r="DA750" s="47"/>
      <c r="DB750" s="19"/>
      <c r="DC750" s="19"/>
      <c r="DD750" s="19"/>
      <c r="DE750" s="19"/>
      <c r="DF750" s="19"/>
      <c r="DG750" s="19"/>
      <c r="DH750" s="19"/>
      <c r="DI750" s="19"/>
    </row>
    <row r="751" spans="1:113" ht="12" hidden="1" outlineLevel="2">
      <c r="A751" s="1" t="s">
        <v>13</v>
      </c>
      <c r="B751" s="19" t="s">
        <v>801</v>
      </c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7"/>
      <c r="AE751" s="47"/>
      <c r="AF751" s="47"/>
      <c r="AG751" s="47"/>
      <c r="AH751" s="47"/>
      <c r="AI751" s="47"/>
      <c r="AJ751" s="47"/>
      <c r="AK751" s="47"/>
      <c r="AL751" s="47"/>
      <c r="AM751" s="47"/>
      <c r="AN751" s="47"/>
      <c r="AO751" s="47"/>
      <c r="AP751" s="47"/>
      <c r="AQ751" s="47"/>
      <c r="AR751" s="47"/>
      <c r="AS751" s="47"/>
      <c r="AT751" s="47"/>
      <c r="AU751" s="47"/>
      <c r="AV751" s="47"/>
      <c r="AW751" s="47"/>
      <c r="AX751" s="47"/>
      <c r="AY751" s="47"/>
      <c r="AZ751" s="48"/>
      <c r="BA751" s="47"/>
      <c r="BB751" s="47"/>
      <c r="BC751" s="47"/>
      <c r="BD751" s="47"/>
      <c r="BE751" s="47"/>
      <c r="BF751" s="47"/>
      <c r="BG751" s="47"/>
      <c r="BH751" s="47"/>
      <c r="BI751" s="47"/>
      <c r="BJ751" s="47"/>
      <c r="BK751" s="47"/>
      <c r="BL751" s="47"/>
      <c r="BM751" s="47"/>
      <c r="BN751" s="47"/>
      <c r="BO751" s="47"/>
      <c r="BP751" s="47"/>
      <c r="BQ751" s="47"/>
      <c r="BR751" s="47"/>
      <c r="BS751" s="47"/>
      <c r="BT751" s="47"/>
      <c r="BU751" s="47"/>
      <c r="BV751" s="47"/>
      <c r="BW751" s="47"/>
      <c r="BX751" s="47"/>
      <c r="BY751" s="47"/>
      <c r="BZ751" s="47"/>
      <c r="CA751" s="47"/>
      <c r="CB751" s="47"/>
      <c r="CC751" s="47"/>
      <c r="CD751" s="47"/>
      <c r="CE751" s="47"/>
      <c r="CF751" s="47"/>
      <c r="CG751" s="47"/>
      <c r="CH751" s="47"/>
      <c r="CI751" s="47"/>
      <c r="CJ751" s="47"/>
      <c r="CK751" s="47"/>
      <c r="CL751" s="47"/>
      <c r="CM751" s="47"/>
      <c r="CN751" s="47"/>
      <c r="CO751" s="47"/>
      <c r="CP751" s="47"/>
      <c r="CQ751" s="47"/>
      <c r="CR751" s="47"/>
      <c r="CS751" s="47"/>
      <c r="CT751" s="47"/>
      <c r="CU751" s="47"/>
      <c r="CV751" s="47"/>
      <c r="CW751" s="47"/>
      <c r="CX751" s="47"/>
      <c r="CY751" s="47"/>
      <c r="CZ751" s="48"/>
      <c r="DA751" s="47"/>
      <c r="DB751" s="19"/>
      <c r="DC751" s="19"/>
      <c r="DD751" s="19"/>
      <c r="DE751" s="19"/>
      <c r="DF751" s="19"/>
      <c r="DG751" s="19"/>
      <c r="DH751" s="19"/>
      <c r="DI751" s="19"/>
    </row>
    <row r="752" spans="1:113" ht="12" hidden="1" outlineLevel="2">
      <c r="A752" s="1" t="s">
        <v>14</v>
      </c>
      <c r="B752" s="19" t="s">
        <v>801</v>
      </c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7"/>
      <c r="AE752" s="47"/>
      <c r="AF752" s="47"/>
      <c r="AG752" s="47"/>
      <c r="AH752" s="47"/>
      <c r="AI752" s="47"/>
      <c r="AJ752" s="47"/>
      <c r="AK752" s="47"/>
      <c r="AL752" s="47"/>
      <c r="AM752" s="47"/>
      <c r="AN752" s="47"/>
      <c r="AO752" s="47"/>
      <c r="AP752" s="47"/>
      <c r="AQ752" s="47"/>
      <c r="AR752" s="47"/>
      <c r="AS752" s="47"/>
      <c r="AT752" s="47"/>
      <c r="AU752" s="47"/>
      <c r="AV752" s="47"/>
      <c r="AW752" s="47"/>
      <c r="AX752" s="47"/>
      <c r="AY752" s="47"/>
      <c r="AZ752" s="48"/>
      <c r="BA752" s="47"/>
      <c r="BB752" s="47"/>
      <c r="BC752" s="47"/>
      <c r="BD752" s="47"/>
      <c r="BE752" s="47"/>
      <c r="BF752" s="47"/>
      <c r="BG752" s="47"/>
      <c r="BH752" s="47"/>
      <c r="BI752" s="47"/>
      <c r="BJ752" s="47"/>
      <c r="BK752" s="47"/>
      <c r="BL752" s="47"/>
      <c r="BM752" s="47"/>
      <c r="BN752" s="47"/>
      <c r="BO752" s="47"/>
      <c r="BP752" s="47"/>
      <c r="BQ752" s="47"/>
      <c r="BR752" s="47"/>
      <c r="BS752" s="47"/>
      <c r="BT752" s="47"/>
      <c r="BU752" s="47"/>
      <c r="BV752" s="47"/>
      <c r="BW752" s="47"/>
      <c r="BX752" s="47"/>
      <c r="BY752" s="47"/>
      <c r="BZ752" s="47"/>
      <c r="CA752" s="47"/>
      <c r="CB752" s="47"/>
      <c r="CC752" s="47"/>
      <c r="CD752" s="47"/>
      <c r="CE752" s="47"/>
      <c r="CF752" s="47"/>
      <c r="CG752" s="47"/>
      <c r="CH752" s="47"/>
      <c r="CI752" s="47"/>
      <c r="CJ752" s="47"/>
      <c r="CK752" s="47"/>
      <c r="CL752" s="47"/>
      <c r="CM752" s="47"/>
      <c r="CN752" s="47"/>
      <c r="CO752" s="47"/>
      <c r="CP752" s="47"/>
      <c r="CQ752" s="47"/>
      <c r="CR752" s="47"/>
      <c r="CS752" s="47"/>
      <c r="CT752" s="47"/>
      <c r="CU752" s="47"/>
      <c r="CV752" s="47"/>
      <c r="CW752" s="47"/>
      <c r="CX752" s="47"/>
      <c r="CY752" s="47"/>
      <c r="CZ752" s="48"/>
      <c r="DA752" s="47"/>
      <c r="DB752" s="19"/>
      <c r="DC752" s="19"/>
      <c r="DD752" s="19"/>
      <c r="DE752" s="19"/>
      <c r="DF752" s="19"/>
      <c r="DG752" s="19"/>
      <c r="DH752" s="19"/>
      <c r="DI752" s="19"/>
    </row>
    <row r="753" spans="1:113" ht="12" hidden="1" outlineLevel="2">
      <c r="A753" s="1" t="s">
        <v>15</v>
      </c>
      <c r="B753" s="19" t="s">
        <v>801</v>
      </c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47"/>
      <c r="AH753" s="47"/>
      <c r="AI753" s="47"/>
      <c r="AJ753" s="47"/>
      <c r="AK753" s="47"/>
      <c r="AL753" s="47"/>
      <c r="AM753" s="47"/>
      <c r="AN753" s="47"/>
      <c r="AO753" s="47"/>
      <c r="AP753" s="47"/>
      <c r="AQ753" s="47"/>
      <c r="AR753" s="47"/>
      <c r="AS753" s="47"/>
      <c r="AT753" s="47"/>
      <c r="AU753" s="47"/>
      <c r="AV753" s="47"/>
      <c r="AW753" s="47"/>
      <c r="AX753" s="47"/>
      <c r="AY753" s="47"/>
      <c r="AZ753" s="48"/>
      <c r="BA753" s="47"/>
      <c r="BB753" s="47"/>
      <c r="BC753" s="47"/>
      <c r="BD753" s="47"/>
      <c r="BE753" s="47"/>
      <c r="BF753" s="47"/>
      <c r="BG753" s="47"/>
      <c r="BH753" s="47"/>
      <c r="BI753" s="47"/>
      <c r="BJ753" s="47"/>
      <c r="BK753" s="47"/>
      <c r="BL753" s="47"/>
      <c r="BM753" s="47"/>
      <c r="BN753" s="47"/>
      <c r="BO753" s="47"/>
      <c r="BP753" s="47"/>
      <c r="BQ753" s="47"/>
      <c r="BR753" s="47"/>
      <c r="BS753" s="47"/>
      <c r="BT753" s="47"/>
      <c r="BU753" s="47"/>
      <c r="BV753" s="47"/>
      <c r="BW753" s="47"/>
      <c r="BX753" s="47"/>
      <c r="BY753" s="47"/>
      <c r="BZ753" s="47"/>
      <c r="CA753" s="47"/>
      <c r="CB753" s="47"/>
      <c r="CC753" s="47"/>
      <c r="CD753" s="47"/>
      <c r="CE753" s="47"/>
      <c r="CF753" s="47"/>
      <c r="CG753" s="47"/>
      <c r="CH753" s="47"/>
      <c r="CI753" s="47"/>
      <c r="CJ753" s="47"/>
      <c r="CK753" s="47"/>
      <c r="CL753" s="47"/>
      <c r="CM753" s="47"/>
      <c r="CN753" s="47"/>
      <c r="CO753" s="47"/>
      <c r="CP753" s="47"/>
      <c r="CQ753" s="47"/>
      <c r="CR753" s="47"/>
      <c r="CS753" s="47"/>
      <c r="CT753" s="47"/>
      <c r="CU753" s="47"/>
      <c r="CV753" s="47"/>
      <c r="CW753" s="47"/>
      <c r="CX753" s="47"/>
      <c r="CY753" s="47"/>
      <c r="CZ753" s="48"/>
      <c r="DA753" s="47"/>
      <c r="DB753" s="19"/>
      <c r="DC753" s="19"/>
      <c r="DD753" s="19"/>
      <c r="DE753" s="19"/>
      <c r="DF753" s="19"/>
      <c r="DG753" s="19"/>
      <c r="DH753" s="19"/>
      <c r="DI753" s="19"/>
    </row>
    <row r="754" spans="1:113" ht="12" hidden="1" outlineLevel="2">
      <c r="A754" s="1" t="s">
        <v>16</v>
      </c>
      <c r="B754" s="19" t="s">
        <v>801</v>
      </c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  <c r="AM754" s="47"/>
      <c r="AN754" s="47"/>
      <c r="AO754" s="47"/>
      <c r="AP754" s="47"/>
      <c r="AQ754" s="47"/>
      <c r="AR754" s="47"/>
      <c r="AS754" s="47"/>
      <c r="AT754" s="47"/>
      <c r="AU754" s="47"/>
      <c r="AV754" s="47"/>
      <c r="AW754" s="47"/>
      <c r="AX754" s="47"/>
      <c r="AY754" s="47"/>
      <c r="AZ754" s="48"/>
      <c r="BA754" s="47"/>
      <c r="BB754" s="47"/>
      <c r="BC754" s="47"/>
      <c r="BD754" s="47"/>
      <c r="BE754" s="47"/>
      <c r="BF754" s="47"/>
      <c r="BG754" s="47"/>
      <c r="BH754" s="47"/>
      <c r="BI754" s="47"/>
      <c r="BJ754" s="47"/>
      <c r="BK754" s="47"/>
      <c r="BL754" s="47"/>
      <c r="BM754" s="47"/>
      <c r="BN754" s="47"/>
      <c r="BO754" s="47"/>
      <c r="BP754" s="47"/>
      <c r="BQ754" s="47"/>
      <c r="BR754" s="47"/>
      <c r="BS754" s="47"/>
      <c r="BT754" s="47"/>
      <c r="BU754" s="47"/>
      <c r="BV754" s="47"/>
      <c r="BW754" s="47"/>
      <c r="BX754" s="47"/>
      <c r="BY754" s="47"/>
      <c r="BZ754" s="47"/>
      <c r="CA754" s="47"/>
      <c r="CB754" s="47"/>
      <c r="CC754" s="47"/>
      <c r="CD754" s="47"/>
      <c r="CE754" s="47"/>
      <c r="CF754" s="47"/>
      <c r="CG754" s="47"/>
      <c r="CH754" s="47"/>
      <c r="CI754" s="47"/>
      <c r="CJ754" s="47"/>
      <c r="CK754" s="47"/>
      <c r="CL754" s="47"/>
      <c r="CM754" s="47"/>
      <c r="CN754" s="47"/>
      <c r="CO754" s="47"/>
      <c r="CP754" s="47"/>
      <c r="CQ754" s="47"/>
      <c r="CR754" s="47"/>
      <c r="CS754" s="47"/>
      <c r="CT754" s="47"/>
      <c r="CU754" s="47"/>
      <c r="CV754" s="47"/>
      <c r="CW754" s="47"/>
      <c r="CX754" s="47"/>
      <c r="CY754" s="47"/>
      <c r="CZ754" s="48"/>
      <c r="DA754" s="47"/>
      <c r="DC754" s="19"/>
      <c r="DD754" s="19"/>
      <c r="DE754" s="19"/>
      <c r="DF754" s="19"/>
      <c r="DG754" s="19"/>
      <c r="DH754" s="19"/>
      <c r="DI754" s="19"/>
    </row>
    <row r="755" spans="1:113" ht="12" hidden="1" outlineLevel="1" collapsed="1">
      <c r="CN755" s="285"/>
      <c r="CO755" s="285"/>
      <c r="CP755" s="285"/>
      <c r="CQ755" s="285"/>
      <c r="CR755" s="285"/>
      <c r="CS755" s="285"/>
      <c r="CZ755" s="48"/>
      <c r="DA755" s="47"/>
      <c r="DB755" s="47"/>
      <c r="DC755" s="19"/>
      <c r="DD755" s="19"/>
      <c r="DE755" s="19"/>
      <c r="DF755" s="19"/>
      <c r="DG755" s="19"/>
      <c r="DH755" s="19"/>
      <c r="DI755" s="19"/>
    </row>
    <row r="756" spans="1:113" s="24" customFormat="1" ht="12" hidden="1" outlineLevel="1">
      <c r="A756" s="1"/>
      <c r="B756" s="24" t="s">
        <v>343</v>
      </c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2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13"/>
      <c r="CI756" s="13"/>
      <c r="CJ756" s="13"/>
      <c r="CK756" s="13"/>
      <c r="CL756" s="13"/>
      <c r="CM756" s="13"/>
      <c r="CN756" s="13"/>
      <c r="CO756" s="13"/>
      <c r="CP756" s="13"/>
      <c r="CQ756" s="13"/>
      <c r="CR756" s="13"/>
      <c r="CS756" s="13"/>
      <c r="CT756" s="13"/>
      <c r="CU756" s="13"/>
      <c r="CV756" s="13"/>
      <c r="CW756" s="13"/>
      <c r="CX756" s="13"/>
      <c r="CY756" s="13"/>
      <c r="CZ756" s="23"/>
      <c r="DA756" s="13"/>
      <c r="DB756" s="13"/>
    </row>
    <row r="757" spans="1:113" ht="12" hidden="1" outlineLevel="1">
      <c r="A757" s="1" t="s">
        <v>965</v>
      </c>
      <c r="B757" s="19" t="s">
        <v>344</v>
      </c>
      <c r="C757" s="69"/>
      <c r="D757" s="69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9"/>
      <c r="U757" s="69"/>
      <c r="V757" s="69"/>
      <c r="W757" s="69"/>
      <c r="X757" s="69"/>
      <c r="Y757" s="69"/>
      <c r="Z757" s="69"/>
      <c r="AA757" s="69"/>
      <c r="AB757" s="69"/>
      <c r="AC757" s="69"/>
      <c r="AD757" s="69"/>
      <c r="AE757" s="69"/>
      <c r="AF757" s="69"/>
      <c r="AG757" s="69"/>
      <c r="AH757" s="69"/>
      <c r="AI757" s="69"/>
      <c r="AJ757" s="69"/>
      <c r="AK757" s="69"/>
      <c r="AL757" s="69"/>
      <c r="AM757" s="69"/>
      <c r="AN757" s="69"/>
      <c r="AO757" s="69"/>
      <c r="AP757" s="69"/>
      <c r="AQ757" s="69"/>
      <c r="AR757" s="69">
        <f t="shared" ref="AR757:AS757" si="3970">AR$142/AR728/2</f>
        <v>-59.166666666666657</v>
      </c>
      <c r="AS757" s="69">
        <f t="shared" si="3970"/>
        <v>72.194023477678641</v>
      </c>
      <c r="AT757" s="69">
        <f t="shared" ref="AT757:AU757" si="3971">AT$142/AT728/2</f>
        <v>20.703125</v>
      </c>
      <c r="AU757" s="69">
        <f t="shared" si="3971"/>
        <v>17.56087196139411</v>
      </c>
      <c r="AV757" s="69">
        <f t="shared" ref="AV757:AW757" si="3972">AV$142/AV728/2</f>
        <v>12.063069760348583</v>
      </c>
      <c r="AW757" s="69">
        <f t="shared" si="3972"/>
        <v>29.119146866249974</v>
      </c>
      <c r="AX757" s="69">
        <f t="shared" ref="AX757" si="3973">AX$142/AX728/2</f>
        <v>24.76864452912357</v>
      </c>
      <c r="AY757" s="69">
        <f t="shared" ref="AY757:BI759" si="3974">AY$142/AY728/2</f>
        <v>19.219820595748011</v>
      </c>
      <c r="AZ757" s="70">
        <f t="shared" si="3974"/>
        <v>16.11975557929884</v>
      </c>
      <c r="BA757" s="69">
        <f t="shared" si="3974"/>
        <v>13.849969623660476</v>
      </c>
      <c r="BB757" s="69">
        <f t="shared" si="3974"/>
        <v>13.406391922630723</v>
      </c>
      <c r="BC757" s="69">
        <f t="shared" si="3974"/>
        <v>13.61708026206775</v>
      </c>
      <c r="BD757" s="69">
        <f t="shared" si="3974"/>
        <v>12.598799078892077</v>
      </c>
      <c r="BE757" s="69">
        <f t="shared" si="3974"/>
        <v>12.51573219244024</v>
      </c>
      <c r="BF757" s="69">
        <f t="shared" si="3974"/>
        <v>11.510667297530455</v>
      </c>
      <c r="BG757" s="69">
        <f t="shared" si="3974"/>
        <v>11.109103470010076</v>
      </c>
      <c r="BH757" s="69">
        <f t="shared" si="3974"/>
        <v>10.596845873036346</v>
      </c>
      <c r="BI757" s="69">
        <f t="shared" si="3974"/>
        <v>10.712818280995258</v>
      </c>
      <c r="BJ757" s="69">
        <f t="shared" ref="BJ757:BK757" si="3975">BJ$142/BJ728/2</f>
        <v>10.409497541423951</v>
      </c>
      <c r="BK757" s="69">
        <f t="shared" si="3975"/>
        <v>10.65048606879367</v>
      </c>
      <c r="BL757" s="69">
        <f t="shared" ref="BL757:BM757" si="3976">BL$142/BL728/2</f>
        <v>10.543489665993119</v>
      </c>
      <c r="BM757" s="69">
        <f t="shared" si="3976"/>
        <v>10.855881919379195</v>
      </c>
      <c r="BN757" s="69">
        <f t="shared" ref="BN757:BO757" si="3977">BN$142/BN728/2</f>
        <v>10.844743740412136</v>
      </c>
      <c r="BO757" s="69">
        <f t="shared" si="3977"/>
        <v>11.337983785104221</v>
      </c>
      <c r="BP757" s="69">
        <f t="shared" ref="BP757:BQ757" si="3978">BP$142/BP728/2</f>
        <v>11.349215339873082</v>
      </c>
      <c r="BQ757" s="69">
        <f t="shared" si="3978"/>
        <v>11.885233523401519</v>
      </c>
      <c r="BR757" s="69"/>
      <c r="BS757" s="69"/>
      <c r="BT757" s="69"/>
      <c r="BU757" s="69"/>
      <c r="BV757" s="69"/>
      <c r="BW757" s="69"/>
      <c r="BX757" s="69"/>
      <c r="BY757" s="69"/>
      <c r="BZ757" s="69"/>
      <c r="CA757" s="69"/>
      <c r="CB757" s="69"/>
      <c r="CC757" s="69"/>
      <c r="CD757" s="69"/>
      <c r="CE757" s="69"/>
      <c r="CF757" s="69"/>
      <c r="CG757" s="69"/>
      <c r="CH757" s="69"/>
      <c r="CI757" s="69"/>
      <c r="CJ757" s="69"/>
      <c r="CK757" s="69"/>
      <c r="CL757" s="69"/>
      <c r="CM757" s="69"/>
      <c r="CN757" s="69"/>
      <c r="CO757" s="69"/>
      <c r="CP757" s="69"/>
      <c r="CQ757" s="69"/>
      <c r="CR757" s="69"/>
      <c r="CS757" s="69"/>
      <c r="CT757" s="69"/>
      <c r="CU757" s="69"/>
      <c r="CV757" s="69"/>
      <c r="CW757" s="69">
        <f t="shared" ref="CW757:DF759" si="3979">CW$142/CW728</f>
        <v>-157.51423304220788</v>
      </c>
      <c r="CX757" s="69">
        <f t="shared" si="3979"/>
        <v>18.028944179608082</v>
      </c>
      <c r="CY757" s="69">
        <f t="shared" si="3979"/>
        <v>19.978662692703857</v>
      </c>
      <c r="CZ757" s="70">
        <f t="shared" si="3979"/>
        <v>20.20405982889298</v>
      </c>
      <c r="DA757" s="69">
        <f t="shared" si="3979"/>
        <v>15.247054005738253</v>
      </c>
      <c r="DB757" s="69">
        <f t="shared" si="3979"/>
        <v>13.856944302967241</v>
      </c>
      <c r="DC757" s="69">
        <f t="shared" si="3979"/>
        <v>12.870635458413068</v>
      </c>
      <c r="DD757" s="69">
        <f t="shared" si="3979"/>
        <v>11.588364247335148</v>
      </c>
      <c r="DE757" s="69">
        <f t="shared" si="3979"/>
        <v>10.926736766908565</v>
      </c>
      <c r="DF757" s="69">
        <f t="shared" si="3979"/>
        <v>10.799263201783628</v>
      </c>
      <c r="DG757" s="69">
        <f t="shared" ref="DG757:DH759" si="3980">DG$142/DG728</f>
        <v>10.973274791036779</v>
      </c>
      <c r="DH757" s="69">
        <f t="shared" si="3980"/>
        <v>11.373975276349915</v>
      </c>
      <c r="DI757" s="69">
        <f t="shared" ref="DI757" si="3981">DI$142/DI728</f>
        <v>11.913037111411921</v>
      </c>
    </row>
    <row r="758" spans="1:113" ht="12" hidden="1" outlineLevel="1">
      <c r="A758" s="1" t="s">
        <v>966</v>
      </c>
      <c r="B758" s="19" t="s">
        <v>648</v>
      </c>
      <c r="C758" s="69"/>
      <c r="D758" s="69"/>
      <c r="E758" s="69"/>
      <c r="F758" s="69"/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69"/>
      <c r="R758" s="69"/>
      <c r="S758" s="69"/>
      <c r="T758" s="69"/>
      <c r="U758" s="69"/>
      <c r="V758" s="69"/>
      <c r="W758" s="69"/>
      <c r="X758" s="69"/>
      <c r="Y758" s="69"/>
      <c r="Z758" s="69"/>
      <c r="AA758" s="69"/>
      <c r="AB758" s="69"/>
      <c r="AC758" s="69"/>
      <c r="AD758" s="69"/>
      <c r="AE758" s="69"/>
      <c r="AF758" s="69"/>
      <c r="AG758" s="69"/>
      <c r="AH758" s="69"/>
      <c r="AI758" s="69"/>
      <c r="AJ758" s="69"/>
      <c r="AK758" s="69"/>
      <c r="AL758" s="69"/>
      <c r="AM758" s="69"/>
      <c r="AN758" s="69"/>
      <c r="AO758" s="69"/>
      <c r="AP758" s="69"/>
      <c r="AQ758" s="69"/>
      <c r="AR758" s="69">
        <f t="shared" ref="AR758:AS758" si="3982">AR$142/AR729/2</f>
        <v>-59.166666666666657</v>
      </c>
      <c r="AS758" s="69">
        <f t="shared" si="3982"/>
        <v>72.194023477678641</v>
      </c>
      <c r="AT758" s="69">
        <f t="shared" ref="AT758:AU758" si="3983">AT$142/AT729/2</f>
        <v>20.703125</v>
      </c>
      <c r="AU758" s="69">
        <f t="shared" si="3983"/>
        <v>17.829005076997433</v>
      </c>
      <c r="AV758" s="69">
        <f t="shared" ref="AV758:AW758" si="3984">AV$142/AV729/2</f>
        <v>12.500000000000002</v>
      </c>
      <c r="AW758" s="69">
        <f t="shared" si="3984"/>
        <v>30.023366600769197</v>
      </c>
      <c r="AX758" s="69">
        <f t="shared" ref="AX758" si="3985">AX$142/AX729/2</f>
        <v>26.224783861671469</v>
      </c>
      <c r="AY758" s="69">
        <f t="shared" si="3974"/>
        <v>20.450938637793673</v>
      </c>
      <c r="AZ758" s="70">
        <f t="shared" si="3974"/>
        <v>17.787788462275703</v>
      </c>
      <c r="BA758" s="69">
        <f t="shared" si="3974"/>
        <v>15.347842526814388</v>
      </c>
      <c r="BB758" s="69">
        <f t="shared" si="3974"/>
        <v>14.878550580729478</v>
      </c>
      <c r="BC758" s="69">
        <f t="shared" si="3974"/>
        <v>15.121395007698034</v>
      </c>
      <c r="BD758" s="69">
        <f t="shared" si="3974"/>
        <v>14.02499566030818</v>
      </c>
      <c r="BE758" s="69">
        <f t="shared" si="3974"/>
        <v>13.949111298353413</v>
      </c>
      <c r="BF758" s="69">
        <f t="shared" si="3974"/>
        <v>12.850057049205548</v>
      </c>
      <c r="BG758" s="69">
        <f t="shared" si="3974"/>
        <v>12.413503030093086</v>
      </c>
      <c r="BH758" s="69">
        <f t="shared" si="3974"/>
        <v>11.852713425893088</v>
      </c>
      <c r="BI758" s="69">
        <f t="shared" si="3974"/>
        <v>11.986900120756376</v>
      </c>
      <c r="BJ758" s="69">
        <f t="shared" ref="BJ758:BK758" si="3986">BJ$142/BJ729/2</f>
        <v>11.655664371381357</v>
      </c>
      <c r="BK758" s="69">
        <f t="shared" si="3986"/>
        <v>11.928283277558933</v>
      </c>
      <c r="BL758" s="69">
        <f t="shared" ref="BL758:BM758" si="3987">BL$142/BL729/2</f>
        <v>11.814196136697984</v>
      </c>
      <c r="BM758" s="69">
        <f t="shared" si="3987"/>
        <v>12.166254551118076</v>
      </c>
      <c r="BN758" s="69">
        <f t="shared" ref="BN758:BO758" si="3988">BN$142/BN729/2</f>
        <v>12.15843022036305</v>
      </c>
      <c r="BO758" s="69">
        <f t="shared" si="3988"/>
        <v>12.711998660093405</v>
      </c>
      <c r="BP758" s="69">
        <f t="shared" ref="BP758:BQ758" si="3989">BP$142/BP729/2</f>
        <v>12.729019870945962</v>
      </c>
      <c r="BQ758" s="69">
        <f t="shared" si="3989"/>
        <v>13.330629381904782</v>
      </c>
      <c r="BR758" s="69"/>
      <c r="BS758" s="69"/>
      <c r="BT758" s="69"/>
      <c r="BU758" s="69"/>
      <c r="BV758" s="69"/>
      <c r="BW758" s="69"/>
      <c r="BX758" s="69"/>
      <c r="BY758" s="69"/>
      <c r="BZ758" s="69"/>
      <c r="CA758" s="69"/>
      <c r="CB758" s="69"/>
      <c r="CC758" s="69"/>
      <c r="CD758" s="69"/>
      <c r="CE758" s="69"/>
      <c r="CF758" s="69"/>
      <c r="CG758" s="69"/>
      <c r="CH758" s="69"/>
      <c r="CI758" s="69"/>
      <c r="CJ758" s="69"/>
      <c r="CK758" s="69"/>
      <c r="CL758" s="69"/>
      <c r="CM758" s="69"/>
      <c r="CN758" s="69"/>
      <c r="CO758" s="69"/>
      <c r="CP758" s="69"/>
      <c r="CQ758" s="69"/>
      <c r="CR758" s="69"/>
      <c r="CS758" s="69"/>
      <c r="CT758" s="69"/>
      <c r="CU758" s="69"/>
      <c r="CV758" s="69"/>
      <c r="CW758" s="69">
        <f t="shared" si="3979"/>
        <v>-157.51423304220788</v>
      </c>
      <c r="CX758" s="69">
        <f t="shared" si="3979"/>
        <v>18.162501845982774</v>
      </c>
      <c r="CY758" s="69">
        <f t="shared" si="3979"/>
        <v>20.805960921253394</v>
      </c>
      <c r="CZ758" s="70">
        <f t="shared" si="3979"/>
        <v>21.45076549578749</v>
      </c>
      <c r="DA758" s="69">
        <f t="shared" si="3979"/>
        <v>16.863949534880483</v>
      </c>
      <c r="DB758" s="69">
        <f t="shared" si="3979"/>
        <v>15.383247313118153</v>
      </c>
      <c r="DC758" s="69">
        <f t="shared" si="3979"/>
        <v>14.336499048167346</v>
      </c>
      <c r="DD758" s="69">
        <f t="shared" si="3979"/>
        <v>12.943177250329581</v>
      </c>
      <c r="DE758" s="69">
        <f t="shared" si="3979"/>
        <v>12.224025520466057</v>
      </c>
      <c r="DF758" s="69">
        <f t="shared" si="3979"/>
        <v>12.093519835889186</v>
      </c>
      <c r="DG758" s="69">
        <f t="shared" si="3980"/>
        <v>12.296809259917792</v>
      </c>
      <c r="DH758" s="69">
        <f t="shared" si="3980"/>
        <v>12.752062155128778</v>
      </c>
      <c r="DI758" s="69">
        <f t="shared" ref="DI758" si="3990">DI$142/DI729</f>
        <v>13.361602339044056</v>
      </c>
    </row>
    <row r="759" spans="1:113" ht="12" hidden="1" outlineLevel="1">
      <c r="A759" s="1" t="s">
        <v>967</v>
      </c>
      <c r="B759" s="19" t="s">
        <v>649</v>
      </c>
      <c r="C759" s="69"/>
      <c r="D759" s="69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9"/>
      <c r="U759" s="69"/>
      <c r="V759" s="69"/>
      <c r="W759" s="69"/>
      <c r="X759" s="69"/>
      <c r="Y759" s="69"/>
      <c r="Z759" s="69"/>
      <c r="AA759" s="69"/>
      <c r="AB759" s="69"/>
      <c r="AC759" s="69"/>
      <c r="AD759" s="69"/>
      <c r="AE759" s="69"/>
      <c r="AF759" s="69"/>
      <c r="AG759" s="69"/>
      <c r="AH759" s="69"/>
      <c r="AI759" s="69"/>
      <c r="AJ759" s="69"/>
      <c r="AK759" s="69"/>
      <c r="AL759" s="69"/>
      <c r="AM759" s="69"/>
      <c r="AN759" s="69"/>
      <c r="AO759" s="69"/>
      <c r="AP759" s="69"/>
      <c r="AQ759" s="69"/>
      <c r="AR759" s="69">
        <f t="shared" ref="AR759:AS759" si="3991">AR$142/AR730/2</f>
        <v>1360.8333333333146</v>
      </c>
      <c r="AS759" s="69">
        <f t="shared" si="3991"/>
        <v>72.194023477678641</v>
      </c>
      <c r="AT759" s="69">
        <f t="shared" ref="AT759:AU759" si="3992">AT$142/AT730/2</f>
        <v>20.703125</v>
      </c>
      <c r="AU759" s="69">
        <f t="shared" si="3992"/>
        <v>17.56087196139411</v>
      </c>
      <c r="AV759" s="69">
        <f t="shared" ref="AV759:AW759" si="3993">AV$142/AV730/2</f>
        <v>12.063069760348583</v>
      </c>
      <c r="AW759" s="69">
        <f t="shared" si="3993"/>
        <v>29.119146866249974</v>
      </c>
      <c r="AX759" s="69">
        <f t="shared" ref="AX759" si="3994">AX$142/AX730/2</f>
        <v>24.76864452912357</v>
      </c>
      <c r="AY759" s="69">
        <f t="shared" si="3974"/>
        <v>19.219820595748011</v>
      </c>
      <c r="AZ759" s="70">
        <f t="shared" si="3974"/>
        <v>16.11975557929884</v>
      </c>
      <c r="BA759" s="69">
        <f t="shared" si="3974"/>
        <v>13.849969623660476</v>
      </c>
      <c r="BB759" s="69">
        <f t="shared" si="3974"/>
        <v>13.406391922630723</v>
      </c>
      <c r="BC759" s="69">
        <f t="shared" si="3974"/>
        <v>13.61708026206775</v>
      </c>
      <c r="BD759" s="69">
        <f t="shared" si="3974"/>
        <v>12.598799078892077</v>
      </c>
      <c r="BE759" s="69">
        <f t="shared" si="3974"/>
        <v>12.51573219244024</v>
      </c>
      <c r="BF759" s="69">
        <f t="shared" si="3974"/>
        <v>11.510667297530455</v>
      </c>
      <c r="BG759" s="69">
        <f t="shared" si="3974"/>
        <v>11.109103470010076</v>
      </c>
      <c r="BH759" s="69">
        <f t="shared" si="3974"/>
        <v>10.596845873036346</v>
      </c>
      <c r="BI759" s="69">
        <f t="shared" si="3974"/>
        <v>10.712818280995258</v>
      </c>
      <c r="BJ759" s="69">
        <f t="shared" ref="BJ759:BK759" si="3995">BJ$142/BJ730/2</f>
        <v>10.409497541423951</v>
      </c>
      <c r="BK759" s="69">
        <f t="shared" si="3995"/>
        <v>10.65048606879367</v>
      </c>
      <c r="BL759" s="69">
        <f t="shared" ref="BL759:BM759" si="3996">BL$142/BL730/2</f>
        <v>10.543489665993119</v>
      </c>
      <c r="BM759" s="69">
        <f t="shared" si="3996"/>
        <v>10.855881919379195</v>
      </c>
      <c r="BN759" s="69">
        <f t="shared" ref="BN759:BO759" si="3997">BN$142/BN730/2</f>
        <v>10.844743740412136</v>
      </c>
      <c r="BO759" s="69">
        <f t="shared" si="3997"/>
        <v>11.337983785104221</v>
      </c>
      <c r="BP759" s="69">
        <f t="shared" ref="BP759:BQ759" si="3998">BP$142/BP730/2</f>
        <v>11.349215339873082</v>
      </c>
      <c r="BQ759" s="69">
        <f t="shared" si="3998"/>
        <v>11.885233523401519</v>
      </c>
      <c r="BR759" s="69"/>
      <c r="BS759" s="69"/>
      <c r="BT759" s="69"/>
      <c r="BU759" s="69"/>
      <c r="BV759" s="69"/>
      <c r="BW759" s="69"/>
      <c r="BX759" s="69"/>
      <c r="BY759" s="69"/>
      <c r="BZ759" s="69"/>
      <c r="CA759" s="69"/>
      <c r="CB759" s="69"/>
      <c r="CC759" s="69"/>
      <c r="CD759" s="69"/>
      <c r="CE759" s="69"/>
      <c r="CF759" s="69"/>
      <c r="CG759" s="69"/>
      <c r="CH759" s="69"/>
      <c r="CI759" s="69"/>
      <c r="CJ759" s="69"/>
      <c r="CK759" s="69"/>
      <c r="CL759" s="69"/>
      <c r="CM759" s="69"/>
      <c r="CN759" s="69"/>
      <c r="CO759" s="69"/>
      <c r="CP759" s="69"/>
      <c r="CQ759" s="69"/>
      <c r="CR759" s="69"/>
      <c r="CS759" s="69"/>
      <c r="CT759" s="69"/>
      <c r="CU759" s="69"/>
      <c r="CV759" s="69"/>
      <c r="CW759" s="69">
        <f t="shared" si="3979"/>
        <v>133.28127411263736</v>
      </c>
      <c r="CX759" s="69">
        <f t="shared" si="3979"/>
        <v>18.028944179608075</v>
      </c>
      <c r="CY759" s="69">
        <f t="shared" si="3979"/>
        <v>19.978662692703868</v>
      </c>
      <c r="CZ759" s="70">
        <f t="shared" si="3979"/>
        <v>20.204059828892969</v>
      </c>
      <c r="DA759" s="69">
        <f t="shared" si="3979"/>
        <v>15.247054005738256</v>
      </c>
      <c r="DB759" s="69">
        <f t="shared" si="3979"/>
        <v>13.85694430296723</v>
      </c>
      <c r="DC759" s="69">
        <f t="shared" si="3979"/>
        <v>12.870635458413064</v>
      </c>
      <c r="DD759" s="69">
        <f t="shared" si="3979"/>
        <v>11.588364247335145</v>
      </c>
      <c r="DE759" s="69">
        <f t="shared" si="3979"/>
        <v>10.926736766908567</v>
      </c>
      <c r="DF759" s="69">
        <f t="shared" si="3979"/>
        <v>10.79926320178363</v>
      </c>
      <c r="DG759" s="69">
        <f t="shared" si="3980"/>
        <v>10.973274791036777</v>
      </c>
      <c r="DH759" s="69">
        <f t="shared" si="3980"/>
        <v>11.37397527634991</v>
      </c>
      <c r="DI759" s="69">
        <f t="shared" ref="DI759" si="3999">DI$142/DI730</f>
        <v>11.913037111411922</v>
      </c>
    </row>
    <row r="760" spans="1:113" ht="12" hidden="1" outlineLevel="1">
      <c r="A760" s="1" t="s">
        <v>968</v>
      </c>
      <c r="B760" s="19" t="s">
        <v>536</v>
      </c>
      <c r="C760" s="69"/>
      <c r="D760" s="69"/>
      <c r="E760" s="69"/>
      <c r="F760" s="69"/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69"/>
      <c r="R760" s="69"/>
      <c r="S760" s="69"/>
      <c r="T760" s="69"/>
      <c r="U760" s="69"/>
      <c r="V760" s="69"/>
      <c r="W760" s="69"/>
      <c r="X760" s="69"/>
      <c r="Y760" s="69"/>
      <c r="Z760" s="69"/>
      <c r="AA760" s="69"/>
      <c r="AB760" s="69"/>
      <c r="AC760" s="69"/>
      <c r="AD760" s="69"/>
      <c r="AE760" s="69"/>
      <c r="AF760" s="69"/>
      <c r="AG760" s="69"/>
      <c r="AH760" s="69"/>
      <c r="AI760" s="69"/>
      <c r="AJ760" s="69"/>
      <c r="AK760" s="69"/>
      <c r="AL760" s="69"/>
      <c r="AM760" s="69"/>
      <c r="AN760" s="69"/>
      <c r="AO760" s="69"/>
      <c r="AP760" s="69"/>
      <c r="AQ760" s="69"/>
      <c r="AR760" s="69">
        <f t="shared" ref="AR760:AS760" si="4000">AR$142/AR732/2</f>
        <v>1360.8333333333146</v>
      </c>
      <c r="AS760" s="69">
        <f t="shared" si="4000"/>
        <v>72.194023477678641</v>
      </c>
      <c r="AT760" s="69">
        <f t="shared" ref="AT760:AU760" si="4001">AT$142/AT732/2</f>
        <v>20.703125</v>
      </c>
      <c r="AU760" s="69">
        <f t="shared" si="4001"/>
        <v>17.829005076997433</v>
      </c>
      <c r="AV760" s="69">
        <f t="shared" ref="AV760:AW760" si="4002">AV$142/AV732/2</f>
        <v>12.500000000000002</v>
      </c>
      <c r="AW760" s="69">
        <f t="shared" si="4002"/>
        <v>30.023366600769197</v>
      </c>
      <c r="AX760" s="69">
        <f t="shared" ref="AX760" si="4003">AX$142/AX732/2</f>
        <v>26.224783861671469</v>
      </c>
      <c r="AY760" s="69">
        <f t="shared" ref="AY760:BI760" si="4004">AY$142/AY732/2</f>
        <v>20.450938637793673</v>
      </c>
      <c r="AZ760" s="70">
        <f t="shared" si="4004"/>
        <v>17.787788462275703</v>
      </c>
      <c r="BA760" s="69">
        <f t="shared" si="4004"/>
        <v>15.347842526814388</v>
      </c>
      <c r="BB760" s="69">
        <f t="shared" si="4004"/>
        <v>14.878550580729478</v>
      </c>
      <c r="BC760" s="69">
        <f t="shared" si="4004"/>
        <v>15.121395007698034</v>
      </c>
      <c r="BD760" s="69">
        <f t="shared" si="4004"/>
        <v>14.02499566030818</v>
      </c>
      <c r="BE760" s="69">
        <f t="shared" si="4004"/>
        <v>13.949111298353413</v>
      </c>
      <c r="BF760" s="69">
        <f t="shared" si="4004"/>
        <v>12.850057049205548</v>
      </c>
      <c r="BG760" s="69">
        <f t="shared" si="4004"/>
        <v>12.413503030093086</v>
      </c>
      <c r="BH760" s="69">
        <f t="shared" si="4004"/>
        <v>11.852713425893088</v>
      </c>
      <c r="BI760" s="69">
        <f t="shared" si="4004"/>
        <v>11.986900120756376</v>
      </c>
      <c r="BJ760" s="69">
        <f t="shared" ref="BJ760:BK760" si="4005">BJ$142/BJ732/2</f>
        <v>11.655664371381357</v>
      </c>
      <c r="BK760" s="69">
        <f t="shared" si="4005"/>
        <v>11.928283277558933</v>
      </c>
      <c r="BL760" s="69">
        <f t="shared" ref="BL760:BM760" si="4006">BL$142/BL732/2</f>
        <v>11.814196136697984</v>
      </c>
      <c r="BM760" s="69">
        <f t="shared" si="4006"/>
        <v>12.166254551118076</v>
      </c>
      <c r="BN760" s="69">
        <f t="shared" ref="BN760:BO760" si="4007">BN$142/BN732/2</f>
        <v>12.15843022036305</v>
      </c>
      <c r="BO760" s="69">
        <f t="shared" si="4007"/>
        <v>12.711998660093405</v>
      </c>
      <c r="BP760" s="69">
        <f t="shared" ref="BP760:BQ760" si="4008">BP$142/BP732/2</f>
        <v>12.729019870945962</v>
      </c>
      <c r="BQ760" s="69">
        <f t="shared" si="4008"/>
        <v>13.330629381904782</v>
      </c>
      <c r="BR760" s="69"/>
      <c r="BS760" s="69"/>
      <c r="BT760" s="69"/>
      <c r="BU760" s="69"/>
      <c r="BV760" s="69"/>
      <c r="BW760" s="69"/>
      <c r="BX760" s="69"/>
      <c r="BY760" s="69"/>
      <c r="BZ760" s="69"/>
      <c r="CA760" s="69"/>
      <c r="CB760" s="69"/>
      <c r="CC760" s="69"/>
      <c r="CD760" s="69"/>
      <c r="CE760" s="69"/>
      <c r="CF760" s="69"/>
      <c r="CG760" s="69"/>
      <c r="CH760" s="69"/>
      <c r="CI760" s="69"/>
      <c r="CJ760" s="69"/>
      <c r="CK760" s="69"/>
      <c r="CL760" s="69"/>
      <c r="CM760" s="69"/>
      <c r="CN760" s="69"/>
      <c r="CO760" s="69"/>
      <c r="CP760" s="69"/>
      <c r="CQ760" s="69"/>
      <c r="CR760" s="69"/>
      <c r="CS760" s="69"/>
      <c r="CT760" s="69"/>
      <c r="CU760" s="69"/>
      <c r="CV760" s="69"/>
      <c r="CW760" s="69">
        <f t="shared" ref="CW760:DD760" si="4009">CW$142/CW732</f>
        <v>133.28127411263736</v>
      </c>
      <c r="CX760" s="69">
        <f t="shared" si="4009"/>
        <v>18.162501845982767</v>
      </c>
      <c r="CY760" s="69">
        <f t="shared" si="4009"/>
        <v>20.805960921253412</v>
      </c>
      <c r="CZ760" s="70">
        <f t="shared" si="4009"/>
        <v>21.450765495787483</v>
      </c>
      <c r="DA760" s="69">
        <f t="shared" si="4009"/>
        <v>16.863949534880486</v>
      </c>
      <c r="DB760" s="69">
        <f t="shared" si="4009"/>
        <v>15.38324731311814</v>
      </c>
      <c r="DC760" s="69">
        <f t="shared" si="4009"/>
        <v>14.336499048167344</v>
      </c>
      <c r="DD760" s="69">
        <f t="shared" si="4009"/>
        <v>12.94317725032958</v>
      </c>
      <c r="DE760" s="69">
        <f>DE$142/DE732</f>
        <v>12.224025520466059</v>
      </c>
      <c r="DF760" s="69">
        <f>DF$142/DF732</f>
        <v>12.093519835889186</v>
      </c>
      <c r="DG760" s="69">
        <f>DG$142/DG732</f>
        <v>12.29680925991779</v>
      </c>
      <c r="DH760" s="69">
        <f>DH$142/DH732</f>
        <v>12.752062155128774</v>
      </c>
      <c r="DI760" s="69">
        <f>DI$142/DI732</f>
        <v>13.36160233904406</v>
      </c>
    </row>
    <row r="761" spans="1:113" ht="12" hidden="1" outlineLevel="1">
      <c r="A761" s="1" t="s">
        <v>969</v>
      </c>
      <c r="B761" s="19" t="s">
        <v>428</v>
      </c>
      <c r="C761" s="69"/>
      <c r="D761" s="69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9"/>
      <c r="U761" s="69"/>
      <c r="V761" s="69"/>
      <c r="W761" s="69"/>
      <c r="X761" s="69"/>
      <c r="Y761" s="69"/>
      <c r="Z761" s="69"/>
      <c r="AA761" s="69"/>
      <c r="AB761" s="69"/>
      <c r="AC761" s="69"/>
      <c r="AD761" s="69"/>
      <c r="AE761" s="69"/>
      <c r="AF761" s="69"/>
      <c r="AG761" s="69"/>
      <c r="AH761" s="69"/>
      <c r="AI761" s="69"/>
      <c r="AJ761" s="69"/>
      <c r="AK761" s="69"/>
      <c r="AL761" s="69"/>
      <c r="AM761" s="69"/>
      <c r="AN761" s="69"/>
      <c r="AO761" s="69"/>
      <c r="AP761" s="69"/>
      <c r="AQ761" s="69"/>
      <c r="AR761" s="69">
        <f t="shared" ref="AR761:AS761" si="4010">AR$142/AR734/2</f>
        <v>75.60185185185172</v>
      </c>
      <c r="AS761" s="69">
        <f t="shared" si="4010"/>
        <v>21.353161873679586</v>
      </c>
      <c r="AT761" s="69">
        <f t="shared" ref="AT761:AU761" si="4011">AT$142/AT734/2</f>
        <v>9.8991100993377454</v>
      </c>
      <c r="AU761" s="69">
        <f t="shared" si="4011"/>
        <v>7.5637473921478087</v>
      </c>
      <c r="AV761" s="69">
        <f t="shared" ref="AV761:AW761" si="4012">AV$142/AV734/2</f>
        <v>5.8778652016985138</v>
      </c>
      <c r="AW761" s="69">
        <f t="shared" si="4012"/>
        <v>8.7139591619700738</v>
      </c>
      <c r="AX761" s="69">
        <f t="shared" ref="AX761" si="4013">AX$142/AX734/2</f>
        <v>11.848392529136307</v>
      </c>
      <c r="AY761" s="69">
        <f t="shared" ref="AY761:BI761" si="4014">AY$142/AY734/2</f>
        <v>7.5648947846586063</v>
      </c>
      <c r="AZ761" s="70">
        <f t="shared" si="4014"/>
        <v>7.6269617630331776</v>
      </c>
      <c r="BA761" s="69">
        <f t="shared" si="4014"/>
        <v>6.7871059965108982</v>
      </c>
      <c r="BB761" s="69">
        <f t="shared" si="4014"/>
        <v>6.368936262142169</v>
      </c>
      <c r="BC761" s="69">
        <f t="shared" si="4014"/>
        <v>6.1354496539543382</v>
      </c>
      <c r="BD761" s="69">
        <f t="shared" si="4014"/>
        <v>6.0210472648078328</v>
      </c>
      <c r="BE761" s="69">
        <f t="shared" si="4014"/>
        <v>5.9778491804287501</v>
      </c>
      <c r="BF761" s="69">
        <f t="shared" si="4014"/>
        <v>5.8136329643660725</v>
      </c>
      <c r="BG761" s="69">
        <f t="shared" si="4014"/>
        <v>5.725603862026178</v>
      </c>
      <c r="BH761" s="69">
        <f t="shared" si="4014"/>
        <v>5.6379298796270358</v>
      </c>
      <c r="BI761" s="69">
        <f t="shared" si="4014"/>
        <v>5.6438287772879088</v>
      </c>
      <c r="BJ761" s="69">
        <f t="shared" ref="BJ761:BK761" si="4015">BJ$142/BJ734/2</f>
        <v>5.6385538900457126</v>
      </c>
      <c r="BK761" s="69">
        <f t="shared" si="4015"/>
        <v>5.7056556109966001</v>
      </c>
      <c r="BL761" s="69">
        <f t="shared" ref="BL761:BM761" si="4016">BL$142/BL734/2</f>
        <v>5.7932139581094049</v>
      </c>
      <c r="BM761" s="69">
        <f t="shared" si="4016"/>
        <v>5.9029651961348701</v>
      </c>
      <c r="BN761" s="69">
        <f t="shared" ref="BN761:BO761" si="4017">BN$142/BN734/2</f>
        <v>6.0267112261103692</v>
      </c>
      <c r="BO761" s="69">
        <f t="shared" si="4017"/>
        <v>6.222004319652318</v>
      </c>
      <c r="BP761" s="69">
        <f t="shared" ref="BP761:BQ761" si="4018">BP$142/BP734/2</f>
        <v>6.344473374218591</v>
      </c>
      <c r="BQ761" s="69">
        <f t="shared" si="4018"/>
        <v>6.5597354830024894</v>
      </c>
      <c r="BR761" s="69"/>
      <c r="BS761" s="69"/>
      <c r="BT761" s="69"/>
      <c r="BU761" s="69"/>
      <c r="BV761" s="69"/>
      <c r="BW761" s="69"/>
      <c r="BX761" s="69"/>
      <c r="BY761" s="69"/>
      <c r="BZ761" s="69"/>
      <c r="CA761" s="69"/>
      <c r="CB761" s="69"/>
      <c r="CC761" s="69"/>
      <c r="CD761" s="69"/>
      <c r="CE761" s="69"/>
      <c r="CF761" s="69"/>
      <c r="CG761" s="69"/>
      <c r="CH761" s="69"/>
      <c r="CI761" s="69"/>
      <c r="CJ761" s="69"/>
      <c r="CK761" s="69"/>
      <c r="CL761" s="69"/>
      <c r="CM761" s="69"/>
      <c r="CN761" s="69"/>
      <c r="CO761" s="69"/>
      <c r="CP761" s="69"/>
      <c r="CQ761" s="69"/>
      <c r="CR761" s="69"/>
      <c r="CS761" s="69"/>
      <c r="CT761" s="69"/>
      <c r="CU761" s="69"/>
      <c r="CV761" s="69"/>
      <c r="CW761" s="69">
        <f t="shared" ref="CW761:DD761" si="4019">CW$142/CW734</f>
        <v>29.581941327439022</v>
      </c>
      <c r="CX761" s="69">
        <f t="shared" si="4019"/>
        <v>8.1636304921852734</v>
      </c>
      <c r="CY761" s="69">
        <f t="shared" si="4019"/>
        <v>8.0075029943807348</v>
      </c>
      <c r="CZ761" s="70">
        <f t="shared" si="4019"/>
        <v>8.6804115823786852</v>
      </c>
      <c r="DA761" s="69">
        <f t="shared" si="4019"/>
        <v>7.3537557500909205</v>
      </c>
      <c r="DB761" s="69">
        <f t="shared" si="4019"/>
        <v>6.4057739941627441</v>
      </c>
      <c r="DC761" s="69">
        <f t="shared" si="4019"/>
        <v>6.149081059963585</v>
      </c>
      <c r="DD761" s="69">
        <f t="shared" si="4019"/>
        <v>5.9147218052237891</v>
      </c>
      <c r="DE761" s="69">
        <f>DE$142/DE734</f>
        <v>5.7842777367194218</v>
      </c>
      <c r="DF761" s="69">
        <f>DF$142/DF734</f>
        <v>5.8168919900047173</v>
      </c>
      <c r="DG761" s="69">
        <f>DG$142/DG734</f>
        <v>5.9975794167531253</v>
      </c>
      <c r="DH761" s="69">
        <f>DH$142/DH734</f>
        <v>6.2809131001636755</v>
      </c>
      <c r="DI761" s="69">
        <f>DI$142/DI734</f>
        <v>6.6170026396252393</v>
      </c>
    </row>
    <row r="762" spans="1:113" ht="12" hidden="1" outlineLevel="1">
      <c r="A762" s="1" t="s">
        <v>970</v>
      </c>
      <c r="B762" s="19" t="s">
        <v>429</v>
      </c>
      <c r="C762" s="408"/>
      <c r="D762" s="408"/>
      <c r="E762" s="408"/>
      <c r="F762" s="408"/>
      <c r="G762" s="408"/>
      <c r="H762" s="408"/>
      <c r="I762" s="408"/>
      <c r="J762" s="408"/>
      <c r="K762" s="408"/>
      <c r="L762" s="408"/>
      <c r="M762" s="408"/>
      <c r="N762" s="408"/>
      <c r="O762" s="408"/>
      <c r="P762" s="408"/>
      <c r="Q762" s="408"/>
      <c r="R762" s="408"/>
      <c r="S762" s="408"/>
      <c r="T762" s="394"/>
      <c r="U762" s="408"/>
      <c r="V762" s="408"/>
      <c r="W762" s="408"/>
      <c r="X762" s="408"/>
      <c r="Y762" s="394"/>
      <c r="Z762" s="394"/>
      <c r="AA762" s="394"/>
      <c r="AB762" s="394"/>
      <c r="AC762" s="394"/>
      <c r="AD762" s="394"/>
      <c r="AE762" s="394"/>
      <c r="AF762" s="394"/>
      <c r="AG762" s="394"/>
      <c r="AH762" s="394"/>
      <c r="AI762" s="394"/>
      <c r="AJ762" s="394"/>
      <c r="AK762" s="394"/>
      <c r="AL762" s="394"/>
      <c r="AM762" s="394"/>
      <c r="AN762" s="394"/>
      <c r="AO762" s="394"/>
      <c r="AP762" s="285"/>
      <c r="AQ762" s="285"/>
      <c r="AR762" s="285">
        <f t="shared" ref="AR762:AS762" si="4020">AR735/AR$142*2</f>
        <v>0</v>
      </c>
      <c r="AS762" s="285">
        <f t="shared" si="4020"/>
        <v>0</v>
      </c>
      <c r="AT762" s="285">
        <f t="shared" ref="AT762:AU762" si="4021">AT735/AT$142*2</f>
        <v>0</v>
      </c>
      <c r="AU762" s="285">
        <f t="shared" si="4021"/>
        <v>0</v>
      </c>
      <c r="AV762" s="285">
        <f t="shared" ref="AV762:AW762" si="4022">AV735/AV$142*2</f>
        <v>0</v>
      </c>
      <c r="AW762" s="285">
        <f t="shared" si="4022"/>
        <v>0</v>
      </c>
      <c r="AX762" s="285">
        <f t="shared" ref="AX762" si="4023">AX735/AX$142*2</f>
        <v>0</v>
      </c>
      <c r="AY762" s="285">
        <f t="shared" ref="AY762:BI762" si="4024">AY735/AY$142*2</f>
        <v>0</v>
      </c>
      <c r="AZ762" s="286">
        <f t="shared" si="4024"/>
        <v>0</v>
      </c>
      <c r="BA762" s="162">
        <f t="shared" si="4024"/>
        <v>0</v>
      </c>
      <c r="BB762" s="162">
        <f t="shared" si="4024"/>
        <v>0</v>
      </c>
      <c r="BC762" s="162">
        <f t="shared" si="4024"/>
        <v>0</v>
      </c>
      <c r="BD762" s="162">
        <f t="shared" si="4024"/>
        <v>0</v>
      </c>
      <c r="BE762" s="162">
        <f t="shared" si="4024"/>
        <v>0</v>
      </c>
      <c r="BF762" s="162">
        <f t="shared" si="4024"/>
        <v>0</v>
      </c>
      <c r="BG762" s="162">
        <f t="shared" si="4024"/>
        <v>0</v>
      </c>
      <c r="BH762" s="162">
        <f t="shared" si="4024"/>
        <v>2.3161765881322301E-2</v>
      </c>
      <c r="BI762" s="162">
        <f t="shared" si="4024"/>
        <v>3.668990663758278E-2</v>
      </c>
      <c r="BJ762" s="162">
        <f t="shared" ref="BJ762:BK762" si="4025">BJ735/BJ$142*2</f>
        <v>2.789733921267366E-2</v>
      </c>
      <c r="BK762" s="162">
        <f t="shared" si="4025"/>
        <v>3.9772256517704913E-2</v>
      </c>
      <c r="BL762" s="162">
        <f t="shared" ref="BL762:BM762" si="4026">BL735/BL$142*2</f>
        <v>3.7801272645899268E-2</v>
      </c>
      <c r="BM762" s="162">
        <f t="shared" si="4026"/>
        <v>4.7903952445293489E-2</v>
      </c>
      <c r="BN762" s="162">
        <f t="shared" ref="BN762:BO762" si="4027">BN735/BN$142*2</f>
        <v>4.5529988131164441E-2</v>
      </c>
      <c r="BO762" s="162">
        <f t="shared" si="4027"/>
        <v>4.8682878501314523E-2</v>
      </c>
      <c r="BP762" s="162">
        <f t="shared" ref="BP762:BQ762" si="4028">BP735/BP$142*2</f>
        <v>4.627031314142728E-2</v>
      </c>
      <c r="BQ762" s="162">
        <f t="shared" si="4028"/>
        <v>4.397730668592098E-2</v>
      </c>
      <c r="BR762" s="162"/>
      <c r="BS762" s="162"/>
      <c r="BT762" s="162"/>
      <c r="BU762" s="162"/>
      <c r="BV762" s="162"/>
      <c r="BW762" s="162"/>
      <c r="BX762" s="162"/>
      <c r="BY762" s="162"/>
      <c r="BZ762" s="162"/>
      <c r="CA762" s="162"/>
      <c r="CB762" s="162"/>
      <c r="CC762" s="162"/>
      <c r="CD762" s="162"/>
      <c r="CE762" s="162"/>
      <c r="CF762" s="162"/>
      <c r="CG762" s="162"/>
      <c r="CH762" s="162"/>
      <c r="CI762" s="162"/>
      <c r="CJ762" s="162"/>
      <c r="CK762" s="162"/>
      <c r="CL762" s="162"/>
      <c r="CM762" s="285"/>
      <c r="CN762" s="285"/>
      <c r="CO762" s="285"/>
      <c r="CP762" s="285"/>
      <c r="CQ762" s="285"/>
      <c r="CR762" s="285"/>
      <c r="CS762" s="285"/>
      <c r="CT762" s="285"/>
      <c r="CU762" s="285"/>
      <c r="CV762" s="285"/>
      <c r="CW762" s="285">
        <f t="shared" ref="CW762:DD762" si="4029">CW735/CW$142</f>
        <v>0</v>
      </c>
      <c r="CX762" s="285">
        <f t="shared" si="4029"/>
        <v>0</v>
      </c>
      <c r="CY762" s="285">
        <f t="shared" si="4029"/>
        <v>0</v>
      </c>
      <c r="CZ762" s="286">
        <f t="shared" si="4029"/>
        <v>0</v>
      </c>
      <c r="DA762" s="162">
        <f t="shared" si="4029"/>
        <v>0</v>
      </c>
      <c r="DB762" s="162">
        <f t="shared" si="4029"/>
        <v>0</v>
      </c>
      <c r="DC762" s="162">
        <f t="shared" si="4029"/>
        <v>0</v>
      </c>
      <c r="DD762" s="162">
        <f t="shared" si="4029"/>
        <v>0</v>
      </c>
      <c r="DE762" s="162">
        <f>DE735/DE$142</f>
        <v>2.9351925310066224E-2</v>
      </c>
      <c r="DF762" s="162">
        <f>DF735/DF$142</f>
        <v>3.3143547098087429E-2</v>
      </c>
      <c r="DG762" s="162">
        <f>DG735/DG$142</f>
        <v>4.1915958389631802E-2</v>
      </c>
      <c r="DH762" s="162">
        <f>DH735/DH$142</f>
        <v>4.5978274140130379E-2</v>
      </c>
      <c r="DI762" s="162">
        <f>DI735/DI$142</f>
        <v>4.397730668592098E-2</v>
      </c>
    </row>
    <row r="763" spans="1:113" ht="12" hidden="1" outlineLevel="1">
      <c r="A763" s="1" t="s">
        <v>971</v>
      </c>
      <c r="B763" s="19" t="s">
        <v>363</v>
      </c>
      <c r="C763" s="408"/>
      <c r="D763" s="408"/>
      <c r="E763" s="408"/>
      <c r="F763" s="408"/>
      <c r="G763" s="408"/>
      <c r="H763" s="408"/>
      <c r="I763" s="408"/>
      <c r="J763" s="408"/>
      <c r="K763" s="408"/>
      <c r="L763" s="408"/>
      <c r="M763" s="408"/>
      <c r="N763" s="408"/>
      <c r="O763" s="408"/>
      <c r="P763" s="408"/>
      <c r="Q763" s="408"/>
      <c r="R763" s="408"/>
      <c r="S763" s="408"/>
      <c r="T763" s="394"/>
      <c r="U763" s="408"/>
      <c r="V763" s="408"/>
      <c r="W763" s="408"/>
      <c r="X763" s="408"/>
      <c r="Y763" s="394"/>
      <c r="Z763" s="394"/>
      <c r="AA763" s="394"/>
      <c r="AB763" s="394"/>
      <c r="AC763" s="394"/>
      <c r="AD763" s="394"/>
      <c r="AE763" s="394"/>
      <c r="AF763" s="394"/>
      <c r="AG763" s="394"/>
      <c r="AH763" s="394"/>
      <c r="AI763" s="394"/>
      <c r="AJ763" s="394"/>
      <c r="AK763" s="394"/>
      <c r="AL763" s="394"/>
      <c r="AM763" s="394"/>
      <c r="AN763" s="394"/>
      <c r="AO763" s="394"/>
      <c r="AP763" s="285"/>
      <c r="AQ763" s="285"/>
      <c r="AR763" s="285">
        <f t="shared" ref="AR763:AS763" si="4030">AR737/AR$142*2</f>
        <v>0</v>
      </c>
      <c r="AS763" s="285">
        <f t="shared" si="4030"/>
        <v>0</v>
      </c>
      <c r="AT763" s="285">
        <f t="shared" ref="AT763:AU763" si="4031">AT737/AT$142*2</f>
        <v>0</v>
      </c>
      <c r="AU763" s="285">
        <f t="shared" si="4031"/>
        <v>0</v>
      </c>
      <c r="AV763" s="285">
        <f t="shared" ref="AV763:AW763" si="4032">AV737/AV$142*2</f>
        <v>0</v>
      </c>
      <c r="AW763" s="285">
        <f t="shared" si="4032"/>
        <v>0</v>
      </c>
      <c r="AX763" s="285">
        <f t="shared" ref="AX763" si="4033">AX737/AX$142*2</f>
        <v>0</v>
      </c>
      <c r="AY763" s="285">
        <f t="shared" ref="AY763:BI766" si="4034">AY737/AY$142*2</f>
        <v>0</v>
      </c>
      <c r="AZ763" s="286">
        <f t="shared" si="4034"/>
        <v>0</v>
      </c>
      <c r="BA763" s="162">
        <f t="shared" si="4034"/>
        <v>0</v>
      </c>
      <c r="BB763" s="162">
        <f t="shared" si="4034"/>
        <v>0</v>
      </c>
      <c r="BC763" s="162">
        <f t="shared" si="4034"/>
        <v>0</v>
      </c>
      <c r="BD763" s="162">
        <f t="shared" si="4034"/>
        <v>0</v>
      </c>
      <c r="BE763" s="162">
        <f t="shared" si="4034"/>
        <v>0</v>
      </c>
      <c r="BF763" s="162">
        <f t="shared" si="4034"/>
        <v>0</v>
      </c>
      <c r="BG763" s="162">
        <f t="shared" si="4034"/>
        <v>0</v>
      </c>
      <c r="BH763" s="162">
        <f t="shared" si="4034"/>
        <v>3.3088236973317572E-2</v>
      </c>
      <c r="BI763" s="162">
        <f t="shared" si="4034"/>
        <v>5.2414152339403976E-2</v>
      </c>
      <c r="BJ763" s="162">
        <f t="shared" ref="BJ763:BK763" si="4035">BJ737/BJ$142*2</f>
        <v>3.9853341732390947E-2</v>
      </c>
      <c r="BK763" s="162">
        <f t="shared" si="4035"/>
        <v>5.6817509311007014E-2</v>
      </c>
      <c r="BL763" s="162">
        <f t="shared" ref="BL763:BM763" si="4036">BL737/BL$142*2</f>
        <v>5.4001818065570389E-2</v>
      </c>
      <c r="BM763" s="162">
        <f t="shared" si="4036"/>
        <v>6.8434217778990697E-2</v>
      </c>
      <c r="BN763" s="162">
        <f t="shared" ref="BN763:BO763" si="4037">BN737/BN$142*2</f>
        <v>6.5042840187377784E-2</v>
      </c>
      <c r="BO763" s="162">
        <f t="shared" si="4037"/>
        <v>6.9546969287592172E-2</v>
      </c>
      <c r="BP763" s="162">
        <f t="shared" ref="BP763:BQ763" si="4038">BP737/BP$142*2</f>
        <v>6.6100447344896118E-2</v>
      </c>
      <c r="BQ763" s="162">
        <f t="shared" si="4038"/>
        <v>6.2824723837029972E-2</v>
      </c>
      <c r="BR763" s="162"/>
      <c r="BS763" s="162"/>
      <c r="BT763" s="162"/>
      <c r="BU763" s="162"/>
      <c r="BV763" s="162"/>
      <c r="BW763" s="162"/>
      <c r="BX763" s="162"/>
      <c r="BY763" s="162"/>
      <c r="BZ763" s="162"/>
      <c r="CA763" s="162"/>
      <c r="CB763" s="162"/>
      <c r="CC763" s="162"/>
      <c r="CD763" s="162"/>
      <c r="CE763" s="162"/>
      <c r="CF763" s="162"/>
      <c r="CG763" s="162"/>
      <c r="CH763" s="162"/>
      <c r="CI763" s="162"/>
      <c r="CJ763" s="162"/>
      <c r="CK763" s="162"/>
      <c r="CL763" s="162"/>
      <c r="CM763" s="285"/>
      <c r="CN763" s="285"/>
      <c r="CO763" s="285"/>
      <c r="CP763" s="285"/>
      <c r="CQ763" s="285"/>
      <c r="CR763" s="285"/>
      <c r="CS763" s="285"/>
      <c r="CT763" s="285"/>
      <c r="CU763" s="285"/>
      <c r="CV763" s="285"/>
      <c r="CW763" s="285">
        <f t="shared" ref="CW763:DF767" si="4039">CW737/CW$142</f>
        <v>0</v>
      </c>
      <c r="CX763" s="285">
        <f t="shared" si="4039"/>
        <v>0</v>
      </c>
      <c r="CY763" s="285">
        <f t="shared" si="4039"/>
        <v>0</v>
      </c>
      <c r="CZ763" s="286">
        <f t="shared" si="4039"/>
        <v>0</v>
      </c>
      <c r="DA763" s="162">
        <f t="shared" si="4039"/>
        <v>0</v>
      </c>
      <c r="DB763" s="162">
        <f t="shared" si="4039"/>
        <v>0</v>
      </c>
      <c r="DC763" s="162">
        <f t="shared" si="4039"/>
        <v>0</v>
      </c>
      <c r="DD763" s="162">
        <f t="shared" si="4039"/>
        <v>0</v>
      </c>
      <c r="DE763" s="162">
        <f t="shared" si="4039"/>
        <v>4.1931321871523181E-2</v>
      </c>
      <c r="DF763" s="162">
        <f t="shared" si="4039"/>
        <v>4.7347924425839176E-2</v>
      </c>
      <c r="DG763" s="162">
        <f t="shared" ref="DG763:DH767" si="4040">DG737/DG$142</f>
        <v>5.9879940556616856E-2</v>
      </c>
      <c r="DH763" s="162">
        <f t="shared" si="4040"/>
        <v>6.5683248771614841E-2</v>
      </c>
      <c r="DI763" s="162">
        <f t="shared" ref="DI763" si="4041">DI737/DI$142</f>
        <v>6.2824723837029972E-2</v>
      </c>
    </row>
    <row r="764" spans="1:113" ht="12" hidden="1" outlineLevel="1">
      <c r="A764" s="1" t="s">
        <v>17</v>
      </c>
      <c r="B764" s="19" t="s">
        <v>364</v>
      </c>
      <c r="C764" s="408"/>
      <c r="D764" s="408"/>
      <c r="E764" s="408"/>
      <c r="F764" s="408"/>
      <c r="G764" s="408"/>
      <c r="H764" s="408"/>
      <c r="I764" s="408"/>
      <c r="J764" s="408"/>
      <c r="K764" s="408"/>
      <c r="L764" s="408"/>
      <c r="M764" s="408"/>
      <c r="N764" s="408"/>
      <c r="O764" s="408"/>
      <c r="P764" s="408"/>
      <c r="Q764" s="408"/>
      <c r="R764" s="408"/>
      <c r="S764" s="408"/>
      <c r="T764" s="394"/>
      <c r="U764" s="408"/>
      <c r="V764" s="408"/>
      <c r="W764" s="408"/>
      <c r="X764" s="408"/>
      <c r="Y764" s="394"/>
      <c r="Z764" s="394"/>
      <c r="AA764" s="394"/>
      <c r="AB764" s="394"/>
      <c r="AC764" s="394"/>
      <c r="AD764" s="394"/>
      <c r="AE764" s="394"/>
      <c r="AF764" s="394"/>
      <c r="AG764" s="394"/>
      <c r="AH764" s="394"/>
      <c r="AI764" s="394"/>
      <c r="AJ764" s="394"/>
      <c r="AK764" s="394"/>
      <c r="AL764" s="394"/>
      <c r="AM764" s="394"/>
      <c r="AN764" s="394"/>
      <c r="AO764" s="394"/>
      <c r="AP764" s="285"/>
      <c r="AQ764" s="285"/>
      <c r="AR764" s="285">
        <f t="shared" ref="AR764:AS764" si="4042">AR738/AR$142*2</f>
        <v>-0.38526813052226438</v>
      </c>
      <c r="AS764" s="285">
        <f t="shared" si="4042"/>
        <v>-8.0800778961113325E-3</v>
      </c>
      <c r="AT764" s="285">
        <f t="shared" ref="AT764:AU764" si="4043">AT738/AT$142*2</f>
        <v>0</v>
      </c>
      <c r="AU764" s="285">
        <f t="shared" si="4043"/>
        <v>0</v>
      </c>
      <c r="AV764" s="285">
        <f t="shared" ref="AV764:AW764" si="4044">AV738/AV$142*2</f>
        <v>0</v>
      </c>
      <c r="AW764" s="285">
        <f t="shared" si="4044"/>
        <v>0</v>
      </c>
      <c r="AX764" s="285">
        <f t="shared" ref="AX764" si="4045">AX738/AX$142*2</f>
        <v>0</v>
      </c>
      <c r="AY764" s="285">
        <f t="shared" si="4034"/>
        <v>0</v>
      </c>
      <c r="AZ764" s="286">
        <f t="shared" si="4034"/>
        <v>0</v>
      </c>
      <c r="BA764" s="162">
        <f t="shared" si="4034"/>
        <v>0</v>
      </c>
      <c r="BB764" s="162">
        <f t="shared" si="4034"/>
        <v>0</v>
      </c>
      <c r="BC764" s="162">
        <f t="shared" si="4034"/>
        <v>0</v>
      </c>
      <c r="BD764" s="162">
        <f t="shared" si="4034"/>
        <v>-0.11808624258467772</v>
      </c>
      <c r="BE764" s="162">
        <f t="shared" si="4034"/>
        <v>0</v>
      </c>
      <c r="BF764" s="162">
        <f t="shared" si="4034"/>
        <v>0</v>
      </c>
      <c r="BG764" s="162">
        <f t="shared" si="4034"/>
        <v>0</v>
      </c>
      <c r="BH764" s="162">
        <f t="shared" si="4034"/>
        <v>0</v>
      </c>
      <c r="BI764" s="162">
        <f t="shared" si="4034"/>
        <v>2.2011355100036066E-2</v>
      </c>
      <c r="BJ764" s="162">
        <f t="shared" ref="BJ764:BK764" si="4046">BJ738/BJ$142*2</f>
        <v>3.4867573039335957E-2</v>
      </c>
      <c r="BK764" s="162">
        <f t="shared" si="4046"/>
        <v>2.6511719482127157E-2</v>
      </c>
      <c r="BL764" s="162">
        <f t="shared" ref="BL764:BM764" si="4047">BL738/BL$142*2</f>
        <v>3.7796827142911604E-2</v>
      </c>
      <c r="BM764" s="162">
        <f t="shared" si="4047"/>
        <v>3.5923739135673649E-2</v>
      </c>
      <c r="BN764" s="162">
        <f t="shared" ref="BN764:BO764" si="4048">BN738/BN$142*2</f>
        <v>4.5524633716244038E-2</v>
      </c>
      <c r="BO764" s="162">
        <f t="shared" si="4048"/>
        <v>4.3268580711440727E-2</v>
      </c>
      <c r="BP764" s="162">
        <f t="shared" ref="BP764:BQ764" si="4049">BP738/BP$142*2</f>
        <v>4.6264871662849635E-2</v>
      </c>
      <c r="BQ764" s="162">
        <f t="shared" si="4049"/>
        <v>4.3972134869350331E-2</v>
      </c>
      <c r="BR764" s="162"/>
      <c r="BS764" s="162"/>
      <c r="BT764" s="162"/>
      <c r="BU764" s="162"/>
      <c r="BV764" s="162"/>
      <c r="BW764" s="162"/>
      <c r="BX764" s="162"/>
      <c r="BY764" s="162"/>
      <c r="BZ764" s="162"/>
      <c r="CA764" s="162"/>
      <c r="CB764" s="162"/>
      <c r="CC764" s="162"/>
      <c r="CD764" s="162"/>
      <c r="CE764" s="162"/>
      <c r="CF764" s="162"/>
      <c r="CG764" s="162"/>
      <c r="CH764" s="162"/>
      <c r="CI764" s="162"/>
      <c r="CJ764" s="162"/>
      <c r="CK764" s="162"/>
      <c r="CL764" s="162"/>
      <c r="CM764" s="285"/>
      <c r="CN764" s="285"/>
      <c r="CO764" s="285"/>
      <c r="CP764" s="285"/>
      <c r="CQ764" s="285"/>
      <c r="CR764" s="285"/>
      <c r="CS764" s="285"/>
      <c r="CT764" s="285"/>
      <c r="CU764" s="285"/>
      <c r="CV764" s="285"/>
      <c r="CW764" s="285">
        <f t="shared" si="4039"/>
        <v>-0.30663071117998014</v>
      </c>
      <c r="CX764" s="285">
        <f t="shared" si="4039"/>
        <v>0</v>
      </c>
      <c r="CY764" s="285">
        <f t="shared" si="4039"/>
        <v>0</v>
      </c>
      <c r="CZ764" s="286">
        <f t="shared" si="4039"/>
        <v>0</v>
      </c>
      <c r="DA764" s="162">
        <f t="shared" si="4039"/>
        <v>0</v>
      </c>
      <c r="DB764" s="162">
        <f t="shared" si="4039"/>
        <v>0</v>
      </c>
      <c r="DC764" s="162">
        <f t="shared" si="4039"/>
        <v>-5.52758202313939E-2</v>
      </c>
      <c r="DD764" s="162">
        <f t="shared" si="4039"/>
        <v>0</v>
      </c>
      <c r="DE764" s="162">
        <f t="shared" si="4039"/>
        <v>1.1005677550018031E-2</v>
      </c>
      <c r="DF764" s="162">
        <f t="shared" si="4039"/>
        <v>2.9825684417393049E-2</v>
      </c>
      <c r="DG764" s="162">
        <f t="shared" si="4040"/>
        <v>3.5923739135673649E-2</v>
      </c>
      <c r="DH764" s="162">
        <f t="shared" si="4040"/>
        <v>4.326858071144072E-2</v>
      </c>
      <c r="DI764" s="162">
        <f t="shared" ref="DI764" si="4050">DI738/DI$142</f>
        <v>4.3972134869350324E-2</v>
      </c>
    </row>
    <row r="765" spans="1:113" ht="12" hidden="1" outlineLevel="1">
      <c r="A765" s="1" t="s">
        <v>18</v>
      </c>
      <c r="B765" s="19" t="s">
        <v>714</v>
      </c>
      <c r="C765" s="408"/>
      <c r="D765" s="408"/>
      <c r="E765" s="408"/>
      <c r="F765" s="408"/>
      <c r="G765" s="408"/>
      <c r="H765" s="408"/>
      <c r="I765" s="408"/>
      <c r="J765" s="408"/>
      <c r="K765" s="408"/>
      <c r="L765" s="408"/>
      <c r="M765" s="408"/>
      <c r="N765" s="408"/>
      <c r="O765" s="408"/>
      <c r="P765" s="408"/>
      <c r="Q765" s="408"/>
      <c r="R765" s="408"/>
      <c r="S765" s="408"/>
      <c r="T765" s="394"/>
      <c r="U765" s="408"/>
      <c r="V765" s="408"/>
      <c r="W765" s="408"/>
      <c r="X765" s="408"/>
      <c r="Y765" s="394"/>
      <c r="Z765" s="394"/>
      <c r="AA765" s="394"/>
      <c r="AB765" s="394"/>
      <c r="AC765" s="394"/>
      <c r="AD765" s="394"/>
      <c r="AE765" s="394"/>
      <c r="AF765" s="394"/>
      <c r="AG765" s="394"/>
      <c r="AH765" s="394"/>
      <c r="AI765" s="394"/>
      <c r="AJ765" s="394"/>
      <c r="AK765" s="394"/>
      <c r="AL765" s="394"/>
      <c r="AM765" s="394"/>
      <c r="AN765" s="394"/>
      <c r="AO765" s="394"/>
      <c r="AP765" s="285"/>
      <c r="AQ765" s="285"/>
      <c r="AR765" s="285">
        <f t="shared" ref="AR765:AS765" si="4051">AR739/AR$142*2</f>
        <v>-0.38526813052226438</v>
      </c>
      <c r="AS765" s="285">
        <f t="shared" si="4051"/>
        <v>-8.0800778961113325E-3</v>
      </c>
      <c r="AT765" s="285">
        <f t="shared" ref="AT765:AU765" si="4052">AT739/AT$142*2</f>
        <v>0</v>
      </c>
      <c r="AU765" s="285">
        <f t="shared" si="4052"/>
        <v>0</v>
      </c>
      <c r="AV765" s="285">
        <f t="shared" ref="AV765:AW765" si="4053">AV739/AV$142*2</f>
        <v>0</v>
      </c>
      <c r="AW765" s="285">
        <f t="shared" si="4053"/>
        <v>0</v>
      </c>
      <c r="AX765" s="285">
        <f t="shared" ref="AX765" si="4054">AX739/AX$142*2</f>
        <v>0</v>
      </c>
      <c r="AY765" s="285">
        <f t="shared" si="4034"/>
        <v>0</v>
      </c>
      <c r="AZ765" s="286">
        <f t="shared" si="4034"/>
        <v>0</v>
      </c>
      <c r="BA765" s="162">
        <f t="shared" si="4034"/>
        <v>0</v>
      </c>
      <c r="BB765" s="162">
        <f t="shared" si="4034"/>
        <v>0</v>
      </c>
      <c r="BC765" s="162">
        <f t="shared" si="4034"/>
        <v>0</v>
      </c>
      <c r="BD765" s="162">
        <f t="shared" si="4034"/>
        <v>-0.11808624258467772</v>
      </c>
      <c r="BE765" s="162">
        <f t="shared" si="4034"/>
        <v>0</v>
      </c>
      <c r="BF765" s="162">
        <f t="shared" si="4034"/>
        <v>0</v>
      </c>
      <c r="BG765" s="162">
        <f t="shared" si="4034"/>
        <v>0</v>
      </c>
      <c r="BH765" s="162">
        <f t="shared" si="4034"/>
        <v>0</v>
      </c>
      <c r="BI765" s="162">
        <f t="shared" si="4034"/>
        <v>2.7671417840045339E-2</v>
      </c>
      <c r="BJ765" s="162">
        <f t="shared" ref="BJ765:BK765" si="4055">BJ739/BJ$142*2</f>
        <v>4.3833520392308055E-2</v>
      </c>
      <c r="BK765" s="162">
        <f t="shared" si="4055"/>
        <v>3.3329018777531284E-2</v>
      </c>
      <c r="BL765" s="162">
        <f t="shared" ref="BL765:BM765" si="4056">BL739/BL$142*2</f>
        <v>4.751601126537458E-2</v>
      </c>
      <c r="BM765" s="162">
        <f t="shared" si="4056"/>
        <v>4.5161272056275445E-2</v>
      </c>
      <c r="BN765" s="162">
        <f t="shared" ref="BN765:BO765" si="4057">BN739/BN$142*2</f>
        <v>5.7230968100421081E-2</v>
      </c>
      <c r="BO765" s="162">
        <f t="shared" si="4057"/>
        <v>5.4394787180096917E-2</v>
      </c>
      <c r="BP765" s="162">
        <f t="shared" ref="BP765:BQ765" si="4058">BP739/BP$142*2</f>
        <v>5.8161552947582407E-2</v>
      </c>
      <c r="BQ765" s="162">
        <f t="shared" si="4058"/>
        <v>5.5279255264326137E-2</v>
      </c>
      <c r="BR765" s="162"/>
      <c r="BS765" s="162"/>
      <c r="BT765" s="162"/>
      <c r="BU765" s="162"/>
      <c r="BV765" s="162"/>
      <c r="BW765" s="162"/>
      <c r="BX765" s="162"/>
      <c r="BY765" s="162"/>
      <c r="BZ765" s="162"/>
      <c r="CA765" s="162"/>
      <c r="CB765" s="162"/>
      <c r="CC765" s="162"/>
      <c r="CD765" s="162"/>
      <c r="CE765" s="162"/>
      <c r="CF765" s="162"/>
      <c r="CG765" s="162"/>
      <c r="CH765" s="162"/>
      <c r="CI765" s="162"/>
      <c r="CJ765" s="162"/>
      <c r="CK765" s="162"/>
      <c r="CL765" s="162"/>
      <c r="CM765" s="285"/>
      <c r="CN765" s="285"/>
      <c r="CO765" s="285"/>
      <c r="CP765" s="285"/>
      <c r="CQ765" s="285"/>
      <c r="CR765" s="285"/>
      <c r="CS765" s="285"/>
      <c r="CT765" s="285"/>
      <c r="CU765" s="285"/>
      <c r="CV765" s="285"/>
      <c r="CW765" s="285">
        <f t="shared" si="4039"/>
        <v>-0.30663071117998014</v>
      </c>
      <c r="CX765" s="285">
        <f t="shared" si="4039"/>
        <v>0</v>
      </c>
      <c r="CY765" s="285">
        <f t="shared" si="4039"/>
        <v>0</v>
      </c>
      <c r="CZ765" s="286">
        <f t="shared" si="4039"/>
        <v>0</v>
      </c>
      <c r="DA765" s="162">
        <f t="shared" si="4039"/>
        <v>0</v>
      </c>
      <c r="DB765" s="162">
        <f t="shared" si="4039"/>
        <v>0</v>
      </c>
      <c r="DC765" s="162">
        <f t="shared" si="4039"/>
        <v>-5.52758202313939E-2</v>
      </c>
      <c r="DD765" s="162">
        <f t="shared" si="4039"/>
        <v>0</v>
      </c>
      <c r="DE765" s="162">
        <f t="shared" si="4039"/>
        <v>1.3835708920022668E-2</v>
      </c>
      <c r="DF765" s="162">
        <f t="shared" si="4039"/>
        <v>3.7495146124722691E-2</v>
      </c>
      <c r="DG765" s="162">
        <f t="shared" si="4040"/>
        <v>4.5161272056275445E-2</v>
      </c>
      <c r="DH765" s="162">
        <f t="shared" si="4040"/>
        <v>5.4394787180096903E-2</v>
      </c>
      <c r="DI765" s="162">
        <f t="shared" ref="DI765" si="4059">DI739/DI$142</f>
        <v>5.5279255264326123E-2</v>
      </c>
    </row>
    <row r="766" spans="1:113" ht="12" hidden="1" outlineLevel="1">
      <c r="A766" s="1" t="s">
        <v>19</v>
      </c>
      <c r="B766" s="19" t="s">
        <v>715</v>
      </c>
      <c r="C766" s="408"/>
      <c r="D766" s="408"/>
      <c r="E766" s="408"/>
      <c r="F766" s="408"/>
      <c r="G766" s="408"/>
      <c r="H766" s="408"/>
      <c r="I766" s="408"/>
      <c r="J766" s="408"/>
      <c r="K766" s="408"/>
      <c r="L766" s="408"/>
      <c r="M766" s="408"/>
      <c r="N766" s="408"/>
      <c r="O766" s="408"/>
      <c r="P766" s="408"/>
      <c r="Q766" s="408"/>
      <c r="R766" s="408"/>
      <c r="S766" s="408"/>
      <c r="T766" s="394"/>
      <c r="U766" s="408"/>
      <c r="V766" s="408"/>
      <c r="W766" s="408"/>
      <c r="X766" s="408"/>
      <c r="Y766" s="394"/>
      <c r="Z766" s="394"/>
      <c r="AA766" s="394"/>
      <c r="AB766" s="394"/>
      <c r="AC766" s="394"/>
      <c r="AD766" s="394"/>
      <c r="AE766" s="394"/>
      <c r="AF766" s="394"/>
      <c r="AG766" s="394"/>
      <c r="AH766" s="394"/>
      <c r="AI766" s="394"/>
      <c r="AJ766" s="394"/>
      <c r="AK766" s="394"/>
      <c r="AL766" s="394"/>
      <c r="AM766" s="394"/>
      <c r="AN766" s="394"/>
      <c r="AO766" s="394"/>
      <c r="AP766" s="285"/>
      <c r="AQ766" s="285"/>
      <c r="AR766" s="285">
        <f t="shared" ref="AR766:AS766" si="4060">AR740/AR$142*2</f>
        <v>-2.7080045490333316E-2</v>
      </c>
      <c r="AS766" s="285">
        <f t="shared" si="4060"/>
        <v>-3.6101128441629854E-2</v>
      </c>
      <c r="AT766" s="285">
        <f t="shared" ref="AT766:AU766" si="4061">AT740/AT$142*2</f>
        <v>-1.3690440600010591E-3</v>
      </c>
      <c r="AU766" s="285">
        <f t="shared" si="4061"/>
        <v>-4.9372498734257181E-4</v>
      </c>
      <c r="AV766" s="285">
        <f t="shared" ref="AV766:AW766" si="4062">AV740/AV$142*2</f>
        <v>1.1508504010029697E-2</v>
      </c>
      <c r="AW766" s="285">
        <f t="shared" si="4062"/>
        <v>-2.8919402659744901E-2</v>
      </c>
      <c r="AX766" s="285">
        <f t="shared" ref="AX766" si="4063">AX740/AX$142*2</f>
        <v>-7.9313939654477514E-3</v>
      </c>
      <c r="AY766" s="285">
        <f t="shared" si="4034"/>
        <v>-8.7144471019236849E-3</v>
      </c>
      <c r="AZ766" s="286">
        <f t="shared" si="4034"/>
        <v>1.4660719317823969E-3</v>
      </c>
      <c r="BA766" s="162">
        <f t="shared" si="4034"/>
        <v>9.0881720791958897E-3</v>
      </c>
      <c r="BB766" s="162">
        <f t="shared" si="4034"/>
        <v>1.0355748388706836E-2</v>
      </c>
      <c r="BC766" s="162">
        <f t="shared" si="4034"/>
        <v>7.9107239978543631E-3</v>
      </c>
      <c r="BD766" s="162">
        <f t="shared" si="4034"/>
        <v>1.4740839162455751E-2</v>
      </c>
      <c r="BE766" s="162">
        <f t="shared" si="4034"/>
        <v>1.5553601472564247E-2</v>
      </c>
      <c r="BF766" s="162">
        <f t="shared" si="4034"/>
        <v>2.17170623906804E-2</v>
      </c>
      <c r="BG766" s="162">
        <f t="shared" si="4034"/>
        <v>2.4181325016937514E-2</v>
      </c>
      <c r="BH766" s="162">
        <f t="shared" si="4034"/>
        <v>2.8884515237607097E-2</v>
      </c>
      <c r="BI766" s="162">
        <f t="shared" si="4034"/>
        <v>2.7707067604107662E-2</v>
      </c>
      <c r="BJ766" s="162">
        <f t="shared" ref="BJ766:BK766" si="4064">BJ740/BJ$142*2</f>
        <v>3.1316850584928516E-2</v>
      </c>
      <c r="BK766" s="162">
        <f t="shared" si="4064"/>
        <v>2.9461767138184606E-2</v>
      </c>
      <c r="BL766" s="162">
        <f t="shared" ref="BL766:BM766" si="4065">BL740/BL$142*2</f>
        <v>3.1799874991952942E-2</v>
      </c>
      <c r="BM766" s="162">
        <f t="shared" si="4065"/>
        <v>2.9831778827027741E-2</v>
      </c>
      <c r="BN766" s="162">
        <f t="shared" ref="BN766:BO766" si="4066">BN740/BN$142*2</f>
        <v>3.1521170493929156E-2</v>
      </c>
      <c r="BO766" s="162">
        <f t="shared" si="4066"/>
        <v>2.8515761140242128E-2</v>
      </c>
      <c r="BP766" s="162">
        <f t="shared" ref="BP766:BQ766" si="4067">BP740/BP$142*2</f>
        <v>2.9943755611225809E-2</v>
      </c>
      <c r="BQ766" s="162">
        <f t="shared" si="4067"/>
        <v>2.6930241622927929E-2</v>
      </c>
      <c r="BR766" s="162"/>
      <c r="BS766" s="162"/>
      <c r="BT766" s="162"/>
      <c r="BU766" s="162"/>
      <c r="BV766" s="162"/>
      <c r="BW766" s="162"/>
      <c r="BX766" s="162"/>
      <c r="BY766" s="162"/>
      <c r="BZ766" s="162"/>
      <c r="CA766" s="162"/>
      <c r="CB766" s="162"/>
      <c r="CC766" s="162"/>
      <c r="CD766" s="162"/>
      <c r="CE766" s="162"/>
      <c r="CF766" s="162"/>
      <c r="CG766" s="162"/>
      <c r="CH766" s="162"/>
      <c r="CI766" s="162"/>
      <c r="CJ766" s="162"/>
      <c r="CK766" s="162"/>
      <c r="CL766" s="162"/>
      <c r="CM766" s="285"/>
      <c r="CN766" s="285"/>
      <c r="CO766" s="285"/>
      <c r="CP766" s="285"/>
      <c r="CQ766" s="285"/>
      <c r="CR766" s="285"/>
      <c r="CS766" s="285"/>
      <c r="CT766" s="285"/>
      <c r="CU766" s="285"/>
      <c r="CV766" s="285"/>
      <c r="CW766" s="285">
        <f t="shared" si="4039"/>
        <v>-1.7473415799664108E-2</v>
      </c>
      <c r="CX766" s="285">
        <f t="shared" si="4039"/>
        <v>2.7035394511893494E-2</v>
      </c>
      <c r="CY766" s="285">
        <f t="shared" si="4039"/>
        <v>1.8395448070135708E-2</v>
      </c>
      <c r="CZ766" s="286">
        <f t="shared" si="4039"/>
        <v>1.9064283574091515E-2</v>
      </c>
      <c r="DA766" s="162">
        <f t="shared" si="4039"/>
        <v>3.400578515292673E-2</v>
      </c>
      <c r="DB766" s="162">
        <f t="shared" si="4039"/>
        <v>3.9402753549368737E-2</v>
      </c>
      <c r="DC766" s="162">
        <f t="shared" si="4039"/>
        <v>4.5046223967552097E-2</v>
      </c>
      <c r="DD766" s="162">
        <f t="shared" si="4039"/>
        <v>5.3375986067609724E-2</v>
      </c>
      <c r="DE766" s="162">
        <f t="shared" si="4039"/>
        <v>5.8699106669105508E-2</v>
      </c>
      <c r="DF766" s="162">
        <f t="shared" si="4039"/>
        <v>6.0383579279817273E-2</v>
      </c>
      <c r="DG766" s="162">
        <f t="shared" si="4040"/>
        <v>5.9988407034785259E-2</v>
      </c>
      <c r="DH766" s="162">
        <f t="shared" si="4040"/>
        <v>5.8078337294173429E-2</v>
      </c>
      <c r="DI766" s="162">
        <f t="shared" ref="DI766" si="4068">DI740/DI$142</f>
        <v>5.5337762181707072E-2</v>
      </c>
    </row>
    <row r="767" spans="1:113" ht="12" hidden="1" outlineLevel="1">
      <c r="A767" s="1" t="s">
        <v>27</v>
      </c>
      <c r="B767" s="19" t="s">
        <v>583</v>
      </c>
      <c r="C767" s="408"/>
      <c r="D767" s="408"/>
      <c r="E767" s="408"/>
      <c r="F767" s="408"/>
      <c r="G767" s="408"/>
      <c r="H767" s="408"/>
      <c r="I767" s="408"/>
      <c r="J767" s="408"/>
      <c r="K767" s="408"/>
      <c r="L767" s="408"/>
      <c r="M767" s="408"/>
      <c r="N767" s="408"/>
      <c r="O767" s="408"/>
      <c r="P767" s="408"/>
      <c r="Q767" s="408"/>
      <c r="R767" s="408"/>
      <c r="S767" s="408"/>
      <c r="T767" s="394"/>
      <c r="U767" s="408"/>
      <c r="V767" s="408"/>
      <c r="W767" s="408"/>
      <c r="X767" s="408"/>
      <c r="Y767" s="394"/>
      <c r="Z767" s="394"/>
      <c r="AA767" s="394"/>
      <c r="AB767" s="394"/>
      <c r="AC767" s="394"/>
      <c r="AD767" s="394"/>
      <c r="AE767" s="394"/>
      <c r="AF767" s="394"/>
      <c r="AG767" s="394"/>
      <c r="AH767" s="394"/>
      <c r="AI767" s="394"/>
      <c r="AJ767" s="394"/>
      <c r="AK767" s="394"/>
      <c r="AL767" s="394"/>
      <c r="AM767" s="394"/>
      <c r="AN767" s="394"/>
      <c r="AO767" s="394"/>
      <c r="AP767" s="285"/>
      <c r="AQ767" s="285"/>
      <c r="AR767" s="285">
        <f t="shared" ref="AR767:AS767" si="4069">AR741/AR$142*2</f>
        <v>-2.7080045490333316E-2</v>
      </c>
      <c r="AS767" s="285">
        <f t="shared" si="4069"/>
        <v>-3.6101128441629854E-2</v>
      </c>
      <c r="AT767" s="285">
        <f t="shared" ref="AT767:AU767" si="4070">AT741/AT$142*2</f>
        <v>-1.3690440600010591E-3</v>
      </c>
      <c r="AU767" s="285">
        <f t="shared" si="4070"/>
        <v>-4.9372498734257181E-4</v>
      </c>
      <c r="AV767" s="285">
        <f t="shared" ref="AV767:AW767" si="4071">AV741/AV$142*2</f>
        <v>1.1508504010029697E-2</v>
      </c>
      <c r="AW767" s="285">
        <f t="shared" si="4071"/>
        <v>-2.8919402659744901E-2</v>
      </c>
      <c r="AX767" s="285">
        <f t="shared" ref="AX767" si="4072">AX741/AX$142*2</f>
        <v>-7.9313939654477514E-3</v>
      </c>
      <c r="AY767" s="285">
        <f t="shared" ref="AY767:BI767" si="4073">AY741/AY$142*2</f>
        <v>-8.7144471019236849E-3</v>
      </c>
      <c r="AZ767" s="286">
        <f t="shared" si="4073"/>
        <v>1.4660719317823969E-3</v>
      </c>
      <c r="BA767" s="162">
        <f t="shared" si="4073"/>
        <v>9.0881720791958897E-3</v>
      </c>
      <c r="BB767" s="162">
        <f t="shared" si="4073"/>
        <v>1.0355748388706836E-2</v>
      </c>
      <c r="BC767" s="162">
        <f t="shared" si="4073"/>
        <v>7.9107239978543631E-3</v>
      </c>
      <c r="BD767" s="162">
        <f t="shared" si="4073"/>
        <v>1.4740839162455751E-2</v>
      </c>
      <c r="BE767" s="162">
        <f t="shared" si="4073"/>
        <v>1.5553601472564247E-2</v>
      </c>
      <c r="BF767" s="162">
        <f t="shared" si="4073"/>
        <v>2.17170623906804E-2</v>
      </c>
      <c r="BG767" s="162">
        <f t="shared" si="4073"/>
        <v>2.4181325016937514E-2</v>
      </c>
      <c r="BH767" s="162">
        <f t="shared" si="4073"/>
        <v>3.8810986329602372E-2</v>
      </c>
      <c r="BI767" s="162">
        <f t="shared" si="4073"/>
        <v>4.3431313305928851E-2</v>
      </c>
      <c r="BJ767" s="162">
        <f t="shared" ref="BJ767:BK767" si="4074">BJ741/BJ$142*2</f>
        <v>4.3272853104645806E-2</v>
      </c>
      <c r="BK767" s="162">
        <f t="shared" si="4074"/>
        <v>4.6507019931486711E-2</v>
      </c>
      <c r="BL767" s="162">
        <f t="shared" ref="BL767:BM767" si="4075">BL741/BL$142*2</f>
        <v>4.8000420411624063E-2</v>
      </c>
      <c r="BM767" s="162">
        <f t="shared" si="4075"/>
        <v>5.0362044160724942E-2</v>
      </c>
      <c r="BN767" s="162">
        <f t="shared" ref="BN767:BO767" si="4076">BN741/BN$142*2</f>
        <v>5.1034022550142485E-2</v>
      </c>
      <c r="BO767" s="162">
        <f t="shared" si="4076"/>
        <v>4.9379851926519787E-2</v>
      </c>
      <c r="BP767" s="162">
        <f t="shared" ref="BP767:BQ767" si="4077">BP741/BP$142*2</f>
        <v>4.9773889814694647E-2</v>
      </c>
      <c r="BQ767" s="162">
        <f t="shared" si="4077"/>
        <v>4.5777658774036924E-2</v>
      </c>
      <c r="BR767" s="162"/>
      <c r="BS767" s="162"/>
      <c r="BT767" s="162"/>
      <c r="BU767" s="162"/>
      <c r="BV767" s="162"/>
      <c r="BW767" s="162"/>
      <c r="BX767" s="162"/>
      <c r="BY767" s="162"/>
      <c r="BZ767" s="162"/>
      <c r="CA767" s="162"/>
      <c r="CB767" s="162"/>
      <c r="CC767" s="162"/>
      <c r="CD767" s="162"/>
      <c r="CE767" s="162"/>
      <c r="CF767" s="162"/>
      <c r="CG767" s="162"/>
      <c r="CH767" s="162"/>
      <c r="CI767" s="162"/>
      <c r="CJ767" s="162"/>
      <c r="CK767" s="162"/>
      <c r="CL767" s="162"/>
      <c r="CM767" s="285"/>
      <c r="CN767" s="285"/>
      <c r="CO767" s="285"/>
      <c r="CP767" s="285"/>
      <c r="CQ767" s="285"/>
      <c r="CR767" s="285"/>
      <c r="CS767" s="285"/>
      <c r="CT767" s="285"/>
      <c r="CU767" s="285"/>
      <c r="CV767" s="285"/>
      <c r="CW767" s="285">
        <f t="shared" si="4039"/>
        <v>-1.7473415799664108E-2</v>
      </c>
      <c r="CX767" s="285">
        <f t="shared" si="4039"/>
        <v>2.7035394511893494E-2</v>
      </c>
      <c r="CY767" s="285">
        <f t="shared" si="4039"/>
        <v>1.8395448070135708E-2</v>
      </c>
      <c r="CZ767" s="286">
        <f t="shared" si="4039"/>
        <v>1.9064283574091515E-2</v>
      </c>
      <c r="DA767" s="162">
        <f t="shared" si="4039"/>
        <v>3.400578515292673E-2</v>
      </c>
      <c r="DB767" s="162">
        <f t="shared" si="4039"/>
        <v>3.9402753549368737E-2</v>
      </c>
      <c r="DC767" s="162">
        <f t="shared" si="4039"/>
        <v>4.5046223967552097E-2</v>
      </c>
      <c r="DD767" s="162">
        <f t="shared" si="4039"/>
        <v>5.3375986067609724E-2</v>
      </c>
      <c r="DE767" s="162">
        <f t="shared" si="4039"/>
        <v>7.1278503230562451E-2</v>
      </c>
      <c r="DF767" s="162">
        <f t="shared" si="4039"/>
        <v>7.4587956607569034E-2</v>
      </c>
      <c r="DG767" s="162">
        <f t="shared" si="4040"/>
        <v>7.795238920177032E-2</v>
      </c>
      <c r="DH767" s="162">
        <f t="shared" si="4040"/>
        <v>7.7783311925657878E-2</v>
      </c>
      <c r="DI767" s="162">
        <f t="shared" ref="DI767" si="4078">DI741/DI$142</f>
        <v>7.418517933281607E-2</v>
      </c>
    </row>
    <row r="768" spans="1:113" s="71" customFormat="1" ht="12" hidden="1" outlineLevel="1">
      <c r="A768" s="1" t="s">
        <v>972</v>
      </c>
      <c r="B768" s="71" t="s">
        <v>584</v>
      </c>
      <c r="C768" s="69"/>
      <c r="D768" s="69"/>
      <c r="E768" s="69"/>
      <c r="F768" s="69"/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69"/>
      <c r="R768" s="69"/>
      <c r="S768" s="69"/>
      <c r="T768" s="69"/>
      <c r="U768" s="69"/>
      <c r="V768" s="69"/>
      <c r="W768" s="69"/>
      <c r="X768" s="69"/>
      <c r="Y768" s="69"/>
      <c r="Z768" s="69"/>
      <c r="AA768" s="69"/>
      <c r="AB768" s="69"/>
      <c r="AC768" s="69"/>
      <c r="AD768" s="69"/>
      <c r="AE768" s="69"/>
      <c r="AF768" s="69"/>
      <c r="AG768" s="69"/>
      <c r="AH768" s="69"/>
      <c r="AI768" s="69"/>
      <c r="AJ768" s="69"/>
      <c r="AK768" s="69"/>
      <c r="AL768" s="69"/>
      <c r="AM768" s="69"/>
      <c r="AN768" s="69"/>
      <c r="AO768" s="69"/>
      <c r="AP768" s="69"/>
      <c r="AQ768" s="69"/>
      <c r="AR768" s="69">
        <f t="shared" ref="AR768:AS768" si="4079">AR$142/AR742</f>
        <v>1.6878564794566697</v>
      </c>
      <c r="AS768" s="69">
        <f t="shared" si="4079"/>
        <v>0.94842050901680186</v>
      </c>
      <c r="AT768" s="69">
        <f t="shared" ref="AT768:AU768" si="4080">AT$142/AT742</f>
        <v>1.0158209651352288</v>
      </c>
      <c r="AU768" s="69">
        <f t="shared" si="4080"/>
        <v>0.88690071648500468</v>
      </c>
      <c r="AV768" s="69">
        <f t="shared" ref="AV768:AW768" si="4081">AV$142/AV742</f>
        <v>0.71544716736536607</v>
      </c>
      <c r="AW768" s="69">
        <f t="shared" si="4081"/>
        <v>0.89294004317383258</v>
      </c>
      <c r="AX768" s="69">
        <f t="shared" ref="AX768" si="4082">AX$142/AX742</f>
        <v>1.2457861572306936</v>
      </c>
      <c r="AY768" s="69">
        <f t="shared" ref="AY768:BI769" si="4083">AY$142/AY742</f>
        <v>1.0371031858057631</v>
      </c>
      <c r="AZ768" s="70">
        <f t="shared" si="4083"/>
        <v>1.1208666706659711</v>
      </c>
      <c r="BA768" s="69">
        <f t="shared" si="4083"/>
        <v>1.1311458496580971</v>
      </c>
      <c r="BB768" s="69">
        <f t="shared" si="4083"/>
        <v>1.1395385274974161</v>
      </c>
      <c r="BC768" s="69">
        <f t="shared" si="4083"/>
        <v>1.1483921510860799</v>
      </c>
      <c r="BD768" s="69">
        <f t="shared" si="4083"/>
        <v>1.1430814208249593</v>
      </c>
      <c r="BE768" s="69">
        <f t="shared" si="4083"/>
        <v>1.1475403016552976</v>
      </c>
      <c r="BF768" s="69">
        <f t="shared" si="4083"/>
        <v>1.1472008111836252</v>
      </c>
      <c r="BG768" s="69">
        <f t="shared" si="4083"/>
        <v>1.144816517351362</v>
      </c>
      <c r="BH768" s="69">
        <f t="shared" si="4083"/>
        <v>1.13972598471319</v>
      </c>
      <c r="BI768" s="69">
        <f t="shared" si="4083"/>
        <v>1.14996171319194</v>
      </c>
      <c r="BJ768" s="69">
        <f t="shared" ref="BJ768:BK768" si="4084">BJ$142/BJ742</f>
        <v>1.1667212237996201</v>
      </c>
      <c r="BK768" s="69">
        <f t="shared" si="4084"/>
        <v>1.1787978638389032</v>
      </c>
      <c r="BL768" s="69">
        <f t="shared" ref="BL768:BM768" si="4085">BL$142/BL742</f>
        <v>1.1978782841199427</v>
      </c>
      <c r="BM768" s="69">
        <f t="shared" si="4085"/>
        <v>1.2172286564845392</v>
      </c>
      <c r="BN768" s="69">
        <f t="shared" ref="BN768:BO768" si="4086">BN$142/BN742</f>
        <v>1.2435161920133209</v>
      </c>
      <c r="BO768" s="69">
        <f t="shared" si="4086"/>
        <v>1.2709919244646177</v>
      </c>
      <c r="BP768" s="69">
        <f t="shared" ref="BP768:BQ768" si="4087">BP$142/BP742</f>
        <v>1.3008597409058738</v>
      </c>
      <c r="BQ768" s="69">
        <f t="shared" si="4087"/>
        <v>1.3320682199710325</v>
      </c>
      <c r="BR768" s="69"/>
      <c r="BS768" s="69"/>
      <c r="BT768" s="69"/>
      <c r="BU768" s="69"/>
      <c r="BV768" s="69"/>
      <c r="BW768" s="69"/>
      <c r="BX768" s="69"/>
      <c r="BY768" s="69"/>
      <c r="BZ768" s="69"/>
      <c r="CA768" s="69"/>
      <c r="CB768" s="69"/>
      <c r="CC768" s="69"/>
      <c r="CD768" s="69"/>
      <c r="CE768" s="69"/>
      <c r="CF768" s="69"/>
      <c r="CG768" s="69"/>
      <c r="CH768" s="69"/>
      <c r="CI768" s="69"/>
      <c r="CJ768" s="69"/>
      <c r="CK768" s="69"/>
      <c r="CL768" s="69"/>
      <c r="CM768" s="69"/>
      <c r="CN768" s="69"/>
      <c r="CO768" s="69"/>
      <c r="CP768" s="69"/>
      <c r="CQ768" s="69"/>
      <c r="CR768" s="69"/>
      <c r="CS768" s="69"/>
      <c r="CT768" s="69"/>
      <c r="CU768" s="69"/>
      <c r="CV768" s="69"/>
      <c r="CW768" s="69">
        <f t="shared" ref="CW768:DD769" si="4088">CW$142/CW742</f>
        <v>0.94842050901680208</v>
      </c>
      <c r="CX768" s="69">
        <f t="shared" si="4088"/>
        <v>0.88690071648500468</v>
      </c>
      <c r="CY768" s="69">
        <f t="shared" si="4088"/>
        <v>0.89294004317383258</v>
      </c>
      <c r="CZ768" s="70">
        <f t="shared" si="4088"/>
        <v>1.0371031858057631</v>
      </c>
      <c r="DA768" s="69">
        <f t="shared" si="4088"/>
        <v>1.1311458496580968</v>
      </c>
      <c r="DB768" s="69">
        <f t="shared" si="4088"/>
        <v>1.1483921510860795</v>
      </c>
      <c r="DC768" s="69">
        <f t="shared" si="4088"/>
        <v>1.1475403016552976</v>
      </c>
      <c r="DD768" s="69">
        <f t="shared" si="4088"/>
        <v>1.144816517351362</v>
      </c>
      <c r="DE768" s="69">
        <f t="shared" ref="DE768:DG769" si="4089">DE$142/DE742</f>
        <v>1.14996171319194</v>
      </c>
      <c r="DF768" s="69">
        <f t="shared" si="4089"/>
        <v>1.1787978638389032</v>
      </c>
      <c r="DG768" s="69">
        <f t="shared" si="4089"/>
        <v>1.2172286564845392</v>
      </c>
      <c r="DH768" s="69">
        <f t="shared" ref="DH768:DI768" si="4090">DH$142/DH742</f>
        <v>1.270991924464618</v>
      </c>
      <c r="DI768" s="69">
        <f t="shared" si="4090"/>
        <v>1.3320682199710328</v>
      </c>
    </row>
    <row r="769" spans="1:113" s="71" customFormat="1" ht="12" hidden="1" outlineLevel="1">
      <c r="A769" s="1" t="s">
        <v>973</v>
      </c>
      <c r="B769" s="71" t="s">
        <v>585</v>
      </c>
      <c r="C769" s="69"/>
      <c r="D769" s="69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9"/>
      <c r="U769" s="69"/>
      <c r="V769" s="69"/>
      <c r="W769" s="69"/>
      <c r="X769" s="69"/>
      <c r="Y769" s="69"/>
      <c r="Z769" s="69"/>
      <c r="AA769" s="69"/>
      <c r="AB769" s="69"/>
      <c r="AC769" s="69"/>
      <c r="AD769" s="69"/>
      <c r="AE769" s="69"/>
      <c r="AF769" s="69"/>
      <c r="AG769" s="69"/>
      <c r="AH769" s="69"/>
      <c r="AI769" s="69"/>
      <c r="AJ769" s="69"/>
      <c r="AK769" s="69"/>
      <c r="AL769" s="69"/>
      <c r="AM769" s="69"/>
      <c r="AN769" s="69"/>
      <c r="AO769" s="69"/>
      <c r="AP769" s="69"/>
      <c r="AQ769" s="69"/>
      <c r="AR769" s="69">
        <f t="shared" ref="AR769:AS769" si="4091">AR$142/AR743</f>
        <v>1.7090496258455505</v>
      </c>
      <c r="AS769" s="69">
        <f t="shared" si="4091"/>
        <v>0.96476784977187136</v>
      </c>
      <c r="AT769" s="69">
        <f t="shared" ref="AT769:AU769" si="4092">AT$142/AT743</f>
        <v>1.0381387893160878</v>
      </c>
      <c r="AU769" s="69">
        <f t="shared" si="4092"/>
        <v>0.91050948590492087</v>
      </c>
      <c r="AV769" s="69">
        <f t="shared" ref="AV769:AW769" si="4093">AV$142/AV743</f>
        <v>0.73683217070740625</v>
      </c>
      <c r="AW769" s="69">
        <f t="shared" si="4093"/>
        <v>0.92137050071193138</v>
      </c>
      <c r="AX769" s="69">
        <f t="shared" ref="AX769" si="4094">AX$142/AX743</f>
        <v>1.2851367538500571</v>
      </c>
      <c r="AY769" s="69">
        <f t="shared" si="4083"/>
        <v>1.0672879572762219</v>
      </c>
      <c r="AZ769" s="70">
        <f t="shared" si="4083"/>
        <v>1.1503368430789365</v>
      </c>
      <c r="BA769" s="69">
        <f t="shared" si="4083"/>
        <v>1.1596410737614764</v>
      </c>
      <c r="BB769" s="69">
        <f t="shared" si="4083"/>
        <v>1.1669956046567245</v>
      </c>
      <c r="BC769" s="69">
        <f t="shared" si="4083"/>
        <v>1.1748687270229425</v>
      </c>
      <c r="BD769" s="69">
        <f t="shared" si="4083"/>
        <v>1.1664892759033663</v>
      </c>
      <c r="BE769" s="69">
        <f t="shared" si="4083"/>
        <v>1.1699410127883874</v>
      </c>
      <c r="BF769" s="69">
        <f t="shared" si="4083"/>
        <v>1.1684581398053069</v>
      </c>
      <c r="BG769" s="69">
        <f t="shared" si="4083"/>
        <v>1.1649173134903505</v>
      </c>
      <c r="BH769" s="69">
        <f t="shared" si="4083"/>
        <v>1.1586432629906049</v>
      </c>
      <c r="BI769" s="69">
        <f t="shared" si="4083"/>
        <v>1.1682534568856091</v>
      </c>
      <c r="BJ769" s="69">
        <f t="shared" ref="BJ769:BK769" si="4095">BJ$142/BJ743</f>
        <v>1.1846067675729774</v>
      </c>
      <c r="BK769" s="69">
        <f t="shared" si="4095"/>
        <v>1.1961402347190235</v>
      </c>
      <c r="BL769" s="69">
        <f t="shared" ref="BL769:BM769" si="4096">BL$142/BL743</f>
        <v>1.2148905859242292</v>
      </c>
      <c r="BM769" s="69">
        <f t="shared" si="4096"/>
        <v>1.2339163882386794</v>
      </c>
      <c r="BN769" s="69">
        <f t="shared" ref="BN769:BO769" si="4097">BN$142/BN743</f>
        <v>1.260062809893046</v>
      </c>
      <c r="BO769" s="69">
        <f t="shared" si="4097"/>
        <v>1.2874149484600419</v>
      </c>
      <c r="BP769" s="69">
        <f t="shared" ref="BP769:BQ769" si="4098">BP$142/BP743</f>
        <v>1.317205381595975</v>
      </c>
      <c r="BQ769" s="69">
        <f t="shared" si="4098"/>
        <v>1.3483527094231282</v>
      </c>
      <c r="BR769" s="69"/>
      <c r="BS769" s="69"/>
      <c r="BT769" s="69"/>
      <c r="BU769" s="69"/>
      <c r="BV769" s="69"/>
      <c r="BW769" s="69"/>
      <c r="BX769" s="69"/>
      <c r="BY769" s="69"/>
      <c r="BZ769" s="69"/>
      <c r="CA769" s="69"/>
      <c r="CB769" s="69"/>
      <c r="CC769" s="69"/>
      <c r="CD769" s="69"/>
      <c r="CE769" s="69"/>
      <c r="CF769" s="69"/>
      <c r="CG769" s="69"/>
      <c r="CH769" s="69"/>
      <c r="CI769" s="69"/>
      <c r="CJ769" s="69"/>
      <c r="CK769" s="69"/>
      <c r="CL769" s="69"/>
      <c r="CM769" s="69"/>
      <c r="CN769" s="69"/>
      <c r="CO769" s="69"/>
      <c r="CP769" s="69"/>
      <c r="CQ769" s="69"/>
      <c r="CR769" s="69"/>
      <c r="CS769" s="69"/>
      <c r="CT769" s="69"/>
      <c r="CU769" s="69"/>
      <c r="CV769" s="69"/>
      <c r="CW769" s="69">
        <f t="shared" si="4088"/>
        <v>0.96476784977187147</v>
      </c>
      <c r="CX769" s="69">
        <f t="shared" si="4088"/>
        <v>0.91050948590492087</v>
      </c>
      <c r="CY769" s="69">
        <f t="shared" si="4088"/>
        <v>0.92137050071193138</v>
      </c>
      <c r="CZ769" s="70">
        <f t="shared" si="4088"/>
        <v>1.0672879572762219</v>
      </c>
      <c r="DA769" s="69">
        <f t="shared" si="4088"/>
        <v>1.1596410737614762</v>
      </c>
      <c r="DB769" s="69">
        <f t="shared" si="4088"/>
        <v>1.1748687270229423</v>
      </c>
      <c r="DC769" s="69">
        <f t="shared" si="4088"/>
        <v>1.1699410127883874</v>
      </c>
      <c r="DD769" s="69">
        <f t="shared" si="4088"/>
        <v>1.1649173134903505</v>
      </c>
      <c r="DE769" s="69">
        <f t="shared" si="4089"/>
        <v>1.1682534568856091</v>
      </c>
      <c r="DF769" s="69">
        <f t="shared" si="4089"/>
        <v>1.1961402347190235</v>
      </c>
      <c r="DG769" s="69">
        <f t="shared" si="4089"/>
        <v>1.2339163882386794</v>
      </c>
      <c r="DH769" s="69">
        <f t="shared" ref="DH769:DI769" si="4099">DH$142/DH743</f>
        <v>1.2874149484600421</v>
      </c>
      <c r="DI769" s="69">
        <f t="shared" si="4099"/>
        <v>1.3483527094231285</v>
      </c>
    </row>
    <row r="770" spans="1:113" ht="12" hidden="1" outlineLevel="2">
      <c r="A770" s="1" t="s">
        <v>974</v>
      </c>
      <c r="B770" s="19" t="s">
        <v>801</v>
      </c>
      <c r="DC770" s="19"/>
      <c r="DD770" s="19"/>
      <c r="DE770" s="19"/>
      <c r="DF770" s="19"/>
      <c r="DG770" s="19"/>
      <c r="DH770" s="19"/>
      <c r="DI770" s="19"/>
    </row>
    <row r="771" spans="1:113" ht="12" hidden="1" outlineLevel="2">
      <c r="A771" s="1" t="s">
        <v>28</v>
      </c>
      <c r="B771" s="19" t="s">
        <v>801</v>
      </c>
      <c r="DC771" s="19"/>
      <c r="DD771" s="19"/>
      <c r="DE771" s="19"/>
      <c r="DF771" s="19"/>
      <c r="DG771" s="19"/>
      <c r="DH771" s="19"/>
      <c r="DI771" s="19"/>
    </row>
    <row r="772" spans="1:113" ht="12" hidden="1" outlineLevel="2">
      <c r="A772" s="1" t="s">
        <v>29</v>
      </c>
      <c r="B772" s="19" t="s">
        <v>801</v>
      </c>
      <c r="DC772" s="19"/>
      <c r="DD772" s="19"/>
      <c r="DE772" s="19"/>
      <c r="DF772" s="19"/>
      <c r="DG772" s="19"/>
      <c r="DH772" s="19"/>
      <c r="DI772" s="19"/>
    </row>
    <row r="773" spans="1:113" ht="12" hidden="1" outlineLevel="2">
      <c r="A773" s="1" t="s">
        <v>30</v>
      </c>
      <c r="B773" s="19" t="s">
        <v>801</v>
      </c>
      <c r="DC773" s="19"/>
      <c r="DD773" s="19"/>
      <c r="DE773" s="19"/>
      <c r="DF773" s="19"/>
      <c r="DG773" s="19"/>
      <c r="DH773" s="19"/>
      <c r="DI773" s="19"/>
    </row>
    <row r="774" spans="1:113" ht="12" hidden="1" outlineLevel="2">
      <c r="A774" s="1" t="s">
        <v>31</v>
      </c>
      <c r="B774" s="19" t="s">
        <v>801</v>
      </c>
      <c r="DC774" s="19"/>
      <c r="DD774" s="19"/>
      <c r="DE774" s="19"/>
      <c r="DF774" s="19"/>
      <c r="DG774" s="19"/>
      <c r="DH774" s="19"/>
      <c r="DI774" s="19"/>
    </row>
    <row r="775" spans="1:113" ht="12" hidden="1" outlineLevel="2">
      <c r="A775" s="1" t="s">
        <v>32</v>
      </c>
      <c r="B775" s="19" t="s">
        <v>801</v>
      </c>
      <c r="DC775" s="19"/>
      <c r="DD775" s="19"/>
      <c r="DE775" s="19"/>
      <c r="DF775" s="19"/>
      <c r="DG775" s="19"/>
      <c r="DH775" s="19"/>
      <c r="DI775" s="19"/>
    </row>
    <row r="776" spans="1:113" ht="12" hidden="1" outlineLevel="2">
      <c r="A776" s="1" t="s">
        <v>33</v>
      </c>
      <c r="B776" s="19" t="s">
        <v>801</v>
      </c>
      <c r="DC776" s="19"/>
      <c r="DD776" s="19"/>
      <c r="DE776" s="19"/>
      <c r="DF776" s="19"/>
      <c r="DG776" s="19"/>
      <c r="DH776" s="19"/>
      <c r="DI776" s="19"/>
    </row>
    <row r="777" spans="1:113" ht="12" hidden="1" outlineLevel="2">
      <c r="A777" s="1" t="s">
        <v>40</v>
      </c>
      <c r="B777" s="19" t="s">
        <v>801</v>
      </c>
      <c r="DC777" s="19"/>
      <c r="DD777" s="19"/>
      <c r="DE777" s="19"/>
      <c r="DF777" s="19"/>
      <c r="DG777" s="19"/>
      <c r="DH777" s="19"/>
      <c r="DI777" s="19"/>
    </row>
    <row r="778" spans="1:113" ht="12" hidden="1" outlineLevel="2">
      <c r="A778" s="1" t="s">
        <v>41</v>
      </c>
      <c r="B778" s="19" t="s">
        <v>801</v>
      </c>
      <c r="DC778" s="19"/>
      <c r="DD778" s="19"/>
      <c r="DE778" s="19"/>
      <c r="DF778" s="19"/>
      <c r="DG778" s="19"/>
      <c r="DH778" s="19"/>
      <c r="DI778" s="19"/>
    </row>
    <row r="779" spans="1:113" ht="12" hidden="1" outlineLevel="2">
      <c r="A779" s="1" t="s">
        <v>42</v>
      </c>
      <c r="B779" s="19" t="s">
        <v>801</v>
      </c>
      <c r="DC779" s="19"/>
      <c r="DD779" s="19"/>
      <c r="DE779" s="19"/>
      <c r="DF779" s="19"/>
      <c r="DG779" s="19"/>
      <c r="DH779" s="19"/>
      <c r="DI779" s="19"/>
    </row>
    <row r="780" spans="1:113" ht="12" hidden="1" outlineLevel="1" collapsed="1">
      <c r="AJ780" s="394"/>
      <c r="AK780" s="394"/>
      <c r="AL780" s="394"/>
      <c r="AM780" s="394"/>
      <c r="AN780" s="394"/>
      <c r="AO780" s="394"/>
      <c r="AP780" s="285"/>
      <c r="AQ780" s="285"/>
      <c r="AR780" s="285"/>
      <c r="AS780" s="285"/>
      <c r="AT780" s="285"/>
      <c r="AU780" s="285"/>
      <c r="AV780" s="285"/>
      <c r="AW780" s="285"/>
      <c r="AX780" s="285"/>
      <c r="CT780" s="285"/>
      <c r="CU780" s="285"/>
      <c r="CV780" s="285"/>
      <c r="CW780" s="285"/>
      <c r="CX780" s="285"/>
      <c r="CY780" s="285"/>
      <c r="DC780" s="19"/>
      <c r="DD780" s="19"/>
      <c r="DE780" s="19"/>
      <c r="DF780" s="19"/>
      <c r="DG780" s="19"/>
      <c r="DH780" s="19"/>
      <c r="DI780" s="19"/>
    </row>
    <row r="781" spans="1:113" s="24" customFormat="1" ht="12" hidden="1" outlineLevel="1">
      <c r="A781" s="1"/>
      <c r="B781" s="24" t="s">
        <v>721</v>
      </c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21"/>
      <c r="AG781" s="21"/>
      <c r="AH781" s="21"/>
      <c r="AI781" s="21"/>
      <c r="AJ781" s="13"/>
      <c r="AK781" s="394"/>
      <c r="AL781" s="394"/>
      <c r="AM781" s="394"/>
      <c r="AN781" s="394"/>
      <c r="AO781" s="394"/>
      <c r="AP781" s="285"/>
      <c r="AQ781" s="285"/>
      <c r="AR781" s="285"/>
      <c r="AS781" s="285"/>
      <c r="AT781" s="285"/>
      <c r="AU781" s="285"/>
      <c r="AV781" s="285"/>
      <c r="AW781" s="285"/>
      <c r="AX781" s="285"/>
      <c r="AY781" s="13"/>
      <c r="AZ781" s="2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13"/>
      <c r="CI781" s="13"/>
      <c r="CJ781" s="13"/>
      <c r="CK781" s="13"/>
      <c r="CL781" s="13"/>
      <c r="CM781" s="13"/>
      <c r="CN781" s="13"/>
      <c r="CO781" s="13"/>
      <c r="CP781" s="13"/>
      <c r="CQ781" s="13"/>
      <c r="CR781" s="21"/>
      <c r="CS781" s="21"/>
      <c r="CT781" s="285"/>
      <c r="CU781" s="285"/>
      <c r="CV781" s="285"/>
      <c r="CW781" s="285"/>
      <c r="CX781" s="285"/>
      <c r="CY781" s="285"/>
      <c r="CZ781" s="692"/>
      <c r="DA781" s="609"/>
      <c r="DB781" s="13"/>
    </row>
    <row r="782" spans="1:113" ht="12" hidden="1" outlineLevel="1">
      <c r="A782" s="1" t="s">
        <v>998</v>
      </c>
      <c r="B782" s="19" t="s">
        <v>722</v>
      </c>
      <c r="C782" s="408"/>
      <c r="D782" s="408"/>
      <c r="E782" s="408"/>
      <c r="F782" s="408"/>
      <c r="G782" s="408"/>
      <c r="H782" s="408"/>
      <c r="I782" s="408"/>
      <c r="J782" s="408"/>
      <c r="K782" s="408"/>
      <c r="L782" s="408"/>
      <c r="M782" s="408"/>
      <c r="N782" s="408"/>
      <c r="O782" s="408"/>
      <c r="P782" s="408"/>
      <c r="Q782" s="408"/>
      <c r="R782" s="408"/>
      <c r="S782" s="408"/>
      <c r="T782" s="394"/>
      <c r="U782" s="408"/>
      <c r="V782" s="408"/>
      <c r="W782" s="408"/>
      <c r="X782" s="408"/>
      <c r="Y782" s="394"/>
      <c r="Z782" s="394"/>
      <c r="AA782" s="394"/>
      <c r="AB782" s="394"/>
      <c r="AC782" s="394"/>
      <c r="AD782" s="394"/>
      <c r="AE782" s="394"/>
      <c r="AF782" s="394"/>
      <c r="AG782" s="394"/>
      <c r="AH782" s="394"/>
      <c r="AI782" s="394"/>
      <c r="AJ782" s="394"/>
      <c r="AK782" s="394"/>
      <c r="AL782" s="394"/>
      <c r="AM782" s="394"/>
      <c r="AN782" s="394"/>
      <c r="AO782" s="394"/>
      <c r="AP782" s="285">
        <f t="shared" ref="AP782:BI782" si="4100">AP525/AP701*AP$5</f>
        <v>9.0106853352984531E-2</v>
      </c>
      <c r="AQ782" s="285">
        <f t="shared" ref="AQ782:AR782" si="4101">AQ525/AQ701*AQ$5</f>
        <v>4.05020265613868E-3</v>
      </c>
      <c r="AR782" s="285">
        <f t="shared" si="4101"/>
        <v>-2.7088634435962659E-2</v>
      </c>
      <c r="AS782" s="285">
        <f t="shared" ref="AS782:AT782" si="4102">AS525/AS701*AS$5</f>
        <v>1.2162371226035239E-2</v>
      </c>
      <c r="AT782" s="285">
        <f t="shared" si="4102"/>
        <v>5.0466112081380007E-2</v>
      </c>
      <c r="AU782" s="285">
        <f t="shared" ref="AU782:AV782" si="4103">AU525/AU701*AU$5</f>
        <v>5.123857768678397E-2</v>
      </c>
      <c r="AV782" s="285">
        <f t="shared" si="4103"/>
        <v>6.0384316770186339E-2</v>
      </c>
      <c r="AW782" s="285">
        <f t="shared" ref="AW782:AX782" si="4104">AW525/AW701*AW$5</f>
        <v>3.0878909957604801E-2</v>
      </c>
      <c r="AX782" s="285">
        <f t="shared" si="4104"/>
        <v>5.0771684714588892E-2</v>
      </c>
      <c r="AY782" s="285">
        <f t="shared" si="4100"/>
        <v>5.5373653377434447E-2</v>
      </c>
      <c r="AZ782" s="286">
        <f t="shared" si="4100"/>
        <v>6.9446738495159158E-2</v>
      </c>
      <c r="BA782" s="162">
        <f t="shared" si="4100"/>
        <v>8.3826559616330815E-2</v>
      </c>
      <c r="BB782" s="162">
        <f t="shared" si="4100"/>
        <v>8.58932048389284E-2</v>
      </c>
      <c r="BC782" s="162">
        <f t="shared" si="4100"/>
        <v>8.6619047731766374E-2</v>
      </c>
      <c r="BD782" s="162">
        <f t="shared" si="4100"/>
        <v>9.239761056357404E-2</v>
      </c>
      <c r="BE782" s="162">
        <f t="shared" si="4100"/>
        <v>9.4087233077100985E-2</v>
      </c>
      <c r="BF782" s="162">
        <f t="shared" si="4100"/>
        <v>0.10109057028029775</v>
      </c>
      <c r="BG782" s="162">
        <f t="shared" si="4100"/>
        <v>0.10635190603983116</v>
      </c>
      <c r="BH782" s="162">
        <f t="shared" si="4100"/>
        <v>0.10931379564909355</v>
      </c>
      <c r="BI782" s="162">
        <f t="shared" si="4100"/>
        <v>0.11018729104183801</v>
      </c>
      <c r="BJ782" s="162">
        <f t="shared" ref="BJ782:BK782" si="4105">BJ525/BJ701*BJ$5</f>
        <v>0.11286857218251112</v>
      </c>
      <c r="BK782" s="162">
        <f t="shared" si="4105"/>
        <v>0.11353589539198745</v>
      </c>
      <c r="BL782" s="162">
        <f t="shared" ref="BL782:BM782" si="4106">BL525/BL701*BL$5</f>
        <v>0.1146340271179105</v>
      </c>
      <c r="BM782" s="162">
        <f t="shared" si="4106"/>
        <v>0.11437880208938224</v>
      </c>
      <c r="BN782" s="162">
        <f t="shared" ref="BN782:BO782" si="4107">BN525/BN701*BN$5</f>
        <v>0.115078638158983</v>
      </c>
      <c r="BO782" s="162">
        <f t="shared" si="4107"/>
        <v>0.11434160523044366</v>
      </c>
      <c r="BP782" s="162">
        <f t="shared" ref="BP782:BQ782" si="4108">BP525/BP701*BP$5</f>
        <v>0.11492877110123853</v>
      </c>
      <c r="BQ782" s="162">
        <f t="shared" si="4108"/>
        <v>0.11421401296491067</v>
      </c>
      <c r="BR782" s="162"/>
      <c r="BS782" s="162"/>
      <c r="BT782" s="162"/>
      <c r="BU782" s="162"/>
      <c r="BV782" s="162"/>
      <c r="BW782" s="162"/>
      <c r="BX782" s="162"/>
      <c r="BY782" s="162"/>
      <c r="BZ782" s="162"/>
      <c r="CA782" s="162"/>
      <c r="CB782" s="162"/>
      <c r="CC782" s="162"/>
      <c r="CD782" s="162"/>
      <c r="CE782" s="162"/>
      <c r="CF782" s="162"/>
      <c r="CG782" s="162"/>
      <c r="CH782" s="162"/>
      <c r="CI782" s="162"/>
      <c r="CJ782" s="162"/>
      <c r="CK782" s="162"/>
      <c r="CL782" s="162"/>
      <c r="CM782" s="285"/>
      <c r="CN782" s="285"/>
      <c r="CO782" s="285"/>
      <c r="CP782" s="285"/>
      <c r="CQ782" s="285"/>
      <c r="CR782" s="285"/>
      <c r="CS782" s="285"/>
      <c r="CT782" s="285"/>
      <c r="CU782" s="285"/>
      <c r="CV782" s="285">
        <f t="shared" ref="CV782:DD782" si="4109">CV525/CV701*CV$5</f>
        <v>3.7080103359173132E-2</v>
      </c>
      <c r="CW782" s="285">
        <f t="shared" si="4109"/>
        <v>-5.9922178988326812E-3</v>
      </c>
      <c r="CX782" s="285">
        <f t="shared" si="4109"/>
        <v>5.0831024930747905E-2</v>
      </c>
      <c r="CY782" s="285">
        <f t="shared" si="4109"/>
        <v>4.5507812500000022E-2</v>
      </c>
      <c r="CZ782" s="286">
        <f t="shared" si="4109"/>
        <v>5.3079649771260666E-2</v>
      </c>
      <c r="DA782" s="162">
        <f t="shared" si="4109"/>
        <v>7.6673445890296926E-2</v>
      </c>
      <c r="DB782" s="162">
        <f t="shared" si="4109"/>
        <v>8.6230333594489547E-2</v>
      </c>
      <c r="DC782" s="162">
        <f t="shared" si="4109"/>
        <v>9.3230835767189879E-2</v>
      </c>
      <c r="DD782" s="162">
        <f t="shared" si="4109"/>
        <v>0.1037236951599919</v>
      </c>
      <c r="DE782" s="162">
        <f>DE525/DE701*DE$5</f>
        <v>0.10971386198973047</v>
      </c>
      <c r="DF782" s="162">
        <f>DF525/DF701*DF$5</f>
        <v>0.11317011400714105</v>
      </c>
      <c r="DG782" s="162">
        <f>DG525/DG701*DG$5</f>
        <v>0.11448313053936457</v>
      </c>
      <c r="DH782" s="162">
        <f>DH525/DH701*DH$5</f>
        <v>0.11468023135058975</v>
      </c>
      <c r="DI782" s="162">
        <f>DI525/DI701*DI$5</f>
        <v>0.1145436855502599</v>
      </c>
    </row>
    <row r="783" spans="1:113" ht="12" hidden="1" outlineLevel="1">
      <c r="A783" s="1" t="s">
        <v>999</v>
      </c>
      <c r="B783" s="19" t="s">
        <v>592</v>
      </c>
      <c r="C783" s="408"/>
      <c r="D783" s="408"/>
      <c r="E783" s="408"/>
      <c r="F783" s="408"/>
      <c r="G783" s="408"/>
      <c r="H783" s="408"/>
      <c r="I783" s="408"/>
      <c r="J783" s="408"/>
      <c r="K783" s="408"/>
      <c r="L783" s="408"/>
      <c r="M783" s="408"/>
      <c r="N783" s="408"/>
      <c r="O783" s="408"/>
      <c r="P783" s="408"/>
      <c r="Q783" s="408"/>
      <c r="R783" s="408"/>
      <c r="S783" s="408"/>
      <c r="T783" s="394"/>
      <c r="U783" s="408"/>
      <c r="V783" s="408"/>
      <c r="W783" s="408"/>
      <c r="X783" s="408"/>
      <c r="Y783" s="394"/>
      <c r="Z783" s="394"/>
      <c r="AA783" s="394"/>
      <c r="AB783" s="394"/>
      <c r="AC783" s="394"/>
      <c r="AD783" s="394"/>
      <c r="AE783" s="394"/>
      <c r="AF783" s="394"/>
      <c r="AG783" s="394"/>
      <c r="AH783" s="394"/>
      <c r="AI783" s="394"/>
      <c r="AJ783" s="394"/>
      <c r="AK783" s="394"/>
      <c r="AL783" s="394"/>
      <c r="AM783" s="394"/>
      <c r="AN783" s="394"/>
      <c r="AO783" s="394"/>
      <c r="AP783" s="285">
        <f t="shared" ref="AP783:BI783" si="4110">AP515/AP701*AP$5</f>
        <v>-2.1854274134119365E-2</v>
      </c>
      <c r="AQ783" s="285">
        <f t="shared" ref="AQ783:AR783" si="4111">AQ515/AQ701*AQ$5</f>
        <v>2.7711912910422572E-3</v>
      </c>
      <c r="AR783" s="285">
        <f t="shared" si="4111"/>
        <v>1.1777667146070884E-3</v>
      </c>
      <c r="AS783" s="285">
        <f t="shared" ref="AS783:AT783" si="4112">AS515/AS701*AS$5</f>
        <v>1.2162371226035239E-2</v>
      </c>
      <c r="AT783" s="285">
        <f t="shared" si="4112"/>
        <v>5.0466112081380007E-2</v>
      </c>
      <c r="AU783" s="285">
        <f t="shared" ref="AU783:AV783" si="4113">AU515/AU701*AU$5</f>
        <v>5.123857768678397E-2</v>
      </c>
      <c r="AV783" s="285">
        <f t="shared" si="4113"/>
        <v>6.0384316770186339E-2</v>
      </c>
      <c r="AW783" s="285">
        <f t="shared" ref="AW783:AX783" si="4114">AW515/AW701*AW$5</f>
        <v>3.0878909957604801E-2</v>
      </c>
      <c r="AX783" s="285">
        <f t="shared" si="4114"/>
        <v>5.0771684714588892E-2</v>
      </c>
      <c r="AY783" s="285">
        <f t="shared" si="4110"/>
        <v>5.5373653377434447E-2</v>
      </c>
      <c r="AZ783" s="286">
        <f t="shared" si="4110"/>
        <v>6.9446738495159158E-2</v>
      </c>
      <c r="BA783" s="162">
        <f t="shared" si="4110"/>
        <v>8.3826559616330815E-2</v>
      </c>
      <c r="BB783" s="162">
        <f t="shared" si="4110"/>
        <v>8.58932048389284E-2</v>
      </c>
      <c r="BC783" s="162">
        <f t="shared" si="4110"/>
        <v>8.6619047731766374E-2</v>
      </c>
      <c r="BD783" s="162">
        <f t="shared" si="4110"/>
        <v>9.239761056357404E-2</v>
      </c>
      <c r="BE783" s="162">
        <f t="shared" si="4110"/>
        <v>9.4087233077100985E-2</v>
      </c>
      <c r="BF783" s="162">
        <f t="shared" si="4110"/>
        <v>0.10109057028029775</v>
      </c>
      <c r="BG783" s="162">
        <f t="shared" si="4110"/>
        <v>0.10635190603983116</v>
      </c>
      <c r="BH783" s="162">
        <f t="shared" si="4110"/>
        <v>0.10931379564909355</v>
      </c>
      <c r="BI783" s="162">
        <f t="shared" si="4110"/>
        <v>0.11018729104183801</v>
      </c>
      <c r="BJ783" s="162">
        <f t="shared" ref="BJ783:BK783" si="4115">BJ515/BJ701*BJ$5</f>
        <v>0.11286857218251112</v>
      </c>
      <c r="BK783" s="162">
        <f t="shared" si="4115"/>
        <v>0.11353589539198745</v>
      </c>
      <c r="BL783" s="162">
        <f t="shared" ref="BL783:BM783" si="4116">BL515/BL701*BL$5</f>
        <v>0.1146340271179105</v>
      </c>
      <c r="BM783" s="162">
        <f t="shared" si="4116"/>
        <v>0.11437880208938224</v>
      </c>
      <c r="BN783" s="162">
        <f t="shared" ref="BN783:BO783" si="4117">BN515/BN701*BN$5</f>
        <v>0.115078638158983</v>
      </c>
      <c r="BO783" s="162">
        <f t="shared" si="4117"/>
        <v>0.11434160523044366</v>
      </c>
      <c r="BP783" s="162">
        <f t="shared" ref="BP783:BQ783" si="4118">BP515/BP701*BP$5</f>
        <v>0.11492877110123853</v>
      </c>
      <c r="BQ783" s="162">
        <f t="shared" si="4118"/>
        <v>0.11421401296491067</v>
      </c>
      <c r="BR783" s="162"/>
      <c r="BS783" s="162"/>
      <c r="BT783" s="162"/>
      <c r="BU783" s="162"/>
      <c r="BV783" s="162"/>
      <c r="BW783" s="162"/>
      <c r="BX783" s="162"/>
      <c r="BY783" s="162"/>
      <c r="BZ783" s="162"/>
      <c r="CA783" s="162"/>
      <c r="CB783" s="162"/>
      <c r="CC783" s="162"/>
      <c r="CD783" s="162"/>
      <c r="CE783" s="162"/>
      <c r="CF783" s="162"/>
      <c r="CG783" s="162"/>
      <c r="CH783" s="162"/>
      <c r="CI783" s="162"/>
      <c r="CJ783" s="162"/>
      <c r="CK783" s="162"/>
      <c r="CL783" s="162"/>
      <c r="CM783" s="285"/>
      <c r="CN783" s="285"/>
      <c r="CO783" s="285"/>
      <c r="CP783" s="285"/>
      <c r="CQ783" s="285"/>
      <c r="CR783" s="285"/>
      <c r="CS783" s="285"/>
      <c r="CT783" s="285"/>
      <c r="CU783" s="285"/>
      <c r="CV783" s="285">
        <f t="shared" ref="CV783:DD783" si="4119">CV515/CV701*CV$5</f>
        <v>-6.7183462532299709E-3</v>
      </c>
      <c r="CW783" s="285">
        <f t="shared" si="4119"/>
        <v>7.0817120622568104E-3</v>
      </c>
      <c r="CX783" s="285">
        <f t="shared" si="4119"/>
        <v>5.0831024930747926E-2</v>
      </c>
      <c r="CY783" s="285">
        <f t="shared" si="4119"/>
        <v>4.5507812499999988E-2</v>
      </c>
      <c r="CZ783" s="286">
        <f t="shared" si="4119"/>
        <v>5.3079649771260694E-2</v>
      </c>
      <c r="DA783" s="162">
        <f t="shared" si="4119"/>
        <v>7.6673445890296898E-2</v>
      </c>
      <c r="DB783" s="162">
        <f t="shared" si="4119"/>
        <v>8.6230333594489603E-2</v>
      </c>
      <c r="DC783" s="162">
        <f t="shared" si="4119"/>
        <v>9.3230835767189907E-2</v>
      </c>
      <c r="DD783" s="162">
        <f t="shared" si="4119"/>
        <v>0.10372369515999191</v>
      </c>
      <c r="DE783" s="162">
        <f>DE515/DE701*DE$5</f>
        <v>0.10971386198973045</v>
      </c>
      <c r="DF783" s="162">
        <f>DF515/DF701*DF$5</f>
        <v>0.11317011400714104</v>
      </c>
      <c r="DG783" s="162">
        <f>DG515/DG701*DG$5</f>
        <v>0.11448313053936458</v>
      </c>
      <c r="DH783" s="162">
        <f>DH515/DH701*DH$5</f>
        <v>0.1146802313505898</v>
      </c>
      <c r="DI783" s="162">
        <f>DI515/DI701*DI$5</f>
        <v>0.11454368555025989</v>
      </c>
    </row>
    <row r="784" spans="1:113" ht="12" hidden="1" outlineLevel="1">
      <c r="A784" s="1" t="s">
        <v>1112</v>
      </c>
      <c r="B784" s="19" t="s">
        <v>1113</v>
      </c>
      <c r="C784" s="408"/>
      <c r="D784" s="408"/>
      <c r="E784" s="408"/>
      <c r="F784" s="408"/>
      <c r="G784" s="408"/>
      <c r="H784" s="408"/>
      <c r="I784" s="408"/>
      <c r="J784" s="408"/>
      <c r="K784" s="408"/>
      <c r="L784" s="408"/>
      <c r="M784" s="408"/>
      <c r="N784" s="408"/>
      <c r="O784" s="408"/>
      <c r="P784" s="408"/>
      <c r="Q784" s="408"/>
      <c r="R784" s="408"/>
      <c r="S784" s="408"/>
      <c r="T784" s="408"/>
      <c r="U784" s="408"/>
      <c r="V784" s="408"/>
      <c r="W784" s="408"/>
      <c r="X784" s="408"/>
      <c r="Y784" s="394"/>
      <c r="Z784" s="394"/>
      <c r="AA784" s="394"/>
      <c r="AB784" s="394"/>
      <c r="AC784" s="394"/>
      <c r="AD784" s="394"/>
      <c r="AE784" s="394"/>
      <c r="AF784" s="394"/>
      <c r="AG784" s="394"/>
      <c r="AH784" s="394"/>
      <c r="AI784" s="394"/>
      <c r="AJ784" s="394"/>
      <c r="AK784" s="394"/>
      <c r="AL784" s="394"/>
      <c r="AM784" s="394"/>
      <c r="AN784" s="394"/>
      <c r="AO784" s="394"/>
      <c r="AP784" s="285">
        <f t="shared" ref="AP784:BI784" si="4120">(AP515-(AP595*AP80*(1-AP129))/AP$5)/(AP701-AP595)*AP$5</f>
        <v>-3.9365111070700197E-2</v>
      </c>
      <c r="AQ784" s="285">
        <f t="shared" ref="AQ784:AR784" si="4121">(AQ515-(AQ595*AQ80*(1-AQ129))/AQ$5)/(AQ701-AQ595)*AQ$5</f>
        <v>6.481206243828419E-3</v>
      </c>
      <c r="AR784" s="285">
        <f t="shared" si="4121"/>
        <v>2.4570940077029146E-3</v>
      </c>
      <c r="AS784" s="285">
        <f t="shared" ref="AS784:AT784" si="4122">(AS515-(AS595*AS80*(1-AS129))/AS$5)/(AS701-AS595)*AS$5</f>
        <v>1.8711533949486922E-2</v>
      </c>
      <c r="AT784" s="285">
        <f t="shared" si="4122"/>
        <v>6.4666840168694811E-2</v>
      </c>
      <c r="AU784" s="285">
        <f t="shared" ref="AU784:AV784" si="4123">(AU515-(AU595*AU80*(1-AU129))/AU$5)/(AU701-AU595)*AU$5</f>
        <v>6.2391745729119867E-2</v>
      </c>
      <c r="AV784" s="285">
        <f t="shared" si="4123"/>
        <v>7.2172432985566859E-2</v>
      </c>
      <c r="AW784" s="285">
        <f t="shared" ref="AW784:AX784" si="4124">(AW515-(AW595*AW80*(1-AW129))/AW$5)/(AW701-AW595)*AW$5</f>
        <v>3.1507814859319361E-2</v>
      </c>
      <c r="AX784" s="285">
        <f t="shared" si="4124"/>
        <v>5.4196889997590536E-2</v>
      </c>
      <c r="AY784" s="285">
        <f t="shared" si="4120"/>
        <v>5.8982508248945131E-2</v>
      </c>
      <c r="AZ784" s="286">
        <f t="shared" si="4120"/>
        <v>7.3291413932896024E-2</v>
      </c>
      <c r="BA784" s="162">
        <f t="shared" si="4120"/>
        <v>8.6096008179297689E-2</v>
      </c>
      <c r="BB784" s="162">
        <f t="shared" si="4120"/>
        <v>8.7062462938524279E-2</v>
      </c>
      <c r="BC784" s="162">
        <f t="shared" si="4120"/>
        <v>8.6497770447252584E-2</v>
      </c>
      <c r="BD784" s="162">
        <f t="shared" si="4120"/>
        <v>9.6014078944074835E-2</v>
      </c>
      <c r="BE784" s="162">
        <f t="shared" si="4120"/>
        <v>9.5900418461790926E-2</v>
      </c>
      <c r="BF784" s="162">
        <f t="shared" si="4120"/>
        <v>0.10241738760147044</v>
      </c>
      <c r="BG784" s="162">
        <f t="shared" si="4120"/>
        <v>0.10734343305410284</v>
      </c>
      <c r="BH784" s="162">
        <f t="shared" si="4120"/>
        <v>0.11137243653223799</v>
      </c>
      <c r="BI784" s="162">
        <f t="shared" si="4120"/>
        <v>0.11147052650245937</v>
      </c>
      <c r="BJ784" s="162">
        <f t="shared" ref="BJ784:BK784" si="4125">(BJ515-(BJ595*BJ80*(1-BJ129))/BJ$5)/(BJ701-BJ595)*BJ$5</f>
        <v>0.11425061602280766</v>
      </c>
      <c r="BK784" s="162">
        <f t="shared" si="4125"/>
        <v>0.11460319196648008</v>
      </c>
      <c r="BL784" s="162">
        <f t="shared" ref="BL784:BM784" si="4126">(BL515-(BL595*BL80*(1-BL129))/BL$5)/(BL701-BL595)*BL$5</f>
        <v>0.11631617282840118</v>
      </c>
      <c r="BM784" s="162">
        <f t="shared" si="4126"/>
        <v>0.11582001648688414</v>
      </c>
      <c r="BN784" s="162">
        <f t="shared" ref="BN784:BO784" si="4127">(BN515-(BN595*BN80*(1-BN129))/BN$5)/(BN701-BN595)*BN$5</f>
        <v>0.11701182825132116</v>
      </c>
      <c r="BO784" s="162">
        <f t="shared" si="4127"/>
        <v>0.11588444507519668</v>
      </c>
      <c r="BP784" s="162">
        <f t="shared" ref="BP784:BQ784" si="4128">(BP515-(BP595*BP80*(1-BP129))/BP$5)/(BP701-BP595)*BP$5</f>
        <v>0.11677027234597456</v>
      </c>
      <c r="BQ784" s="162">
        <f t="shared" si="4128"/>
        <v>0.11548870872697965</v>
      </c>
      <c r="BR784" s="162"/>
      <c r="BS784" s="162"/>
      <c r="BT784" s="162"/>
      <c r="BU784" s="162"/>
      <c r="BV784" s="162"/>
      <c r="BW784" s="162"/>
      <c r="BX784" s="162"/>
      <c r="BY784" s="162"/>
      <c r="BZ784" s="162"/>
      <c r="CA784" s="162"/>
      <c r="CB784" s="162"/>
      <c r="CC784" s="162"/>
      <c r="CD784" s="162"/>
      <c r="CE784" s="162"/>
      <c r="CF784" s="162"/>
      <c r="CG784" s="162"/>
      <c r="CH784" s="162"/>
      <c r="CI784" s="162"/>
      <c r="CJ784" s="162"/>
      <c r="CK784" s="162"/>
      <c r="CL784" s="162"/>
      <c r="CM784" s="285"/>
      <c r="CN784" s="285"/>
      <c r="CO784" s="285"/>
      <c r="CP784" s="285"/>
      <c r="CQ784" s="285"/>
      <c r="CR784" s="285"/>
      <c r="CS784" s="285"/>
      <c r="CT784" s="285">
        <f t="shared" ref="CT784:DD784" si="4129">(CT515-(CT595*CT80*(1-CT129))/CT$5)/(CT701-CT595)*CT$5</f>
        <v>0.18338894781985624</v>
      </c>
      <c r="CU784" s="285">
        <f t="shared" si="4129"/>
        <v>0.16984616764493246</v>
      </c>
      <c r="CV784" s="285">
        <f t="shared" si="4129"/>
        <v>-2.0625099415381199E-2</v>
      </c>
      <c r="CW784" s="285">
        <f t="shared" si="4129"/>
        <v>1.1913130590097338E-2</v>
      </c>
      <c r="CX784" s="285">
        <f t="shared" si="4129"/>
        <v>6.2812387194426417E-2</v>
      </c>
      <c r="CY784" s="285">
        <f t="shared" si="4129"/>
        <v>4.9624985700416457E-2</v>
      </c>
      <c r="CZ784" s="286">
        <f t="shared" si="4129"/>
        <v>5.6211532645001852E-2</v>
      </c>
      <c r="DA784" s="162">
        <f t="shared" si="4129"/>
        <v>7.8749386568440827E-2</v>
      </c>
      <c r="DB784" s="162">
        <f t="shared" si="4129"/>
        <v>8.6109791266231486E-2</v>
      </c>
      <c r="DC784" s="162">
        <f t="shared" si="4129"/>
        <v>9.5094668259877821E-2</v>
      </c>
      <c r="DD784" s="162">
        <f t="shared" si="4129"/>
        <v>0.10470769268291695</v>
      </c>
      <c r="DE784" s="162">
        <f>(DE515-(DE595*DE80*(1-DE129))/DE$5)/(DE701-DE595)*DE$5</f>
        <v>0.11102090659426818</v>
      </c>
      <c r="DF784" s="162">
        <f>(DF515-(DF595*DF80*(1-DF129))/DF$5)/(DF701-DF595)*DF$5</f>
        <v>0.11425343180827192</v>
      </c>
      <c r="DG784" s="162">
        <f>(DG515-(DG595*DG80*(1-DG129))/DG$5)/(DG701-DG595)*DG$5</f>
        <v>0.11595143897291847</v>
      </c>
      <c r="DH784" s="162">
        <f>(DH515-(DH595*DH80*(1-DH129))/DH$5)/(DH701-DH595)*DH$5</f>
        <v>0.11625188507719314</v>
      </c>
      <c r="DI784" s="162">
        <f>(DI515-(DI595*DI80*(1-DI129))/DI$5)/(DI701-DI595)*DI$5</f>
        <v>0.11584080930524446</v>
      </c>
    </row>
    <row r="785" spans="1:113" ht="12" hidden="1" outlineLevel="1">
      <c r="A785" s="1" t="s">
        <v>1000</v>
      </c>
      <c r="B785" s="19" t="s">
        <v>593</v>
      </c>
      <c r="C785" s="408"/>
      <c r="D785" s="408"/>
      <c r="E785" s="408"/>
      <c r="F785" s="408"/>
      <c r="G785" s="408"/>
      <c r="H785" s="408"/>
      <c r="I785" s="408"/>
      <c r="J785" s="408"/>
      <c r="K785" s="408"/>
      <c r="L785" s="408"/>
      <c r="M785" s="408"/>
      <c r="N785" s="408"/>
      <c r="O785" s="408"/>
      <c r="P785" s="408"/>
      <c r="Q785" s="408"/>
      <c r="R785" s="408"/>
      <c r="S785" s="408"/>
      <c r="T785" s="394"/>
      <c r="U785" s="408"/>
      <c r="V785" s="408"/>
      <c r="W785" s="408"/>
      <c r="X785" s="408"/>
      <c r="Y785" s="394"/>
      <c r="Z785" s="394"/>
      <c r="AA785" s="394"/>
      <c r="AB785" s="394"/>
      <c r="AC785" s="394"/>
      <c r="AD785" s="394"/>
      <c r="AE785" s="394"/>
      <c r="AF785" s="394"/>
      <c r="AG785" s="394"/>
      <c r="AH785" s="394"/>
      <c r="AI785" s="394"/>
      <c r="AJ785" s="394"/>
      <c r="AK785" s="394"/>
      <c r="AL785" s="394"/>
      <c r="AM785" s="394"/>
      <c r="AN785" s="394"/>
      <c r="AO785" s="394"/>
      <c r="AP785" s="285">
        <f t="shared" ref="AP785:BI785" si="4130">AP515/AP702*AP$5</f>
        <v>-2.2265622067225734E-2</v>
      </c>
      <c r="AQ785" s="285">
        <f t="shared" ref="AQ785:AR785" si="4131">AQ515/AQ702*AQ$5</f>
        <v>2.8113104142905906E-3</v>
      </c>
      <c r="AR785" s="285">
        <f t="shared" si="4131"/>
        <v>1.1946889413419575E-3</v>
      </c>
      <c r="AS785" s="285">
        <f t="shared" ref="AS785:AT785" si="4132">AS515/AS702*AS$5</f>
        <v>1.2344513385200945E-2</v>
      </c>
      <c r="AT785" s="285">
        <f t="shared" si="4132"/>
        <v>5.1459767924316072E-2</v>
      </c>
      <c r="AU785" s="285">
        <f t="shared" ref="AU785:AV785" si="4133">AU515/AU702*AU$5</f>
        <v>5.2477226109602593E-2</v>
      </c>
      <c r="AV785" s="285">
        <f t="shared" si="4133"/>
        <v>6.2094798487789815E-2</v>
      </c>
      <c r="AW785" s="285">
        <f t="shared" ref="AW785:AX785" si="4134">AW515/AW702*AW$5</f>
        <v>3.1828889282643394E-2</v>
      </c>
      <c r="AX785" s="285">
        <f t="shared" si="4134"/>
        <v>5.2379451999040032E-2</v>
      </c>
      <c r="AY785" s="285">
        <f t="shared" si="4130"/>
        <v>5.705216455551617E-2</v>
      </c>
      <c r="AZ785" s="286">
        <f t="shared" si="4130"/>
        <v>7.1363244085893729E-2</v>
      </c>
      <c r="BA785" s="162">
        <f t="shared" si="4130"/>
        <v>8.5976897686868101E-2</v>
      </c>
      <c r="BB785" s="162">
        <f t="shared" si="4130"/>
        <v>8.8002441881835813E-2</v>
      </c>
      <c r="BC785" s="162">
        <f t="shared" si="4130"/>
        <v>8.8653944371068674E-2</v>
      </c>
      <c r="BD785" s="162">
        <f t="shared" si="4130"/>
        <v>9.4395698990580951E-2</v>
      </c>
      <c r="BE785" s="162">
        <f t="shared" si="4130"/>
        <v>9.5962167673469434E-2</v>
      </c>
      <c r="BF785" s="162">
        <f t="shared" si="4130"/>
        <v>0.10300675248751111</v>
      </c>
      <c r="BG785" s="162">
        <f t="shared" si="4130"/>
        <v>0.10826375812716724</v>
      </c>
      <c r="BH785" s="162">
        <f t="shared" si="4130"/>
        <v>0.11117359277465652</v>
      </c>
      <c r="BI785" s="162">
        <f t="shared" si="4130"/>
        <v>0.11197190210337229</v>
      </c>
      <c r="BJ785" s="162">
        <f t="shared" ref="BJ785:BK785" si="4135">BJ515/BJ702*BJ$5</f>
        <v>0.11462547880203637</v>
      </c>
      <c r="BK785" s="162">
        <f t="shared" si="4135"/>
        <v>0.11523547087830582</v>
      </c>
      <c r="BL785" s="162">
        <f t="shared" ref="BL785:BM785" si="4136">BL515/BL702*BL$5</f>
        <v>0.11628581217586309</v>
      </c>
      <c r="BM785" s="162">
        <f t="shared" si="4136"/>
        <v>0.11596977988485642</v>
      </c>
      <c r="BN785" s="162">
        <f t="shared" ref="BN785:BO785" si="4137">BN515/BN702*BN$5</f>
        <v>0.11662812097111365</v>
      </c>
      <c r="BO785" s="162">
        <f t="shared" si="4137"/>
        <v>0.11583626058968736</v>
      </c>
      <c r="BP785" s="162">
        <f t="shared" ref="BP785:BQ785" si="4138">BP515/BP702*BP$5</f>
        <v>0.11638868490875304</v>
      </c>
      <c r="BQ785" s="162">
        <f t="shared" si="4138"/>
        <v>0.11562521258703495</v>
      </c>
      <c r="BR785" s="162"/>
      <c r="BS785" s="285"/>
      <c r="BT785" s="285"/>
      <c r="BU785" s="285"/>
      <c r="BV785" s="285"/>
      <c r="BW785" s="285"/>
      <c r="BX785" s="285"/>
      <c r="BY785" s="285"/>
      <c r="BZ785" s="285"/>
      <c r="CA785" s="285"/>
      <c r="CB785" s="285"/>
      <c r="CC785" s="285"/>
      <c r="CD785" s="285"/>
      <c r="CE785" s="285"/>
      <c r="CF785" s="285"/>
      <c r="CG785" s="285"/>
      <c r="CH785" s="285"/>
      <c r="CI785" s="285"/>
      <c r="CJ785" s="285"/>
      <c r="CK785" s="285"/>
      <c r="CL785" s="285"/>
      <c r="CM785" s="285"/>
      <c r="CN785" s="285"/>
      <c r="CO785" s="285"/>
      <c r="CP785" s="285"/>
      <c r="CQ785" s="285"/>
      <c r="CR785" s="285"/>
      <c r="CS785" s="285"/>
      <c r="CT785" s="285"/>
      <c r="CU785" s="285"/>
      <c r="CV785" s="285">
        <f t="shared" ref="CV785:DD785" si="4139">CV515/CV702*CV$5</f>
        <v>-6.861063464837047E-3</v>
      </c>
      <c r="CW785" s="285">
        <f t="shared" si="4139"/>
        <v>7.1933915655507698E-3</v>
      </c>
      <c r="CX785" s="285">
        <f t="shared" si="4139"/>
        <v>5.2215977804652487E-2</v>
      </c>
      <c r="CY785" s="285">
        <f t="shared" si="4139"/>
        <v>4.6985279290179455E-2</v>
      </c>
      <c r="CZ785" s="286">
        <f t="shared" si="4139"/>
        <v>5.4682074610444893E-2</v>
      </c>
      <c r="DA785" s="162">
        <f t="shared" si="4139"/>
        <v>7.8672653531403042E-2</v>
      </c>
      <c r="DB785" s="162">
        <f t="shared" si="4139"/>
        <v>8.8300581161412248E-2</v>
      </c>
      <c r="DC785" s="162">
        <f t="shared" si="4139"/>
        <v>9.5164160239341461E-2</v>
      </c>
      <c r="DD785" s="162">
        <f t="shared" si="4139"/>
        <v>0.10563728359720213</v>
      </c>
      <c r="DE785" s="162">
        <f>DE515/DE702*DE$5</f>
        <v>0.11153416410928724</v>
      </c>
      <c r="DF785" s="162">
        <f>DF515/DF702*DF$5</f>
        <v>0.11489702767540985</v>
      </c>
      <c r="DG785" s="162">
        <f>DG515/DG702*DG$5</f>
        <v>0.1161034899610989</v>
      </c>
      <c r="DH785" s="162">
        <f>DH515/DH702*DH$5</f>
        <v>0.11620131321477468</v>
      </c>
      <c r="DI785" s="162">
        <f>DI515/DI702*DI$5</f>
        <v>0.11597839457872362</v>
      </c>
    </row>
    <row r="786" spans="1:113" ht="12" hidden="1" outlineLevel="1">
      <c r="A786" s="1" t="s">
        <v>1114</v>
      </c>
      <c r="B786" s="19" t="s">
        <v>1115</v>
      </c>
      <c r="C786" s="408"/>
      <c r="D786" s="408"/>
      <c r="E786" s="408"/>
      <c r="F786" s="408"/>
      <c r="G786" s="408"/>
      <c r="H786" s="408"/>
      <c r="I786" s="408"/>
      <c r="J786" s="408"/>
      <c r="K786" s="408"/>
      <c r="L786" s="408"/>
      <c r="M786" s="408"/>
      <c r="N786" s="408"/>
      <c r="O786" s="408"/>
      <c r="P786" s="408"/>
      <c r="Q786" s="408"/>
      <c r="R786" s="408"/>
      <c r="S786" s="408"/>
      <c r="T786" s="394"/>
      <c r="U786" s="408"/>
      <c r="V786" s="408"/>
      <c r="W786" s="408"/>
      <c r="X786" s="408"/>
      <c r="Y786" s="394"/>
      <c r="Z786" s="394"/>
      <c r="AA786" s="394"/>
      <c r="AB786" s="394"/>
      <c r="AC786" s="394"/>
      <c r="AD786" s="394"/>
      <c r="AE786" s="394"/>
      <c r="AF786" s="394"/>
      <c r="AG786" s="394"/>
      <c r="AH786" s="394"/>
      <c r="AI786" s="394"/>
      <c r="AJ786" s="394"/>
      <c r="AK786" s="394"/>
      <c r="AL786" s="394"/>
      <c r="AM786" s="394"/>
      <c r="AN786" s="394"/>
      <c r="AO786" s="394"/>
      <c r="AP786" s="285">
        <f t="shared" ref="AP786:BI786" si="4140">(AP515-(AP595*AP80*(1-AP129))/AP$5)/(AP702-AP595)*AP$5</f>
        <v>-4.0701724710568828E-2</v>
      </c>
      <c r="AQ786" s="285">
        <f t="shared" ref="AQ786:AR786" si="4141">(AQ515-(AQ595*AQ80*(1-AQ129))/AQ$5)/(AQ702-AQ595)*AQ$5</f>
        <v>6.6896399097764953E-3</v>
      </c>
      <c r="AR786" s="285">
        <f t="shared" si="4141"/>
        <v>2.5336918608457907E-3</v>
      </c>
      <c r="AS786" s="285">
        <f t="shared" ref="AS786:AT786" si="4142">(AS515-(AS595*AS80*(1-AS129))/AS$5)/(AS702-AS595)*AS$5</f>
        <v>1.9170649972950468E-2</v>
      </c>
      <c r="AT786" s="285">
        <f t="shared" si="4142"/>
        <v>6.646810828497475E-2</v>
      </c>
      <c r="AU786" s="285">
        <f t="shared" ref="AU786:AV786" si="4143">(AU515-(AU595*AU80*(1-AU129))/AU$5)/(AU702-AU595)*AU$5</f>
        <v>6.4536600297632724E-2</v>
      </c>
      <c r="AV786" s="285">
        <f t="shared" si="4143"/>
        <v>7.5001472540455236E-2</v>
      </c>
      <c r="AW786" s="285">
        <f t="shared" ref="AW786:AX786" si="4144">(AW515-(AW595*AW80*(1-AW129))/AW$5)/(AW702-AW595)*AW$5</f>
        <v>3.2721941202696281E-2</v>
      </c>
      <c r="AX786" s="285">
        <f t="shared" si="4144"/>
        <v>5.6228776274939968E-2</v>
      </c>
      <c r="AY786" s="285">
        <f t="shared" si="4140"/>
        <v>6.1008477428266948E-2</v>
      </c>
      <c r="AZ786" s="286">
        <f t="shared" si="4140"/>
        <v>7.5495201802109044E-2</v>
      </c>
      <c r="BA786" s="162">
        <f t="shared" si="4140"/>
        <v>8.8397464704278214E-2</v>
      </c>
      <c r="BB786" s="162">
        <f t="shared" si="4140"/>
        <v>8.9246289539237869E-2</v>
      </c>
      <c r="BC786" s="162">
        <f t="shared" si="4140"/>
        <v>8.8525541170199618E-2</v>
      </c>
      <c r="BD786" s="162">
        <f t="shared" si="4140"/>
        <v>9.8207482709329982E-2</v>
      </c>
      <c r="BE786" s="162">
        <f t="shared" si="4140"/>
        <v>9.7864078987048339E-2</v>
      </c>
      <c r="BF786" s="162">
        <f t="shared" si="4140"/>
        <v>0.1043941045018858</v>
      </c>
      <c r="BG786" s="162">
        <f t="shared" si="4140"/>
        <v>0.10929763878243841</v>
      </c>
      <c r="BH786" s="162">
        <f t="shared" si="4140"/>
        <v>0.11331545538128723</v>
      </c>
      <c r="BI786" s="162">
        <f t="shared" si="4140"/>
        <v>0.11330421829392234</v>
      </c>
      <c r="BJ786" s="162">
        <f t="shared" ref="BJ786:BK786" si="4145">(BJ515-(BJ595*BJ80*(1-BJ129))/BJ$5)/(BJ702-BJ595)*BJ$5</f>
        <v>0.11605810114117246</v>
      </c>
      <c r="BK786" s="162">
        <f t="shared" si="4145"/>
        <v>0.1163402161686225</v>
      </c>
      <c r="BL786" s="162">
        <f t="shared" ref="BL786:BM786" si="4146">(BL515-(BL595*BL80*(1-BL129))/BL$5)/(BL702-BL595)*BL$5</f>
        <v>0.11802482867194138</v>
      </c>
      <c r="BM786" s="162">
        <f t="shared" si="4146"/>
        <v>0.11745797934621444</v>
      </c>
      <c r="BN786" s="162">
        <f t="shared" ref="BN786:BO786" si="4147">(BN515-(BN595*BN80*(1-BN129))/BN$5)/(BN702-BN595)*BN$5</f>
        <v>0.11862238417949696</v>
      </c>
      <c r="BO786" s="162">
        <f t="shared" si="4147"/>
        <v>0.11742637300861575</v>
      </c>
      <c r="BP786" s="162">
        <f t="shared" ref="BP786:BQ786" si="4148">(BP515-(BP595*BP80*(1-BP129))/BP$5)/(BP702-BP595)*BP$5</f>
        <v>0.11828503513057252</v>
      </c>
      <c r="BQ786" s="162">
        <f t="shared" si="4148"/>
        <v>0.11693676799045442</v>
      </c>
      <c r="BR786" s="162"/>
      <c r="BS786" s="162"/>
      <c r="BT786" s="162"/>
      <c r="BU786" s="162"/>
      <c r="BV786" s="162"/>
      <c r="BW786" s="162"/>
      <c r="BX786" s="162"/>
      <c r="BY786" s="162"/>
      <c r="BZ786" s="162"/>
      <c r="CA786" s="162"/>
      <c r="CB786" s="162"/>
      <c r="CC786" s="162"/>
      <c r="CD786" s="162"/>
      <c r="CE786" s="162"/>
      <c r="CF786" s="162"/>
      <c r="CG786" s="162"/>
      <c r="CH786" s="162"/>
      <c r="CI786" s="162"/>
      <c r="CJ786" s="162"/>
      <c r="CK786" s="162"/>
      <c r="CL786" s="162"/>
      <c r="CM786" s="162"/>
      <c r="CN786" s="285"/>
      <c r="CO786" s="285"/>
      <c r="CP786" s="285"/>
      <c r="CQ786" s="285"/>
      <c r="CR786" s="285"/>
      <c r="CS786" s="285"/>
      <c r="CT786" s="285">
        <f t="shared" ref="CT786:DD786" si="4149">(CT515-(CT595*CT80*(1-CT129))/CT$5)/(CT702-CT595)*CT$5</f>
        <v>0.18338894781985624</v>
      </c>
      <c r="CU786" s="285">
        <f t="shared" si="4149"/>
        <v>0.16984616764493246</v>
      </c>
      <c r="CV786" s="285">
        <f t="shared" si="4149"/>
        <v>-2.1979468044909047E-2</v>
      </c>
      <c r="CW786" s="285">
        <f t="shared" si="4149"/>
        <v>1.2238536829773725E-2</v>
      </c>
      <c r="CX786" s="285">
        <f t="shared" si="4149"/>
        <v>6.5266484145360612E-2</v>
      </c>
      <c r="CY786" s="285">
        <f t="shared" si="4149"/>
        <v>5.1652868767453224E-2</v>
      </c>
      <c r="CZ786" s="286">
        <f t="shared" si="4149"/>
        <v>5.8139045012833838E-2</v>
      </c>
      <c r="DA786" s="162">
        <f t="shared" si="4149"/>
        <v>8.0890577795084406E-2</v>
      </c>
      <c r="DB786" s="162">
        <f t="shared" si="4149"/>
        <v>8.8172698353252144E-2</v>
      </c>
      <c r="DC786" s="162">
        <f t="shared" si="4149"/>
        <v>9.7123179937160659E-2</v>
      </c>
      <c r="DD786" s="162">
        <f t="shared" si="4149"/>
        <v>0.10666464383766926</v>
      </c>
      <c r="DE786" s="162">
        <f>(DE515-(DE595*DE80*(1-DE129))/DE$5)/(DE702-DE595)*DE$5</f>
        <v>0.11289248093980205</v>
      </c>
      <c r="DF786" s="162">
        <f>(DF515-(DF595*DF80*(1-DF129))/DF$5)/(DF702-DF595)*DF$5</f>
        <v>0.11601912528048065</v>
      </c>
      <c r="DG786" s="162">
        <f>(DG515-(DG595*DG80*(1-DG129))/DG$5)/(DG702-DG595)*DG$5</f>
        <v>0.11762051164510419</v>
      </c>
      <c r="DH786" s="162">
        <f>(DH515-(DH595*DH80*(1-DH129))/DH$5)/(DH702-DH595)*DH$5</f>
        <v>0.11782181490641008</v>
      </c>
      <c r="DI786" s="162">
        <f>(DI515-(DI595*DI80*(1-DI129))/DI$5)/(DI702-DI595)*DI$5</f>
        <v>0.11731352953664556</v>
      </c>
    </row>
    <row r="787" spans="1:113" ht="12" hidden="1" outlineLevel="1">
      <c r="A787" s="1" t="s">
        <v>887</v>
      </c>
      <c r="B787" s="19" t="s">
        <v>594</v>
      </c>
      <c r="C787" s="601"/>
      <c r="D787" s="601"/>
      <c r="E787" s="601"/>
      <c r="F787" s="601"/>
      <c r="G787" s="601"/>
      <c r="H787" s="601"/>
      <c r="I787" s="601"/>
      <c r="J787" s="601"/>
      <c r="K787" s="601"/>
      <c r="L787" s="601"/>
      <c r="M787" s="601"/>
      <c r="N787" s="601"/>
      <c r="O787" s="601"/>
      <c r="P787" s="601"/>
      <c r="Q787" s="601"/>
      <c r="R787" s="601"/>
      <c r="S787" s="601"/>
      <c r="T787" s="416"/>
      <c r="U787" s="601"/>
      <c r="V787" s="601"/>
      <c r="W787" s="601"/>
      <c r="X787" s="601"/>
      <c r="Y787" s="416"/>
      <c r="Z787" s="416"/>
      <c r="AA787" s="416"/>
      <c r="AB787" s="416"/>
      <c r="AC787" s="416"/>
      <c r="AD787" s="416"/>
      <c r="AE787" s="416"/>
      <c r="AF787" s="416"/>
      <c r="AG787" s="416"/>
      <c r="AH787" s="416"/>
      <c r="AI787" s="416"/>
      <c r="AJ787" s="416"/>
      <c r="AK787" s="416"/>
      <c r="AL787" s="416"/>
      <c r="AM787" s="416"/>
      <c r="AN787" s="416"/>
      <c r="AO787" s="416"/>
      <c r="AP787" s="167">
        <f t="shared" ref="AP787:BI787" si="4150">AP515/AP703*AP$5</f>
        <v>-4.1714725781722495E-3</v>
      </c>
      <c r="AQ787" s="167">
        <f t="shared" ref="AQ787:AR787" si="4151">AQ515/AQ703*AQ$5</f>
        <v>7.2972775541432864E-4</v>
      </c>
      <c r="AR787" s="167">
        <f t="shared" si="4151"/>
        <v>2.8886768390300752E-4</v>
      </c>
      <c r="AS787" s="167">
        <f t="shared" ref="AS787:AT787" si="4152">AS515/AS703*AS$5</f>
        <v>2.8635325026349421E-3</v>
      </c>
      <c r="AT787" s="167">
        <f t="shared" si="4152"/>
        <v>1.0197424427693591E-2</v>
      </c>
      <c r="AU787" s="167">
        <f t="shared" ref="AU787:AV787" si="4153">AU515/AU703*AU$5</f>
        <v>9.453683409061631E-3</v>
      </c>
      <c r="AV787" s="167">
        <f t="shared" si="4153"/>
        <v>1.0887322556227253E-2</v>
      </c>
      <c r="AW787" s="167">
        <f t="shared" ref="AW787:AX787" si="4154">AW515/AW703*AW$5</f>
        <v>5.3025418879077465E-3</v>
      </c>
      <c r="AX787" s="167">
        <f t="shared" si="4154"/>
        <v>8.0135465626858665E-3</v>
      </c>
      <c r="AY787" s="167">
        <f t="shared" si="4150"/>
        <v>8.2713552372134565E-3</v>
      </c>
      <c r="AZ787" s="174">
        <f t="shared" si="4150"/>
        <v>9.795018511682246E-3</v>
      </c>
      <c r="BA787" s="166">
        <f t="shared" si="4150"/>
        <v>1.1107654713115225E-2</v>
      </c>
      <c r="BB787" s="166">
        <f t="shared" si="4150"/>
        <v>1.095853735443819E-2</v>
      </c>
      <c r="BC787" s="166">
        <f t="shared" si="4150"/>
        <v>1.0763599340011297E-2</v>
      </c>
      <c r="BD787" s="166">
        <f t="shared" si="4150"/>
        <v>1.1617787916296878E-2</v>
      </c>
      <c r="BE787" s="166">
        <f t="shared" si="4150"/>
        <v>1.1924114274963399E-2</v>
      </c>
      <c r="BF787" s="166">
        <f t="shared" si="4150"/>
        <v>1.2551747713382768E-2</v>
      </c>
      <c r="BG787" s="166">
        <f t="shared" si="4150"/>
        <v>1.3071097377752699E-2</v>
      </c>
      <c r="BH787" s="166">
        <f t="shared" si="4150"/>
        <v>1.3448932277720793E-2</v>
      </c>
      <c r="BI787" s="166">
        <f t="shared" si="4150"/>
        <v>1.354271027065037E-2</v>
      </c>
      <c r="BJ787" s="166">
        <f t="shared" ref="BJ787:BK787" si="4155">BJ515/BJ703*BJ$5</f>
        <v>1.3790068085884111E-2</v>
      </c>
      <c r="BK787" s="166">
        <f t="shared" si="4155"/>
        <v>1.3828069315208909E-2</v>
      </c>
      <c r="BL787" s="166">
        <f t="shared" ref="BL787:BM787" si="4156">BL515/BL703*BL$5</f>
        <v>1.3965443757209785E-2</v>
      </c>
      <c r="BM787" s="166">
        <f t="shared" si="4156"/>
        <v>1.3945772647428847E-2</v>
      </c>
      <c r="BN787" s="166">
        <f t="shared" ref="BN787:BO787" si="4157">BN515/BN703*BN$5</f>
        <v>1.403691124727484E-2</v>
      </c>
      <c r="BO787" s="166">
        <f t="shared" si="4157"/>
        <v>1.394206319647116E-2</v>
      </c>
      <c r="BP787" s="166">
        <f t="shared" ref="BP787:BQ787" si="4158">BP515/BP703*BP$5</f>
        <v>1.3995900526519984E-2</v>
      </c>
      <c r="BQ787" s="166">
        <f t="shared" si="4158"/>
        <v>1.3876120149155968E-2</v>
      </c>
      <c r="BR787" s="166"/>
      <c r="BS787" s="166"/>
      <c r="BT787" s="166"/>
      <c r="BU787" s="166"/>
      <c r="BV787" s="166"/>
      <c r="BW787" s="166"/>
      <c r="BX787" s="166"/>
      <c r="BY787" s="166"/>
      <c r="BZ787" s="166"/>
      <c r="CA787" s="166"/>
      <c r="CB787" s="166"/>
      <c r="CC787" s="166"/>
      <c r="CD787" s="166"/>
      <c r="CE787" s="166"/>
      <c r="CF787" s="166"/>
      <c r="CG787" s="166"/>
      <c r="CH787" s="166"/>
      <c r="CI787" s="166"/>
      <c r="CJ787" s="166"/>
      <c r="CK787" s="166"/>
      <c r="CL787" s="166"/>
      <c r="CM787" s="167"/>
      <c r="CN787" s="167"/>
      <c r="CO787" s="167"/>
      <c r="CP787" s="167"/>
      <c r="CQ787" s="167"/>
      <c r="CR787" s="167"/>
      <c r="CS787" s="167"/>
      <c r="CT787" s="167"/>
      <c r="CU787" s="167"/>
      <c r="CV787" s="167">
        <f t="shared" ref="CV787:DD787" si="4159">CV515/CV703*CV$5</f>
        <v>-1.6840910052484444E-3</v>
      </c>
      <c r="CW787" s="167">
        <f t="shared" si="4159"/>
        <v>1.8281411096790026E-3</v>
      </c>
      <c r="CX787" s="167">
        <f t="shared" si="4159"/>
        <v>9.7953670995808706E-3</v>
      </c>
      <c r="CY787" s="167">
        <f t="shared" si="4159"/>
        <v>7.9922649655422302E-3</v>
      </c>
      <c r="CZ787" s="174">
        <f t="shared" si="4159"/>
        <v>8.1411662112172677E-3</v>
      </c>
      <c r="DA787" s="166">
        <f t="shared" si="4159"/>
        <v>1.0468878024226878E-2</v>
      </c>
      <c r="DB787" s="166">
        <f t="shared" si="4159"/>
        <v>1.0852267904408885E-2</v>
      </c>
      <c r="DC787" s="166">
        <f t="shared" si="4159"/>
        <v>1.1770998528572345E-2</v>
      </c>
      <c r="DD787" s="166">
        <f t="shared" si="4159"/>
        <v>1.2810814928911578E-2</v>
      </c>
      <c r="DE787" s="166">
        <f>DE515/DE703*DE$5</f>
        <v>1.3491113384684859E-2</v>
      </c>
      <c r="DF787" s="166">
        <f>DF515/DF703*DF$5</f>
        <v>1.3804584789379183E-2</v>
      </c>
      <c r="DG787" s="166">
        <f>DG515/DG703*DG$5</f>
        <v>1.3952905095503652E-2</v>
      </c>
      <c r="DH787" s="166">
        <f>DH515/DH703*DH$5</f>
        <v>1.398577691181168E-2</v>
      </c>
      <c r="DI787" s="166">
        <f>DI515/DI703*DI$5</f>
        <v>1.3932210277776346E-2</v>
      </c>
    </row>
    <row r="788" spans="1:113" ht="12" hidden="1" outlineLevel="1">
      <c r="A788" s="1" t="s">
        <v>888</v>
      </c>
      <c r="B788" s="19" t="s">
        <v>498</v>
      </c>
      <c r="C788" s="601"/>
      <c r="D788" s="601"/>
      <c r="E788" s="601"/>
      <c r="F788" s="601"/>
      <c r="G788" s="601"/>
      <c r="H788" s="601"/>
      <c r="I788" s="601"/>
      <c r="J788" s="601"/>
      <c r="K788" s="601"/>
      <c r="L788" s="601"/>
      <c r="M788" s="601"/>
      <c r="N788" s="601"/>
      <c r="O788" s="601"/>
      <c r="P788" s="601"/>
      <c r="Q788" s="601"/>
      <c r="R788" s="601"/>
      <c r="S788" s="601"/>
      <c r="T788" s="416"/>
      <c r="U788" s="601"/>
      <c r="V788" s="601"/>
      <c r="W788" s="601"/>
      <c r="X788" s="601"/>
      <c r="Y788" s="416"/>
      <c r="Z788" s="416"/>
      <c r="AA788" s="416"/>
      <c r="AB788" s="416"/>
      <c r="AC788" s="416"/>
      <c r="AD788" s="416"/>
      <c r="AE788" s="416"/>
      <c r="AF788" s="416"/>
      <c r="AG788" s="416"/>
      <c r="AH788" s="416"/>
      <c r="AI788" s="416"/>
      <c r="AJ788" s="416"/>
      <c r="AK788" s="416"/>
      <c r="AL788" s="416"/>
      <c r="AM788" s="416"/>
      <c r="AN788" s="416"/>
      <c r="AO788" s="416"/>
      <c r="AP788" s="167">
        <f t="shared" ref="AP788:BI788" si="4160">AP515/AP697*AP$5</f>
        <v>-4.2456443000100175E-3</v>
      </c>
      <c r="AQ788" s="167">
        <f t="shared" ref="AQ788:AR788" si="4161">AQ515/AQ697*AQ$5</f>
        <v>5.2599256848434508E-4</v>
      </c>
      <c r="AR788" s="167">
        <f t="shared" si="4161"/>
        <v>1.7921876052165165E-4</v>
      </c>
      <c r="AS788" s="167">
        <f t="shared" ref="AS788:AT788" si="4162">AS515/AS697*AS$5</f>
        <v>1.9265352902809859E-3</v>
      </c>
      <c r="AT788" s="167">
        <f t="shared" si="4162"/>
        <v>7.0888351854561712E-3</v>
      </c>
      <c r="AU788" s="167">
        <f t="shared" ref="AU788:AV788" si="4163">AU515/AU697*AU$5</f>
        <v>6.6902278790535322E-3</v>
      </c>
      <c r="AV788" s="167">
        <f t="shared" si="4163"/>
        <v>7.0404909744387527E-3</v>
      </c>
      <c r="AW788" s="167">
        <f t="shared" ref="AW788:AX788" si="4164">AW515/AW697*AW$5</f>
        <v>3.5587476967804386E-3</v>
      </c>
      <c r="AX788" s="167">
        <f t="shared" si="4164"/>
        <v>5.9277527707980605E-3</v>
      </c>
      <c r="AY788" s="167">
        <f t="shared" si="4160"/>
        <v>6.4316657539891277E-3</v>
      </c>
      <c r="AZ788" s="174">
        <f t="shared" si="4160"/>
        <v>7.685858315990772E-3</v>
      </c>
      <c r="BA788" s="166">
        <f t="shared" si="4160"/>
        <v>8.8272183331274835E-3</v>
      </c>
      <c r="BB788" s="166">
        <f t="shared" si="4160"/>
        <v>8.85693715218395E-3</v>
      </c>
      <c r="BC788" s="166">
        <f t="shared" si="4160"/>
        <v>8.6657831016290331E-3</v>
      </c>
      <c r="BD788" s="166">
        <f t="shared" si="4160"/>
        <v>9.4434412633107798E-3</v>
      </c>
      <c r="BE788" s="166">
        <f t="shared" si="4160"/>
        <v>9.7172485979516859E-3</v>
      </c>
      <c r="BF788" s="166">
        <f t="shared" si="4160"/>
        <v>1.0373426843781253E-2</v>
      </c>
      <c r="BG788" s="166">
        <f t="shared" si="4160"/>
        <v>1.0765630503483016E-2</v>
      </c>
      <c r="BH788" s="166">
        <f t="shared" si="4160"/>
        <v>1.1147969863543107E-2</v>
      </c>
      <c r="BI788" s="166">
        <f t="shared" si="4160"/>
        <v>1.1152340615701396E-2</v>
      </c>
      <c r="BJ788" s="166">
        <f t="shared" ref="BJ788:BK788" si="4165">BJ515/BJ697*BJ$5</f>
        <v>1.1439735463440079E-2</v>
      </c>
      <c r="BK788" s="166">
        <f t="shared" si="4165"/>
        <v>1.1397895507506731E-2</v>
      </c>
      <c r="BL788" s="166">
        <f t="shared" ref="BL788:BM788" si="4166">BL515/BL697*BL$5</f>
        <v>1.1602252517599186E-2</v>
      </c>
      <c r="BM788" s="166">
        <f t="shared" si="4166"/>
        <v>1.1516939621179331E-2</v>
      </c>
      <c r="BN788" s="166">
        <f t="shared" ref="BN788:BO788" si="4167">BN515/BN697*BN$5</f>
        <v>1.1672487275098842E-2</v>
      </c>
      <c r="BO788" s="166">
        <f t="shared" si="4167"/>
        <v>1.1524019120922057E-2</v>
      </c>
      <c r="BP788" s="166">
        <f t="shared" ref="BP788:BQ788" si="4168">BP515/BP697*BP$5</f>
        <v>1.1627110666467801E-2</v>
      </c>
      <c r="BQ788" s="166">
        <f t="shared" si="4168"/>
        <v>1.1459490704560453E-2</v>
      </c>
      <c r="BR788" s="166"/>
      <c r="BS788" s="166"/>
      <c r="BT788" s="166"/>
      <c r="BU788" s="166"/>
      <c r="BV788" s="166"/>
      <c r="BW788" s="166"/>
      <c r="BX788" s="166"/>
      <c r="BY788" s="166"/>
      <c r="BZ788" s="166"/>
      <c r="CA788" s="166"/>
      <c r="CB788" s="166"/>
      <c r="CC788" s="166"/>
      <c r="CD788" s="166"/>
      <c r="CE788" s="166"/>
      <c r="CF788" s="166"/>
      <c r="CG788" s="166"/>
      <c r="CH788" s="166"/>
      <c r="CI788" s="166"/>
      <c r="CJ788" s="166"/>
      <c r="CK788" s="166"/>
      <c r="CL788" s="166"/>
      <c r="CM788" s="167"/>
      <c r="CN788" s="167"/>
      <c r="CO788" s="167"/>
      <c r="CP788" s="167"/>
      <c r="CQ788" s="167"/>
      <c r="CR788" s="167"/>
      <c r="CS788" s="167"/>
      <c r="CT788" s="167"/>
      <c r="CU788" s="167"/>
      <c r="CV788" s="167">
        <f t="shared" ref="CV788:DD788" si="4169">CV515/CV697*CV$5</f>
        <v>-1.285219970341077E-3</v>
      </c>
      <c r="CW788" s="167">
        <f t="shared" si="4169"/>
        <v>1.1008952334865716E-3</v>
      </c>
      <c r="CX788" s="167">
        <f t="shared" si="4169"/>
        <v>6.8861994558588992E-3</v>
      </c>
      <c r="CY788" s="167">
        <f t="shared" si="4169"/>
        <v>5.2814506989044187E-3</v>
      </c>
      <c r="CZ788" s="174">
        <f t="shared" si="4169"/>
        <v>6.1807529205997911E-3</v>
      </c>
      <c r="DA788" s="166">
        <f t="shared" si="4169"/>
        <v>8.2696833000485779E-3</v>
      </c>
      <c r="DB788" s="166">
        <f t="shared" si="4169"/>
        <v>8.753347875622779E-3</v>
      </c>
      <c r="DC788" s="166">
        <f t="shared" si="4169"/>
        <v>9.5807171147287117E-3</v>
      </c>
      <c r="DD788" s="166">
        <f t="shared" si="4169"/>
        <v>1.0568650843376232E-2</v>
      </c>
      <c r="DE788" s="166">
        <f>DE515/DE697*DE$5</f>
        <v>1.1145069834877114E-2</v>
      </c>
      <c r="DF788" s="166">
        <f>DF515/DF697*DF$5</f>
        <v>1.1413977851421397E-2</v>
      </c>
      <c r="DG788" s="166">
        <f>DG515/DG697*DG$5</f>
        <v>1.1556455400951706E-2</v>
      </c>
      <c r="DH788" s="166">
        <f>DH515/DH697*DH$5</f>
        <v>1.1594150892703582E-2</v>
      </c>
      <c r="DI788" s="166">
        <f>DI515/DI697*DI$5</f>
        <v>1.1539115958947448E-2</v>
      </c>
    </row>
    <row r="789" spans="1:113" ht="12" hidden="1" outlineLevel="1">
      <c r="A789" s="1" t="s">
        <v>889</v>
      </c>
      <c r="B789" s="19" t="s">
        <v>499</v>
      </c>
      <c r="C789" s="601"/>
      <c r="D789" s="601"/>
      <c r="E789" s="601"/>
      <c r="F789" s="601"/>
      <c r="G789" s="601"/>
      <c r="H789" s="601"/>
      <c r="I789" s="601"/>
      <c r="J789" s="601"/>
      <c r="K789" s="601"/>
      <c r="L789" s="601"/>
      <c r="M789" s="601"/>
      <c r="N789" s="601"/>
      <c r="O789" s="601"/>
      <c r="P789" s="601"/>
      <c r="Q789" s="601"/>
      <c r="R789" s="601"/>
      <c r="S789" s="601"/>
      <c r="T789" s="416"/>
      <c r="U789" s="601"/>
      <c r="V789" s="601"/>
      <c r="W789" s="601"/>
      <c r="X789" s="601"/>
      <c r="Y789" s="416"/>
      <c r="Z789" s="416"/>
      <c r="AA789" s="416"/>
      <c r="AB789" s="416"/>
      <c r="AC789" s="416"/>
      <c r="AD789" s="416"/>
      <c r="AE789" s="416"/>
      <c r="AF789" s="416"/>
      <c r="AG789" s="416"/>
      <c r="AH789" s="416"/>
      <c r="AI789" s="416"/>
      <c r="AJ789" s="416"/>
      <c r="AK789" s="416"/>
      <c r="AL789" s="416"/>
      <c r="AM789" s="416"/>
      <c r="AN789" s="416"/>
      <c r="AO789" s="416"/>
      <c r="AP789" s="167">
        <f t="shared" ref="AP789:BI789" si="4170">AP515/AP698*AP$5</f>
        <v>-4.2609370936619491E-3</v>
      </c>
      <c r="AQ789" s="167">
        <f t="shared" ref="AQ789:AR789" si="4171">AQ515/AQ698*AQ$5</f>
        <v>5.2742117721073841E-4</v>
      </c>
      <c r="AR789" s="167">
        <f t="shared" si="4171"/>
        <v>1.7960588213130485E-4</v>
      </c>
      <c r="AS789" s="167">
        <f t="shared" ref="AS789:AT789" si="4172">AS515/AS698*AS$5</f>
        <v>1.9310485300648838E-3</v>
      </c>
      <c r="AT789" s="167">
        <f t="shared" si="4172"/>
        <v>7.1081147681772211E-3</v>
      </c>
      <c r="AU789" s="167">
        <f t="shared" ref="AU789:AV789" si="4173">AU515/AU698*AU$5</f>
        <v>6.7109103520320889E-3</v>
      </c>
      <c r="AV789" s="167">
        <f t="shared" si="4173"/>
        <v>7.0631761445823253E-3</v>
      </c>
      <c r="AW789" s="167">
        <f t="shared" ref="AW789:AX789" si="4174">AW515/AW698*AW$5</f>
        <v>3.5710311803790729E-3</v>
      </c>
      <c r="AX789" s="167">
        <f t="shared" si="4174"/>
        <v>5.9490724173290746E-3</v>
      </c>
      <c r="AY789" s="167">
        <f t="shared" si="4170"/>
        <v>6.4537195059810358E-3</v>
      </c>
      <c r="AZ789" s="174">
        <f t="shared" si="4170"/>
        <v>7.7087702171212196E-3</v>
      </c>
      <c r="BA789" s="166">
        <f t="shared" si="4170"/>
        <v>8.8505280168593159E-3</v>
      </c>
      <c r="BB789" s="166">
        <f t="shared" si="4170"/>
        <v>8.8788810443247834E-3</v>
      </c>
      <c r="BC789" s="166">
        <f t="shared" si="4170"/>
        <v>8.6857286029525024E-3</v>
      </c>
      <c r="BD789" s="166">
        <f t="shared" si="4170"/>
        <v>9.463915272045393E-3</v>
      </c>
      <c r="BE789" s="166">
        <f t="shared" si="4170"/>
        <v>9.7368966386705124E-3</v>
      </c>
      <c r="BF789" s="166">
        <f t="shared" si="4170"/>
        <v>1.0393266528875501E-2</v>
      </c>
      <c r="BG789" s="166">
        <f t="shared" si="4170"/>
        <v>1.0784909387197476E-2</v>
      </c>
      <c r="BH789" s="166">
        <f t="shared" si="4170"/>
        <v>1.1167021052203269E-2</v>
      </c>
      <c r="BI789" s="166">
        <f t="shared" si="4170"/>
        <v>1.1170359844831354E-2</v>
      </c>
      <c r="BJ789" s="166">
        <f t="shared" ref="BJ789:BK789" si="4175">BJ515/BJ698*BJ$5</f>
        <v>1.1457534711212811E-2</v>
      </c>
      <c r="BK789" s="166">
        <f t="shared" si="4175"/>
        <v>1.1414796567193011E-2</v>
      </c>
      <c r="BL789" s="166">
        <f t="shared" ref="BL789:BM789" si="4176">BL515/BL698*BL$5</f>
        <v>1.1618956602789651E-2</v>
      </c>
      <c r="BM789" s="166">
        <f t="shared" si="4176"/>
        <v>1.1532870812715208E-2</v>
      </c>
      <c r="BN789" s="166">
        <f t="shared" ref="BN789:BO789" si="4177">BN515/BN698*BN$5</f>
        <v>1.1688238024688963E-2</v>
      </c>
      <c r="BO789" s="166">
        <f t="shared" si="4177"/>
        <v>1.1539025134636822E-2</v>
      </c>
      <c r="BP789" s="166">
        <f t="shared" ref="BP789:BQ789" si="4178">BP515/BP698*BP$5</f>
        <v>1.1641884145196036E-2</v>
      </c>
      <c r="BQ789" s="166">
        <f t="shared" si="4178"/>
        <v>1.1473540800744328E-2</v>
      </c>
      <c r="BR789" s="166"/>
      <c r="BS789" s="166"/>
      <c r="BT789" s="166"/>
      <c r="BU789" s="166"/>
      <c r="BV789" s="166"/>
      <c r="BW789" s="166"/>
      <c r="BX789" s="166"/>
      <c r="BY789" s="166"/>
      <c r="BZ789" s="166"/>
      <c r="CA789" s="166"/>
      <c r="CB789" s="166"/>
      <c r="CC789" s="166"/>
      <c r="CD789" s="166"/>
      <c r="CE789" s="166"/>
      <c r="CF789" s="166"/>
      <c r="CG789" s="166"/>
      <c r="CH789" s="166"/>
      <c r="CI789" s="166"/>
      <c r="CJ789" s="166"/>
      <c r="CK789" s="166"/>
      <c r="CL789" s="166"/>
      <c r="CM789" s="167"/>
      <c r="CN789" s="167"/>
      <c r="CO789" s="167"/>
      <c r="CP789" s="167"/>
      <c r="CQ789" s="167"/>
      <c r="CR789" s="167"/>
      <c r="CS789" s="167"/>
      <c r="CT789" s="167"/>
      <c r="CU789" s="167"/>
      <c r="CV789" s="167">
        <f t="shared" ref="CV789:DD789" si="4179">CV515/CV698*CV$5</f>
        <v>-1.2903545993697108E-3</v>
      </c>
      <c r="CW789" s="167">
        <f t="shared" si="4179"/>
        <v>1.1035586735467287E-3</v>
      </c>
      <c r="CX789" s="167">
        <f t="shared" si="4179"/>
        <v>6.9110322295140624E-3</v>
      </c>
      <c r="CY789" s="167">
        <f t="shared" si="4179"/>
        <v>5.3007954984946931E-3</v>
      </c>
      <c r="CZ789" s="174">
        <f t="shared" si="4179"/>
        <v>6.2019156595715533E-3</v>
      </c>
      <c r="DA789" s="166">
        <f t="shared" si="4179"/>
        <v>8.2924111748610904E-3</v>
      </c>
      <c r="DB789" s="166">
        <f t="shared" si="4179"/>
        <v>8.7742303460392728E-3</v>
      </c>
      <c r="DC789" s="166">
        <f t="shared" si="4179"/>
        <v>9.6007607002477294E-3</v>
      </c>
      <c r="DD789" s="166">
        <f t="shared" si="4179"/>
        <v>1.0588194002735304E-2</v>
      </c>
      <c r="DE789" s="166">
        <f>DE515/DE698*DE$5</f>
        <v>1.1163577867457135E-2</v>
      </c>
      <c r="DF789" s="166">
        <f>DF515/DF698*DF$5</f>
        <v>1.1431306431268941E-2</v>
      </c>
      <c r="DG789" s="166">
        <f>DG515/DG698*DG$5</f>
        <v>1.1572759099926406E-2</v>
      </c>
      <c r="DH789" s="166">
        <f>DH515/DH698*DH$5</f>
        <v>1.1609514953436479E-2</v>
      </c>
      <c r="DI789" s="166">
        <f>DI515/DI698*DI$5</f>
        <v>1.1553513960525333E-2</v>
      </c>
    </row>
    <row r="790" spans="1:113" ht="12" hidden="1" outlineLevel="1">
      <c r="A790" s="1" t="s">
        <v>1009</v>
      </c>
      <c r="B790" s="19" t="s">
        <v>563</v>
      </c>
      <c r="C790" s="611"/>
      <c r="D790" s="611"/>
      <c r="E790" s="611"/>
      <c r="F790" s="611"/>
      <c r="G790" s="611"/>
      <c r="H790" s="611"/>
      <c r="I790" s="611"/>
      <c r="J790" s="611"/>
      <c r="K790" s="611"/>
      <c r="L790" s="611"/>
      <c r="M790" s="611"/>
      <c r="N790" s="611"/>
      <c r="O790" s="611"/>
      <c r="P790" s="611"/>
      <c r="Q790" s="611"/>
      <c r="R790" s="611"/>
      <c r="S790" s="611"/>
      <c r="T790" s="612"/>
      <c r="U790" s="611"/>
      <c r="V790" s="611"/>
      <c r="W790" s="611"/>
      <c r="X790" s="611"/>
      <c r="Y790" s="612"/>
      <c r="Z790" s="612"/>
      <c r="AA790" s="612"/>
      <c r="AB790" s="612"/>
      <c r="AC790" s="612"/>
      <c r="AD790" s="612"/>
      <c r="AE790" s="612"/>
      <c r="AF790" s="612"/>
      <c r="AG790" s="612"/>
      <c r="AH790" s="612"/>
      <c r="AI790" s="612"/>
      <c r="AJ790" s="612"/>
      <c r="AK790" s="612"/>
      <c r="AL790" s="612"/>
      <c r="AM790" s="612"/>
      <c r="AN790" s="612"/>
      <c r="AO790" s="612"/>
      <c r="AP790" s="517">
        <f t="shared" ref="AP790:BI790" si="4180">-AVERAGE(AP101,AP106)/(AP103*AP$5)</f>
        <v>3.0526636225266364</v>
      </c>
      <c r="AQ790" s="517">
        <f t="shared" ref="AQ790:AR790" si="4181">-AVERAGE(AQ101,AQ106)/(AQ103*AQ$5)</f>
        <v>6.6945205479452055</v>
      </c>
      <c r="AR790" s="517">
        <f t="shared" si="4181"/>
        <v>5.2616438356164386</v>
      </c>
      <c r="AS790" s="517">
        <f t="shared" ref="AS790:AT790" si="4182">-AVERAGE(AS101,AS106)/(AS103*AS$5)</f>
        <v>5.3634462869502526</v>
      </c>
      <c r="AT790" s="517">
        <f t="shared" si="4182"/>
        <v>7.6736681887366816</v>
      </c>
      <c r="AU790" s="517">
        <f>-AVERAGE(AU101,AU106)/(AU102*AU$5)</f>
        <v>-1.4685985247629083</v>
      </c>
      <c r="AV790" s="517">
        <f>-AVERAGE(AV101,AV106)/(AV102*AV$5)</f>
        <v>-1.9035270740188772</v>
      </c>
      <c r="AW790" s="517">
        <f>-AVERAGE(AW101,AW106)/(AW102*AW$5)</f>
        <v>-1.949373191899711</v>
      </c>
      <c r="AX790" s="517">
        <f>-AVERAGE(AX101,AX106)/(AX102*AX$5)</f>
        <v>-3.5323679060665363</v>
      </c>
      <c r="AY790" s="517">
        <f t="shared" si="4180"/>
        <v>3.8991383119752534</v>
      </c>
      <c r="AZ790" s="591">
        <f t="shared" si="4180"/>
        <v>3.2171993911719943</v>
      </c>
      <c r="BA790" s="420">
        <f t="shared" si="4180"/>
        <v>3.2171993911719938</v>
      </c>
      <c r="BB790" s="420">
        <f t="shared" si="4180"/>
        <v>3.2171993911719947</v>
      </c>
      <c r="BC790" s="420">
        <f t="shared" si="4180"/>
        <v>3.2171993911719947</v>
      </c>
      <c r="BD790" s="420">
        <f t="shared" si="4180"/>
        <v>3.2171993911719934</v>
      </c>
      <c r="BE790" s="420">
        <f t="shared" si="4180"/>
        <v>3.2171993911719947</v>
      </c>
      <c r="BF790" s="420">
        <f t="shared" si="4180"/>
        <v>3.2171993911719947</v>
      </c>
      <c r="BG790" s="420">
        <f t="shared" si="4180"/>
        <v>3.2171993911719947</v>
      </c>
      <c r="BH790" s="420">
        <f t="shared" si="4180"/>
        <v>3.2171993911719943</v>
      </c>
      <c r="BI790" s="420">
        <f t="shared" si="4180"/>
        <v>3.2171993911719947</v>
      </c>
      <c r="BJ790" s="420">
        <f t="shared" ref="BJ790:BK790" si="4183">-AVERAGE(BJ101,BJ106)/(BJ103*BJ$5)</f>
        <v>3.2171993911719947</v>
      </c>
      <c r="BK790" s="420">
        <f t="shared" si="4183"/>
        <v>3.2171993911719943</v>
      </c>
      <c r="BL790" s="420">
        <f t="shared" ref="BL790:BM790" si="4184">-AVERAGE(BL101,BL106)/(BL103*BL$5)</f>
        <v>3.2171993911719938</v>
      </c>
      <c r="BM790" s="420">
        <f t="shared" si="4184"/>
        <v>3.2171993911719947</v>
      </c>
      <c r="BN790" s="420">
        <f t="shared" ref="BN790:BO790" si="4185">-AVERAGE(BN101,BN106)/(BN103*BN$5)</f>
        <v>3.2171993911719947</v>
      </c>
      <c r="BO790" s="420">
        <f t="shared" si="4185"/>
        <v>3.2171993911719947</v>
      </c>
      <c r="BP790" s="420">
        <f t="shared" ref="BP790:BQ790" si="4186">-AVERAGE(BP101,BP106)/(BP103*BP$5)</f>
        <v>3.2171993911719952</v>
      </c>
      <c r="BQ790" s="420">
        <f t="shared" si="4186"/>
        <v>3.2171993911719947</v>
      </c>
      <c r="BR790" s="166"/>
      <c r="BS790" s="420"/>
      <c r="BT790" s="420"/>
      <c r="BU790" s="420"/>
      <c r="BV790" s="420"/>
      <c r="BW790" s="420"/>
      <c r="BX790" s="420"/>
      <c r="BY790" s="420"/>
      <c r="BZ790" s="420"/>
      <c r="CA790" s="420"/>
      <c r="CB790" s="420"/>
      <c r="CC790" s="420"/>
      <c r="CD790" s="420"/>
      <c r="CE790" s="420"/>
      <c r="CF790" s="420"/>
      <c r="CG790" s="420"/>
      <c r="CH790" s="420"/>
      <c r="CI790" s="420"/>
      <c r="CJ790" s="420"/>
      <c r="CK790" s="420"/>
      <c r="CL790" s="420"/>
      <c r="CM790" s="517"/>
      <c r="CN790" s="517"/>
      <c r="CO790" s="517"/>
      <c r="CP790" s="517"/>
      <c r="CQ790" s="517"/>
      <c r="CR790" s="517"/>
      <c r="CS790" s="517"/>
      <c r="CT790" s="517">
        <f t="shared" ref="CT790:DD790" si="4187">-AVERAGE(CT101,CT106)/(CT103*CT$5)</f>
        <v>0</v>
      </c>
      <c r="CU790" s="517">
        <f t="shared" si="4187"/>
        <v>0</v>
      </c>
      <c r="CV790" s="517">
        <f t="shared" si="4187"/>
        <v>4.2368421052631584</v>
      </c>
      <c r="CW790" s="517">
        <f t="shared" si="4187"/>
        <v>5.7000000000000011</v>
      </c>
      <c r="CX790" s="517">
        <f t="shared" si="4187"/>
        <v>6.6063829787234036</v>
      </c>
      <c r="CY790" s="517">
        <f t="shared" si="4187"/>
        <v>3.5785123966942147</v>
      </c>
      <c r="CZ790" s="591">
        <f t="shared" si="4187"/>
        <v>4.1025641025641031</v>
      </c>
      <c r="DA790" s="420">
        <f t="shared" si="4187"/>
        <v>3.2347578477734817</v>
      </c>
      <c r="DB790" s="420">
        <f t="shared" si="4187"/>
        <v>3.2294270466378889</v>
      </c>
      <c r="DC790" s="420">
        <f t="shared" si="4187"/>
        <v>3.2268930710871557</v>
      </c>
      <c r="DD790" s="420">
        <f t="shared" si="4187"/>
        <v>3.2262513067023915</v>
      </c>
      <c r="DE790" s="420">
        <f>-AVERAGE(DE101,DE106)/(DE103*DE$5)</f>
        <v>3.225563624314534</v>
      </c>
      <c r="DF790" s="420">
        <f>-AVERAGE(DF101,DF106)/(DF103*DF$5)</f>
        <v>3.2248480517813851</v>
      </c>
      <c r="DG790" s="420">
        <f>-AVERAGE(DG101,DG106)/(DG103*DG$5)</f>
        <v>3.2229654400601944</v>
      </c>
      <c r="DH790" s="420">
        <f>-AVERAGE(DH101,DH106)/(DH103*DH$5)</f>
        <v>3.2229679746574096</v>
      </c>
      <c r="DI790" s="420">
        <f>-AVERAGE(DI101,DI106)/(DI103*DI$5)</f>
        <v>3.2234311377264069</v>
      </c>
    </row>
    <row r="791" spans="1:113" ht="12" hidden="1" outlineLevel="1">
      <c r="A791" s="1" t="s">
        <v>674</v>
      </c>
      <c r="B791" s="19" t="s">
        <v>773</v>
      </c>
      <c r="C791" s="601"/>
      <c r="D791" s="601"/>
      <c r="E791" s="601"/>
      <c r="F791" s="601"/>
      <c r="G791" s="601"/>
      <c r="H791" s="601"/>
      <c r="I791" s="601"/>
      <c r="J791" s="601"/>
      <c r="K791" s="601"/>
      <c r="L791" s="601"/>
      <c r="M791" s="601"/>
      <c r="N791" s="601"/>
      <c r="O791" s="601"/>
      <c r="P791" s="408"/>
      <c r="Q791" s="408"/>
      <c r="R791" s="408"/>
      <c r="S791" s="408"/>
      <c r="T791" s="394"/>
      <c r="U791" s="408"/>
      <c r="V791" s="408"/>
      <c r="W791" s="408"/>
      <c r="X791" s="408"/>
      <c r="Y791" s="394"/>
      <c r="Z791" s="394"/>
      <c r="AA791" s="394"/>
      <c r="AB791" s="394"/>
      <c r="AC791" s="394"/>
      <c r="AD791" s="394"/>
      <c r="AE791" s="394"/>
      <c r="AF791" s="394"/>
      <c r="AG791" s="394"/>
      <c r="AH791" s="394"/>
      <c r="AI791" s="394"/>
      <c r="AJ791" s="394"/>
      <c r="AK791" s="394"/>
      <c r="AL791" s="394"/>
      <c r="AM791" s="394"/>
      <c r="AN791" s="394"/>
      <c r="AO791" s="394"/>
      <c r="AP791" s="285">
        <f t="shared" ref="AP791:BI791" si="4188">AP106/(AP106-(AP443*AP$5-AP434))</f>
        <v>0.12825989639956514</v>
      </c>
      <c r="AQ791" s="285">
        <f t="shared" ref="AQ791:AR791" si="4189">AQ106/(AQ106-(AQ443*AQ$5-AQ434))</f>
        <v>0.14059032401242788</v>
      </c>
      <c r="AR791" s="285">
        <f t="shared" si="4189"/>
        <v>0.12600095791127844</v>
      </c>
      <c r="AS791" s="285">
        <f t="shared" ref="AS791:AT791" si="4190">AS106/(AS106-(AS443*AS$5-AS434))</f>
        <v>0.14470563733229422</v>
      </c>
      <c r="AT791" s="285">
        <f t="shared" si="4190"/>
        <v>0.14965904290628207</v>
      </c>
      <c r="AU791" s="285">
        <f t="shared" ref="AU791:AV791" si="4191">AU106/(AU106-(AU443*AU$5-AU434))</f>
        <v>0.15993161904146688</v>
      </c>
      <c r="AV791" s="285">
        <f t="shared" si="4191"/>
        <v>0.17917579135974518</v>
      </c>
      <c r="AW791" s="285">
        <f t="shared" ref="AW791:AX791" si="4192">AW106/(AW106-(AW443*AW$5-AW434))</f>
        <v>0.17577684463107379</v>
      </c>
      <c r="AX791" s="285">
        <f t="shared" si="4192"/>
        <v>0.18227171279554105</v>
      </c>
      <c r="AY791" s="285">
        <f t="shared" si="4188"/>
        <v>0.18628189222719671</v>
      </c>
      <c r="AZ791" s="286">
        <f t="shared" si="4188"/>
        <v>0.16175180739665271</v>
      </c>
      <c r="BA791" s="162">
        <f t="shared" si="4188"/>
        <v>0.14832184353688685</v>
      </c>
      <c r="BB791" s="162">
        <f t="shared" si="4188"/>
        <v>0.13665344524424472</v>
      </c>
      <c r="BC791" s="162">
        <f t="shared" si="4188"/>
        <v>0.12797885019886932</v>
      </c>
      <c r="BD791" s="162">
        <f t="shared" si="4188"/>
        <v>0.12027262255357921</v>
      </c>
      <c r="BE791" s="162">
        <f t="shared" si="4188"/>
        <v>0.11480459044210618</v>
      </c>
      <c r="BF791" s="162">
        <f t="shared" si="4188"/>
        <v>0.10938673037192848</v>
      </c>
      <c r="BG791" s="162">
        <f t="shared" si="4188"/>
        <v>0.10559272296070346</v>
      </c>
      <c r="BH791" s="162">
        <f t="shared" si="4188"/>
        <v>0.1018175305490602</v>
      </c>
      <c r="BI791" s="162">
        <f t="shared" si="4188"/>
        <v>9.9310879757007448E-2</v>
      </c>
      <c r="BJ791" s="162">
        <f t="shared" ref="BJ791:BK791" si="4193">BJ106/(BJ106-(BJ443*BJ$5-BJ434))</f>
        <v>9.6628699079817124E-2</v>
      </c>
      <c r="BK791" s="162">
        <f t="shared" si="4193"/>
        <v>9.5285735582132103E-2</v>
      </c>
      <c r="BL791" s="162">
        <f t="shared" ref="BL791:BM791" si="4194">BL106/(BL106-(BL443*BL$5-BL434))</f>
        <v>9.3527126225533455E-2</v>
      </c>
      <c r="BM791" s="162">
        <f t="shared" si="4194"/>
        <v>9.30595546482334E-2</v>
      </c>
      <c r="BN791" s="162">
        <f t="shared" ref="BN791:BO791" si="4195">BN106/(BN106-(BN443*BN$5-BN434))</f>
        <v>9.19456507327409E-2</v>
      </c>
      <c r="BO791" s="162">
        <f t="shared" si="4195"/>
        <v>9.165725685897827E-2</v>
      </c>
      <c r="BP791" s="162">
        <f t="shared" ref="BP791:BQ791" si="4196">BP106/(BP106-(BP443*BP$5-BP434))</f>
        <v>9.0585760361907228E-2</v>
      </c>
      <c r="BQ791" s="162">
        <f t="shared" si="4196"/>
        <v>9.0291292694269637E-2</v>
      </c>
      <c r="BR791" s="166"/>
      <c r="BS791" s="162"/>
      <c r="BT791" s="162"/>
      <c r="BU791" s="162"/>
      <c r="BV791" s="162"/>
      <c r="BW791" s="162"/>
      <c r="BX791" s="162"/>
      <c r="BY791" s="162"/>
      <c r="BZ791" s="162"/>
      <c r="CA791" s="162"/>
      <c r="CB791" s="162"/>
      <c r="CC791" s="162"/>
      <c r="CD791" s="162"/>
      <c r="CE791" s="162"/>
      <c r="CF791" s="162"/>
      <c r="CG791" s="162"/>
      <c r="CH791" s="162"/>
      <c r="CI791" s="162"/>
      <c r="CJ791" s="162"/>
      <c r="CK791" s="162"/>
      <c r="CL791" s="162"/>
      <c r="CM791" s="285"/>
      <c r="CN791" s="285"/>
      <c r="CO791" s="285"/>
      <c r="CP791" s="285"/>
      <c r="CQ791" s="285"/>
      <c r="CR791" s="285"/>
      <c r="CS791" s="285"/>
      <c r="CT791" s="285">
        <f t="shared" ref="CT791:DD791" si="4197">CT106/(CT106-(CT443*CT$5-CT434))</f>
        <v>0</v>
      </c>
      <c r="CU791" s="285">
        <f t="shared" si="4197"/>
        <v>0</v>
      </c>
      <c r="CV791" s="285">
        <f t="shared" si="4197"/>
        <v>0.15893385982231001</v>
      </c>
      <c r="CW791" s="285">
        <f t="shared" si="4197"/>
        <v>0.1562705187130663</v>
      </c>
      <c r="CX791" s="285">
        <f t="shared" si="4197"/>
        <v>0.17060133630289531</v>
      </c>
      <c r="CY791" s="285">
        <f t="shared" si="4197"/>
        <v>0.18684719535783365</v>
      </c>
      <c r="CZ791" s="286">
        <f t="shared" si="4197"/>
        <v>0.18502715283165244</v>
      </c>
      <c r="DA791" s="162">
        <f t="shared" si="4197"/>
        <v>0.15504810323082194</v>
      </c>
      <c r="DB791" s="162">
        <f t="shared" si="4197"/>
        <v>0.13286813019793178</v>
      </c>
      <c r="DC791" s="162">
        <f t="shared" si="4197"/>
        <v>0.11854780688631947</v>
      </c>
      <c r="DD791" s="162">
        <f t="shared" si="4197"/>
        <v>0.10892266721551561</v>
      </c>
      <c r="DE791" s="162">
        <f>DE106/(DE106-(DE443*DE$5-DE434))</f>
        <v>0.10229492628290854</v>
      </c>
      <c r="DF791" s="162">
        <f>DF106/(DF106-(DF443*DF$5-DF434))</f>
        <v>9.7912539780503655E-2</v>
      </c>
      <c r="DG791" s="162">
        <f>DG106/(DG106-(DG443*DG$5-DG434))</f>
        <v>9.5353217318363478E-2</v>
      </c>
      <c r="DH791" s="162">
        <f>DH106/(DH106-(DH443*DH$5-DH434))</f>
        <v>9.3967675321363103E-2</v>
      </c>
      <c r="DI791" s="162">
        <f>DI106/(DI106-(DI443*DI$5-DI434))</f>
        <v>9.2661347209693143E-2</v>
      </c>
    </row>
    <row r="792" spans="1:113" ht="12" hidden="1" outlineLevel="1">
      <c r="A792" s="1" t="s">
        <v>811</v>
      </c>
      <c r="B792" s="19" t="s">
        <v>500</v>
      </c>
      <c r="C792" s="408"/>
      <c r="D792" s="408"/>
      <c r="E792" s="408"/>
      <c r="F792" s="408"/>
      <c r="G792" s="408"/>
      <c r="H792" s="408"/>
      <c r="I792" s="408"/>
      <c r="J792" s="408"/>
      <c r="K792" s="408"/>
      <c r="L792" s="408"/>
      <c r="M792" s="408"/>
      <c r="N792" s="408"/>
      <c r="O792" s="408"/>
      <c r="P792" s="408"/>
      <c r="Q792" s="408"/>
      <c r="R792" s="408"/>
      <c r="S792" s="408"/>
      <c r="T792" s="394"/>
      <c r="U792" s="408"/>
      <c r="V792" s="408"/>
      <c r="W792" s="408"/>
      <c r="X792" s="408"/>
      <c r="Y792" s="394"/>
      <c r="Z792" s="394"/>
      <c r="AA792" s="394"/>
      <c r="AB792" s="394"/>
      <c r="AC792" s="394"/>
      <c r="AD792" s="394"/>
      <c r="AE792" s="394"/>
      <c r="AF792" s="394"/>
      <c r="AG792" s="394"/>
      <c r="AH792" s="394"/>
      <c r="AI792" s="394"/>
      <c r="AJ792" s="394"/>
      <c r="AK792" s="394"/>
      <c r="AL792" s="394"/>
      <c r="AM792" s="394"/>
      <c r="AN792" s="394"/>
      <c r="AO792" s="394"/>
      <c r="AP792" s="285">
        <f t="shared" ref="AP792:BI792" si="4198">AP393/AP419</f>
        <v>0.11838790931989925</v>
      </c>
      <c r="AQ792" s="285">
        <f t="shared" ref="AQ792:AR792" si="4199">AQ393/AQ419</f>
        <v>1.1976047904191616E-2</v>
      </c>
      <c r="AR792" s="285">
        <f t="shared" si="4199"/>
        <v>5.4127198917456017E-3</v>
      </c>
      <c r="AS792" s="285">
        <f t="shared" ref="AS792:AT792" si="4200">AS393/AS419</f>
        <v>2.8254288597376387E-2</v>
      </c>
      <c r="AT792" s="285">
        <f t="shared" si="4200"/>
        <v>1.331719128329298E-2</v>
      </c>
      <c r="AU792" s="285">
        <f t="shared" ref="AU792:AV792" si="4201">AU393/AU419</f>
        <v>1.7039403620873271E-2</v>
      </c>
      <c r="AV792" s="285">
        <f t="shared" si="4201"/>
        <v>2.4E-2</v>
      </c>
      <c r="AW792" s="285">
        <f t="shared" ref="AW792:AX792" si="4202">AW393/AW419</f>
        <v>2.9994916115912557E-2</v>
      </c>
      <c r="AX792" s="285">
        <f t="shared" si="4202"/>
        <v>3.9323046291687411E-2</v>
      </c>
      <c r="AY792" s="285">
        <f t="shared" si="4198"/>
        <v>3.4684684684684684E-2</v>
      </c>
      <c r="AZ792" s="286">
        <f t="shared" si="4198"/>
        <v>4.1514041514041519E-2</v>
      </c>
      <c r="BA792" s="162">
        <f t="shared" si="4198"/>
        <v>3.9827081943574656E-2</v>
      </c>
      <c r="BB792" s="162">
        <f t="shared" si="4198"/>
        <v>3.9377475537810291E-2</v>
      </c>
      <c r="BC792" s="162">
        <f t="shared" si="4198"/>
        <v>3.9297721303279021E-2</v>
      </c>
      <c r="BD792" s="162">
        <f t="shared" si="4198"/>
        <v>3.9128943174066504E-2</v>
      </c>
      <c r="BE792" s="162">
        <f t="shared" si="4198"/>
        <v>3.9084686896734187E-2</v>
      </c>
      <c r="BF792" s="162">
        <f t="shared" si="4198"/>
        <v>3.9377629266858019E-2</v>
      </c>
      <c r="BG792" s="162">
        <f t="shared" si="4198"/>
        <v>3.9646887648082399E-2</v>
      </c>
      <c r="BH792" s="162">
        <f t="shared" si="4198"/>
        <v>4.0174939779184439E-2</v>
      </c>
      <c r="BI792" s="162">
        <f t="shared" si="4198"/>
        <v>4.0637418279683965E-2</v>
      </c>
      <c r="BJ792" s="162">
        <f t="shared" ref="BJ792:BK792" si="4203">BJ393/BJ419</f>
        <v>4.136125808156136E-2</v>
      </c>
      <c r="BK792" s="162">
        <f t="shared" si="4203"/>
        <v>4.1931678197123831E-2</v>
      </c>
      <c r="BL792" s="162">
        <f t="shared" ref="BL792:BM792" si="4204">BL393/BL419</f>
        <v>4.1361421467091417E-2</v>
      </c>
      <c r="BM792" s="162">
        <f t="shared" si="4204"/>
        <v>4.0533813872592646E-2</v>
      </c>
      <c r="BN792" s="162">
        <f t="shared" ref="BN792:BO792" si="4205">BN393/BN419</f>
        <v>3.9991228241253535E-2</v>
      </c>
      <c r="BO792" s="162">
        <f t="shared" si="4205"/>
        <v>3.9315501010026184E-2</v>
      </c>
      <c r="BP792" s="162">
        <f t="shared" ref="BP792:BQ792" si="4206">BP393/BP419</f>
        <v>3.871660251700499E-2</v>
      </c>
      <c r="BQ792" s="162">
        <f t="shared" si="4206"/>
        <v>3.808492989591996E-2</v>
      </c>
      <c r="BR792" s="162"/>
      <c r="BS792" s="162"/>
      <c r="BT792" s="162"/>
      <c r="BU792" s="162"/>
      <c r="BV792" s="162"/>
      <c r="BW792" s="162"/>
      <c r="BX792" s="162"/>
      <c r="BY792" s="162"/>
      <c r="BZ792" s="162"/>
      <c r="CA792" s="162"/>
      <c r="CB792" s="162"/>
      <c r="CC792" s="162"/>
      <c r="CD792" s="162"/>
      <c r="CE792" s="162"/>
      <c r="CF792" s="162"/>
      <c r="CG792" s="162"/>
      <c r="CH792" s="162"/>
      <c r="CI792" s="162"/>
      <c r="CJ792" s="162"/>
      <c r="CK792" s="162"/>
      <c r="CL792" s="162"/>
      <c r="CM792" s="285"/>
      <c r="CN792" s="285"/>
      <c r="CO792" s="285"/>
      <c r="CP792" s="285"/>
      <c r="CQ792" s="285"/>
      <c r="CR792" s="285"/>
      <c r="CS792" s="285"/>
      <c r="CT792" s="285">
        <f t="shared" ref="CT792:DF792" si="4207">CT393/CT419</f>
        <v>0.36725663716814161</v>
      </c>
      <c r="CU792" s="285">
        <f t="shared" si="4207"/>
        <v>1.4722536806342015E-2</v>
      </c>
      <c r="CV792" s="285">
        <f t="shared" si="4207"/>
        <v>5.9020044543429843E-2</v>
      </c>
      <c r="CW792" s="285">
        <f t="shared" si="4207"/>
        <v>1.8497109826589593E-2</v>
      </c>
      <c r="CX792" s="285">
        <f t="shared" si="4207"/>
        <v>1.5297450424929179E-2</v>
      </c>
      <c r="CY792" s="285">
        <f t="shared" si="4207"/>
        <v>2.6972523317368286E-2</v>
      </c>
      <c r="CZ792" s="286">
        <f t="shared" si="4207"/>
        <v>3.6888153227713404E-2</v>
      </c>
      <c r="DA792" s="162">
        <f t="shared" si="4207"/>
        <v>4.062772955103628E-2</v>
      </c>
      <c r="DB792" s="162">
        <f t="shared" si="4207"/>
        <v>3.9336433655450767E-2</v>
      </c>
      <c r="DC792" s="162">
        <f t="shared" si="4207"/>
        <v>3.9106150398113694E-2</v>
      </c>
      <c r="DD792" s="162">
        <f t="shared" si="4207"/>
        <v>3.9515388758007558E-2</v>
      </c>
      <c r="DE792" s="162">
        <f t="shared" si="4207"/>
        <v>4.0410418090246918E-2</v>
      </c>
      <c r="DF792" s="162">
        <f t="shared" si="4207"/>
        <v>4.16505693389045E-2</v>
      </c>
      <c r="DG792" s="162">
        <f t="shared" ref="DG792:DH792" si="4208">DG393/DG419</f>
        <v>4.0942541789020577E-2</v>
      </c>
      <c r="DH792" s="162">
        <f t="shared" si="4208"/>
        <v>3.9650887842625368E-2</v>
      </c>
      <c r="DI792" s="162">
        <f t="shared" ref="DI792" si="4209">DI393/DI419</f>
        <v>3.8398454765730491E-2</v>
      </c>
    </row>
    <row r="793" spans="1:113" ht="12" hidden="1" outlineLevel="1">
      <c r="A793" s="1" t="s">
        <v>812</v>
      </c>
      <c r="B793" s="19" t="s">
        <v>471</v>
      </c>
      <c r="C793" s="408"/>
      <c r="D793" s="408"/>
      <c r="E793" s="408"/>
      <c r="F793" s="408"/>
      <c r="G793" s="408"/>
      <c r="H793" s="408"/>
      <c r="I793" s="408"/>
      <c r="J793" s="408"/>
      <c r="K793" s="408"/>
      <c r="L793" s="408"/>
      <c r="M793" s="408"/>
      <c r="N793" s="408"/>
      <c r="O793" s="408"/>
      <c r="P793" s="408"/>
      <c r="Q793" s="408"/>
      <c r="R793" s="408"/>
      <c r="S793" s="408"/>
      <c r="T793" s="394"/>
      <c r="U793" s="408"/>
      <c r="V793" s="408"/>
      <c r="W793" s="408"/>
      <c r="X793" s="408"/>
      <c r="Y793" s="394"/>
      <c r="Z793" s="394"/>
      <c r="AA793" s="394"/>
      <c r="AB793" s="394"/>
      <c r="AC793" s="394"/>
      <c r="AD793" s="394"/>
      <c r="AE793" s="394"/>
      <c r="AF793" s="394"/>
      <c r="AG793" s="394"/>
      <c r="AH793" s="394"/>
      <c r="AI793" s="394"/>
      <c r="AJ793" s="394"/>
      <c r="AK793" s="394"/>
      <c r="AL793" s="394"/>
      <c r="AM793" s="394"/>
      <c r="AN793" s="394"/>
      <c r="AO793" s="394"/>
      <c r="AP793" s="285">
        <f t="shared" ref="AP793:BI793" si="4210">-AP430/AP419</f>
        <v>0.95214105793450865</v>
      </c>
      <c r="AQ793" s="285">
        <f t="shared" ref="AQ793:AR793" si="4211">-AQ430/AQ419</f>
        <v>0.98403193612774442</v>
      </c>
      <c r="AR793" s="285">
        <f t="shared" si="4211"/>
        <v>0.82949932341001342</v>
      </c>
      <c r="AS793" s="285">
        <f t="shared" ref="AS793:AT793" si="4212">-AS430/AS419</f>
        <v>0.71342078708375389</v>
      </c>
      <c r="AT793" s="285">
        <f t="shared" si="4212"/>
        <v>0.54297820823244558</v>
      </c>
      <c r="AU793" s="285">
        <f t="shared" ref="AU793:AV793" si="4213">-AU430/AU419</f>
        <v>0.53887113951011723</v>
      </c>
      <c r="AV793" s="285">
        <f t="shared" si="4213"/>
        <v>0.52900000000000003</v>
      </c>
      <c r="AW793" s="285">
        <f t="shared" ref="AW793:AX793" si="4214">-AW430/AW419</f>
        <v>0.59227249618708688</v>
      </c>
      <c r="AX793" s="285">
        <f t="shared" si="4214"/>
        <v>0.57441513190642113</v>
      </c>
      <c r="AY793" s="285">
        <f t="shared" si="4210"/>
        <v>0.47927927927927927</v>
      </c>
      <c r="AZ793" s="286">
        <f t="shared" si="4210"/>
        <v>0.48473748473748479</v>
      </c>
      <c r="BA793" s="162">
        <f t="shared" si="4210"/>
        <v>0.44883899907475189</v>
      </c>
      <c r="BB793" s="162">
        <f t="shared" si="4210"/>
        <v>0.43482163032475746</v>
      </c>
      <c r="BC793" s="162">
        <f t="shared" si="4210"/>
        <v>0.41775986702379575</v>
      </c>
      <c r="BD793" s="162">
        <f t="shared" si="4210"/>
        <v>0.4053846284879738</v>
      </c>
      <c r="BE793" s="162">
        <f t="shared" si="4210"/>
        <v>0.3886447844084478</v>
      </c>
      <c r="BF793" s="162">
        <f t="shared" si="4210"/>
        <v>0.38136630107889014</v>
      </c>
      <c r="BG793" s="162">
        <f t="shared" si="4210"/>
        <v>0.36913816635115027</v>
      </c>
      <c r="BH793" s="162">
        <f t="shared" si="4210"/>
        <v>0.3651785290383483</v>
      </c>
      <c r="BI793" s="162">
        <f t="shared" si="4210"/>
        <v>0.35679921557589545</v>
      </c>
      <c r="BJ793" s="162">
        <f t="shared" ref="BJ793:BK793" si="4215">-BJ430/BJ419</f>
        <v>0.35610865075296588</v>
      </c>
      <c r="BK793" s="162">
        <f t="shared" si="4215"/>
        <v>0.34948430340807313</v>
      </c>
      <c r="BL793" s="162">
        <f t="shared" ref="BL793:BM793" si="4216">-BL430/BL419</f>
        <v>0.35128639461241445</v>
      </c>
      <c r="BM793" s="162">
        <f t="shared" si="4216"/>
        <v>0.34638626041408938</v>
      </c>
      <c r="BN793" s="162">
        <f t="shared" ref="BN793:BO793" si="4217">-BN430/BN419</f>
        <v>0.34870514912283529</v>
      </c>
      <c r="BO793" s="162">
        <f t="shared" si="4217"/>
        <v>0.34591523422576081</v>
      </c>
      <c r="BP793" s="162">
        <f t="shared" ref="BP793:BQ793" si="4218">-BP430/BP419</f>
        <v>0.34900321449926841</v>
      </c>
      <c r="BQ793" s="162">
        <f t="shared" si="4218"/>
        <v>0.34716257239560028</v>
      </c>
      <c r="BR793" s="162"/>
      <c r="BS793" s="162"/>
      <c r="BT793" s="162"/>
      <c r="BU793" s="162"/>
      <c r="BV793" s="162"/>
      <c r="BW793" s="162"/>
      <c r="BX793" s="162"/>
      <c r="BY793" s="162"/>
      <c r="BZ793" s="162"/>
      <c r="CA793" s="162"/>
      <c r="CB793" s="162"/>
      <c r="CC793" s="162"/>
      <c r="CD793" s="162"/>
      <c r="CE793" s="162"/>
      <c r="CF793" s="162"/>
      <c r="CG793" s="162"/>
      <c r="CH793" s="162"/>
      <c r="CI793" s="162"/>
      <c r="CJ793" s="162"/>
      <c r="CK793" s="162"/>
      <c r="CL793" s="162"/>
      <c r="CM793" s="285"/>
      <c r="CN793" s="285"/>
      <c r="CO793" s="285"/>
      <c r="CP793" s="285"/>
      <c r="CQ793" s="285"/>
      <c r="CR793" s="285"/>
      <c r="CS793" s="285"/>
      <c r="CT793" s="285">
        <f t="shared" ref="CT793:DF793" si="4219">-CT430/CT419</f>
        <v>23.26991150442478</v>
      </c>
      <c r="CU793" s="285">
        <f t="shared" si="4219"/>
        <v>2.1143827859569648</v>
      </c>
      <c r="CV793" s="285">
        <f t="shared" si="4219"/>
        <v>0.96993318485523383</v>
      </c>
      <c r="CW793" s="285">
        <f t="shared" si="4219"/>
        <v>0.76300578034682076</v>
      </c>
      <c r="CX793" s="285">
        <f>-CX430/CX419</f>
        <v>0.54079320113314444</v>
      </c>
      <c r="CY793" s="285">
        <f t="shared" si="4219"/>
        <v>0.56037307789261415</v>
      </c>
      <c r="CZ793" s="286">
        <f t="shared" si="4219"/>
        <v>0.52447387089146358</v>
      </c>
      <c r="DA793" s="162">
        <f t="shared" si="4219"/>
        <v>0.46587677351851536</v>
      </c>
      <c r="DB793" s="162">
        <f t="shared" si="4219"/>
        <v>0.42604157135535703</v>
      </c>
      <c r="DC793" s="162">
        <f t="shared" si="4219"/>
        <v>0.39676330878851773</v>
      </c>
      <c r="DD793" s="162">
        <f t="shared" si="4219"/>
        <v>0.37511007384413719</v>
      </c>
      <c r="DE793" s="162">
        <f t="shared" si="4219"/>
        <v>0.36091206783016189</v>
      </c>
      <c r="DF793" s="162">
        <f t="shared" si="4219"/>
        <v>0.35274884942909618</v>
      </c>
      <c r="DG793" s="162">
        <f t="shared" ref="DG793:DH793" si="4220">-DG430/DG419</f>
        <v>0.34880627402248504</v>
      </c>
      <c r="DH793" s="162">
        <f t="shared" si="4220"/>
        <v>0.3472999656341007</v>
      </c>
      <c r="DI793" s="162">
        <f t="shared" ref="DI793" si="4221">-DI430/DI419</f>
        <v>0.34807615809910769</v>
      </c>
    </row>
    <row r="794" spans="1:113" ht="12" hidden="1" outlineLevel="1">
      <c r="A794" s="1" t="s">
        <v>813</v>
      </c>
      <c r="B794" s="19" t="s">
        <v>407</v>
      </c>
      <c r="C794" s="408"/>
      <c r="D794" s="408"/>
      <c r="E794" s="408"/>
      <c r="F794" s="408"/>
      <c r="G794" s="408"/>
      <c r="H794" s="408"/>
      <c r="I794" s="408"/>
      <c r="J794" s="408"/>
      <c r="K794" s="408"/>
      <c r="L794" s="408"/>
      <c r="M794" s="408"/>
      <c r="N794" s="408"/>
      <c r="O794" s="408"/>
      <c r="P794" s="408"/>
      <c r="Q794" s="408"/>
      <c r="R794" s="408"/>
      <c r="S794" s="408"/>
      <c r="T794" s="394"/>
      <c r="U794" s="408"/>
      <c r="V794" s="408"/>
      <c r="W794" s="408"/>
      <c r="X794" s="408"/>
      <c r="Y794" s="394"/>
      <c r="Z794" s="394"/>
      <c r="AA794" s="394"/>
      <c r="AB794" s="394"/>
      <c r="AC794" s="394"/>
      <c r="AD794" s="394"/>
      <c r="AE794" s="394"/>
      <c r="AF794" s="394"/>
      <c r="AG794" s="394"/>
      <c r="AH794" s="394"/>
      <c r="AI794" s="394"/>
      <c r="AJ794" s="394"/>
      <c r="AK794" s="394"/>
      <c r="AL794" s="394"/>
      <c r="AM794" s="394"/>
      <c r="AN794" s="394"/>
      <c r="AO794" s="394"/>
      <c r="AP794" s="285"/>
      <c r="AQ794" s="285">
        <f t="shared" ref="AQ794" si="4222">(AQ419/AP419-1)-(AQ430/AP430-1)</f>
        <v>-4.2268068716431406E-2</v>
      </c>
      <c r="AR794" s="285">
        <f t="shared" ref="AR794:AX794" si="4223">(AR419/AQ419-1)-(AR430/AQ430-1)</f>
        <v>0.2316421922888503</v>
      </c>
      <c r="AS794" s="285">
        <f t="shared" si="4223"/>
        <v>0.18765714437083725</v>
      </c>
      <c r="AT794" s="285">
        <f t="shared" si="4223"/>
        <v>0.39826186741493808</v>
      </c>
      <c r="AU794" s="285">
        <f t="shared" si="4223"/>
        <v>8.5987458868814759E-3</v>
      </c>
      <c r="AV794" s="285">
        <f t="shared" si="4223"/>
        <v>1.9508180850033918E-2</v>
      </c>
      <c r="AW794" s="285">
        <f t="shared" si="4223"/>
        <v>-0.11763421550094511</v>
      </c>
      <c r="AX794" s="285">
        <f t="shared" si="4223"/>
        <v>3.079437325309653E-2</v>
      </c>
      <c r="AY794" s="285">
        <f t="shared" ref="AY794:BI794" si="4224">(AY419/AX419-1)-(AY430/AX430-1)</f>
        <v>0.18301697819086216</v>
      </c>
      <c r="AZ794" s="286">
        <f t="shared" si="4224"/>
        <v>-1.2604145498882557E-2</v>
      </c>
      <c r="BA794" s="162">
        <f t="shared" si="4224"/>
        <v>8.1981285655269298E-2</v>
      </c>
      <c r="BB794" s="162">
        <f t="shared" si="4224"/>
        <v>3.414761690438195E-2</v>
      </c>
      <c r="BC794" s="162">
        <f t="shared" si="4224"/>
        <v>4.1599727315273949E-2</v>
      </c>
      <c r="BD794" s="162">
        <f t="shared" si="4224"/>
        <v>3.2069525759383266E-2</v>
      </c>
      <c r="BE794" s="162">
        <f t="shared" si="4224"/>
        <v>4.385112931929136E-2</v>
      </c>
      <c r="BF794" s="162">
        <f t="shared" si="4224"/>
        <v>2.0022543695727091E-2</v>
      </c>
      <c r="BG794" s="162">
        <f t="shared" si="4224"/>
        <v>3.3590567666489823E-2</v>
      </c>
      <c r="BH794" s="162">
        <f t="shared" si="4224"/>
        <v>1.1390021446286092E-2</v>
      </c>
      <c r="BI794" s="162">
        <f t="shared" si="4224"/>
        <v>2.380279163897181E-2</v>
      </c>
      <c r="BJ794" s="162">
        <f t="shared" ref="BJ794" si="4225">(BJ419/BI419-1)-(BJ430/BI430-1)</f>
        <v>2.0360781366990377E-3</v>
      </c>
      <c r="BK794" s="162">
        <f t="shared" ref="BK794" si="4226">(BK419/BJ419-1)-(BK430/BJ430-1)</f>
        <v>1.9144823819399859E-2</v>
      </c>
      <c r="BL794" s="162">
        <f t="shared" ref="BL794" si="4227">(BL419/BK419-1)-(BL430/BK430-1)</f>
        <v>-5.358135134767128E-3</v>
      </c>
      <c r="BM794" s="162">
        <f t="shared" ref="BM794" si="4228">(BM419/BL419-1)-(BM430/BL430-1)</f>
        <v>1.4295575185719001E-2</v>
      </c>
      <c r="BN794" s="162">
        <f t="shared" ref="BN794" si="4229">(BN419/BM419-1)-(BN430/BM430-1)</f>
        <v>-6.9235116539601016E-3</v>
      </c>
      <c r="BO794" s="162">
        <f t="shared" ref="BO794" si="4230">(BO419/BN419-1)-(BO430/BN430-1)</f>
        <v>8.1189541831194756E-3</v>
      </c>
      <c r="BP794" s="162">
        <f t="shared" ref="BP794" si="4231">(BP419/BO419-1)-(BP430/BO430-1)</f>
        <v>-9.2548323941379351E-3</v>
      </c>
      <c r="BQ794" s="162">
        <f t="shared" ref="BQ794" si="4232">(BQ419/BP419-1)-(BQ430/BP430-1)</f>
        <v>5.3517619407612571E-3</v>
      </c>
      <c r="BR794" s="162"/>
      <c r="BS794" s="162"/>
      <c r="BT794" s="162"/>
      <c r="BU794" s="162"/>
      <c r="BV794" s="162"/>
      <c r="BW794" s="162"/>
      <c r="BX794" s="162"/>
      <c r="BY794" s="162"/>
      <c r="BZ794" s="162"/>
      <c r="CA794" s="162"/>
      <c r="CB794" s="162"/>
      <c r="CC794" s="162"/>
      <c r="CD794" s="162"/>
      <c r="CE794" s="162"/>
      <c r="CF794" s="162"/>
      <c r="CG794" s="162"/>
      <c r="CH794" s="162"/>
      <c r="CI794" s="162"/>
      <c r="CJ794" s="162"/>
      <c r="CK794" s="162"/>
      <c r="CL794" s="162"/>
      <c r="CM794" s="285"/>
      <c r="CN794" s="285"/>
      <c r="CO794" s="285"/>
      <c r="CP794" s="285"/>
      <c r="CQ794" s="285"/>
      <c r="CR794" s="285"/>
      <c r="CS794" s="285"/>
      <c r="CT794" s="285"/>
      <c r="CU794" s="285">
        <f t="shared" ref="CU794:DI794" si="4233">(CU419/CT419-1)-(CU430/CT430-1)</f>
        <v>18.944369001363587</v>
      </c>
      <c r="CV794" s="285">
        <f t="shared" si="4233"/>
        <v>1.720199085748116</v>
      </c>
      <c r="CW794" s="285">
        <f t="shared" si="4233"/>
        <v>0.41100391481005105</v>
      </c>
      <c r="CX794" s="285">
        <f t="shared" si="4233"/>
        <v>0.5942503065335436</v>
      </c>
      <c r="CY794" s="285">
        <f t="shared" si="4233"/>
        <v>-4.0687989054382312E-2</v>
      </c>
      <c r="CZ794" s="286">
        <f t="shared" si="4233"/>
        <v>6.8294082954505453E-2</v>
      </c>
      <c r="DA794" s="162">
        <f t="shared" si="4233"/>
        <v>0.13676752333461839</v>
      </c>
      <c r="DB794" s="162">
        <f t="shared" si="4233"/>
        <v>0.10119675390089267</v>
      </c>
      <c r="DC794" s="162">
        <f t="shared" si="4233"/>
        <v>7.8941764211129639E-2</v>
      </c>
      <c r="DD794" s="162">
        <f t="shared" si="4233"/>
        <v>6.1530716460786117E-2</v>
      </c>
      <c r="DE794" s="162">
        <f t="shared" si="4233"/>
        <v>4.1893277700818077E-2</v>
      </c>
      <c r="DF794" s="162">
        <f t="shared" si="4233"/>
        <v>2.4584057144810378E-2</v>
      </c>
      <c r="DG794" s="162">
        <f t="shared" si="4233"/>
        <v>1.1927231243216818E-2</v>
      </c>
      <c r="DH794" s="162">
        <f t="shared" si="4233"/>
        <v>4.5543564936798564E-3</v>
      </c>
      <c r="DI794" s="162">
        <f t="shared" si="4233"/>
        <v>-2.3512052956666807E-3</v>
      </c>
    </row>
    <row r="795" spans="1:113" ht="12" hidden="1" outlineLevel="1">
      <c r="A795" s="1" t="s">
        <v>2099</v>
      </c>
      <c r="B795" s="19" t="s">
        <v>2100</v>
      </c>
      <c r="C795" s="412"/>
      <c r="D795" s="412"/>
      <c r="E795" s="412"/>
      <c r="F795" s="412"/>
      <c r="G795" s="412"/>
      <c r="H795" s="412"/>
      <c r="I795" s="412"/>
      <c r="J795" s="412"/>
      <c r="K795" s="412"/>
      <c r="L795" s="412"/>
      <c r="M795" s="412"/>
      <c r="N795" s="412"/>
      <c r="O795" s="412"/>
      <c r="P795" s="412"/>
      <c r="Q795" s="412"/>
      <c r="R795" s="412"/>
      <c r="S795" s="412"/>
      <c r="T795" s="412"/>
      <c r="U795" s="412"/>
      <c r="V795" s="412"/>
      <c r="W795" s="412"/>
      <c r="X795" s="412"/>
      <c r="Y795" s="388"/>
      <c r="Z795" s="388"/>
      <c r="AA795" s="388"/>
      <c r="AB795" s="388"/>
      <c r="AC795" s="388"/>
      <c r="AD795" s="388"/>
      <c r="AE795" s="388"/>
      <c r="AF795" s="388"/>
      <c r="AG795" s="388"/>
      <c r="AH795" s="388"/>
      <c r="AI795" s="388"/>
      <c r="AJ795" s="388"/>
      <c r="AK795" s="388"/>
      <c r="AL795" s="388"/>
      <c r="AM795" s="388"/>
      <c r="AN795" s="388"/>
      <c r="AO795" s="388"/>
      <c r="AP795" s="172">
        <f t="shared" ref="AP795:BI795" si="4234">(AP178)/(AP204-AP205)</f>
        <v>1.3222932501132532</v>
      </c>
      <c r="AQ795" s="172">
        <f t="shared" ref="AQ795:AR795" si="4235">(AQ178)/(AQ204-AQ205)</f>
        <v>1.3808533186795935</v>
      </c>
      <c r="AR795" s="172">
        <f t="shared" si="4235"/>
        <v>1.4968506854390513</v>
      </c>
      <c r="AS795" s="172">
        <f t="shared" ref="AS795:AT795" si="4236">(AS178)/(AS204-AS205)</f>
        <v>1.489304486004156</v>
      </c>
      <c r="AT795" s="172">
        <f t="shared" si="4236"/>
        <v>1.4233043676674715</v>
      </c>
      <c r="AU795" s="172">
        <f t="shared" ref="AU795:AV795" si="4237">(AU178)/(AU204-AU205)</f>
        <v>1.4958522250209907</v>
      </c>
      <c r="AV795" s="172">
        <f t="shared" si="4237"/>
        <v>1.4019505851755527</v>
      </c>
      <c r="AW795" s="172">
        <f t="shared" ref="AW795:AX795" si="4238">(AW178)/(AW204-AW205)</f>
        <v>1.3018230432668936</v>
      </c>
      <c r="AX795" s="172">
        <f t="shared" si="4238"/>
        <v>1.2955394883203559</v>
      </c>
      <c r="AY795" s="172">
        <f t="shared" si="4234"/>
        <v>1.2617722082759737</v>
      </c>
      <c r="AZ795" s="161">
        <f t="shared" si="4234"/>
        <v>1.2335605083809174</v>
      </c>
      <c r="BA795" s="160">
        <f t="shared" si="4234"/>
        <v>1.2111183990451815</v>
      </c>
      <c r="BB795" s="160">
        <f t="shared" si="4234"/>
        <v>1.1932577694060749</v>
      </c>
      <c r="BC795" s="160">
        <f t="shared" si="4234"/>
        <v>1.1741590290709178</v>
      </c>
      <c r="BD795" s="160">
        <f t="shared" si="4234"/>
        <v>1.1622149716595549</v>
      </c>
      <c r="BE795" s="160">
        <f t="shared" si="4234"/>
        <v>1.1501173845967376</v>
      </c>
      <c r="BF795" s="160">
        <f t="shared" si="4234"/>
        <v>1.13456729043211</v>
      </c>
      <c r="BG795" s="160">
        <f t="shared" si="4234"/>
        <v>1.1227030664213502</v>
      </c>
      <c r="BH795" s="160">
        <f t="shared" si="4234"/>
        <v>1.1227030664213502</v>
      </c>
      <c r="BI795" s="160">
        <f t="shared" si="4234"/>
        <v>1.1227030664213502</v>
      </c>
      <c r="BJ795" s="160">
        <f t="shared" ref="BJ795:BK795" si="4239">(BJ178)/(BJ204-BJ205)</f>
        <v>1.1227030664213502</v>
      </c>
      <c r="BK795" s="160">
        <f t="shared" si="4239"/>
        <v>1.1227030664213502</v>
      </c>
      <c r="BL795" s="160">
        <f t="shared" ref="BL795:BM795" si="4240">(BL178)/(BL204-BL205)</f>
        <v>1.1227030664213502</v>
      </c>
      <c r="BM795" s="160">
        <f t="shared" si="4240"/>
        <v>1.1227030664213502</v>
      </c>
      <c r="BN795" s="160">
        <f t="shared" ref="BN795:BO795" si="4241">(BN178)/(BN204-BN205)</f>
        <v>1.1227030664213502</v>
      </c>
      <c r="BO795" s="160">
        <f t="shared" si="4241"/>
        <v>1.1227030664213502</v>
      </c>
      <c r="BP795" s="160">
        <f t="shared" ref="BP795:BQ795" si="4242">(BP178)/(BP204-BP205)</f>
        <v>1.1227030664213502</v>
      </c>
      <c r="BQ795" s="160">
        <f t="shared" si="4242"/>
        <v>1.1227030664213502</v>
      </c>
      <c r="BR795" s="162"/>
      <c r="BS795" s="160"/>
      <c r="BT795" s="160"/>
      <c r="BU795" s="160"/>
      <c r="BV795" s="160"/>
      <c r="BW795" s="160"/>
      <c r="BX795" s="160"/>
      <c r="BY795" s="160"/>
      <c r="BZ795" s="160"/>
      <c r="CA795" s="160"/>
      <c r="CB795" s="160"/>
      <c r="CC795" s="160"/>
      <c r="CD795" s="160"/>
      <c r="CE795" s="160"/>
      <c r="CF795" s="160"/>
      <c r="CG795" s="160"/>
      <c r="CH795" s="160"/>
      <c r="CI795" s="160"/>
      <c r="CJ795" s="160"/>
      <c r="CK795" s="160"/>
      <c r="CL795" s="160"/>
      <c r="CM795" s="172"/>
      <c r="CN795" s="172"/>
      <c r="CO795" s="172"/>
      <c r="CP795" s="172"/>
      <c r="CQ795" s="172"/>
      <c r="CR795" s="172"/>
      <c r="CS795" s="172"/>
      <c r="CT795" s="172">
        <f t="shared" ref="CT795:DF795" si="4243">(CT178)/(CT204-CT205)</f>
        <v>2.2822988505747124</v>
      </c>
      <c r="CU795" s="172">
        <f t="shared" si="4243"/>
        <v>1.2901918776599584</v>
      </c>
      <c r="CV795" s="172">
        <f t="shared" si="4243"/>
        <v>1.3808533186795935</v>
      </c>
      <c r="CW795" s="172">
        <f t="shared" si="4243"/>
        <v>1.489304486004156</v>
      </c>
      <c r="CX795" s="172">
        <f t="shared" si="4243"/>
        <v>1.4958522250209907</v>
      </c>
      <c r="CY795" s="172">
        <f t="shared" si="4243"/>
        <v>1.3018230432668936</v>
      </c>
      <c r="CZ795" s="161">
        <f t="shared" si="4243"/>
        <v>1.2617722082759737</v>
      </c>
      <c r="DA795" s="160">
        <f t="shared" si="4243"/>
        <v>1.2111183990451815</v>
      </c>
      <c r="DB795" s="160">
        <f t="shared" si="4243"/>
        <v>1.1741590290709178</v>
      </c>
      <c r="DC795" s="160">
        <f t="shared" si="4243"/>
        <v>1.1501173845967376</v>
      </c>
      <c r="DD795" s="160">
        <f t="shared" si="4243"/>
        <v>1.1227030664213502</v>
      </c>
      <c r="DE795" s="160">
        <f t="shared" si="4243"/>
        <v>1.1227030664213502</v>
      </c>
      <c r="DF795" s="160">
        <f t="shared" si="4243"/>
        <v>1.1227030664213502</v>
      </c>
      <c r="DG795" s="160">
        <f t="shared" ref="DG795:DH795" si="4244">(DG178)/(DG204-DG205)</f>
        <v>1.1227030664213502</v>
      </c>
      <c r="DH795" s="160">
        <f t="shared" si="4244"/>
        <v>1.1227030664213502</v>
      </c>
      <c r="DI795" s="160">
        <f t="shared" ref="DI795" si="4245">(DI178)/(DI204-DI205)</f>
        <v>1.1227030664213502</v>
      </c>
    </row>
    <row r="796" spans="1:113" ht="12" hidden="1" outlineLevel="2">
      <c r="A796" s="1" t="s">
        <v>814</v>
      </c>
      <c r="B796" s="19" t="s">
        <v>801</v>
      </c>
      <c r="DB796" s="19"/>
      <c r="DC796" s="19"/>
      <c r="DD796" s="19"/>
      <c r="DE796" s="19"/>
      <c r="DF796" s="19"/>
      <c r="DG796" s="19"/>
      <c r="DH796" s="19"/>
      <c r="DI796" s="19"/>
    </row>
    <row r="797" spans="1:113" ht="12" hidden="1" outlineLevel="2">
      <c r="A797" s="1" t="s">
        <v>43</v>
      </c>
      <c r="B797" s="19" t="s">
        <v>801</v>
      </c>
      <c r="DB797" s="19"/>
      <c r="DC797" s="19"/>
      <c r="DD797" s="19"/>
      <c r="DE797" s="19"/>
      <c r="DF797" s="19"/>
      <c r="DG797" s="19"/>
      <c r="DH797" s="19"/>
      <c r="DI797" s="19"/>
    </row>
    <row r="798" spans="1:113" ht="12" hidden="1" outlineLevel="2">
      <c r="A798" s="1" t="s">
        <v>44</v>
      </c>
      <c r="B798" s="19" t="s">
        <v>801</v>
      </c>
      <c r="DB798" s="19"/>
      <c r="DC798" s="19"/>
      <c r="DD798" s="19"/>
      <c r="DE798" s="19"/>
      <c r="DF798" s="19"/>
      <c r="DG798" s="19"/>
      <c r="DH798" s="19"/>
      <c r="DI798" s="19"/>
    </row>
    <row r="799" spans="1:113" ht="12" hidden="1" outlineLevel="2">
      <c r="A799" s="1" t="s">
        <v>45</v>
      </c>
      <c r="B799" s="19" t="s">
        <v>801</v>
      </c>
      <c r="DB799" s="19"/>
      <c r="DC799" s="19"/>
      <c r="DD799" s="19"/>
      <c r="DE799" s="19"/>
      <c r="DF799" s="19"/>
      <c r="DG799" s="19"/>
      <c r="DH799" s="19"/>
      <c r="DI799" s="19"/>
    </row>
    <row r="800" spans="1:113" ht="12" hidden="1" outlineLevel="2">
      <c r="A800" s="1" t="s">
        <v>46</v>
      </c>
      <c r="B800" s="19" t="s">
        <v>801</v>
      </c>
      <c r="DB800" s="19"/>
      <c r="DC800" s="19"/>
      <c r="DD800" s="19"/>
      <c r="DE800" s="19"/>
      <c r="DF800" s="19"/>
      <c r="DG800" s="19"/>
      <c r="DH800" s="19"/>
      <c r="DI800" s="19"/>
    </row>
    <row r="801" spans="1:113" ht="12" hidden="1" outlineLevel="2">
      <c r="A801" s="1" t="s">
        <v>47</v>
      </c>
      <c r="B801" s="19" t="s">
        <v>801</v>
      </c>
      <c r="DB801" s="19"/>
      <c r="DC801" s="19"/>
      <c r="DD801" s="19"/>
      <c r="DE801" s="19"/>
      <c r="DF801" s="19"/>
      <c r="DG801" s="19"/>
      <c r="DH801" s="19"/>
      <c r="DI801" s="19"/>
    </row>
    <row r="802" spans="1:113" ht="12" hidden="1" outlineLevel="2">
      <c r="A802" s="1" t="s">
        <v>48</v>
      </c>
      <c r="B802" s="19" t="s">
        <v>801</v>
      </c>
      <c r="DC802" s="19"/>
      <c r="DD802" s="19"/>
      <c r="DE802" s="19"/>
      <c r="DF802" s="19"/>
      <c r="DG802" s="19"/>
      <c r="DH802" s="19"/>
      <c r="DI802" s="19"/>
    </row>
    <row r="803" spans="1:113" ht="12" hidden="1" outlineLevel="2">
      <c r="A803" s="1" t="s">
        <v>139</v>
      </c>
      <c r="B803" s="19" t="s">
        <v>801</v>
      </c>
      <c r="DC803" s="19"/>
      <c r="DD803" s="19"/>
      <c r="DE803" s="19"/>
      <c r="DF803" s="19"/>
      <c r="DG803" s="19"/>
      <c r="DH803" s="19"/>
      <c r="DI803" s="19"/>
    </row>
    <row r="804" spans="1:113" ht="12" hidden="1" outlineLevel="2">
      <c r="A804" s="1" t="s">
        <v>140</v>
      </c>
      <c r="B804" s="19" t="s">
        <v>801</v>
      </c>
      <c r="DC804" s="19"/>
      <c r="DD804" s="19"/>
      <c r="DE804" s="19"/>
      <c r="DF804" s="19"/>
      <c r="DG804" s="19"/>
      <c r="DH804" s="19"/>
      <c r="DI804" s="19"/>
    </row>
    <row r="805" spans="1:113" ht="12" hidden="1" outlineLevel="2">
      <c r="A805" s="1" t="s">
        <v>141</v>
      </c>
      <c r="B805" s="19" t="s">
        <v>801</v>
      </c>
      <c r="DC805" s="19"/>
      <c r="DD805" s="19"/>
      <c r="DE805" s="19"/>
      <c r="DF805" s="19"/>
      <c r="DG805" s="19"/>
      <c r="DH805" s="19"/>
      <c r="DI805" s="19"/>
    </row>
    <row r="806" spans="1:113" ht="12" hidden="1" outlineLevel="1" collapsed="1">
      <c r="CQ806" s="157"/>
      <c r="CR806" s="157"/>
      <c r="CS806" s="157"/>
      <c r="CT806" s="157"/>
      <c r="DC806" s="19"/>
      <c r="DD806" s="19"/>
      <c r="DE806" s="19"/>
      <c r="DF806" s="19"/>
      <c r="DG806" s="19"/>
      <c r="DH806" s="19"/>
      <c r="DI806" s="19"/>
    </row>
    <row r="807" spans="1:113" s="24" customFormat="1" ht="12" hidden="1" outlineLevel="1">
      <c r="A807" s="1"/>
      <c r="B807" s="24" t="s">
        <v>570</v>
      </c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613"/>
      <c r="AK807" s="498"/>
      <c r="AL807" s="498"/>
      <c r="AM807" s="498"/>
      <c r="AN807" s="498"/>
      <c r="AO807" s="498"/>
      <c r="AP807" s="498"/>
      <c r="AQ807" s="498"/>
      <c r="AR807" s="498"/>
      <c r="AS807" s="498"/>
      <c r="AT807" s="498"/>
      <c r="AU807" s="498"/>
      <c r="AV807" s="498"/>
      <c r="AW807" s="498"/>
      <c r="AX807" s="498"/>
      <c r="AY807" s="13"/>
      <c r="AZ807" s="2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13"/>
      <c r="CI807" s="13"/>
      <c r="CJ807" s="13"/>
      <c r="CK807" s="13"/>
      <c r="CL807" s="13"/>
      <c r="CM807" s="13"/>
      <c r="CN807" s="13"/>
      <c r="CO807" s="13"/>
      <c r="CP807" s="13"/>
      <c r="CQ807" s="13"/>
      <c r="CR807" s="13"/>
      <c r="CS807" s="13"/>
      <c r="CT807" s="13"/>
      <c r="CU807" s="498"/>
      <c r="CV807" s="498"/>
      <c r="CW807" s="498"/>
      <c r="CX807" s="498"/>
      <c r="CY807" s="498"/>
      <c r="CZ807" s="23"/>
      <c r="DA807" s="13"/>
      <c r="DB807" s="13"/>
    </row>
    <row r="808" spans="1:113" ht="12" hidden="1" outlineLevel="1">
      <c r="A808" s="1" t="s">
        <v>815</v>
      </c>
      <c r="B808" s="19" t="s">
        <v>421</v>
      </c>
      <c r="C808" s="601"/>
      <c r="D808" s="601"/>
      <c r="E808" s="601"/>
      <c r="F808" s="601"/>
      <c r="G808" s="601"/>
      <c r="H808" s="601"/>
      <c r="I808" s="601"/>
      <c r="J808" s="601"/>
      <c r="K808" s="601"/>
      <c r="L808" s="601"/>
      <c r="M808" s="601"/>
      <c r="N808" s="601"/>
      <c r="O808" s="601"/>
      <c r="P808" s="601"/>
      <c r="Q808" s="601"/>
      <c r="R808" s="601"/>
      <c r="S808" s="601"/>
      <c r="T808" s="416"/>
      <c r="U808" s="601"/>
      <c r="V808" s="601"/>
      <c r="W808" s="601"/>
      <c r="X808" s="601"/>
      <c r="Y808" s="416"/>
      <c r="Z808" s="416"/>
      <c r="AA808" s="416"/>
      <c r="AB808" s="416"/>
      <c r="AC808" s="416"/>
      <c r="AD808" s="416"/>
      <c r="AE808" s="416"/>
      <c r="AF808" s="416"/>
      <c r="AG808" s="416"/>
      <c r="AH808" s="416"/>
      <c r="AI808" s="416"/>
      <c r="AJ808" s="416"/>
      <c r="AK808" s="416"/>
      <c r="AL808" s="416"/>
      <c r="AM808" s="416"/>
      <c r="AN808" s="416"/>
      <c r="AO808" s="416"/>
      <c r="AP808" s="167">
        <f t="shared" ref="AP808:BI808" si="4246">-AP470/(AP237-AP232)*AP$5</f>
        <v>0</v>
      </c>
      <c r="AQ808" s="167">
        <f t="shared" ref="AQ808:AR808" si="4247">-AQ470/(AQ237-AQ232)*AQ$5</f>
        <v>0</v>
      </c>
      <c r="AR808" s="167">
        <f t="shared" si="4247"/>
        <v>0</v>
      </c>
      <c r="AS808" s="167">
        <f t="shared" ref="AS808:AT808" si="4248">-AS470/(AS237-AS232)*AS$5</f>
        <v>2.2087143336980437E-3</v>
      </c>
      <c r="AT808" s="167">
        <f t="shared" si="4248"/>
        <v>0</v>
      </c>
      <c r="AU808" s="167">
        <f t="shared" ref="AU808:AV808" si="4249">-AU470/(AU237-AU232)*AU$5</f>
        <v>1.4273119989962222E-3</v>
      </c>
      <c r="AV808" s="167">
        <f t="shared" si="4249"/>
        <v>1.4058613835114461E-3</v>
      </c>
      <c r="AW808" s="167">
        <f t="shared" ref="AW808:AX808" si="4250">-AW470/(AW237-AW232)*AW$5</f>
        <v>5.6162761415218263E-3</v>
      </c>
      <c r="AX808" s="167">
        <f t="shared" si="4250"/>
        <v>3.5999972808500418E-3</v>
      </c>
      <c r="AY808" s="167">
        <f t="shared" si="4246"/>
        <v>3.852367662520785E-3</v>
      </c>
      <c r="AZ808" s="174">
        <f t="shared" si="4246"/>
        <v>5.7022160968498228E-3</v>
      </c>
      <c r="BA808" s="166">
        <f t="shared" si="4246"/>
        <v>6.2022160968498233E-3</v>
      </c>
      <c r="BB808" s="166">
        <f t="shared" si="4246"/>
        <v>6.6022160968498235E-3</v>
      </c>
      <c r="BC808" s="166">
        <f t="shared" si="4246"/>
        <v>7.0022160968498236E-3</v>
      </c>
      <c r="BD808" s="166">
        <f t="shared" si="4246"/>
        <v>7.402216096849823E-3</v>
      </c>
      <c r="BE808" s="166">
        <f t="shared" si="4246"/>
        <v>7.8022160968498231E-3</v>
      </c>
      <c r="BF808" s="166">
        <f t="shared" si="4246"/>
        <v>7.4022160968498238E-3</v>
      </c>
      <c r="BG808" s="166">
        <f t="shared" si="4246"/>
        <v>7.0022160968498245E-3</v>
      </c>
      <c r="BH808" s="166">
        <f t="shared" si="4246"/>
        <v>6.6022160968498235E-3</v>
      </c>
      <c r="BI808" s="166">
        <f t="shared" si="4246"/>
        <v>6.2022160968498224E-3</v>
      </c>
      <c r="BJ808" s="166">
        <f t="shared" ref="BJ808:BK808" si="4251">-BJ470/(BJ237-BJ232)*BJ$5</f>
        <v>6.0022160968498236E-3</v>
      </c>
      <c r="BK808" s="166">
        <f t="shared" si="4251"/>
        <v>6.0022160968498236E-3</v>
      </c>
      <c r="BL808" s="166">
        <f t="shared" ref="BL808:BM808" si="4252">-BL470/(BL237-BL232)*BL$5</f>
        <v>6.0022160968498236E-3</v>
      </c>
      <c r="BM808" s="166">
        <f t="shared" si="4252"/>
        <v>6.0022160968498236E-3</v>
      </c>
      <c r="BN808" s="166">
        <f t="shared" ref="BN808:BO808" si="4253">-BN470/(BN237-BN232)*BN$5</f>
        <v>6.0022160968498236E-3</v>
      </c>
      <c r="BO808" s="166">
        <f t="shared" si="4253"/>
        <v>6.0022160968498245E-3</v>
      </c>
      <c r="BP808" s="166">
        <f t="shared" ref="BP808:BQ808" si="4254">-BP470/(BP237-BP232)*BP$5</f>
        <v>6.0022160968498245E-3</v>
      </c>
      <c r="BQ808" s="166">
        <f t="shared" si="4254"/>
        <v>6.0022160968498245E-3</v>
      </c>
      <c r="BR808" s="166"/>
      <c r="BS808" s="166"/>
      <c r="BT808" s="166"/>
      <c r="BU808" s="166"/>
      <c r="BV808" s="166"/>
      <c r="BW808" s="166"/>
      <c r="BX808" s="166"/>
      <c r="BY808" s="166"/>
      <c r="BZ808" s="166"/>
      <c r="CA808" s="166"/>
      <c r="CB808" s="166"/>
      <c r="CC808" s="166"/>
      <c r="CD808" s="166"/>
      <c r="CE808" s="166"/>
      <c r="CF808" s="166"/>
      <c r="CG808" s="166"/>
      <c r="CH808" s="166"/>
      <c r="CI808" s="166"/>
      <c r="CJ808" s="166"/>
      <c r="CK808" s="166"/>
      <c r="CL808" s="166"/>
      <c r="CM808" s="167"/>
      <c r="CN808" s="167"/>
      <c r="CO808" s="167"/>
      <c r="CP808" s="167"/>
      <c r="CQ808" s="167"/>
      <c r="CR808" s="167"/>
      <c r="CS808" s="167"/>
      <c r="CT808" s="167">
        <f t="shared" ref="CT808:DD808" si="4255">-CT470/(CT237-CT232)*CT$5</f>
        <v>0</v>
      </c>
      <c r="CU808" s="167">
        <f t="shared" si="4255"/>
        <v>0</v>
      </c>
      <c r="CV808" s="167">
        <f t="shared" si="4255"/>
        <v>0</v>
      </c>
      <c r="CW808" s="167">
        <f t="shared" si="4255"/>
        <v>1.2369382653590428E-3</v>
      </c>
      <c r="CX808" s="167">
        <f t="shared" si="4255"/>
        <v>7.6879963270786171E-4</v>
      </c>
      <c r="CY808" s="167">
        <f t="shared" si="4255"/>
        <v>3.5704916401686766E-3</v>
      </c>
      <c r="CZ808" s="174">
        <f t="shared" si="4255"/>
        <v>3.7287612744439625E-3</v>
      </c>
      <c r="DA808" s="166">
        <f t="shared" si="4255"/>
        <v>5.9611853956945179E-3</v>
      </c>
      <c r="DB808" s="166">
        <f t="shared" si="4255"/>
        <v>6.8084972659604795E-3</v>
      </c>
      <c r="DC808" s="166">
        <f t="shared" si="4255"/>
        <v>7.6085873592407899E-3</v>
      </c>
      <c r="DD808" s="166">
        <f t="shared" si="4255"/>
        <v>7.1968534874249724E-3</v>
      </c>
      <c r="DE808" s="166">
        <f>-DE470/(DE237-DE232)*DE$5</f>
        <v>6.3977280495795029E-3</v>
      </c>
      <c r="DF808" s="166">
        <f>-DF470/(DF237-DF232)*DF$5</f>
        <v>6.002216096849821E-3</v>
      </c>
      <c r="DG808" s="166">
        <f t="shared" ref="DG808:DH808" si="4256">-DG470/(DG237-DG232)*DG$5</f>
        <v>6.0022160968498254E-3</v>
      </c>
      <c r="DH808" s="166">
        <f t="shared" si="4256"/>
        <v>6.0022160968498236E-3</v>
      </c>
      <c r="DI808" s="166">
        <f t="shared" ref="DI808" si="4257">-DI470/(DI237-DI232)*DI$5</f>
        <v>6.0022160968498236E-3</v>
      </c>
    </row>
    <row r="809" spans="1:113" ht="12" hidden="1" outlineLevel="1">
      <c r="A809" s="1" t="s">
        <v>816</v>
      </c>
      <c r="B809" s="19" t="s">
        <v>859</v>
      </c>
      <c r="C809" s="601"/>
      <c r="D809" s="601"/>
      <c r="E809" s="601"/>
      <c r="F809" s="601"/>
      <c r="G809" s="601"/>
      <c r="H809" s="601"/>
      <c r="I809" s="601"/>
      <c r="J809" s="601"/>
      <c r="K809" s="601"/>
      <c r="L809" s="601"/>
      <c r="M809" s="601"/>
      <c r="N809" s="601"/>
      <c r="O809" s="601"/>
      <c r="P809" s="601"/>
      <c r="Q809" s="601"/>
      <c r="R809" s="601"/>
      <c r="S809" s="601"/>
      <c r="T809" s="416"/>
      <c r="U809" s="601"/>
      <c r="V809" s="601"/>
      <c r="W809" s="601"/>
      <c r="X809" s="601"/>
      <c r="Y809" s="416"/>
      <c r="Z809" s="416"/>
      <c r="AA809" s="416"/>
      <c r="AB809" s="416"/>
      <c r="AC809" s="416"/>
      <c r="AD809" s="416"/>
      <c r="AE809" s="416"/>
      <c r="AF809" s="416"/>
      <c r="AG809" s="416"/>
      <c r="AH809" s="416"/>
      <c r="AI809" s="416"/>
      <c r="AJ809" s="416"/>
      <c r="AK809" s="416"/>
      <c r="AL809" s="416"/>
      <c r="AM809" s="416"/>
      <c r="AN809" s="416"/>
      <c r="AO809" s="416"/>
      <c r="AP809" s="167">
        <f t="shared" ref="AP809:BI809" si="4258">-AP470/AP237*AP$5</f>
        <v>0</v>
      </c>
      <c r="AQ809" s="167">
        <f t="shared" ref="AQ809:AR809" si="4259">-AQ470/AQ237*AQ$5</f>
        <v>0</v>
      </c>
      <c r="AR809" s="167">
        <f t="shared" si="4259"/>
        <v>0</v>
      </c>
      <c r="AS809" s="167">
        <f t="shared" ref="AS809:AT809" si="4260">-AS470/AS237*AS$5</f>
        <v>1.9840069247943942E-3</v>
      </c>
      <c r="AT809" s="167">
        <f t="shared" si="4260"/>
        <v>0</v>
      </c>
      <c r="AU809" s="167">
        <f t="shared" ref="AU809:AV809" si="4261">-AU470/AU237*AU$5</f>
        <v>1.2775814145019047E-3</v>
      </c>
      <c r="AV809" s="167">
        <f t="shared" si="4261"/>
        <v>1.2551732155312717E-3</v>
      </c>
      <c r="AW809" s="167">
        <f t="shared" ref="AW809:AX809" si="4262">-AW470/AW237*AW$5</f>
        <v>5.0144349964816749E-3</v>
      </c>
      <c r="AX809" s="167">
        <f t="shared" si="4262"/>
        <v>3.2342863894139892E-3</v>
      </c>
      <c r="AY809" s="167">
        <f t="shared" si="4258"/>
        <v>3.4871680551802433E-3</v>
      </c>
      <c r="AZ809" s="174">
        <f t="shared" si="4258"/>
        <v>5.1889586541878927E-3</v>
      </c>
      <c r="BA809" s="166">
        <f t="shared" si="4258"/>
        <v>5.6821170343622478E-3</v>
      </c>
      <c r="BB809" s="166">
        <f t="shared" si="4258"/>
        <v>6.0715056219324895E-3</v>
      </c>
      <c r="BC809" s="166">
        <f t="shared" si="4258"/>
        <v>6.4693760776626565E-3</v>
      </c>
      <c r="BD809" s="166">
        <f t="shared" si="4258"/>
        <v>6.8555730328502956E-3</v>
      </c>
      <c r="BE809" s="166">
        <f t="shared" si="4258"/>
        <v>7.2500386516061756E-3</v>
      </c>
      <c r="BF809" s="166">
        <f t="shared" si="4258"/>
        <v>6.8916883694809129E-3</v>
      </c>
      <c r="BG809" s="166">
        <f t="shared" si="4258"/>
        <v>6.5392219544374418E-3</v>
      </c>
      <c r="BH809" s="166">
        <f t="shared" si="4258"/>
        <v>6.1748779026420822E-3</v>
      </c>
      <c r="BI809" s="166">
        <f t="shared" si="4258"/>
        <v>5.8160448220873542E-3</v>
      </c>
      <c r="BJ809" s="166">
        <f t="shared" ref="BJ809:BK809" si="4263">-BJ470/BJ237*BJ$5</f>
        <v>5.6350213099360504E-3</v>
      </c>
      <c r="BK809" s="166">
        <f t="shared" si="4263"/>
        <v>5.6460842704247971E-3</v>
      </c>
      <c r="BL809" s="166">
        <f t="shared" ref="BL809:BM809" si="4264">-BL470/BL237*BL$5</f>
        <v>5.6493118521333792E-3</v>
      </c>
      <c r="BM809" s="166">
        <f t="shared" si="4264"/>
        <v>5.6570643575953585E-3</v>
      </c>
      <c r="BN809" s="166">
        <f t="shared" ref="BN809:BO809" si="4265">-BN470/BN237*BN$5</f>
        <v>5.6586226322805641E-3</v>
      </c>
      <c r="BO809" s="166">
        <f t="shared" si="4265"/>
        <v>5.6646541932660515E-3</v>
      </c>
      <c r="BP809" s="166">
        <f t="shared" ref="BP809:BQ809" si="4266">-BP470/BP237*BP$5</f>
        <v>5.6661801747727083E-3</v>
      </c>
      <c r="BQ809" s="166">
        <f t="shared" si="4266"/>
        <v>5.672089577225147E-3</v>
      </c>
      <c r="BR809" s="166"/>
      <c r="BS809" s="166"/>
      <c r="BT809" s="166"/>
      <c r="BU809" s="166"/>
      <c r="BV809" s="166"/>
      <c r="BW809" s="166"/>
      <c r="BX809" s="166"/>
      <c r="BY809" s="166"/>
      <c r="BZ809" s="166"/>
      <c r="CA809" s="166"/>
      <c r="CB809" s="166"/>
      <c r="CC809" s="166"/>
      <c r="CD809" s="166"/>
      <c r="CE809" s="166"/>
      <c r="CF809" s="166"/>
      <c r="CG809" s="166"/>
      <c r="CH809" s="166"/>
      <c r="CI809" s="166"/>
      <c r="CJ809" s="166"/>
      <c r="CK809" s="166"/>
      <c r="CL809" s="166"/>
      <c r="CM809" s="167"/>
      <c r="CN809" s="167"/>
      <c r="CO809" s="167"/>
      <c r="CP809" s="167"/>
      <c r="CQ809" s="167"/>
      <c r="CR809" s="167"/>
      <c r="CS809" s="167"/>
      <c r="CT809" s="167">
        <f t="shared" ref="CT809:DD809" si="4267">-CT470/CT237*CT$5</f>
        <v>0</v>
      </c>
      <c r="CU809" s="167">
        <f t="shared" si="4267"/>
        <v>0</v>
      </c>
      <c r="CV809" s="167">
        <f t="shared" si="4267"/>
        <v>0</v>
      </c>
      <c r="CW809" s="167">
        <f t="shared" si="4267"/>
        <v>1.1104127383197151E-3</v>
      </c>
      <c r="CX809" s="167">
        <f t="shared" si="4267"/>
        <v>6.8825910931174085E-4</v>
      </c>
      <c r="CY809" s="167">
        <f t="shared" si="4267"/>
        <v>3.1898420563641994E-3</v>
      </c>
      <c r="CZ809" s="174">
        <f t="shared" si="4267"/>
        <v>3.3628355663755014E-3</v>
      </c>
      <c r="DA809" s="166">
        <f t="shared" si="4267"/>
        <v>5.4435545287139023E-3</v>
      </c>
      <c r="DB809" s="166">
        <f t="shared" si="4267"/>
        <v>6.2762263053967298E-3</v>
      </c>
      <c r="DC809" s="166">
        <f t="shared" si="4267"/>
        <v>7.0587622041212777E-3</v>
      </c>
      <c r="DD809" s="166">
        <f t="shared" si="4267"/>
        <v>6.7109988114975429E-3</v>
      </c>
      <c r="DE809" s="166">
        <f>-DE470/DE237*DE$5</f>
        <v>5.9916710370749512E-3</v>
      </c>
      <c r="DF809" s="166">
        <f>-DF470/DF237*DF$5</f>
        <v>5.6406469640339334E-3</v>
      </c>
      <c r="DG809" s="166">
        <f t="shared" ref="DG809:DH809" si="4268">-DG470/DG237*DG$5</f>
        <v>5.6532485388981028E-3</v>
      </c>
      <c r="DH809" s="166">
        <f t="shared" si="4268"/>
        <v>5.661670336924573E-3</v>
      </c>
      <c r="DI809" s="166">
        <f t="shared" ref="DI809" si="4269">-DI470/DI237*DI$5</f>
        <v>5.6691662006072268E-3</v>
      </c>
    </row>
    <row r="810" spans="1:113" ht="12" hidden="1" outlineLevel="1">
      <c r="A810" s="1" t="s">
        <v>817</v>
      </c>
      <c r="B810" s="19" t="s">
        <v>350</v>
      </c>
      <c r="C810" s="601"/>
      <c r="D810" s="601"/>
      <c r="E810" s="601"/>
      <c r="F810" s="601"/>
      <c r="G810" s="601"/>
      <c r="H810" s="601"/>
      <c r="I810" s="601"/>
      <c r="J810" s="601"/>
      <c r="K810" s="601"/>
      <c r="L810" s="601"/>
      <c r="M810" s="601"/>
      <c r="N810" s="601"/>
      <c r="O810" s="601"/>
      <c r="P810" s="601"/>
      <c r="Q810" s="601"/>
      <c r="R810" s="601"/>
      <c r="S810" s="601"/>
      <c r="T810" s="416"/>
      <c r="U810" s="601"/>
      <c r="V810" s="601"/>
      <c r="W810" s="601"/>
      <c r="X810" s="601"/>
      <c r="Y810" s="416"/>
      <c r="Z810" s="416"/>
      <c r="AA810" s="416"/>
      <c r="AB810" s="416"/>
      <c r="AC810" s="416"/>
      <c r="AD810" s="416"/>
      <c r="AE810" s="416"/>
      <c r="AF810" s="416"/>
      <c r="AG810" s="416"/>
      <c r="AH810" s="416"/>
      <c r="AI810" s="416"/>
      <c r="AJ810" s="416"/>
      <c r="AK810" s="416"/>
      <c r="AL810" s="416"/>
      <c r="AM810" s="416"/>
      <c r="AN810" s="416"/>
      <c r="AO810" s="416"/>
      <c r="AP810" s="167">
        <f t="shared" ref="AP810:BI810" si="4270">-AP472/(AP237-AP232)*AP$5</f>
        <v>8.4454949788776296E-3</v>
      </c>
      <c r="AQ810" s="167">
        <f t="shared" ref="AQ810:AR810" si="4271">-AQ472/(AQ237-AQ232)*AQ$5</f>
        <v>1.1336900122582423E-3</v>
      </c>
      <c r="AR810" s="167">
        <f t="shared" si="4271"/>
        <v>5.0858207441235549E-3</v>
      </c>
      <c r="AS810" s="167">
        <f t="shared" ref="AS810:AT810" si="4272">-AS472/(AS237-AS232)*AS$5</f>
        <v>6.5844691457413382E-3</v>
      </c>
      <c r="AT810" s="167">
        <f t="shared" si="4272"/>
        <v>7.2689894870297022E-3</v>
      </c>
      <c r="AU810" s="167">
        <f t="shared" ref="AU810:AV810" si="4273">-AU472/(AU237-AU232)*AU$5</f>
        <v>9.0396426603094084E-3</v>
      </c>
      <c r="AV810" s="167">
        <f t="shared" si="4273"/>
        <v>6.3859466234079251E-3</v>
      </c>
      <c r="AW810" s="167">
        <f t="shared" ref="AW810:AX810" si="4274">-AW472/(AW237-AW232)*AW$5</f>
        <v>9.7273902771158015E-3</v>
      </c>
      <c r="AX810" s="167">
        <f t="shared" si="4274"/>
        <v>5.6655694911738365E-3</v>
      </c>
      <c r="AY810" s="167">
        <f t="shared" si="4270"/>
        <v>8.8189004823392477E-3</v>
      </c>
      <c r="AZ810" s="174">
        <f t="shared" si="4270"/>
        <v>6.8053233774904133E-3</v>
      </c>
      <c r="BA810" s="166">
        <f t="shared" si="4270"/>
        <v>6.9463679450980659E-3</v>
      </c>
      <c r="BB810" s="166">
        <f t="shared" si="4270"/>
        <v>7.7251095373218658E-3</v>
      </c>
      <c r="BC810" s="166">
        <f t="shared" si="4270"/>
        <v>8.8313964600647173E-3</v>
      </c>
      <c r="BD810" s="166">
        <f t="shared" si="4270"/>
        <v>8.073615919107267E-3</v>
      </c>
      <c r="BE810" s="166">
        <f t="shared" si="4270"/>
        <v>8.3072028136648851E-3</v>
      </c>
      <c r="BF810" s="166">
        <f t="shared" si="4270"/>
        <v>7.3600312926999575E-3</v>
      </c>
      <c r="BG810" s="166">
        <f t="shared" si="4270"/>
        <v>7.0824900973304825E-3</v>
      </c>
      <c r="BH810" s="166">
        <f t="shared" si="4270"/>
        <v>6.4854984596478807E-3</v>
      </c>
      <c r="BI810" s="166">
        <f t="shared" si="4270"/>
        <v>6.7188487136891281E-3</v>
      </c>
      <c r="BJ810" s="166">
        <f t="shared" ref="BJ810:BK810" si="4275">-BJ472/(BJ237-BJ232)*BJ$5</f>
        <v>6.1239798430435125E-3</v>
      </c>
      <c r="BK810" s="166">
        <f t="shared" si="4275"/>
        <v>6.3726288429072049E-3</v>
      </c>
      <c r="BL810" s="166">
        <f t="shared" ref="BL810:BM810" si="4276">-BL472/(BL237-BL232)*BL$5</f>
        <v>5.796477588725292E-3</v>
      </c>
      <c r="BM810" s="166">
        <f t="shared" si="4276"/>
        <v>6.0123215460607515E-3</v>
      </c>
      <c r="BN810" s="166">
        <f t="shared" ref="BN810:BO810" si="4277">-BN472/(BN237-BN232)*BN$5</f>
        <v>5.5073440977897571E-3</v>
      </c>
      <c r="BO810" s="166">
        <f t="shared" si="4277"/>
        <v>5.7527814362868255E-3</v>
      </c>
      <c r="BP810" s="166">
        <f t="shared" ref="BP810:BQ810" si="4278">-BP472/(BP237-BP232)*BP$5</f>
        <v>5.3118491084196938E-3</v>
      </c>
      <c r="BQ810" s="166">
        <f t="shared" si="4278"/>
        <v>5.5518151296800062E-3</v>
      </c>
      <c r="BR810" s="166"/>
      <c r="BS810" s="166"/>
      <c r="BT810" s="166"/>
      <c r="BU810" s="166"/>
      <c r="BV810" s="166"/>
      <c r="BW810" s="166"/>
      <c r="BX810" s="166"/>
      <c r="BY810" s="166"/>
      <c r="BZ810" s="166"/>
      <c r="CA810" s="166"/>
      <c r="CB810" s="166"/>
      <c r="CC810" s="166"/>
      <c r="CD810" s="166"/>
      <c r="CE810" s="166"/>
      <c r="CF810" s="166"/>
      <c r="CG810" s="166"/>
      <c r="CH810" s="166"/>
      <c r="CI810" s="166"/>
      <c r="CJ810" s="166"/>
      <c r="CK810" s="166"/>
      <c r="CL810" s="166"/>
      <c r="CM810" s="167"/>
      <c r="CN810" s="167"/>
      <c r="CO810" s="167"/>
      <c r="CP810" s="167"/>
      <c r="CQ810" s="167"/>
      <c r="CR810" s="167"/>
      <c r="CS810" s="167"/>
      <c r="CT810" s="167">
        <f t="shared" ref="CT810:DD810" si="4279">-CT472/(CT237-CT232)*CT$5</f>
        <v>2.1972568873765613E-2</v>
      </c>
      <c r="CU810" s="167">
        <f t="shared" si="4279"/>
        <v>2.563861857390087E-2</v>
      </c>
      <c r="CV810" s="167">
        <f t="shared" si="4279"/>
        <v>4.2565548877702159E-3</v>
      </c>
      <c r="CW810" s="167">
        <f t="shared" si="4279"/>
        <v>5.9279682905886196E-3</v>
      </c>
      <c r="CX810" s="167">
        <f t="shared" si="4279"/>
        <v>8.2306784207547556E-3</v>
      </c>
      <c r="CY810" s="167">
        <f t="shared" si="4279"/>
        <v>8.1000473778583895E-3</v>
      </c>
      <c r="CZ810" s="174">
        <f t="shared" si="4279"/>
        <v>7.2744567498842158E-3</v>
      </c>
      <c r="DA810" s="166">
        <f t="shared" si="4279"/>
        <v>6.8783758030488279E-3</v>
      </c>
      <c r="DB810" s="166">
        <f t="shared" si="4279"/>
        <v>8.2956249368099279E-3</v>
      </c>
      <c r="DC810" s="166">
        <f t="shared" si="4279"/>
        <v>8.1941299748768699E-3</v>
      </c>
      <c r="DD810" s="166">
        <f t="shared" si="4279"/>
        <v>7.2175398324400373E-3</v>
      </c>
      <c r="DE810" s="166">
        <f>-DE472/(DE237-DE232)*DE$5</f>
        <v>6.6047918040952024E-3</v>
      </c>
      <c r="DF810" s="166">
        <f>-DF472/(DF237-DF232)*DF$5</f>
        <v>6.2505428596670567E-3</v>
      </c>
      <c r="DG810" s="166">
        <f t="shared" ref="DG810:DH810" si="4280">-DG472/(DG237-DG232)*DG$5</f>
        <v>5.9061561423095002E-3</v>
      </c>
      <c r="DH810" s="166">
        <f t="shared" si="4280"/>
        <v>5.6314271909697977E-3</v>
      </c>
      <c r="DI810" s="166">
        <f t="shared" ref="DI810" si="4281">-DI472/(DI237-DI232)*DI$5</f>
        <v>5.4331666595489473E-3</v>
      </c>
    </row>
    <row r="811" spans="1:113" ht="12" hidden="1" outlineLevel="1">
      <c r="A811" s="1" t="s">
        <v>818</v>
      </c>
      <c r="B811" s="19" t="s">
        <v>349</v>
      </c>
      <c r="C811" s="601"/>
      <c r="D811" s="601"/>
      <c r="E811" s="601"/>
      <c r="F811" s="601"/>
      <c r="G811" s="601"/>
      <c r="H811" s="601"/>
      <c r="I811" s="601"/>
      <c r="J811" s="601"/>
      <c r="K811" s="601"/>
      <c r="L811" s="601"/>
      <c r="M811" s="601"/>
      <c r="N811" s="601"/>
      <c r="O811" s="601"/>
      <c r="P811" s="601"/>
      <c r="Q811" s="601"/>
      <c r="R811" s="601"/>
      <c r="S811" s="601"/>
      <c r="T811" s="416"/>
      <c r="U811" s="601"/>
      <c r="V811" s="601"/>
      <c r="W811" s="601"/>
      <c r="X811" s="601"/>
      <c r="Y811" s="416"/>
      <c r="Z811" s="416"/>
      <c r="AA811" s="416"/>
      <c r="AB811" s="416"/>
      <c r="AC811" s="416"/>
      <c r="AD811" s="416"/>
      <c r="AE811" s="416"/>
      <c r="AF811" s="416"/>
      <c r="AG811" s="416"/>
      <c r="AH811" s="416"/>
      <c r="AI811" s="416"/>
      <c r="AJ811" s="416"/>
      <c r="AK811" s="416"/>
      <c r="AL811" s="416"/>
      <c r="AM811" s="416"/>
      <c r="AN811" s="416"/>
      <c r="AO811" s="416"/>
      <c r="AP811" s="167">
        <f t="shared" ref="AP811:BI811" si="4282">-AP472/AP237*AP$5</f>
        <v>7.6642786561264831E-3</v>
      </c>
      <c r="AQ811" s="167">
        <f t="shared" ref="AQ811:AR811" si="4283">-AQ472/AQ237*AQ$5</f>
        <v>1.0222581542592224E-3</v>
      </c>
      <c r="AR811" s="167">
        <f t="shared" si="4283"/>
        <v>4.5678767716165903E-3</v>
      </c>
      <c r="AS811" s="167">
        <f t="shared" ref="AS811:AT811" si="4284">-AS472/AS237*AS$5</f>
        <v>5.9145866814625352E-3</v>
      </c>
      <c r="AT811" s="167">
        <f t="shared" si="4284"/>
        <v>6.523582516366061E-3</v>
      </c>
      <c r="AU811" s="167">
        <f t="shared" ref="AU811:AV811" si="4285">-AU472/AU237*AU$5</f>
        <v>8.0913489585120631E-3</v>
      </c>
      <c r="AV811" s="167">
        <f t="shared" si="4285"/>
        <v>5.7014647756335737E-3</v>
      </c>
      <c r="AW811" s="167">
        <f t="shared" ref="AW811:AX811" si="4286">-AW472/AW237*AW$5</f>
        <v>8.6850014139062612E-3</v>
      </c>
      <c r="AX811" s="167">
        <f t="shared" si="4286"/>
        <v>5.0900244817007039E-3</v>
      </c>
      <c r="AY811" s="167">
        <f t="shared" si="4282"/>
        <v>7.9828798125939869E-3</v>
      </c>
      <c r="AZ811" s="174">
        <f t="shared" si="4282"/>
        <v>6.192775060504003E-3</v>
      </c>
      <c r="BA811" s="166">
        <f t="shared" si="4282"/>
        <v>6.3638665617982747E-3</v>
      </c>
      <c r="BB811" s="166">
        <f t="shared" si="4282"/>
        <v>7.1041367470951579E-3</v>
      </c>
      <c r="BC811" s="166">
        <f t="shared" si="4282"/>
        <v>8.159363293115271E-3</v>
      </c>
      <c r="BD811" s="166">
        <f t="shared" si="4282"/>
        <v>7.4773909392050492E-3</v>
      </c>
      <c r="BE811" s="166">
        <f t="shared" si="4282"/>
        <v>7.7192865127279813E-3</v>
      </c>
      <c r="BF811" s="166">
        <f t="shared" si="4282"/>
        <v>6.852413033510623E-3</v>
      </c>
      <c r="BG811" s="166">
        <f t="shared" si="4282"/>
        <v>6.6141881507177595E-3</v>
      </c>
      <c r="BH811" s="166">
        <f t="shared" si="4282"/>
        <v>6.0657149870036869E-3</v>
      </c>
      <c r="BI811" s="166">
        <f t="shared" si="4282"/>
        <v>6.3005101179057048E-3</v>
      </c>
      <c r="BJ811" s="166">
        <f t="shared" ref="BJ811:BK811" si="4287">-BJ472/BJ237*BJ$5</f>
        <v>5.7493359719721603E-3</v>
      </c>
      <c r="BK811" s="166">
        <f t="shared" si="4287"/>
        <v>5.9945191726898245E-3</v>
      </c>
      <c r="BL811" s="166">
        <f t="shared" ref="BL811:BM811" si="4288">-BL472/BL237*BL$5</f>
        <v>5.4556698749646197E-3</v>
      </c>
      <c r="BM811" s="166">
        <f t="shared" si="4288"/>
        <v>5.6665887025416587E-3</v>
      </c>
      <c r="BN811" s="166">
        <f t="shared" ref="BN811:BO811" si="4289">-BN472/BN237*BN$5</f>
        <v>5.19207930082122E-3</v>
      </c>
      <c r="BO811" s="166">
        <f t="shared" si="4289"/>
        <v>5.4292476245745881E-3</v>
      </c>
      <c r="BP811" s="166">
        <f t="shared" ref="BP811:BQ811" si="4290">-BP472/BP237*BP$5</f>
        <v>5.0144635954223965E-3</v>
      </c>
      <c r="BQ811" s="166">
        <f t="shared" si="4290"/>
        <v>5.2464610110032721E-3</v>
      </c>
      <c r="BR811" s="166"/>
      <c r="BS811" s="166"/>
      <c r="BT811" s="166"/>
      <c r="BU811" s="166"/>
      <c r="BV811" s="166"/>
      <c r="BW811" s="166"/>
      <c r="BX811" s="166"/>
      <c r="BY811" s="166"/>
      <c r="BZ811" s="166"/>
      <c r="CA811" s="166"/>
      <c r="CB811" s="166"/>
      <c r="CC811" s="166"/>
      <c r="CD811" s="166"/>
      <c r="CE811" s="166"/>
      <c r="CF811" s="166"/>
      <c r="CG811" s="166"/>
      <c r="CH811" s="166"/>
      <c r="CI811" s="166"/>
      <c r="CJ811" s="166"/>
      <c r="CK811" s="166"/>
      <c r="CL811" s="166"/>
      <c r="CM811" s="167"/>
      <c r="CN811" s="167"/>
      <c r="CO811" s="167"/>
      <c r="CP811" s="167"/>
      <c r="CQ811" s="167"/>
      <c r="CR811" s="167"/>
      <c r="CS811" s="167"/>
      <c r="CT811" s="167">
        <f t="shared" ref="CT811:DD811" si="4291">-CT472/CT237*CT$5</f>
        <v>2.1533117496290301E-2</v>
      </c>
      <c r="CU811" s="167">
        <f t="shared" si="4291"/>
        <v>2.4227614955798917E-2</v>
      </c>
      <c r="CV811" s="167">
        <f t="shared" si="4291"/>
        <v>3.8813351637709964E-3</v>
      </c>
      <c r="CW811" s="167">
        <f t="shared" si="4291"/>
        <v>5.3216006704378798E-3</v>
      </c>
      <c r="CX811" s="167">
        <f t="shared" si="4291"/>
        <v>7.3684210526315779E-3</v>
      </c>
      <c r="CY811" s="167">
        <f t="shared" si="4291"/>
        <v>7.2365025291627949E-3</v>
      </c>
      <c r="CZ811" s="174">
        <f t="shared" si="4291"/>
        <v>6.5605706785878638E-3</v>
      </c>
      <c r="DA811" s="166">
        <f t="shared" si="4291"/>
        <v>6.2811020405313589E-3</v>
      </c>
      <c r="DB811" s="166">
        <f t="shared" si="4291"/>
        <v>7.6470941258087845E-3</v>
      </c>
      <c r="DC811" s="166">
        <f t="shared" si="4291"/>
        <v>7.6019913068448479E-3</v>
      </c>
      <c r="DD811" s="166">
        <f t="shared" si="4291"/>
        <v>6.7302886354536507E-3</v>
      </c>
      <c r="DE811" s="166">
        <f>-DE472/DE237*DE$5</f>
        <v>6.1855926747477587E-3</v>
      </c>
      <c r="DF811" s="166">
        <f>-DF472/DF237*DF$5</f>
        <v>5.8740147032442167E-3</v>
      </c>
      <c r="DG811" s="166">
        <f t="shared" ref="DG811:DH811" si="4292">-DG472/DG237*DG$5</f>
        <v>5.5627734895347973E-3</v>
      </c>
      <c r="DH811" s="166">
        <f t="shared" si="4292"/>
        <v>5.3119187592058966E-3</v>
      </c>
      <c r="DI811" s="166">
        <f t="shared" ref="DI811" si="4293">-DI472/DI237*DI$5</f>
        <v>5.1316920769891479E-3</v>
      </c>
    </row>
    <row r="812" spans="1:113" ht="12" hidden="1" outlineLevel="1">
      <c r="A812" s="1" t="s">
        <v>819</v>
      </c>
      <c r="B812" s="19" t="s">
        <v>622</v>
      </c>
      <c r="C812" s="601"/>
      <c r="D812" s="601"/>
      <c r="E812" s="601"/>
      <c r="F812" s="601"/>
      <c r="G812" s="601"/>
      <c r="H812" s="601"/>
      <c r="I812" s="601"/>
      <c r="J812" s="601"/>
      <c r="K812" s="601"/>
      <c r="L812" s="601"/>
      <c r="M812" s="601"/>
      <c r="N812" s="601"/>
      <c r="O812" s="601"/>
      <c r="P812" s="601"/>
      <c r="Q812" s="601"/>
      <c r="R812" s="601"/>
      <c r="S812" s="601"/>
      <c r="T812" s="416"/>
      <c r="U812" s="601"/>
      <c r="V812" s="601"/>
      <c r="W812" s="601"/>
      <c r="X812" s="601"/>
      <c r="Y812" s="416"/>
      <c r="Z812" s="416"/>
      <c r="AA812" s="416"/>
      <c r="AB812" s="416"/>
      <c r="AC812" s="416"/>
      <c r="AD812" s="416"/>
      <c r="AE812" s="416"/>
      <c r="AF812" s="416"/>
      <c r="AG812" s="416"/>
      <c r="AH812" s="416"/>
      <c r="AI812" s="416"/>
      <c r="AJ812" s="416"/>
      <c r="AK812" s="416"/>
      <c r="AL812" s="416"/>
      <c r="AM812" s="416"/>
      <c r="AN812" s="416"/>
      <c r="AO812" s="416"/>
      <c r="AP812" s="167">
        <f t="shared" ref="AP812:BI812" si="4294">AP124/(AP181-AP176)</f>
        <v>1.0067114093959731E-2</v>
      </c>
      <c r="AQ812" s="167">
        <f t="shared" ref="AQ812:AR812" si="4295">AQ124/(AQ181-AQ176)</f>
        <v>2.9458346531517268E-3</v>
      </c>
      <c r="AR812" s="167">
        <f t="shared" si="4295"/>
        <v>2.3181087904521457E-3</v>
      </c>
      <c r="AS812" s="167">
        <f t="shared" ref="AS812:AT812" si="4296">AS124/(AS181-AS176)</f>
        <v>1.7001828153564902E-3</v>
      </c>
      <c r="AT812" s="167">
        <f t="shared" si="4296"/>
        <v>2.2040208488458674E-3</v>
      </c>
      <c r="AU812" s="167">
        <f t="shared" ref="AU812:AV812" si="4297">AU124/(AU181-AU176)</f>
        <v>6.546542018496181E-3</v>
      </c>
      <c r="AV812" s="167">
        <f t="shared" si="4297"/>
        <v>1.1053999422466071E-2</v>
      </c>
      <c r="AW812" s="167">
        <f t="shared" ref="AW812:AX812" si="4298">AW124/(AW181-AW176)</f>
        <v>1.3585252685699956E-2</v>
      </c>
      <c r="AX812" s="167">
        <f t="shared" si="4298"/>
        <v>1.3634029930213544E-2</v>
      </c>
      <c r="AY812" s="167">
        <f t="shared" si="4294"/>
        <v>1.6368363340525625E-2</v>
      </c>
      <c r="AZ812" s="174">
        <f t="shared" si="4294"/>
        <v>1.5470453969059092E-2</v>
      </c>
      <c r="BA812" s="166">
        <f t="shared" si="4294"/>
        <v>1.5409306532510573E-2</v>
      </c>
      <c r="BB812" s="166">
        <f t="shared" si="4294"/>
        <v>1.5875235926431006E-2</v>
      </c>
      <c r="BC812" s="166">
        <f t="shared" si="4294"/>
        <v>1.5695671690981169E-2</v>
      </c>
      <c r="BD812" s="166">
        <f t="shared" si="4294"/>
        <v>1.6161546006986455E-2</v>
      </c>
      <c r="BE812" s="166">
        <f t="shared" si="4294"/>
        <v>1.6413500398280826E-2</v>
      </c>
      <c r="BF812" s="166">
        <f t="shared" si="4294"/>
        <v>1.6012526926764595E-2</v>
      </c>
      <c r="BG812" s="166">
        <f t="shared" si="4294"/>
        <v>1.5712396077111706E-2</v>
      </c>
      <c r="BH812" s="166">
        <f t="shared" si="4294"/>
        <v>1.5384910091550285E-2</v>
      </c>
      <c r="BI812" s="166">
        <f t="shared" si="4294"/>
        <v>1.5038721139072108E-2</v>
      </c>
      <c r="BJ812" s="166">
        <f t="shared" ref="BJ812:BK812" si="4299">BJ124/(BJ181-BJ176)</f>
        <v>1.4733867329683946E-2</v>
      </c>
      <c r="BK812" s="166">
        <f t="shared" si="4299"/>
        <v>1.4407214837442625E-2</v>
      </c>
      <c r="BL812" s="166">
        <f t="shared" ref="BL812:BM812" si="4300">BL124/(BL181-BL176)</f>
        <v>1.4102097553324059E-2</v>
      </c>
      <c r="BM812" s="166">
        <f t="shared" si="4300"/>
        <v>1.378931872893378E-2</v>
      </c>
      <c r="BN812" s="166">
        <f t="shared" ref="BN812:BO812" si="4301">BN124/(BN181-BN176)</f>
        <v>1.3489473301853291E-2</v>
      </c>
      <c r="BO812" s="166">
        <f t="shared" si="4301"/>
        <v>1.318026286977521E-2</v>
      </c>
      <c r="BP812" s="166">
        <f t="shared" ref="BP812:BQ812" si="4302">BP124/(BP181-BP176)</f>
        <v>1.2881939420453386E-2</v>
      </c>
      <c r="BQ812" s="166">
        <f t="shared" si="4302"/>
        <v>1.2573948890572669E-2</v>
      </c>
      <c r="BR812" s="166"/>
      <c r="BS812" s="166"/>
      <c r="BT812" s="166"/>
      <c r="BU812" s="166"/>
      <c r="BV812" s="166"/>
      <c r="BW812" s="166"/>
      <c r="BX812" s="166"/>
      <c r="BY812" s="166"/>
      <c r="BZ812" s="166"/>
      <c r="CA812" s="166"/>
      <c r="CB812" s="166"/>
      <c r="CC812" s="166"/>
      <c r="CD812" s="166"/>
      <c r="CE812" s="166"/>
      <c r="CF812" s="166"/>
      <c r="CG812" s="166"/>
      <c r="CH812" s="166"/>
      <c r="CI812" s="166"/>
      <c r="CJ812" s="166"/>
      <c r="CK812" s="166"/>
      <c r="CL812" s="166"/>
      <c r="CM812" s="167"/>
      <c r="CN812" s="167"/>
      <c r="CO812" s="167"/>
      <c r="CP812" s="167"/>
      <c r="CQ812" s="167"/>
      <c r="CR812" s="167"/>
      <c r="CS812" s="167"/>
      <c r="CT812" s="167">
        <f t="shared" ref="CT812:DF812" si="4303">CT124/(CT181-CT176)</f>
        <v>0</v>
      </c>
      <c r="CU812" s="167">
        <f t="shared" si="4303"/>
        <v>0</v>
      </c>
      <c r="CV812" s="167">
        <f t="shared" si="4303"/>
        <v>2.9458346531517268E-3</v>
      </c>
      <c r="CW812" s="167">
        <f t="shared" si="4303"/>
        <v>1.7001828153564902E-3</v>
      </c>
      <c r="CX812" s="167">
        <f t="shared" si="4303"/>
        <v>6.546542018496181E-3</v>
      </c>
      <c r="CY812" s="167">
        <f t="shared" si="4303"/>
        <v>1.3585252685699956E-2</v>
      </c>
      <c r="CZ812" s="174">
        <f t="shared" si="4303"/>
        <v>1.6368363340525625E-2</v>
      </c>
      <c r="DA812" s="166">
        <f t="shared" si="4303"/>
        <v>1.5409306532510573E-2</v>
      </c>
      <c r="DB812" s="166">
        <f t="shared" si="4303"/>
        <v>1.5695671690981169E-2</v>
      </c>
      <c r="DC812" s="166">
        <f t="shared" si="4303"/>
        <v>1.6413500398280826E-2</v>
      </c>
      <c r="DD812" s="166">
        <f t="shared" si="4303"/>
        <v>1.5712396077111706E-2</v>
      </c>
      <c r="DE812" s="166">
        <f t="shared" si="4303"/>
        <v>1.5038721139072108E-2</v>
      </c>
      <c r="DF812" s="166">
        <f t="shared" si="4303"/>
        <v>1.4407214837442625E-2</v>
      </c>
      <c r="DG812" s="166">
        <f t="shared" ref="DG812:DH812" si="4304">DG124/(DG181-DG176)</f>
        <v>1.378931872893378E-2</v>
      </c>
      <c r="DH812" s="166">
        <f t="shared" si="4304"/>
        <v>1.318026286977521E-2</v>
      </c>
      <c r="DI812" s="166">
        <f t="shared" ref="DI812" si="4305">DI124/(DI181-DI176)</f>
        <v>1.2573948890572669E-2</v>
      </c>
    </row>
    <row r="813" spans="1:113" ht="12" hidden="1" outlineLevel="1">
      <c r="A813" s="1" t="s">
        <v>820</v>
      </c>
      <c r="B813" s="19" t="s">
        <v>345</v>
      </c>
      <c r="C813" s="601"/>
      <c r="D813" s="601"/>
      <c r="E813" s="601"/>
      <c r="F813" s="601"/>
      <c r="G813" s="601"/>
      <c r="H813" s="601"/>
      <c r="I813" s="601"/>
      <c r="J813" s="601"/>
      <c r="K813" s="601"/>
      <c r="L813" s="601"/>
      <c r="M813" s="601"/>
      <c r="N813" s="601"/>
      <c r="O813" s="601"/>
      <c r="P813" s="601"/>
      <c r="Q813" s="601"/>
      <c r="R813" s="601"/>
      <c r="S813" s="601"/>
      <c r="T813" s="416"/>
      <c r="U813" s="601"/>
      <c r="V813" s="601"/>
      <c r="W813" s="601"/>
      <c r="X813" s="601"/>
      <c r="Y813" s="416"/>
      <c r="Z813" s="416"/>
      <c r="AA813" s="416"/>
      <c r="AB813" s="416"/>
      <c r="AC813" s="416"/>
      <c r="AD813" s="416"/>
      <c r="AE813" s="416"/>
      <c r="AF813" s="416"/>
      <c r="AG813" s="416"/>
      <c r="AH813" s="416"/>
      <c r="AI813" s="416"/>
      <c r="AJ813" s="416"/>
      <c r="AK813" s="416"/>
      <c r="AL813" s="416"/>
      <c r="AM813" s="416"/>
      <c r="AN813" s="416"/>
      <c r="AO813" s="416"/>
      <c r="AP813" s="167">
        <f t="shared" ref="AP813:BI813" si="4306">(AP124+AP125)/AP181</f>
        <v>9.5546250475827942E-3</v>
      </c>
      <c r="AQ813" s="167">
        <f t="shared" ref="AQ813:AR813" si="4307">(AQ124+AQ125)/AQ181</f>
        <v>3.4394542353610009E-3</v>
      </c>
      <c r="AR813" s="167">
        <f t="shared" si="4307"/>
        <v>2.1245874587458745E-3</v>
      </c>
      <c r="AS813" s="167">
        <f t="shared" ref="AS813:AT813" si="4308">(AS124+AS125)/AS181</f>
        <v>1.6414970453053185E-3</v>
      </c>
      <c r="AT813" s="167">
        <f t="shared" si="4308"/>
        <v>3.7139460008282902E-3</v>
      </c>
      <c r="AU813" s="167">
        <f t="shared" ref="AU813:AV813" si="4309">(AU124+AU125)/AU181</f>
        <v>1.0900559060598577E-2</v>
      </c>
      <c r="AV813" s="167">
        <f t="shared" si="4309"/>
        <v>1.729379876119511E-2</v>
      </c>
      <c r="AW813" s="167">
        <f t="shared" ref="AW813:AX813" si="4310">(AW124+AW125)/AW181</f>
        <v>2.3124894971712381E-2</v>
      </c>
      <c r="AX813" s="167">
        <f t="shared" si="4310"/>
        <v>2.2993242837149801E-2</v>
      </c>
      <c r="AY813" s="167">
        <f t="shared" si="4306"/>
        <v>2.4323522097342221E-2</v>
      </c>
      <c r="AZ813" s="174">
        <f t="shared" si="4306"/>
        <v>2.6593997312229355E-2</v>
      </c>
      <c r="BA813" s="166">
        <f t="shared" si="4306"/>
        <v>2.5323522097342219E-2</v>
      </c>
      <c r="BB813" s="166">
        <f t="shared" si="4306"/>
        <v>2.5823522097342219E-2</v>
      </c>
      <c r="BC813" s="166">
        <f t="shared" si="4306"/>
        <v>2.6323522097342223E-2</v>
      </c>
      <c r="BD813" s="166">
        <f t="shared" si="4306"/>
        <v>2.6823522097342227E-2</v>
      </c>
      <c r="BE813" s="166">
        <f t="shared" si="4306"/>
        <v>2.732352209734222E-2</v>
      </c>
      <c r="BF813" s="166">
        <f t="shared" si="4306"/>
        <v>2.6823522097342224E-2</v>
      </c>
      <c r="BG813" s="166">
        <f t="shared" si="4306"/>
        <v>2.6323522097342223E-2</v>
      </c>
      <c r="BH813" s="166">
        <f t="shared" si="4306"/>
        <v>2.5823522097342219E-2</v>
      </c>
      <c r="BI813" s="166">
        <f t="shared" si="4306"/>
        <v>2.5323522097342219E-2</v>
      </c>
      <c r="BJ813" s="166">
        <f t="shared" ref="BJ813:BK813" si="4311">(BJ124+BJ125)/BJ181</f>
        <v>2.4823522097342218E-2</v>
      </c>
      <c r="BK813" s="166">
        <f t="shared" si="4311"/>
        <v>2.4323522097342221E-2</v>
      </c>
      <c r="BL813" s="166">
        <f t="shared" ref="BL813:BM813" si="4312">(BL124+BL125)/BL181</f>
        <v>2.3823522097342221E-2</v>
      </c>
      <c r="BM813" s="166">
        <f t="shared" si="4312"/>
        <v>2.332352209734222E-2</v>
      </c>
      <c r="BN813" s="166">
        <f t="shared" ref="BN813:BO813" si="4313">(BN124+BN125)/BN181</f>
        <v>2.282352209734222E-2</v>
      </c>
      <c r="BO813" s="166">
        <f t="shared" si="4313"/>
        <v>2.232352209734222E-2</v>
      </c>
      <c r="BP813" s="166">
        <f t="shared" ref="BP813:BQ813" si="4314">(BP124+BP125)/BP181</f>
        <v>2.1823522097342216E-2</v>
      </c>
      <c r="BQ813" s="166">
        <f t="shared" si="4314"/>
        <v>2.1323522097342219E-2</v>
      </c>
      <c r="BR813" s="166"/>
      <c r="BS813" s="166"/>
      <c r="BT813" s="166"/>
      <c r="BU813" s="166"/>
      <c r="BV813" s="166"/>
      <c r="BW813" s="166"/>
      <c r="BX813" s="166"/>
      <c r="BY813" s="166"/>
      <c r="BZ813" s="166"/>
      <c r="CA813" s="166"/>
      <c r="CB813" s="166"/>
      <c r="CC813" s="166"/>
      <c r="CD813" s="166"/>
      <c r="CE813" s="166"/>
      <c r="CF813" s="166"/>
      <c r="CG813" s="166"/>
      <c r="CH813" s="166"/>
      <c r="CI813" s="166"/>
      <c r="CJ813" s="166"/>
      <c r="CK813" s="166"/>
      <c r="CL813" s="166"/>
      <c r="CM813" s="167"/>
      <c r="CN813" s="167"/>
      <c r="CO813" s="167"/>
      <c r="CP813" s="167"/>
      <c r="CQ813" s="167"/>
      <c r="CR813" s="167"/>
      <c r="CS813" s="167"/>
      <c r="CT813" s="167">
        <f t="shared" ref="CT813:DF813" si="4315">(CT124+CT125)/CT181</f>
        <v>0</v>
      </c>
      <c r="CU813" s="167">
        <f t="shared" si="4315"/>
        <v>0</v>
      </c>
      <c r="CV813" s="167">
        <f t="shared" si="4315"/>
        <v>3.4394542353610009E-3</v>
      </c>
      <c r="CW813" s="167">
        <f t="shared" si="4315"/>
        <v>1.6414970453053185E-3</v>
      </c>
      <c r="CX813" s="167">
        <f t="shared" si="4315"/>
        <v>1.0900559060598577E-2</v>
      </c>
      <c r="CY813" s="167">
        <f t="shared" si="4315"/>
        <v>2.3124894971712381E-2</v>
      </c>
      <c r="CZ813" s="174">
        <f t="shared" si="4315"/>
        <v>2.4323522097342221E-2</v>
      </c>
      <c r="DA813" s="166">
        <f t="shared" si="4315"/>
        <v>2.5323522097342219E-2</v>
      </c>
      <c r="DB813" s="166">
        <f t="shared" si="4315"/>
        <v>2.6323522097342223E-2</v>
      </c>
      <c r="DC813" s="166">
        <f t="shared" si="4315"/>
        <v>2.732352209734222E-2</v>
      </c>
      <c r="DD813" s="166">
        <f t="shared" si="4315"/>
        <v>2.6323522097342223E-2</v>
      </c>
      <c r="DE813" s="166">
        <f t="shared" si="4315"/>
        <v>2.5323522097342219E-2</v>
      </c>
      <c r="DF813" s="166">
        <f t="shared" si="4315"/>
        <v>2.4323522097342221E-2</v>
      </c>
      <c r="DG813" s="166">
        <f t="shared" ref="DG813:DH813" si="4316">(DG124+DG125)/DG181</f>
        <v>2.332352209734222E-2</v>
      </c>
      <c r="DH813" s="166">
        <f t="shared" si="4316"/>
        <v>2.232352209734222E-2</v>
      </c>
      <c r="DI813" s="166">
        <f t="shared" ref="DI813" si="4317">(DI124+DI125)/DI181</f>
        <v>2.1323522097342219E-2</v>
      </c>
    </row>
    <row r="814" spans="1:113" ht="12" hidden="1" outlineLevel="1">
      <c r="A814" s="1" t="s">
        <v>821</v>
      </c>
      <c r="B814" s="19" t="s">
        <v>294</v>
      </c>
      <c r="C814" s="601"/>
      <c r="D814" s="601"/>
      <c r="E814" s="601"/>
      <c r="F814" s="601"/>
      <c r="G814" s="601"/>
      <c r="H814" s="601"/>
      <c r="I814" s="601"/>
      <c r="J814" s="601"/>
      <c r="K814" s="601"/>
      <c r="L814" s="601"/>
      <c r="M814" s="601"/>
      <c r="N814" s="601"/>
      <c r="O814" s="601"/>
      <c r="P814" s="601"/>
      <c r="Q814" s="601"/>
      <c r="R814" s="601"/>
      <c r="S814" s="601"/>
      <c r="T814" s="416"/>
      <c r="U814" s="601"/>
      <c r="V814" s="601"/>
      <c r="W814" s="601"/>
      <c r="X814" s="601"/>
      <c r="Y814" s="416"/>
      <c r="Z814" s="416"/>
      <c r="AA814" s="416"/>
      <c r="AB814" s="416"/>
      <c r="AC814" s="416"/>
      <c r="AD814" s="416"/>
      <c r="AE814" s="416"/>
      <c r="AF814" s="416"/>
      <c r="AG814" s="416"/>
      <c r="AH814" s="416"/>
      <c r="AI814" s="416"/>
      <c r="AJ814" s="416"/>
      <c r="AK814" s="416"/>
      <c r="AL814" s="416"/>
      <c r="AM814" s="416"/>
      <c r="AN814" s="416"/>
      <c r="AO814" s="416"/>
      <c r="AP814" s="167">
        <f t="shared" ref="AP814:BI814" si="4318">(AP124+AP125)/AP613</f>
        <v>8.1203494014881923E-3</v>
      </c>
      <c r="AQ814" s="167">
        <f t="shared" ref="AQ814:AR814" si="4319">(AQ124+AQ125)/AQ613</f>
        <v>2.9555446995603325E-3</v>
      </c>
      <c r="AR814" s="167">
        <f t="shared" si="4319"/>
        <v>1.8659420289855071E-3</v>
      </c>
      <c r="AS814" s="167">
        <f t="shared" ref="AS814:AT814" si="4320">(AS124+AS125)/AS613</f>
        <v>1.5845349389954049E-3</v>
      </c>
      <c r="AT814" s="167">
        <f t="shared" si="4320"/>
        <v>3.5945177139901732E-3</v>
      </c>
      <c r="AU814" s="167">
        <f t="shared" ref="AU814:AV814" si="4321">(AU124+AU125)/AU613</f>
        <v>1.1871866976402983E-2</v>
      </c>
      <c r="AV814" s="167">
        <f t="shared" si="4321"/>
        <v>1.9527522401955082E-2</v>
      </c>
      <c r="AW814" s="167">
        <f t="shared" ref="AW814:AX814" si="4322">(AW124+AW125)/AW613</f>
        <v>2.577255228384143E-2</v>
      </c>
      <c r="AX814" s="167">
        <f t="shared" si="4322"/>
        <v>2.5173904869336343E-2</v>
      </c>
      <c r="AY814" s="167">
        <f t="shared" si="4318"/>
        <v>2.6255628680290959E-2</v>
      </c>
      <c r="AZ814" s="174">
        <f t="shared" si="4318"/>
        <v>2.8016359918200409E-2</v>
      </c>
      <c r="BA814" s="166">
        <f t="shared" si="4318"/>
        <v>2.6359698265363999E-2</v>
      </c>
      <c r="BB814" s="166">
        <f t="shared" si="4318"/>
        <v>2.671042591226188E-2</v>
      </c>
      <c r="BC814" s="166">
        <f t="shared" si="4318"/>
        <v>2.7333859563968037E-2</v>
      </c>
      <c r="BD814" s="166">
        <f t="shared" si="4318"/>
        <v>2.7602041604576143E-2</v>
      </c>
      <c r="BE814" s="166">
        <f t="shared" si="4318"/>
        <v>2.7979911829267963E-2</v>
      </c>
      <c r="BF814" s="166">
        <f t="shared" si="4318"/>
        <v>2.7227374658349335E-2</v>
      </c>
      <c r="BG814" s="166">
        <f t="shared" si="4318"/>
        <v>2.6877256185980941E-2</v>
      </c>
      <c r="BH814" s="166">
        <f t="shared" si="4318"/>
        <v>2.6385012642980602E-2</v>
      </c>
      <c r="BI814" s="166">
        <f t="shared" si="4318"/>
        <v>2.6016645590055676E-2</v>
      </c>
      <c r="BJ814" s="166">
        <f t="shared" ref="BJ814:BK814" si="4323">(BJ124+BJ125)/BJ613</f>
        <v>2.5511451328535738E-2</v>
      </c>
      <c r="BK814" s="166">
        <f t="shared" si="4323"/>
        <v>2.5112800229803594E-2</v>
      </c>
      <c r="BL814" s="166">
        <f t="shared" ref="BL814:BM814" si="4324">(BL124+BL125)/BL613</f>
        <v>2.4594431578688045E-2</v>
      </c>
      <c r="BM814" s="166">
        <f t="shared" si="4324"/>
        <v>2.4161073590859464E-2</v>
      </c>
      <c r="BN814" s="166">
        <f t="shared" ref="BN814:BO814" si="4325">(BN124+BN125)/BN613</f>
        <v>2.3632180648555504E-2</v>
      </c>
      <c r="BO814" s="166">
        <f t="shared" si="4325"/>
        <v>2.3195511828945321E-2</v>
      </c>
      <c r="BP814" s="166">
        <f t="shared" ref="BP814:BQ814" si="4326">(BP124+BP125)/BP613</f>
        <v>2.2660593382642959E-2</v>
      </c>
      <c r="BQ814" s="166">
        <f t="shared" si="4326"/>
        <v>2.2218213347272437E-2</v>
      </c>
      <c r="BR814" s="166"/>
      <c r="BS814" s="166"/>
      <c r="BT814" s="166"/>
      <c r="BU814" s="166"/>
      <c r="BV814" s="166"/>
      <c r="BW814" s="166"/>
      <c r="BX814" s="166"/>
      <c r="BY814" s="166"/>
      <c r="BZ814" s="166"/>
      <c r="CA814" s="166"/>
      <c r="CB814" s="166"/>
      <c r="CC814" s="166"/>
      <c r="CD814" s="166"/>
      <c r="CE814" s="166"/>
      <c r="CF814" s="166"/>
      <c r="CG814" s="166"/>
      <c r="CH814" s="166"/>
      <c r="CI814" s="166"/>
      <c r="CJ814" s="166"/>
      <c r="CK814" s="166"/>
      <c r="CL814" s="166"/>
      <c r="CM814" s="167"/>
      <c r="CN814" s="167"/>
      <c r="CO814" s="167"/>
      <c r="CP814" s="167"/>
      <c r="CQ814" s="167"/>
      <c r="CR814" s="167"/>
      <c r="CS814" s="167"/>
      <c r="CT814" s="167">
        <f t="shared" ref="CT814:DF814" si="4327">(CT124+CT125)/CT613</f>
        <v>0</v>
      </c>
      <c r="CU814" s="167">
        <f t="shared" si="4327"/>
        <v>0</v>
      </c>
      <c r="CV814" s="167">
        <f t="shared" si="4327"/>
        <v>2.9555446995603325E-3</v>
      </c>
      <c r="CW814" s="167">
        <f t="shared" si="4327"/>
        <v>1.5845349389954049E-3</v>
      </c>
      <c r="CX814" s="167">
        <f t="shared" si="4327"/>
        <v>1.1871866976402983E-2</v>
      </c>
      <c r="CY814" s="167">
        <f t="shared" si="4327"/>
        <v>2.577255228384143E-2</v>
      </c>
      <c r="CZ814" s="174">
        <f t="shared" si="4327"/>
        <v>2.6255628680290959E-2</v>
      </c>
      <c r="DA814" s="166">
        <f t="shared" si="4327"/>
        <v>2.6359698265363999E-2</v>
      </c>
      <c r="DB814" s="166">
        <f t="shared" si="4327"/>
        <v>2.7333859563968037E-2</v>
      </c>
      <c r="DC814" s="166">
        <f t="shared" si="4327"/>
        <v>2.7979911829267963E-2</v>
      </c>
      <c r="DD814" s="166">
        <f t="shared" si="4327"/>
        <v>2.6877256185980941E-2</v>
      </c>
      <c r="DE814" s="166">
        <f t="shared" si="4327"/>
        <v>2.6016645590055676E-2</v>
      </c>
      <c r="DF814" s="166">
        <f t="shared" si="4327"/>
        <v>2.5112800229803594E-2</v>
      </c>
      <c r="DG814" s="166">
        <f t="shared" ref="DG814:DH814" si="4328">(DG124+DG125)/DG613</f>
        <v>2.4161073590859464E-2</v>
      </c>
      <c r="DH814" s="166">
        <f t="shared" si="4328"/>
        <v>2.3195511828945321E-2</v>
      </c>
      <c r="DI814" s="166">
        <f t="shared" ref="DI814" si="4329">(DI124+DI125)/DI613</f>
        <v>2.2218213347272437E-2</v>
      </c>
    </row>
    <row r="815" spans="1:113" ht="12" hidden="1" outlineLevel="1">
      <c r="A815" s="1" t="s">
        <v>822</v>
      </c>
      <c r="B815" s="19" t="s">
        <v>512</v>
      </c>
      <c r="C815" s="408"/>
      <c r="D815" s="408"/>
      <c r="E815" s="408"/>
      <c r="F815" s="408"/>
      <c r="G815" s="408"/>
      <c r="H815" s="408"/>
      <c r="I815" s="408"/>
      <c r="J815" s="408"/>
      <c r="K815" s="408"/>
      <c r="L815" s="408"/>
      <c r="M815" s="408"/>
      <c r="N815" s="408"/>
      <c r="O815" s="408"/>
      <c r="P815" s="408"/>
      <c r="Q815" s="408"/>
      <c r="R815" s="408"/>
      <c r="S815" s="408"/>
      <c r="T815" s="394"/>
      <c r="U815" s="408"/>
      <c r="V815" s="408"/>
      <c r="W815" s="408"/>
      <c r="X815" s="408"/>
      <c r="Y815" s="394"/>
      <c r="Z815" s="394"/>
      <c r="AA815" s="394"/>
      <c r="AB815" s="394"/>
      <c r="AC815" s="394"/>
      <c r="AD815" s="394"/>
      <c r="AE815" s="394"/>
      <c r="AF815" s="394"/>
      <c r="AG815" s="394"/>
      <c r="AH815" s="394"/>
      <c r="AI815" s="394"/>
      <c r="AJ815" s="394"/>
      <c r="AK815" s="394"/>
      <c r="AL815" s="394"/>
      <c r="AM815" s="394"/>
      <c r="AN815" s="394"/>
      <c r="AO815" s="394"/>
      <c r="AP815" s="285">
        <f t="shared" ref="AP815:BI815" si="4330">AP120/AP124</f>
        <v>0.1125</v>
      </c>
      <c r="AQ815" s="285">
        <f t="shared" ref="AQ815:AR815" si="4331">AQ120/AQ124</f>
        <v>0.62365591397849451</v>
      </c>
      <c r="AR815" s="285">
        <f t="shared" si="4331"/>
        <v>0.55445544554455439</v>
      </c>
      <c r="AS815" s="285">
        <f t="shared" ref="AS815:AT815" si="4332">AS120/AS124</f>
        <v>0.18279569892473116</v>
      </c>
      <c r="AT815" s="285">
        <f t="shared" si="4332"/>
        <v>0.29054054054054052</v>
      </c>
      <c r="AU815" s="285">
        <f t="shared" ref="AU815:AV815" si="4333">AU120/AU124</f>
        <v>0.36084452975047987</v>
      </c>
      <c r="AV815" s="285">
        <f t="shared" si="4333"/>
        <v>0.36259143155694884</v>
      </c>
      <c r="AW815" s="285">
        <f t="shared" ref="AW815:AX815" si="4334">AW120/AW124</f>
        <v>0.27769230769230768</v>
      </c>
      <c r="AX815" s="285">
        <f t="shared" si="4334"/>
        <v>0.28312412831241285</v>
      </c>
      <c r="AY815" s="285">
        <f t="shared" si="4330"/>
        <v>0.36628849270664504</v>
      </c>
      <c r="AZ815" s="286">
        <f t="shared" si="4330"/>
        <v>0.3844526705446854</v>
      </c>
      <c r="BA815" s="162">
        <f t="shared" si="4330"/>
        <v>0.34908485877030315</v>
      </c>
      <c r="BB815" s="162">
        <f t="shared" si="4330"/>
        <v>0.29376094589859064</v>
      </c>
      <c r="BC815" s="162">
        <f t="shared" si="4330"/>
        <v>0.24628632222907623</v>
      </c>
      <c r="BD815" s="162">
        <f t="shared" si="4330"/>
        <v>0.17874452980224267</v>
      </c>
      <c r="BE815" s="162">
        <f t="shared" si="4330"/>
        <v>0.11281283642615511</v>
      </c>
      <c r="BF815" s="162">
        <f t="shared" si="4330"/>
        <v>6.2317513106485561E-2</v>
      </c>
      <c r="BG815" s="162">
        <f t="shared" si="4330"/>
        <v>2.4884280621183925E-2</v>
      </c>
      <c r="BH815" s="162">
        <f t="shared" si="4330"/>
        <v>-5.9518763235420118E-3</v>
      </c>
      <c r="BI815" s="162">
        <f t="shared" si="4330"/>
        <v>-2.2862053883633916E-2</v>
      </c>
      <c r="BJ815" s="162">
        <f t="shared" ref="BJ815:BK815" si="4335">BJ120/BJ124</f>
        <v>-4.0892343931690216E-2</v>
      </c>
      <c r="BK815" s="162">
        <f t="shared" si="4335"/>
        <v>-5.765000597735525E-2</v>
      </c>
      <c r="BL815" s="162">
        <f t="shared" ref="BL815:BM815" si="4336">BL120/BL124</f>
        <v>-8.2585667670847115E-2</v>
      </c>
      <c r="BM815" s="162">
        <f t="shared" si="4336"/>
        <v>-0.1070329525322701</v>
      </c>
      <c r="BN815" s="162">
        <f t="shared" ref="BN815:BO815" si="4337">BN120/BN124</f>
        <v>-0.14080480751354119</v>
      </c>
      <c r="BO815" s="162">
        <f t="shared" si="4337"/>
        <v>-0.17253008187525679</v>
      </c>
      <c r="BP815" s="162">
        <f t="shared" ref="BP815:BQ815" si="4338">BP120/BP124</f>
        <v>-0.21516626240745573</v>
      </c>
      <c r="BQ815" s="162">
        <f t="shared" si="4338"/>
        <v>-0.25514472357440082</v>
      </c>
      <c r="BR815" s="162"/>
      <c r="BS815" s="162"/>
      <c r="BT815" s="162"/>
      <c r="BU815" s="162"/>
      <c r="BV815" s="162"/>
      <c r="BW815" s="162"/>
      <c r="BX815" s="162"/>
      <c r="BY815" s="162"/>
      <c r="BZ815" s="162"/>
      <c r="CA815" s="162"/>
      <c r="CB815" s="162"/>
      <c r="CC815" s="162"/>
      <c r="CD815" s="162"/>
      <c r="CE815" s="162"/>
      <c r="CF815" s="162"/>
      <c r="CG815" s="162"/>
      <c r="CH815" s="162"/>
      <c r="CI815" s="162"/>
      <c r="CJ815" s="162"/>
      <c r="CK815" s="162"/>
      <c r="CL815" s="162"/>
      <c r="CM815" s="285"/>
      <c r="CN815" s="285"/>
      <c r="CO815" s="285"/>
      <c r="CP815" s="285"/>
      <c r="CQ815" s="285"/>
      <c r="CR815" s="285"/>
      <c r="CS815" s="285"/>
      <c r="CT815" s="285"/>
      <c r="CU815" s="285"/>
      <c r="CV815" s="285">
        <f t="shared" ref="CV815:DF815" si="4339">CV120/CV124</f>
        <v>0.62365591397849451</v>
      </c>
      <c r="CW815" s="285">
        <f t="shared" si="4339"/>
        <v>0.18279569892473116</v>
      </c>
      <c r="CX815" s="285">
        <f t="shared" si="4339"/>
        <v>0.36084452975047987</v>
      </c>
      <c r="CY815" s="285">
        <f t="shared" si="4339"/>
        <v>0.27769230769230768</v>
      </c>
      <c r="CZ815" s="286">
        <f t="shared" si="4339"/>
        <v>0.36628849270664504</v>
      </c>
      <c r="DA815" s="162">
        <f t="shared" si="4339"/>
        <v>0.34908485877030315</v>
      </c>
      <c r="DB815" s="162">
        <f t="shared" si="4339"/>
        <v>0.24628632222907623</v>
      </c>
      <c r="DC815" s="162">
        <f t="shared" si="4339"/>
        <v>0.11281283642615511</v>
      </c>
      <c r="DD815" s="162">
        <f t="shared" si="4339"/>
        <v>2.4884280621183925E-2</v>
      </c>
      <c r="DE815" s="162">
        <f t="shared" si="4339"/>
        <v>-2.2862053883633916E-2</v>
      </c>
      <c r="DF815" s="162">
        <f t="shared" si="4339"/>
        <v>-5.765000597735525E-2</v>
      </c>
      <c r="DG815" s="162">
        <f t="shared" ref="DG815:DH815" si="4340">DG120/DG124</f>
        <v>-0.1070329525322701</v>
      </c>
      <c r="DH815" s="162">
        <f t="shared" si="4340"/>
        <v>-0.17253008187525679</v>
      </c>
      <c r="DI815" s="162">
        <f t="shared" ref="DI815" si="4341">DI120/DI124</f>
        <v>-0.25514472357440082</v>
      </c>
    </row>
    <row r="816" spans="1:113" ht="12" hidden="1" outlineLevel="1">
      <c r="A816" s="1" t="s">
        <v>823</v>
      </c>
      <c r="B816" s="19" t="s">
        <v>348</v>
      </c>
      <c r="C816" s="601"/>
      <c r="D816" s="601"/>
      <c r="E816" s="601"/>
      <c r="F816" s="601"/>
      <c r="G816" s="601"/>
      <c r="H816" s="601"/>
      <c r="I816" s="601"/>
      <c r="J816" s="601"/>
      <c r="K816" s="601"/>
      <c r="L816" s="601"/>
      <c r="M816" s="601"/>
      <c r="N816" s="601"/>
      <c r="O816" s="601"/>
      <c r="P816" s="601"/>
      <c r="Q816" s="601"/>
      <c r="R816" s="601"/>
      <c r="S816" s="601"/>
      <c r="T816" s="416"/>
      <c r="U816" s="601"/>
      <c r="V816" s="601"/>
      <c r="W816" s="601"/>
      <c r="X816" s="601"/>
      <c r="Y816" s="416"/>
      <c r="Z816" s="416"/>
      <c r="AA816" s="416"/>
      <c r="AB816" s="416"/>
      <c r="AC816" s="416"/>
      <c r="AD816" s="416"/>
      <c r="AE816" s="416"/>
      <c r="AF816" s="416"/>
      <c r="AG816" s="416"/>
      <c r="AH816" s="416"/>
      <c r="AI816" s="416"/>
      <c r="AJ816" s="416"/>
      <c r="AK816" s="416"/>
      <c r="AL816" s="416"/>
      <c r="AM816" s="416"/>
      <c r="AN816" s="416"/>
      <c r="AO816" s="416"/>
      <c r="AP816" s="167">
        <f t="shared" ref="AP816:BI816" si="4342">AP121/(AP181-AP176)</f>
        <v>1.3087248322147652E-2</v>
      </c>
      <c r="AQ816" s="167">
        <f t="shared" ref="AQ816:AR816" si="4343">AQ121/(AQ181-AQ176)</f>
        <v>9.2492872980677859E-3</v>
      </c>
      <c r="AR816" s="167">
        <f t="shared" si="4343"/>
        <v>8.9740647234335547E-3</v>
      </c>
      <c r="AS816" s="167">
        <f t="shared" ref="AS816:AT816" si="4344">AS121/(AS181-AS176)</f>
        <v>9.7806215722120657E-3</v>
      </c>
      <c r="AT816" s="167">
        <f t="shared" si="4344"/>
        <v>1.0900967982129561E-2</v>
      </c>
      <c r="AU816" s="167">
        <f t="shared" ref="AU816:AV816" si="4345">AU121/(AU181-AU176)</f>
        <v>1.1145456373140331E-2</v>
      </c>
      <c r="AV816" s="167">
        <f t="shared" si="4345"/>
        <v>1.1065550101068437E-2</v>
      </c>
      <c r="AW816" s="167">
        <f t="shared" ref="AW816:AX816" si="4346">AW121/(AW181-AW176)</f>
        <v>1.1808719642185345E-2</v>
      </c>
      <c r="AX816" s="167">
        <f t="shared" si="4346"/>
        <v>1.1314153149898268E-2</v>
      </c>
      <c r="AY816" s="167">
        <f t="shared" si="4342"/>
        <v>1.0434721092285382E-2</v>
      </c>
      <c r="AZ816" s="174">
        <f t="shared" si="4342"/>
        <v>9.7682295288506384E-3</v>
      </c>
      <c r="BA816" s="166">
        <f t="shared" si="4342"/>
        <v>9.3656393451065374E-3</v>
      </c>
      <c r="BB816" s="166">
        <f t="shared" si="4342"/>
        <v>9.6842113144745574E-3</v>
      </c>
      <c r="BC816" s="166">
        <f t="shared" si="4342"/>
        <v>1.0258413863612273E-2</v>
      </c>
      <c r="BD816" s="166">
        <f t="shared" si="4342"/>
        <v>1.072075537899971E-2</v>
      </c>
      <c r="BE816" s="166">
        <f t="shared" si="4342"/>
        <v>1.1020359320088081E-2</v>
      </c>
      <c r="BF816" s="166">
        <f t="shared" si="4342"/>
        <v>1.1147117566811868E-2</v>
      </c>
      <c r="BG816" s="166">
        <f t="shared" si="4342"/>
        <v>1.0971200515475489E-2</v>
      </c>
      <c r="BH816" s="166">
        <f t="shared" si="4342"/>
        <v>1.0869184883125296E-2</v>
      </c>
      <c r="BI816" s="166">
        <f t="shared" si="4342"/>
        <v>1.0726378274942414E-2</v>
      </c>
      <c r="BJ816" s="166">
        <f t="shared" ref="BJ816:BK816" si="4347">BJ121/(BJ181-BJ176)</f>
        <v>1.0650349745251655E-2</v>
      </c>
      <c r="BK816" s="166">
        <f t="shared" si="4347"/>
        <v>1.0541371965560962E-2</v>
      </c>
      <c r="BL816" s="166">
        <f t="shared" ref="BL816:BM816" si="4348">BL121/(BL181-BL176)</f>
        <v>1.0493575517017534E-2</v>
      </c>
      <c r="BM816" s="166">
        <f t="shared" si="4348"/>
        <v>1.0413070262012084E-2</v>
      </c>
      <c r="BN816" s="166">
        <f t="shared" ref="BN816:BO816" si="4349">BN121/(BN181-BN176)</f>
        <v>1.0379737393877401E-2</v>
      </c>
      <c r="BO816" s="166">
        <f t="shared" si="4349"/>
        <v>1.0314468059869979E-2</v>
      </c>
      <c r="BP816" s="166">
        <f t="shared" ref="BP816:BQ816" si="4350">BP121/(BP181-BP176)</f>
        <v>1.028294198128637E-2</v>
      </c>
      <c r="BQ816" s="166">
        <f t="shared" si="4350"/>
        <v>1.0220733343825533E-2</v>
      </c>
      <c r="BR816" s="166"/>
      <c r="BS816" s="166"/>
      <c r="BT816" s="166"/>
      <c r="BU816" s="166"/>
      <c r="BV816" s="166"/>
      <c r="BW816" s="166"/>
      <c r="BX816" s="166"/>
      <c r="BY816" s="166"/>
      <c r="BZ816" s="166"/>
      <c r="CA816" s="166"/>
      <c r="CB816" s="166"/>
      <c r="CC816" s="166"/>
      <c r="CD816" s="166"/>
      <c r="CE816" s="166"/>
      <c r="CF816" s="166"/>
      <c r="CG816" s="166"/>
      <c r="CH816" s="166"/>
      <c r="CI816" s="166"/>
      <c r="CJ816" s="166"/>
      <c r="CK816" s="166"/>
      <c r="CL816" s="166"/>
      <c r="CM816" s="167"/>
      <c r="CN816" s="167"/>
      <c r="CO816" s="167"/>
      <c r="CP816" s="167"/>
      <c r="CQ816" s="167"/>
      <c r="CR816" s="167"/>
      <c r="CS816" s="167"/>
      <c r="CT816" s="167">
        <f t="shared" ref="CT816:DF816" si="4351">CT121/(CT181-CT176)</f>
        <v>8.3673469387755099E-3</v>
      </c>
      <c r="CU816" s="167">
        <f t="shared" si="4351"/>
        <v>1.4463492063492065E-2</v>
      </c>
      <c r="CV816" s="167">
        <f t="shared" si="4351"/>
        <v>9.2492872980677859E-3</v>
      </c>
      <c r="CW816" s="167">
        <f t="shared" si="4351"/>
        <v>9.7806215722120657E-3</v>
      </c>
      <c r="CX816" s="167">
        <f t="shared" si="4351"/>
        <v>1.1145456373140331E-2</v>
      </c>
      <c r="CY816" s="167">
        <f t="shared" si="4351"/>
        <v>1.1808719642185345E-2</v>
      </c>
      <c r="CZ816" s="174">
        <f t="shared" si="4351"/>
        <v>1.0434721092285382E-2</v>
      </c>
      <c r="DA816" s="166">
        <f t="shared" si="4351"/>
        <v>9.3656393451065374E-3</v>
      </c>
      <c r="DB816" s="166">
        <f t="shared" si="4351"/>
        <v>1.0258413863612273E-2</v>
      </c>
      <c r="DC816" s="166">
        <f t="shared" si="4351"/>
        <v>1.1020359320088081E-2</v>
      </c>
      <c r="DD816" s="166">
        <f t="shared" si="4351"/>
        <v>1.0971200515475489E-2</v>
      </c>
      <c r="DE816" s="166">
        <f t="shared" si="4351"/>
        <v>1.0726378274942414E-2</v>
      </c>
      <c r="DF816" s="166">
        <f t="shared" si="4351"/>
        <v>1.0541371965560962E-2</v>
      </c>
      <c r="DG816" s="166">
        <f t="shared" ref="DG816:DH816" si="4352">DG121/(DG181-DG176)</f>
        <v>1.0413070262012084E-2</v>
      </c>
      <c r="DH816" s="166">
        <f t="shared" si="4352"/>
        <v>1.0314468059869979E-2</v>
      </c>
      <c r="DI816" s="166">
        <f t="shared" ref="DI816" si="4353">DI121/(DI181-DI176)</f>
        <v>1.0220733343825533E-2</v>
      </c>
    </row>
    <row r="817" spans="1:113" ht="12" hidden="1" outlineLevel="1">
      <c r="A817" s="1" t="s">
        <v>824</v>
      </c>
      <c r="B817" s="19" t="s">
        <v>295</v>
      </c>
      <c r="C817" s="601"/>
      <c r="D817" s="601"/>
      <c r="E817" s="601"/>
      <c r="F817" s="601"/>
      <c r="G817" s="601"/>
      <c r="H817" s="601"/>
      <c r="I817" s="601"/>
      <c r="J817" s="601"/>
      <c r="K817" s="601"/>
      <c r="L817" s="601"/>
      <c r="M817" s="601"/>
      <c r="N817" s="601"/>
      <c r="O817" s="601"/>
      <c r="P817" s="601"/>
      <c r="Q817" s="601"/>
      <c r="R817" s="601"/>
      <c r="S817" s="601"/>
      <c r="T817" s="416"/>
      <c r="U817" s="601"/>
      <c r="V817" s="601"/>
      <c r="W817" s="601"/>
      <c r="X817" s="601"/>
      <c r="Y817" s="416"/>
      <c r="Z817" s="416"/>
      <c r="AA817" s="416"/>
      <c r="AB817" s="416"/>
      <c r="AC817" s="416"/>
      <c r="AD817" s="416"/>
      <c r="AE817" s="416"/>
      <c r="AF817" s="416"/>
      <c r="AG817" s="416"/>
      <c r="AH817" s="416"/>
      <c r="AI817" s="416"/>
      <c r="AJ817" s="416"/>
      <c r="AK817" s="416"/>
      <c r="AL817" s="416"/>
      <c r="AM817" s="416"/>
      <c r="AN817" s="416"/>
      <c r="AO817" s="416"/>
      <c r="AP817" s="167">
        <f t="shared" ref="AP817:BI817" si="4354">AP121/(AP613-AP612)</f>
        <v>1.2770607954615223E-2</v>
      </c>
      <c r="AQ817" s="167">
        <f t="shared" ref="AQ817:AR817" si="4355">AQ121/(AQ613-AQ612)</f>
        <v>9.0219245124453125E-3</v>
      </c>
      <c r="AR817" s="167">
        <f t="shared" si="4355"/>
        <v>7.9101760064738021E-3</v>
      </c>
      <c r="AS817" s="167">
        <f t="shared" ref="AS817:AT817" si="4356">AS121/(AS613-AS612)</f>
        <v>9.4489579653832569E-3</v>
      </c>
      <c r="AT817" s="167">
        <f t="shared" si="4356"/>
        <v>1.0439247005134057E-2</v>
      </c>
      <c r="AU817" s="167">
        <f t="shared" ref="AU817:AV817" si="4357">AU121/(AU613-AU612)</f>
        <v>1.192845615922539E-2</v>
      </c>
      <c r="AV817" s="167">
        <f t="shared" si="4357"/>
        <v>1.2263184843830004E-2</v>
      </c>
      <c r="AW817" s="167">
        <f t="shared" ref="AW817:AX817" si="4358">AW121/(AW613-AW612)</f>
        <v>1.293350120178551E-2</v>
      </c>
      <c r="AX817" s="167">
        <f t="shared" si="4358"/>
        <v>1.2304828869816979E-2</v>
      </c>
      <c r="AY817" s="167">
        <f t="shared" si="4354"/>
        <v>1.1240236235473424E-2</v>
      </c>
      <c r="AZ817" s="174">
        <f t="shared" si="4354"/>
        <v>1.0330507008132895E-2</v>
      </c>
      <c r="BA817" s="166">
        <f t="shared" si="4354"/>
        <v>9.8587493357526826E-3</v>
      </c>
      <c r="BB817" s="166">
        <f t="shared" si="4354"/>
        <v>1.0188599584473464E-2</v>
      </c>
      <c r="BC817" s="166">
        <f t="shared" si="4354"/>
        <v>1.0870050223745542E-2</v>
      </c>
      <c r="BD817" s="166">
        <f t="shared" si="4354"/>
        <v>1.1297467053162636E-2</v>
      </c>
      <c r="BE817" s="166">
        <f t="shared" si="4354"/>
        <v>1.1574836283593907E-2</v>
      </c>
      <c r="BF817" s="166">
        <f t="shared" si="4354"/>
        <v>1.1631350746607691E-2</v>
      </c>
      <c r="BG817" s="166">
        <f t="shared" si="4354"/>
        <v>1.1532318315823464E-2</v>
      </c>
      <c r="BH817" s="166">
        <f t="shared" si="4354"/>
        <v>1.1466353807818096E-2</v>
      </c>
      <c r="BI817" s="166">
        <f t="shared" si="4354"/>
        <v>1.1388060652673358E-2</v>
      </c>
      <c r="BJ817" s="166">
        <f t="shared" ref="BJ817:BK817" si="4359">BJ121/(BJ613-BJ612)</f>
        <v>1.1339222208646178E-2</v>
      </c>
      <c r="BK817" s="166">
        <f t="shared" si="4359"/>
        <v>1.1276949328985869E-2</v>
      </c>
      <c r="BL817" s="166">
        <f t="shared" ref="BL817:BM817" si="4360">BL121/(BL613-BL612)</f>
        <v>1.1241487137484654E-2</v>
      </c>
      <c r="BM817" s="166">
        <f t="shared" si="4360"/>
        <v>1.1192699787868979E-2</v>
      </c>
      <c r="BN817" s="166">
        <f t="shared" ref="BN817:BO817" si="4361">BN121/(BN613-BN612)</f>
        <v>1.1164394149438933E-2</v>
      </c>
      <c r="BO817" s="166">
        <f t="shared" si="4361"/>
        <v>1.1123183670753227E-2</v>
      </c>
      <c r="BP817" s="166">
        <f t="shared" ref="BP817:BQ817" si="4362">BP121/(BP613-BP612)</f>
        <v>1.1096512995098218E-2</v>
      </c>
      <c r="BQ817" s="166">
        <f t="shared" si="4362"/>
        <v>1.1057640734849368E-2</v>
      </c>
      <c r="BR817" s="166"/>
      <c r="BS817" s="166"/>
      <c r="BT817" s="166"/>
      <c r="BU817" s="166"/>
      <c r="BV817" s="166"/>
      <c r="BW817" s="166"/>
      <c r="BX817" s="166"/>
      <c r="BY817" s="166"/>
      <c r="BZ817" s="166"/>
      <c r="CA817" s="166"/>
      <c r="CB817" s="166"/>
      <c r="CC817" s="166"/>
      <c r="CD817" s="166"/>
      <c r="CE817" s="166"/>
      <c r="CF817" s="166"/>
      <c r="CG817" s="166"/>
      <c r="CH817" s="166"/>
      <c r="CI817" s="166"/>
      <c r="CJ817" s="166"/>
      <c r="CK817" s="166"/>
      <c r="CL817" s="166"/>
      <c r="CM817" s="167"/>
      <c r="CN817" s="167"/>
      <c r="CO817" s="167"/>
      <c r="CP817" s="167"/>
      <c r="CQ817" s="167"/>
      <c r="CR817" s="167"/>
      <c r="CS817" s="167"/>
      <c r="CT817" s="167">
        <f t="shared" ref="CT817:DF817" si="4363">CT121/(CT613-CT612)</f>
        <v>8.9130434782608691E-3</v>
      </c>
      <c r="CU817" s="167">
        <f t="shared" si="4363"/>
        <v>1.4468085106382983E-2</v>
      </c>
      <c r="CV817" s="167">
        <f t="shared" si="4363"/>
        <v>9.0219245124453125E-3</v>
      </c>
      <c r="CW817" s="167">
        <f t="shared" si="4363"/>
        <v>9.4489579653832569E-3</v>
      </c>
      <c r="CX817" s="167">
        <f t="shared" si="4363"/>
        <v>1.192845615922539E-2</v>
      </c>
      <c r="CY817" s="167">
        <f t="shared" si="4363"/>
        <v>1.293350120178551E-2</v>
      </c>
      <c r="CZ817" s="174">
        <f t="shared" si="4363"/>
        <v>1.1240236235473424E-2</v>
      </c>
      <c r="DA817" s="166">
        <f t="shared" si="4363"/>
        <v>9.8587493357526826E-3</v>
      </c>
      <c r="DB817" s="166">
        <f t="shared" si="4363"/>
        <v>1.0870050223745542E-2</v>
      </c>
      <c r="DC817" s="166">
        <f t="shared" si="4363"/>
        <v>1.1574836283593907E-2</v>
      </c>
      <c r="DD817" s="166">
        <f t="shared" si="4363"/>
        <v>1.1532318315823464E-2</v>
      </c>
      <c r="DE817" s="166">
        <f t="shared" si="4363"/>
        <v>1.1388060652673358E-2</v>
      </c>
      <c r="DF817" s="166">
        <f t="shared" si="4363"/>
        <v>1.1276949328985869E-2</v>
      </c>
      <c r="DG817" s="166">
        <f t="shared" ref="DG817:DH817" si="4364">DG121/(DG613-DG612)</f>
        <v>1.1192699787868979E-2</v>
      </c>
      <c r="DH817" s="166">
        <f t="shared" si="4364"/>
        <v>1.1123183670753227E-2</v>
      </c>
      <c r="DI817" s="166">
        <f t="shared" ref="DI817" si="4365">DI121/(DI613-DI612)</f>
        <v>1.1057640734849368E-2</v>
      </c>
    </row>
    <row r="818" spans="1:113" ht="12" hidden="1" outlineLevel="1">
      <c r="A818" s="1" t="s">
        <v>825</v>
      </c>
      <c r="B818" s="19" t="s">
        <v>261</v>
      </c>
      <c r="C818" s="601"/>
      <c r="D818" s="601"/>
      <c r="E818" s="601"/>
      <c r="F818" s="601"/>
      <c r="G818" s="601"/>
      <c r="H818" s="601"/>
      <c r="I818" s="601"/>
      <c r="J818" s="601"/>
      <c r="K818" s="601"/>
      <c r="L818" s="601"/>
      <c r="M818" s="601"/>
      <c r="N818" s="601"/>
      <c r="O818" s="601"/>
      <c r="P818" s="601"/>
      <c r="Q818" s="601"/>
      <c r="R818" s="601"/>
      <c r="S818" s="601"/>
      <c r="T818" s="416"/>
      <c r="U818" s="601"/>
      <c r="V818" s="601"/>
      <c r="W818" s="601"/>
      <c r="X818" s="601"/>
      <c r="Y818" s="416"/>
      <c r="Z818" s="416"/>
      <c r="AA818" s="416"/>
      <c r="AB818" s="416"/>
      <c r="AC818" s="416"/>
      <c r="AD818" s="416"/>
      <c r="AE818" s="416"/>
      <c r="AF818" s="416"/>
      <c r="AG818" s="416"/>
      <c r="AH818" s="416"/>
      <c r="AI818" s="416"/>
      <c r="AJ818" s="416"/>
      <c r="AK818" s="416"/>
      <c r="AL818" s="416"/>
      <c r="AM818" s="416"/>
      <c r="AN818" s="416"/>
      <c r="AO818" s="416"/>
      <c r="AP818" s="167">
        <f t="shared" ref="AP818:BI818" si="4366">AP121/(AP613)</f>
        <v>1.0093820769977353E-2</v>
      </c>
      <c r="AQ818" s="167">
        <f t="shared" ref="AQ818:AR818" si="4367">AQ121/(AQ613)</f>
        <v>7.1323888617489005E-3</v>
      </c>
      <c r="AR818" s="167">
        <f t="shared" si="4367"/>
        <v>7.0833333333333338E-3</v>
      </c>
      <c r="AS818" s="167">
        <f t="shared" ref="AS818:AT818" si="4368">AS121/(AS613)</f>
        <v>8.4772619236254156E-3</v>
      </c>
      <c r="AT818" s="167">
        <f t="shared" si="4368"/>
        <v>9.4647013188518241E-3</v>
      </c>
      <c r="AU818" s="167">
        <f t="shared" ref="AU818:AV818" si="4369">AU121/(AU613)</f>
        <v>1.0844846558258956E-2</v>
      </c>
      <c r="AV818" s="167">
        <f t="shared" si="4369"/>
        <v>1.1148609333178168E-2</v>
      </c>
      <c r="AW818" s="167">
        <f t="shared" ref="AW818:AX818" si="4370">AW121/(AW613)</f>
        <v>1.1757361356778691E-2</v>
      </c>
      <c r="AX818" s="167">
        <f t="shared" si="4370"/>
        <v>1.1186313216770069E-2</v>
      </c>
      <c r="AY818" s="167">
        <f t="shared" si="4366"/>
        <v>1.021821960512643E-2</v>
      </c>
      <c r="AZ818" s="174">
        <f t="shared" si="4366"/>
        <v>9.3912222746578566E-3</v>
      </c>
      <c r="BA818" s="166">
        <f t="shared" si="4366"/>
        <v>8.9550114929550523E-3</v>
      </c>
      <c r="BB818" s="166">
        <f t="shared" si="4366"/>
        <v>9.2349315788375942E-3</v>
      </c>
      <c r="BC818" s="166">
        <f t="shared" si="4366"/>
        <v>9.8650252965316616E-3</v>
      </c>
      <c r="BD818" s="166">
        <f t="shared" si="4366"/>
        <v>1.0240802503383235E-2</v>
      </c>
      <c r="BE818" s="166">
        <f t="shared" si="4366"/>
        <v>1.050955003083036E-2</v>
      </c>
      <c r="BF818" s="166">
        <f t="shared" si="4366"/>
        <v>1.0557148868602722E-2</v>
      </c>
      <c r="BG818" s="166">
        <f t="shared" si="4366"/>
        <v>1.048273930640325E-2</v>
      </c>
      <c r="BH818" s="166">
        <f t="shared" si="4366"/>
        <v>1.040750303000746E-2</v>
      </c>
      <c r="BI818" s="166">
        <f t="shared" si="4366"/>
        <v>1.035368665186116E-2</v>
      </c>
      <c r="BJ818" s="166">
        <f t="shared" ref="BJ818:BK818" si="4371">BJ121/(BJ613)</f>
        <v>1.0295274843071044E-2</v>
      </c>
      <c r="BK818" s="166">
        <f t="shared" si="4371"/>
        <v>1.0256371298224475E-2</v>
      </c>
      <c r="BL818" s="166">
        <f t="shared" ref="BL818:BM818" si="4372">BL121/(BL613)</f>
        <v>1.0214633813395737E-2</v>
      </c>
      <c r="BM818" s="166">
        <f t="shared" si="4372"/>
        <v>1.0184663422440147E-2</v>
      </c>
      <c r="BN818" s="166">
        <f t="shared" ref="BN818:BO818" si="4373">BN121/(BN613)</f>
        <v>1.0150074582352994E-2</v>
      </c>
      <c r="BO818" s="166">
        <f t="shared" si="4373"/>
        <v>1.0132073021581483E-2</v>
      </c>
      <c r="BP818" s="166">
        <f t="shared" ref="BP818:BQ818" si="4374">BP121/(BP613)</f>
        <v>1.0096885915825566E-2</v>
      </c>
      <c r="BQ818" s="166">
        <f t="shared" si="4374"/>
        <v>1.0080793749804237E-2</v>
      </c>
      <c r="BR818" s="166"/>
      <c r="BS818" s="166"/>
      <c r="BT818" s="166"/>
      <c r="BU818" s="166"/>
      <c r="BV818" s="166"/>
      <c r="BW818" s="166"/>
      <c r="BX818" s="166"/>
      <c r="BY818" s="166"/>
      <c r="BZ818" s="166"/>
      <c r="CA818" s="166"/>
      <c r="CB818" s="166"/>
      <c r="CC818" s="166"/>
      <c r="CD818" s="166"/>
      <c r="CE818" s="166"/>
      <c r="CF818" s="166"/>
      <c r="CG818" s="166"/>
      <c r="CH818" s="166"/>
      <c r="CI818" s="166"/>
      <c r="CJ818" s="166"/>
      <c r="CK818" s="166"/>
      <c r="CL818" s="166"/>
      <c r="CM818" s="167"/>
      <c r="CN818" s="167"/>
      <c r="CO818" s="167"/>
      <c r="CP818" s="167"/>
      <c r="CQ818" s="167"/>
      <c r="CR818" s="167"/>
      <c r="CS818" s="167"/>
      <c r="CT818" s="167">
        <f t="shared" ref="CT818:DF818" si="4375">CT121/(CT613)</f>
        <v>4.4025020279405127E-3</v>
      </c>
      <c r="CU818" s="167">
        <f t="shared" si="4375"/>
        <v>1.0638006122627485E-2</v>
      </c>
      <c r="CV818" s="167">
        <f t="shared" si="4375"/>
        <v>7.1323888617489005E-3</v>
      </c>
      <c r="CW818" s="167">
        <f t="shared" si="4375"/>
        <v>8.4772619236254156E-3</v>
      </c>
      <c r="CX818" s="167">
        <f t="shared" si="4375"/>
        <v>1.0844846558258956E-2</v>
      </c>
      <c r="CY818" s="167">
        <f t="shared" si="4375"/>
        <v>1.1757361356778691E-2</v>
      </c>
      <c r="CZ818" s="174">
        <f t="shared" si="4375"/>
        <v>1.021821960512643E-2</v>
      </c>
      <c r="DA818" s="166">
        <f t="shared" si="4375"/>
        <v>8.9550114929550523E-3</v>
      </c>
      <c r="DB818" s="166">
        <f t="shared" si="4375"/>
        <v>9.8650252965316616E-3</v>
      </c>
      <c r="DC818" s="166">
        <f t="shared" si="4375"/>
        <v>1.050955003083036E-2</v>
      </c>
      <c r="DD818" s="166">
        <f t="shared" si="4375"/>
        <v>1.048273930640325E-2</v>
      </c>
      <c r="DE818" s="166">
        <f t="shared" si="4375"/>
        <v>1.035368665186116E-2</v>
      </c>
      <c r="DF818" s="166">
        <f t="shared" si="4375"/>
        <v>1.0256371298224475E-2</v>
      </c>
      <c r="DG818" s="166">
        <f t="shared" ref="DG818:DH818" si="4376">DG121/(DG613)</f>
        <v>1.0184663422440147E-2</v>
      </c>
      <c r="DH818" s="166">
        <f t="shared" si="4376"/>
        <v>1.0132073021581483E-2</v>
      </c>
      <c r="DI818" s="166">
        <f t="shared" ref="DI818" si="4377">DI121/(DI613)</f>
        <v>1.0080793749804237E-2</v>
      </c>
    </row>
    <row r="819" spans="1:113" ht="12" hidden="1" outlineLevel="1" collapsed="1">
      <c r="A819" s="1" t="s">
        <v>2199</v>
      </c>
      <c r="B819" s="19" t="s">
        <v>2200</v>
      </c>
      <c r="C819" s="165"/>
      <c r="D819" s="165"/>
      <c r="E819" s="165"/>
      <c r="F819" s="165"/>
      <c r="G819" s="165"/>
      <c r="H819" s="165"/>
      <c r="I819" s="165"/>
      <c r="J819" s="165"/>
      <c r="K819" s="165"/>
      <c r="L819" s="165"/>
      <c r="M819" s="165"/>
      <c r="N819" s="165"/>
      <c r="O819" s="165"/>
      <c r="P819" s="165"/>
      <c r="Q819" s="165"/>
      <c r="R819" s="165"/>
      <c r="S819" s="165"/>
      <c r="T819" s="165"/>
      <c r="U819" s="165"/>
      <c r="V819" s="165"/>
      <c r="W819" s="165"/>
      <c r="X819" s="165"/>
      <c r="Y819" s="165"/>
      <c r="Z819" s="165"/>
      <c r="AA819" s="165"/>
      <c r="AB819" s="165"/>
      <c r="AC819" s="165"/>
      <c r="AD819" s="165"/>
      <c r="AE819" s="165"/>
      <c r="AF819" s="165"/>
      <c r="AG819" s="165"/>
      <c r="AH819" s="165"/>
      <c r="AI819" s="165"/>
      <c r="AJ819" s="165"/>
      <c r="AK819" s="165"/>
      <c r="AL819" s="165"/>
      <c r="AM819" s="165"/>
      <c r="AN819" s="165"/>
      <c r="AO819" s="165"/>
      <c r="AP819" s="165">
        <f t="shared" ref="AP819:BI819" si="4378">(AP121+AP123)/(AP181-AP176)</f>
        <v>1.3087248322147652E-2</v>
      </c>
      <c r="AQ819" s="165">
        <f t="shared" ref="AQ819:AR819" si="4379">(AQ121+AQ123)/(AQ181-AQ176)</f>
        <v>9.2492872980677859E-3</v>
      </c>
      <c r="AR819" s="165">
        <f t="shared" si="4379"/>
        <v>8.9740647234335547E-3</v>
      </c>
      <c r="AS819" s="165">
        <f t="shared" ref="AS819:AT819" si="4380">(AS121+AS123)/(AS181-AS176)</f>
        <v>9.7806215722120657E-3</v>
      </c>
      <c r="AT819" s="165">
        <f t="shared" si="4380"/>
        <v>1.0900967982129561E-2</v>
      </c>
      <c r="AU819" s="165">
        <f t="shared" ref="AU819:AV819" si="4381">(AU121+AU123)/(AU181-AU176)</f>
        <v>1.1145456373140331E-2</v>
      </c>
      <c r="AV819" s="165">
        <f t="shared" si="4381"/>
        <v>1.1065550101068437E-2</v>
      </c>
      <c r="AW819" s="165">
        <f t="shared" ref="AW819:AX819" si="4382">(AW121+AW123)/(AW181-AW176)</f>
        <v>1.1808719642185345E-2</v>
      </c>
      <c r="AX819" s="165">
        <f t="shared" si="4382"/>
        <v>1.1314153149898268E-2</v>
      </c>
      <c r="AY819" s="165">
        <f t="shared" si="4378"/>
        <v>1.0434721092285382E-2</v>
      </c>
      <c r="AZ819" s="173">
        <f t="shared" si="4378"/>
        <v>9.7682295288506384E-3</v>
      </c>
      <c r="BA819" s="165">
        <f t="shared" si="4378"/>
        <v>9.3656393451065374E-3</v>
      </c>
      <c r="BB819" s="165">
        <f t="shared" si="4378"/>
        <v>9.6842113144745574E-3</v>
      </c>
      <c r="BC819" s="165">
        <f t="shared" si="4378"/>
        <v>1.0258413863612273E-2</v>
      </c>
      <c r="BD819" s="165">
        <f t="shared" si="4378"/>
        <v>1.072075537899971E-2</v>
      </c>
      <c r="BE819" s="165">
        <f t="shared" si="4378"/>
        <v>1.1020359320088081E-2</v>
      </c>
      <c r="BF819" s="165">
        <f t="shared" si="4378"/>
        <v>1.1147117566811868E-2</v>
      </c>
      <c r="BG819" s="165">
        <f t="shared" si="4378"/>
        <v>1.0971200515475489E-2</v>
      </c>
      <c r="BH819" s="165">
        <f t="shared" si="4378"/>
        <v>1.0869184883125296E-2</v>
      </c>
      <c r="BI819" s="165">
        <f t="shared" si="4378"/>
        <v>1.0726378274942414E-2</v>
      </c>
      <c r="BJ819" s="165">
        <f t="shared" ref="BJ819:BK819" si="4383">(BJ121+BJ123)/(BJ181-BJ176)</f>
        <v>1.0650349745251655E-2</v>
      </c>
      <c r="BK819" s="165">
        <f t="shared" si="4383"/>
        <v>1.0541371965560962E-2</v>
      </c>
      <c r="BL819" s="165">
        <f t="shared" ref="BL819:BM819" si="4384">(BL121+BL123)/(BL181-BL176)</f>
        <v>1.0493575517017534E-2</v>
      </c>
      <c r="BM819" s="165">
        <f t="shared" si="4384"/>
        <v>1.0413070262012084E-2</v>
      </c>
      <c r="BN819" s="165">
        <f t="shared" ref="BN819:BO819" si="4385">(BN121+BN123)/(BN181-BN176)</f>
        <v>1.0379737393877401E-2</v>
      </c>
      <c r="BO819" s="165">
        <f t="shared" si="4385"/>
        <v>1.0314468059869979E-2</v>
      </c>
      <c r="BP819" s="165">
        <f t="shared" ref="BP819:BQ819" si="4386">(BP121+BP123)/(BP181-BP176)</f>
        <v>1.028294198128637E-2</v>
      </c>
      <c r="BQ819" s="165">
        <f t="shared" si="4386"/>
        <v>1.0220733343825533E-2</v>
      </c>
      <c r="BS819" s="165"/>
      <c r="BT819" s="165"/>
      <c r="BU819" s="165"/>
      <c r="BV819" s="165"/>
      <c r="BW819" s="165"/>
      <c r="BX819" s="165"/>
      <c r="BY819" s="165"/>
      <c r="BZ819" s="165"/>
      <c r="CA819" s="165"/>
      <c r="CB819" s="165"/>
      <c r="CC819" s="165"/>
      <c r="CD819" s="165"/>
      <c r="CE819" s="165"/>
      <c r="CF819" s="165"/>
      <c r="CG819" s="165"/>
      <c r="CH819" s="165"/>
      <c r="CI819" s="165"/>
      <c r="CJ819" s="165"/>
      <c r="CK819" s="165"/>
      <c r="CL819" s="165"/>
      <c r="CM819" s="165"/>
      <c r="CN819" s="165"/>
      <c r="CO819" s="165"/>
      <c r="CP819" s="165"/>
      <c r="CQ819" s="165"/>
      <c r="CR819" s="165"/>
      <c r="CS819" s="165"/>
      <c r="CT819" s="165">
        <f t="shared" ref="CT819:DF819" si="4387">(CT121+CT123)/(CT181-CT176)</f>
        <v>8.3673469387755099E-3</v>
      </c>
      <c r="CU819" s="165">
        <f t="shared" si="4387"/>
        <v>1.4463492063492065E-2</v>
      </c>
      <c r="CV819" s="165">
        <f t="shared" si="4387"/>
        <v>9.2492872980677859E-3</v>
      </c>
      <c r="CW819" s="165">
        <f t="shared" si="4387"/>
        <v>9.7806215722120657E-3</v>
      </c>
      <c r="CX819" s="165">
        <f t="shared" si="4387"/>
        <v>1.1145456373140331E-2</v>
      </c>
      <c r="CY819" s="165">
        <f t="shared" si="4387"/>
        <v>1.1808719642185345E-2</v>
      </c>
      <c r="CZ819" s="173">
        <f t="shared" si="4387"/>
        <v>1.0434721092285382E-2</v>
      </c>
      <c r="DA819" s="165">
        <f t="shared" si="4387"/>
        <v>9.3656393451065374E-3</v>
      </c>
      <c r="DB819" s="165">
        <f t="shared" si="4387"/>
        <v>1.0258413863612273E-2</v>
      </c>
      <c r="DC819" s="165">
        <f t="shared" si="4387"/>
        <v>1.1020359320088081E-2</v>
      </c>
      <c r="DD819" s="165">
        <f t="shared" si="4387"/>
        <v>1.0971200515475489E-2</v>
      </c>
      <c r="DE819" s="165">
        <f t="shared" si="4387"/>
        <v>1.0726378274942414E-2</v>
      </c>
      <c r="DF819" s="165">
        <f t="shared" si="4387"/>
        <v>1.0541371965560962E-2</v>
      </c>
      <c r="DG819" s="165">
        <f t="shared" ref="DG819:DH819" si="4388">(DG121+DG123)/(DG181-DG176)</f>
        <v>1.0413070262012084E-2</v>
      </c>
      <c r="DH819" s="165">
        <f t="shared" si="4388"/>
        <v>1.0314468059869979E-2</v>
      </c>
      <c r="DI819" s="165">
        <f t="shared" ref="DI819" si="4389">(DI121+DI123)/(DI181-DI176)</f>
        <v>1.0220733343825533E-2</v>
      </c>
    </row>
    <row r="820" spans="1:113" ht="12" hidden="1" outlineLevel="1">
      <c r="A820" s="1" t="s">
        <v>2201</v>
      </c>
      <c r="B820" s="19" t="s">
        <v>2202</v>
      </c>
      <c r="C820" s="165"/>
      <c r="D820" s="165"/>
      <c r="E820" s="165"/>
      <c r="F820" s="165"/>
      <c r="G820" s="165"/>
      <c r="H820" s="165"/>
      <c r="I820" s="165"/>
      <c r="J820" s="165"/>
      <c r="K820" s="165"/>
      <c r="L820" s="165"/>
      <c r="M820" s="165"/>
      <c r="N820" s="165"/>
      <c r="O820" s="165"/>
      <c r="P820" s="165"/>
      <c r="Q820" s="165"/>
      <c r="R820" s="165"/>
      <c r="S820" s="165"/>
      <c r="T820" s="165"/>
      <c r="U820" s="165"/>
      <c r="V820" s="165"/>
      <c r="W820" s="165"/>
      <c r="X820" s="165"/>
      <c r="Y820" s="165"/>
      <c r="Z820" s="165"/>
      <c r="AA820" s="165"/>
      <c r="AB820" s="165"/>
      <c r="AC820" s="165"/>
      <c r="AD820" s="165"/>
      <c r="AE820" s="165"/>
      <c r="AF820" s="165"/>
      <c r="AG820" s="165"/>
      <c r="AH820" s="165"/>
      <c r="AI820" s="165"/>
      <c r="AJ820" s="165"/>
      <c r="AK820" s="165"/>
      <c r="AL820" s="165"/>
      <c r="AM820" s="165"/>
      <c r="AN820" s="165"/>
      <c r="AO820" s="165"/>
      <c r="AP820" s="165">
        <f t="shared" ref="AP820:BI820" si="4390">(AP121+AP123)/(AP613-AP612)</f>
        <v>1.2770607954615223E-2</v>
      </c>
      <c r="AQ820" s="165">
        <f t="shared" ref="AQ820:AR820" si="4391">(AQ121+AQ123)/(AQ613-AQ612)</f>
        <v>9.0219245124453125E-3</v>
      </c>
      <c r="AR820" s="165">
        <f t="shared" si="4391"/>
        <v>7.9101760064738021E-3</v>
      </c>
      <c r="AS820" s="165">
        <f t="shared" ref="AS820:AT820" si="4392">(AS121+AS123)/(AS613-AS612)</f>
        <v>9.4489579653832569E-3</v>
      </c>
      <c r="AT820" s="165">
        <f t="shared" si="4392"/>
        <v>1.0439247005134057E-2</v>
      </c>
      <c r="AU820" s="165">
        <f t="shared" ref="AU820:AV820" si="4393">(AU121+AU123)/(AU613-AU612)</f>
        <v>1.192845615922539E-2</v>
      </c>
      <c r="AV820" s="165">
        <f t="shared" si="4393"/>
        <v>1.2263184843830004E-2</v>
      </c>
      <c r="AW820" s="165">
        <f t="shared" ref="AW820:AX820" si="4394">(AW121+AW123)/(AW613-AW612)</f>
        <v>1.293350120178551E-2</v>
      </c>
      <c r="AX820" s="165">
        <f t="shared" si="4394"/>
        <v>1.2304828869816979E-2</v>
      </c>
      <c r="AY820" s="165">
        <f t="shared" si="4390"/>
        <v>1.1240236235473424E-2</v>
      </c>
      <c r="AZ820" s="173">
        <f t="shared" si="4390"/>
        <v>1.0330507008132895E-2</v>
      </c>
      <c r="BA820" s="165">
        <f t="shared" si="4390"/>
        <v>9.8587493357526826E-3</v>
      </c>
      <c r="BB820" s="165">
        <f t="shared" si="4390"/>
        <v>1.0188599584473464E-2</v>
      </c>
      <c r="BC820" s="165">
        <f t="shared" si="4390"/>
        <v>1.0870050223745542E-2</v>
      </c>
      <c r="BD820" s="165">
        <f t="shared" si="4390"/>
        <v>1.1297467053162636E-2</v>
      </c>
      <c r="BE820" s="165">
        <f t="shared" si="4390"/>
        <v>1.1574836283593907E-2</v>
      </c>
      <c r="BF820" s="165">
        <f t="shared" si="4390"/>
        <v>1.1631350746607691E-2</v>
      </c>
      <c r="BG820" s="165">
        <f t="shared" si="4390"/>
        <v>1.1532318315823464E-2</v>
      </c>
      <c r="BH820" s="165">
        <f t="shared" si="4390"/>
        <v>1.1466353807818096E-2</v>
      </c>
      <c r="BI820" s="165">
        <f t="shared" si="4390"/>
        <v>1.1388060652673358E-2</v>
      </c>
      <c r="BJ820" s="165">
        <f t="shared" ref="BJ820:BK820" si="4395">(BJ121+BJ123)/(BJ613-BJ612)</f>
        <v>1.1339222208646178E-2</v>
      </c>
      <c r="BK820" s="165">
        <f t="shared" si="4395"/>
        <v>1.1276949328985869E-2</v>
      </c>
      <c r="BL820" s="165">
        <f t="shared" ref="BL820:BM820" si="4396">(BL121+BL123)/(BL613-BL612)</f>
        <v>1.1241487137484654E-2</v>
      </c>
      <c r="BM820" s="165">
        <f t="shared" si="4396"/>
        <v>1.1192699787868979E-2</v>
      </c>
      <c r="BN820" s="165">
        <f t="shared" ref="BN820:BO820" si="4397">(BN121+BN123)/(BN613-BN612)</f>
        <v>1.1164394149438933E-2</v>
      </c>
      <c r="BO820" s="165">
        <f t="shared" si="4397"/>
        <v>1.1123183670753227E-2</v>
      </c>
      <c r="BP820" s="165">
        <f t="shared" ref="BP820:BQ820" si="4398">(BP121+BP123)/(BP613-BP612)</f>
        <v>1.1096512995098218E-2</v>
      </c>
      <c r="BQ820" s="165">
        <f t="shared" si="4398"/>
        <v>1.1057640734849368E-2</v>
      </c>
      <c r="BS820" s="165"/>
      <c r="BT820" s="165"/>
      <c r="BU820" s="165"/>
      <c r="BV820" s="165"/>
      <c r="BW820" s="165"/>
      <c r="BX820" s="165"/>
      <c r="BY820" s="165"/>
      <c r="BZ820" s="165"/>
      <c r="CA820" s="165"/>
      <c r="CB820" s="165"/>
      <c r="CC820" s="165"/>
      <c r="CD820" s="165"/>
      <c r="CE820" s="165"/>
      <c r="CF820" s="165"/>
      <c r="CG820" s="165"/>
      <c r="CH820" s="165"/>
      <c r="CI820" s="165"/>
      <c r="CJ820" s="165"/>
      <c r="CK820" s="165"/>
      <c r="CL820" s="165"/>
      <c r="CM820" s="165"/>
      <c r="CN820" s="165"/>
      <c r="CO820" s="165"/>
      <c r="CP820" s="165"/>
      <c r="CQ820" s="165"/>
      <c r="CR820" s="165"/>
      <c r="CS820" s="165"/>
      <c r="CT820" s="165">
        <f t="shared" ref="CT820:DF820" si="4399">(CT121+CT123)/(CT613-CT612)</f>
        <v>8.9130434782608691E-3</v>
      </c>
      <c r="CU820" s="165">
        <f t="shared" si="4399"/>
        <v>1.4468085106382983E-2</v>
      </c>
      <c r="CV820" s="165">
        <f t="shared" si="4399"/>
        <v>9.0219245124453125E-3</v>
      </c>
      <c r="CW820" s="165">
        <f t="shared" si="4399"/>
        <v>9.4489579653832569E-3</v>
      </c>
      <c r="CX820" s="165">
        <f t="shared" si="4399"/>
        <v>1.192845615922539E-2</v>
      </c>
      <c r="CY820" s="165">
        <f t="shared" si="4399"/>
        <v>1.293350120178551E-2</v>
      </c>
      <c r="CZ820" s="173">
        <f t="shared" si="4399"/>
        <v>1.1240236235473424E-2</v>
      </c>
      <c r="DA820" s="165">
        <f t="shared" si="4399"/>
        <v>9.8587493357526826E-3</v>
      </c>
      <c r="DB820" s="165">
        <f t="shared" si="4399"/>
        <v>1.0870050223745542E-2</v>
      </c>
      <c r="DC820" s="165">
        <f t="shared" si="4399"/>
        <v>1.1574836283593907E-2</v>
      </c>
      <c r="DD820" s="165">
        <f t="shared" si="4399"/>
        <v>1.1532318315823464E-2</v>
      </c>
      <c r="DE820" s="165">
        <f t="shared" si="4399"/>
        <v>1.1388060652673358E-2</v>
      </c>
      <c r="DF820" s="165">
        <f t="shared" si="4399"/>
        <v>1.1276949328985869E-2</v>
      </c>
      <c r="DG820" s="165">
        <f t="shared" ref="DG820:DH820" si="4400">(DG121+DG123)/(DG613-DG612)</f>
        <v>1.1192699787868979E-2</v>
      </c>
      <c r="DH820" s="165">
        <f t="shared" si="4400"/>
        <v>1.1123183670753227E-2</v>
      </c>
      <c r="DI820" s="165">
        <f t="shared" ref="DI820" si="4401">(DI121+DI123)/(DI613-DI612)</f>
        <v>1.1057640734849368E-2</v>
      </c>
    </row>
    <row r="821" spans="1:113" ht="12" hidden="1" outlineLevel="1">
      <c r="A821" s="1" t="s">
        <v>2203</v>
      </c>
      <c r="B821" s="19" t="s">
        <v>2204</v>
      </c>
      <c r="C821" s="165"/>
      <c r="D821" s="165"/>
      <c r="E821" s="165"/>
      <c r="F821" s="165"/>
      <c r="G821" s="165"/>
      <c r="H821" s="165"/>
      <c r="I821" s="165"/>
      <c r="J821" s="165"/>
      <c r="K821" s="165"/>
      <c r="L821" s="165"/>
      <c r="M821" s="165"/>
      <c r="N821" s="165"/>
      <c r="O821" s="165"/>
      <c r="P821" s="165"/>
      <c r="Q821" s="165"/>
      <c r="R821" s="165"/>
      <c r="S821" s="165"/>
      <c r="T821" s="165"/>
      <c r="U821" s="165"/>
      <c r="V821" s="165"/>
      <c r="W821" s="165"/>
      <c r="X821" s="165"/>
      <c r="Y821" s="165"/>
      <c r="Z821" s="165"/>
      <c r="AA821" s="165"/>
      <c r="AB821" s="165"/>
      <c r="AC821" s="165"/>
      <c r="AD821" s="165"/>
      <c r="AE821" s="165"/>
      <c r="AF821" s="165"/>
      <c r="AG821" s="165"/>
      <c r="AH821" s="165"/>
      <c r="AI821" s="165"/>
      <c r="AJ821" s="165"/>
      <c r="AK821" s="165"/>
      <c r="AL821" s="165"/>
      <c r="AM821" s="165"/>
      <c r="AN821" s="165"/>
      <c r="AO821" s="165"/>
      <c r="AP821" s="165">
        <f t="shared" ref="AP821:BI821" si="4402">(AP121+AP123)/(AP613)</f>
        <v>1.0093820769977353E-2</v>
      </c>
      <c r="AQ821" s="165">
        <f t="shared" ref="AQ821:AR821" si="4403">(AQ121+AQ123)/(AQ613)</f>
        <v>7.1323888617489005E-3</v>
      </c>
      <c r="AR821" s="165">
        <f t="shared" si="4403"/>
        <v>7.0833333333333338E-3</v>
      </c>
      <c r="AS821" s="165">
        <f t="shared" ref="AS821:AT821" si="4404">(AS121+AS123)/(AS613)</f>
        <v>8.4772619236254156E-3</v>
      </c>
      <c r="AT821" s="165">
        <f t="shared" si="4404"/>
        <v>9.4647013188518241E-3</v>
      </c>
      <c r="AU821" s="165">
        <f t="shared" ref="AU821:AV821" si="4405">(AU121+AU123)/(AU613)</f>
        <v>1.0844846558258956E-2</v>
      </c>
      <c r="AV821" s="165">
        <f t="shared" si="4405"/>
        <v>1.1148609333178168E-2</v>
      </c>
      <c r="AW821" s="165">
        <f t="shared" ref="AW821:AX821" si="4406">(AW121+AW123)/(AW613)</f>
        <v>1.1757361356778691E-2</v>
      </c>
      <c r="AX821" s="165">
        <f t="shared" si="4406"/>
        <v>1.1186313216770069E-2</v>
      </c>
      <c r="AY821" s="165">
        <f t="shared" si="4402"/>
        <v>1.021821960512643E-2</v>
      </c>
      <c r="AZ821" s="173">
        <f t="shared" si="4402"/>
        <v>9.3912222746578566E-3</v>
      </c>
      <c r="BA821" s="165">
        <f t="shared" si="4402"/>
        <v>8.9550114929550523E-3</v>
      </c>
      <c r="BB821" s="165">
        <f t="shared" si="4402"/>
        <v>9.2349315788375942E-3</v>
      </c>
      <c r="BC821" s="165">
        <f t="shared" si="4402"/>
        <v>9.8650252965316616E-3</v>
      </c>
      <c r="BD821" s="165">
        <f t="shared" si="4402"/>
        <v>1.0240802503383235E-2</v>
      </c>
      <c r="BE821" s="165">
        <f t="shared" si="4402"/>
        <v>1.050955003083036E-2</v>
      </c>
      <c r="BF821" s="165">
        <f t="shared" si="4402"/>
        <v>1.0557148868602722E-2</v>
      </c>
      <c r="BG821" s="165">
        <f t="shared" si="4402"/>
        <v>1.048273930640325E-2</v>
      </c>
      <c r="BH821" s="165">
        <f t="shared" si="4402"/>
        <v>1.040750303000746E-2</v>
      </c>
      <c r="BI821" s="165">
        <f t="shared" si="4402"/>
        <v>1.035368665186116E-2</v>
      </c>
      <c r="BJ821" s="165">
        <f t="shared" ref="BJ821:BK821" si="4407">(BJ121+BJ123)/(BJ613)</f>
        <v>1.0295274843071044E-2</v>
      </c>
      <c r="BK821" s="165">
        <f t="shared" si="4407"/>
        <v>1.0256371298224475E-2</v>
      </c>
      <c r="BL821" s="165">
        <f t="shared" ref="BL821:BM821" si="4408">(BL121+BL123)/(BL613)</f>
        <v>1.0214633813395737E-2</v>
      </c>
      <c r="BM821" s="165">
        <f t="shared" si="4408"/>
        <v>1.0184663422440147E-2</v>
      </c>
      <c r="BN821" s="165">
        <f t="shared" ref="BN821:BO821" si="4409">(BN121+BN123)/(BN613)</f>
        <v>1.0150074582352994E-2</v>
      </c>
      <c r="BO821" s="165">
        <f t="shared" si="4409"/>
        <v>1.0132073021581483E-2</v>
      </c>
      <c r="BP821" s="165">
        <f t="shared" ref="BP821:BQ821" si="4410">(BP121+BP123)/(BP613)</f>
        <v>1.0096885915825566E-2</v>
      </c>
      <c r="BQ821" s="165">
        <f t="shared" si="4410"/>
        <v>1.0080793749804237E-2</v>
      </c>
      <c r="BS821" s="165"/>
      <c r="BT821" s="165"/>
      <c r="BU821" s="165"/>
      <c r="BV821" s="165"/>
      <c r="BW821" s="165"/>
      <c r="BX821" s="165"/>
      <c r="BY821" s="165"/>
      <c r="BZ821" s="165"/>
      <c r="CA821" s="165"/>
      <c r="CB821" s="165"/>
      <c r="CC821" s="165"/>
      <c r="CD821" s="165"/>
      <c r="CE821" s="165"/>
      <c r="CF821" s="165"/>
      <c r="CG821" s="165"/>
      <c r="CH821" s="165"/>
      <c r="CI821" s="165"/>
      <c r="CJ821" s="165"/>
      <c r="CK821" s="165"/>
      <c r="CL821" s="165"/>
      <c r="CM821" s="165"/>
      <c r="CN821" s="165"/>
      <c r="CO821" s="165"/>
      <c r="CP821" s="165"/>
      <c r="CQ821" s="165"/>
      <c r="CR821" s="165"/>
      <c r="CS821" s="165"/>
      <c r="CT821" s="165">
        <f t="shared" ref="CT821:DF821" si="4411">(CT121+CT123)/(CT613)</f>
        <v>4.4025020279405127E-3</v>
      </c>
      <c r="CU821" s="165">
        <f t="shared" si="4411"/>
        <v>1.0638006122627485E-2</v>
      </c>
      <c r="CV821" s="165">
        <f t="shared" si="4411"/>
        <v>7.1323888617489005E-3</v>
      </c>
      <c r="CW821" s="165">
        <f t="shared" si="4411"/>
        <v>8.4772619236254156E-3</v>
      </c>
      <c r="CX821" s="165">
        <f t="shared" si="4411"/>
        <v>1.0844846558258956E-2</v>
      </c>
      <c r="CY821" s="165">
        <f t="shared" si="4411"/>
        <v>1.1757361356778691E-2</v>
      </c>
      <c r="CZ821" s="173">
        <f t="shared" si="4411"/>
        <v>1.021821960512643E-2</v>
      </c>
      <c r="DA821" s="165">
        <f t="shared" si="4411"/>
        <v>8.9550114929550523E-3</v>
      </c>
      <c r="DB821" s="165">
        <f t="shared" si="4411"/>
        <v>9.8650252965316616E-3</v>
      </c>
      <c r="DC821" s="165">
        <f t="shared" si="4411"/>
        <v>1.050955003083036E-2</v>
      </c>
      <c r="DD821" s="165">
        <f t="shared" si="4411"/>
        <v>1.048273930640325E-2</v>
      </c>
      <c r="DE821" s="165">
        <f t="shared" si="4411"/>
        <v>1.035368665186116E-2</v>
      </c>
      <c r="DF821" s="165">
        <f t="shared" si="4411"/>
        <v>1.0256371298224475E-2</v>
      </c>
      <c r="DG821" s="165">
        <f t="shared" ref="DG821:DH821" si="4412">(DG121+DG123)/(DG613)</f>
        <v>1.0184663422440147E-2</v>
      </c>
      <c r="DH821" s="165">
        <f t="shared" si="4412"/>
        <v>1.0132073021581483E-2</v>
      </c>
      <c r="DI821" s="165">
        <f t="shared" ref="DI821" si="4413">(DI121+DI123)/(DI613)</f>
        <v>1.0080793749804237E-2</v>
      </c>
    </row>
    <row r="822" spans="1:113" ht="12" hidden="1" outlineLevel="1">
      <c r="A822" s="1" t="s">
        <v>826</v>
      </c>
      <c r="B822" s="19" t="s">
        <v>262</v>
      </c>
      <c r="C822" s="601"/>
      <c r="D822" s="601"/>
      <c r="E822" s="601"/>
      <c r="F822" s="601"/>
      <c r="G822" s="601"/>
      <c r="H822" s="601"/>
      <c r="I822" s="601"/>
      <c r="J822" s="601"/>
      <c r="K822" s="601"/>
      <c r="L822" s="601"/>
      <c r="M822" s="601"/>
      <c r="N822" s="601"/>
      <c r="O822" s="601"/>
      <c r="P822" s="601"/>
      <c r="Q822" s="601"/>
      <c r="R822" s="601"/>
      <c r="S822" s="601"/>
      <c r="T822" s="416"/>
      <c r="U822" s="601"/>
      <c r="V822" s="601"/>
      <c r="W822" s="601"/>
      <c r="X822" s="601"/>
      <c r="Y822" s="416"/>
      <c r="Z822" s="416"/>
      <c r="AA822" s="416"/>
      <c r="AB822" s="416"/>
      <c r="AC822" s="416"/>
      <c r="AD822" s="416"/>
      <c r="AE822" s="416"/>
      <c r="AF822" s="416"/>
      <c r="AG822" s="416"/>
      <c r="AH822" s="416"/>
      <c r="AI822" s="416"/>
      <c r="AJ822" s="416"/>
      <c r="AK822" s="416"/>
      <c r="AL822" s="416"/>
      <c r="AM822" s="416"/>
      <c r="AN822" s="416"/>
      <c r="AO822" s="416"/>
      <c r="AP822" s="167">
        <f t="shared" ref="AP822:BI822" si="4414">(AP121+AP120)/(AP181-AP176)</f>
        <v>1.421979865771812E-2</v>
      </c>
      <c r="AQ822" s="167">
        <f t="shared" ref="AQ822:AR822" si="4415">(AQ121+AQ120)/(AQ181-AQ176)</f>
        <v>1.1086474501108648E-2</v>
      </c>
      <c r="AR822" s="167">
        <f t="shared" si="4415"/>
        <v>1.0259352765664448E-2</v>
      </c>
      <c r="AS822" s="167">
        <f t="shared" ref="AS822:AT822" si="4416">(AS121+AS120)/(AS181-AS176)</f>
        <v>1.0091407678244972E-2</v>
      </c>
      <c r="AT822" s="167">
        <f t="shared" si="4416"/>
        <v>1.154132539091586E-2</v>
      </c>
      <c r="AU822" s="167">
        <f t="shared" ref="AU822:AV822" si="4417">(AU121+AU120)/(AU181-AU176)</f>
        <v>1.3507740249296341E-2</v>
      </c>
      <c r="AV822" s="167">
        <f t="shared" si="4417"/>
        <v>1.5073635576090096E-2</v>
      </c>
      <c r="AW822" s="167">
        <f t="shared" ref="AW822:AX822" si="4418">(AW121+AW120)/(AW181-AW176)</f>
        <v>1.5581239811060486E-2</v>
      </c>
      <c r="AX822" s="167">
        <f t="shared" si="4418"/>
        <v>1.5174275989275324E-2</v>
      </c>
      <c r="AY822" s="167">
        <f t="shared" si="4414"/>
        <v>1.6430264228361219E-2</v>
      </c>
      <c r="AZ822" s="174">
        <f t="shared" si="4414"/>
        <v>1.5715886871794035E-2</v>
      </c>
      <c r="BA822" s="166">
        <f t="shared" si="4414"/>
        <v>1.4744794939756301E-2</v>
      </c>
      <c r="BB822" s="166">
        <f t="shared" si="4414"/>
        <v>1.4347735636586218E-2</v>
      </c>
      <c r="BC822" s="166">
        <f t="shared" si="4414"/>
        <v>1.4124043119299053E-2</v>
      </c>
      <c r="BD822" s="166">
        <f t="shared" si="4414"/>
        <v>1.3609543320895817E-2</v>
      </c>
      <c r="BE822" s="166">
        <f t="shared" si="4414"/>
        <v>1.2872012855699968E-2</v>
      </c>
      <c r="BF822" s="166">
        <f t="shared" si="4414"/>
        <v>1.2144978423438473E-2</v>
      </c>
      <c r="BG822" s="166">
        <f t="shared" si="4414"/>
        <v>1.1362192188689526E-2</v>
      </c>
      <c r="BH822" s="166">
        <f t="shared" si="4414"/>
        <v>1.0777615801011576E-2</v>
      </c>
      <c r="BI822" s="166">
        <f t="shared" si="4414"/>
        <v>1.0382562221920003E-2</v>
      </c>
      <c r="BJ822" s="166">
        <f t="shared" ref="BJ822:BK822" si="4419">(BJ121+BJ120)/(BJ181-BJ176)</f>
        <v>1.0047847374962325E-2</v>
      </c>
      <c r="BK822" s="166">
        <f t="shared" si="4419"/>
        <v>9.7107959440653514E-3</v>
      </c>
      <c r="BL822" s="166">
        <f t="shared" ref="BL822:BM822" si="4420">(BL121+BL120)/(BL181-BL176)</f>
        <v>9.3289443750168462E-3</v>
      </c>
      <c r="BM822" s="166">
        <f t="shared" si="4420"/>
        <v>8.9371587650457721E-3</v>
      </c>
      <c r="BN822" s="166">
        <f t="shared" ref="BN822:BO822" si="4421">(BN121+BN120)/(BN181-BN176)</f>
        <v>8.4803547021508954E-3</v>
      </c>
      <c r="BO822" s="166">
        <f t="shared" si="4421"/>
        <v>8.0404762278102546E-3</v>
      </c>
      <c r="BP822" s="166">
        <f t="shared" ref="BP822:BQ822" si="4422">(BP121+BP120)/(BP181-BP176)</f>
        <v>7.5111832236281484E-3</v>
      </c>
      <c r="BQ822" s="166">
        <f t="shared" si="4422"/>
        <v>7.012556629901725E-3</v>
      </c>
      <c r="BR822" s="166"/>
      <c r="BS822" s="166"/>
      <c r="BT822" s="166"/>
      <c r="BU822" s="166"/>
      <c r="BV822" s="166"/>
      <c r="BW822" s="166"/>
      <c r="BX822" s="166"/>
      <c r="BY822" s="166"/>
      <c r="BZ822" s="166"/>
      <c r="CA822" s="166"/>
      <c r="CB822" s="166"/>
      <c r="CC822" s="166"/>
      <c r="CD822" s="166"/>
      <c r="CE822" s="166"/>
      <c r="CF822" s="166"/>
      <c r="CG822" s="166"/>
      <c r="CH822" s="166"/>
      <c r="CI822" s="166"/>
      <c r="CJ822" s="166"/>
      <c r="CK822" s="166"/>
      <c r="CL822" s="166"/>
      <c r="CM822" s="166"/>
      <c r="CN822" s="167"/>
      <c r="CO822" s="167"/>
      <c r="CP822" s="167"/>
      <c r="CQ822" s="167"/>
      <c r="CR822" s="167"/>
      <c r="CS822" s="167"/>
      <c r="CT822" s="167">
        <f t="shared" ref="CT822:DF822" si="4423">(CT121+CT120)/(CT181-CT176)</f>
        <v>8.3673469387755099E-3</v>
      </c>
      <c r="CU822" s="167">
        <f t="shared" si="4423"/>
        <v>1.5101587301587302E-2</v>
      </c>
      <c r="CV822" s="167">
        <f t="shared" si="4423"/>
        <v>1.1086474501108648E-2</v>
      </c>
      <c r="CW822" s="167">
        <f t="shared" si="4423"/>
        <v>1.0091407678244972E-2</v>
      </c>
      <c r="CX822" s="167">
        <f t="shared" si="4423"/>
        <v>1.3507740249296341E-2</v>
      </c>
      <c r="CY822" s="167">
        <f t="shared" si="4423"/>
        <v>1.5581239811060486E-2</v>
      </c>
      <c r="CZ822" s="174">
        <f t="shared" si="4423"/>
        <v>1.6430264228361219E-2</v>
      </c>
      <c r="DA822" s="166">
        <f t="shared" si="4423"/>
        <v>1.4744794939756301E-2</v>
      </c>
      <c r="DB822" s="166">
        <f t="shared" si="4423"/>
        <v>1.4124043119299053E-2</v>
      </c>
      <c r="DC822" s="166">
        <f t="shared" si="4423"/>
        <v>1.2872012855699968E-2</v>
      </c>
      <c r="DD822" s="166">
        <f t="shared" si="4423"/>
        <v>1.1362192188689526E-2</v>
      </c>
      <c r="DE822" s="166">
        <f t="shared" si="4423"/>
        <v>1.0382562221920003E-2</v>
      </c>
      <c r="DF822" s="166">
        <f t="shared" si="4423"/>
        <v>9.7107959440653514E-3</v>
      </c>
      <c r="DG822" s="166">
        <f t="shared" ref="DG822:DH822" si="4424">(DG121+DG120)/(DG181-DG176)</f>
        <v>8.9371587650457721E-3</v>
      </c>
      <c r="DH822" s="166">
        <f t="shared" si="4424"/>
        <v>8.0404762278102546E-3</v>
      </c>
      <c r="DI822" s="166">
        <f t="shared" ref="DI822" si="4425">(DI121+DI120)/(DI181-DI176)</f>
        <v>7.012556629901725E-3</v>
      </c>
    </row>
    <row r="823" spans="1:113" ht="12" hidden="1" outlineLevel="1">
      <c r="A823" s="1" t="s">
        <v>827</v>
      </c>
      <c r="B823" s="19" t="s">
        <v>369</v>
      </c>
      <c r="C823" s="601"/>
      <c r="D823" s="601"/>
      <c r="E823" s="601"/>
      <c r="F823" s="601"/>
      <c r="G823" s="601"/>
      <c r="H823" s="601"/>
      <c r="I823" s="601"/>
      <c r="J823" s="601"/>
      <c r="K823" s="601"/>
      <c r="L823" s="601"/>
      <c r="M823" s="601"/>
      <c r="N823" s="601"/>
      <c r="O823" s="601"/>
      <c r="P823" s="601"/>
      <c r="Q823" s="601"/>
      <c r="R823" s="601"/>
      <c r="S823" s="601"/>
      <c r="T823" s="416"/>
      <c r="U823" s="601"/>
      <c r="V823" s="601"/>
      <c r="W823" s="601"/>
      <c r="X823" s="601"/>
      <c r="Y823" s="416"/>
      <c r="Z823" s="416"/>
      <c r="AA823" s="416"/>
      <c r="AB823" s="416"/>
      <c r="AC823" s="416"/>
      <c r="AD823" s="416"/>
      <c r="AE823" s="416"/>
      <c r="AF823" s="416"/>
      <c r="AG823" s="416"/>
      <c r="AH823" s="416"/>
      <c r="AI823" s="416"/>
      <c r="AJ823" s="416"/>
      <c r="AK823" s="416"/>
      <c r="AL823" s="416"/>
      <c r="AM823" s="416"/>
      <c r="AN823" s="416"/>
      <c r="AO823" s="416"/>
      <c r="AP823" s="167">
        <f t="shared" ref="AP823:BI823" si="4426">(AP121+AP120)/(AP613-AP612)</f>
        <v>1.3875756719918463E-2</v>
      </c>
      <c r="AQ823" s="167">
        <f t="shared" ref="AQ823:AR823" si="4427">(AQ121+AQ120)/(AQ613-AQ612)</f>
        <v>1.0813950614232395E-2</v>
      </c>
      <c r="AR823" s="167">
        <f t="shared" si="4427"/>
        <v>9.0430912401375692E-3</v>
      </c>
      <c r="AS823" s="167">
        <f t="shared" ref="AS823:AT823" si="4428">(AS121+AS120)/(AS613-AS612)</f>
        <v>9.7492052278346873E-3</v>
      </c>
      <c r="AT823" s="167">
        <f t="shared" si="4428"/>
        <v>1.105248146035368E-2</v>
      </c>
      <c r="AU823" s="167">
        <f t="shared" ref="AU823:AV823" si="4429">(AU121+AU120)/(AU613-AU612)</f>
        <v>1.4456697149004841E-2</v>
      </c>
      <c r="AV823" s="167">
        <f t="shared" si="4429"/>
        <v>1.6705069124423964E-2</v>
      </c>
      <c r="AW823" s="167">
        <f t="shared" ref="AW823:AX823" si="4430">(AW121+AW120)/(AW613-AW612)</f>
        <v>1.7065354240586014E-2</v>
      </c>
      <c r="AX823" s="167">
        <f t="shared" si="4430"/>
        <v>1.6502946954813358E-2</v>
      </c>
      <c r="AY823" s="167">
        <f t="shared" si="4426"/>
        <v>1.7698609258906459E-2</v>
      </c>
      <c r="AZ823" s="174">
        <f t="shared" si="4426"/>
        <v>1.6620522581761551E-2</v>
      </c>
      <c r="BA823" s="166">
        <f t="shared" si="4426"/>
        <v>1.5521122687057558E-2</v>
      </c>
      <c r="BB823" s="166">
        <f t="shared" si="4426"/>
        <v>1.5095016888630235E-2</v>
      </c>
      <c r="BC823" s="166">
        <f t="shared" si="4426"/>
        <v>1.4966159497006927E-2</v>
      </c>
      <c r="BD823" s="166">
        <f t="shared" si="4426"/>
        <v>1.4341654280965031E-2</v>
      </c>
      <c r="BE823" s="166">
        <f t="shared" si="4426"/>
        <v>1.3519653680752433E-2</v>
      </c>
      <c r="BF823" s="166">
        <f t="shared" si="4426"/>
        <v>1.2672558893033833E-2</v>
      </c>
      <c r="BG823" s="166">
        <f t="shared" si="4426"/>
        <v>1.1943307106701951E-2</v>
      </c>
      <c r="BH823" s="166">
        <f t="shared" si="4426"/>
        <v>1.1369753786320333E-2</v>
      </c>
      <c r="BI823" s="166">
        <f t="shared" si="4426"/>
        <v>1.1023035481565174E-2</v>
      </c>
      <c r="BJ823" s="166">
        <f t="shared" ref="BJ823:BK823" si="4431">(BJ121+BJ120)/(BJ613-BJ612)</f>
        <v>1.0697749541422956E-2</v>
      </c>
      <c r="BK823" s="166">
        <f t="shared" si="4431"/>
        <v>1.0388415679013465E-2</v>
      </c>
      <c r="BL823" s="166">
        <f t="shared" ref="BL823:BM823" si="4432">(BL121+BL120)/(BL613-BL612)</f>
        <v>9.9938489057415196E-3</v>
      </c>
      <c r="BM823" s="166">
        <f t="shared" si="4432"/>
        <v>9.6062863782454249E-3</v>
      </c>
      <c r="BN823" s="166">
        <f t="shared" ref="BN823:BO823" si="4433">(BN121+BN120)/(BN613-BN612)</f>
        <v>9.1214275303060418E-3</v>
      </c>
      <c r="BO823" s="166">
        <f t="shared" si="4433"/>
        <v>8.6708973611757858E-3</v>
      </c>
      <c r="BP823" s="166">
        <f t="shared" ref="BP823:BQ823" si="4434">(BP121+BP120)/(BP613-BP612)</f>
        <v>8.105456823663499E-3</v>
      </c>
      <c r="BQ823" s="166">
        <f t="shared" si="4434"/>
        <v>7.5867679194549743E-3</v>
      </c>
      <c r="BR823" s="166"/>
      <c r="BS823" s="166"/>
      <c r="BT823" s="166"/>
      <c r="BU823" s="166"/>
      <c r="BV823" s="166"/>
      <c r="BW823" s="166"/>
      <c r="BX823" s="166"/>
      <c r="BY823" s="166"/>
      <c r="BZ823" s="166"/>
      <c r="CA823" s="166"/>
      <c r="CB823" s="166"/>
      <c r="CC823" s="166"/>
      <c r="CD823" s="166"/>
      <c r="CE823" s="166"/>
      <c r="CF823" s="166"/>
      <c r="CG823" s="166"/>
      <c r="CH823" s="166"/>
      <c r="CI823" s="166"/>
      <c r="CJ823" s="166"/>
      <c r="CK823" s="166"/>
      <c r="CL823" s="166"/>
      <c r="CM823" s="166"/>
      <c r="CN823" s="167"/>
      <c r="CO823" s="167"/>
      <c r="CP823" s="167"/>
      <c r="CQ823" s="167"/>
      <c r="CR823" s="167"/>
      <c r="CS823" s="167"/>
      <c r="CT823" s="167">
        <f t="shared" ref="CT823:DF823" si="4435">(CT121+CT120)/(CT613-CT612)</f>
        <v>8.9130434782608691E-3</v>
      </c>
      <c r="CU823" s="167">
        <f t="shared" si="4435"/>
        <v>1.5106382978723406E-2</v>
      </c>
      <c r="CV823" s="167">
        <f t="shared" si="4435"/>
        <v>1.0813950614232395E-2</v>
      </c>
      <c r="CW823" s="167">
        <f t="shared" si="4435"/>
        <v>9.7492052278346873E-3</v>
      </c>
      <c r="CX823" s="167">
        <f t="shared" si="4435"/>
        <v>1.4456697149004841E-2</v>
      </c>
      <c r="CY823" s="167">
        <f t="shared" si="4435"/>
        <v>1.7065354240586014E-2</v>
      </c>
      <c r="CZ823" s="174">
        <f t="shared" si="4435"/>
        <v>1.7698609258906459E-2</v>
      </c>
      <c r="DA823" s="166">
        <f t="shared" si="4435"/>
        <v>1.5521122687057558E-2</v>
      </c>
      <c r="DB823" s="166">
        <f t="shared" si="4435"/>
        <v>1.4966159497006927E-2</v>
      </c>
      <c r="DC823" s="166">
        <f t="shared" si="4435"/>
        <v>1.3519653680752433E-2</v>
      </c>
      <c r="DD823" s="166">
        <f t="shared" si="4435"/>
        <v>1.1943307106701951E-2</v>
      </c>
      <c r="DE823" s="166">
        <f t="shared" si="4435"/>
        <v>1.1023035481565174E-2</v>
      </c>
      <c r="DF823" s="166">
        <f t="shared" si="4435"/>
        <v>1.0388415679013465E-2</v>
      </c>
      <c r="DG823" s="166">
        <f t="shared" ref="DG823:DH823" si="4436">(DG121+DG120)/(DG613-DG612)</f>
        <v>9.6062863782454249E-3</v>
      </c>
      <c r="DH823" s="166">
        <f t="shared" si="4436"/>
        <v>8.6708973611757858E-3</v>
      </c>
      <c r="DI823" s="166">
        <f t="shared" ref="DI823" si="4437">(DI121+DI120)/(DI613-DI612)</f>
        <v>7.5867679194549743E-3</v>
      </c>
    </row>
    <row r="824" spans="1:113" ht="12" hidden="1" outlineLevel="1">
      <c r="A824" s="1" t="s">
        <v>828</v>
      </c>
      <c r="B824" s="19" t="s">
        <v>370</v>
      </c>
      <c r="C824" s="601"/>
      <c r="D824" s="601"/>
      <c r="E824" s="601"/>
      <c r="F824" s="601"/>
      <c r="G824" s="601"/>
      <c r="H824" s="601"/>
      <c r="I824" s="601"/>
      <c r="J824" s="601"/>
      <c r="K824" s="601"/>
      <c r="L824" s="601"/>
      <c r="M824" s="601"/>
      <c r="N824" s="601"/>
      <c r="O824" s="601"/>
      <c r="P824" s="601"/>
      <c r="Q824" s="601"/>
      <c r="R824" s="601"/>
      <c r="S824" s="601"/>
      <c r="T824" s="416"/>
      <c r="U824" s="601"/>
      <c r="V824" s="601"/>
      <c r="W824" s="601"/>
      <c r="X824" s="601"/>
      <c r="Y824" s="416"/>
      <c r="Z824" s="416"/>
      <c r="AA824" s="416"/>
      <c r="AB824" s="416"/>
      <c r="AC824" s="416"/>
      <c r="AD824" s="416"/>
      <c r="AE824" s="416"/>
      <c r="AF824" s="416"/>
      <c r="AG824" s="416"/>
      <c r="AH824" s="416"/>
      <c r="AI824" s="416"/>
      <c r="AJ824" s="416"/>
      <c r="AK824" s="416"/>
      <c r="AL824" s="416"/>
      <c r="AM824" s="416"/>
      <c r="AN824" s="416"/>
      <c r="AO824" s="416"/>
      <c r="AP824" s="167">
        <f t="shared" ref="AP824:BI824" si="4438">(AP121+AP120)/(AP613)</f>
        <v>1.0967324490456162E-2</v>
      </c>
      <c r="AQ824" s="167">
        <f t="shared" ref="AQ824:AR824" si="4439">(AQ121+AQ120)/(AQ613)</f>
        <v>8.5490962383976549E-3</v>
      </c>
      <c r="AR824" s="167">
        <f t="shared" si="4439"/>
        <v>8.0978260869565225E-3</v>
      </c>
      <c r="AS824" s="167">
        <f t="shared" ref="AS824:AT824" si="4440">(AS121+AS120)/(AS613)</f>
        <v>8.7466328632546352E-3</v>
      </c>
      <c r="AT824" s="167">
        <f t="shared" si="4440"/>
        <v>1.0020687871735195E-2</v>
      </c>
      <c r="AU824" s="167">
        <f t="shared" ref="AU824:AV824" si="4441">(AU121+AU120)/(AU613)</f>
        <v>1.3143416065533684E-2</v>
      </c>
      <c r="AV824" s="167">
        <f t="shared" si="4441"/>
        <v>1.5186779937158152E-2</v>
      </c>
      <c r="AW824" s="167">
        <f t="shared" ref="AW824:AX824" si="4442">(AW121+AW120)/(AW613)</f>
        <v>1.551347414420976E-2</v>
      </c>
      <c r="AX824" s="167">
        <f t="shared" si="4442"/>
        <v>1.500282007896221E-2</v>
      </c>
      <c r="AY824" s="167">
        <f t="shared" si="4438"/>
        <v>1.6089366124004158E-2</v>
      </c>
      <c r="AZ824" s="174">
        <f t="shared" si="4438"/>
        <v>1.5109328299512349E-2</v>
      </c>
      <c r="BA824" s="166">
        <f t="shared" si="4438"/>
        <v>1.4098322952802235E-2</v>
      </c>
      <c r="BB824" s="166">
        <f t="shared" si="4438"/>
        <v>1.3682100959226409E-2</v>
      </c>
      <c r="BC824" s="166">
        <f t="shared" si="4438"/>
        <v>1.3582415811417236E-2</v>
      </c>
      <c r="BD824" s="166">
        <f t="shared" si="4438"/>
        <v>1.3000263543326597E-2</v>
      </c>
      <c r="BE824" s="166">
        <f t="shared" si="4438"/>
        <v>1.2275376798094198E-2</v>
      </c>
      <c r="BF824" s="166">
        <f t="shared" si="4438"/>
        <v>1.1502197267923717E-2</v>
      </c>
      <c r="BG824" s="166">
        <f t="shared" si="4438"/>
        <v>1.0856323197746386E-2</v>
      </c>
      <c r="BH824" s="166">
        <f t="shared" si="4438"/>
        <v>1.0319823456074266E-2</v>
      </c>
      <c r="BI824" s="166">
        <f t="shared" si="4438"/>
        <v>1.0021816603310887E-2</v>
      </c>
      <c r="BJ824" s="166">
        <f t="shared" ref="BJ824:BK824" si="4443">(BJ121+BJ120)/(BJ613)</f>
        <v>9.7128594629098501E-3</v>
      </c>
      <c r="BK824" s="166">
        <f t="shared" si="4443"/>
        <v>9.4482510558412322E-3</v>
      </c>
      <c r="BL824" s="166">
        <f t="shared" ref="BL824:BM824" si="4444">(BL121+BL120)/(BL613)</f>
        <v>9.0809610605841144E-3</v>
      </c>
      <c r="BM824" s="166">
        <f t="shared" si="4444"/>
        <v>8.7411254975354562E-3</v>
      </c>
      <c r="BN824" s="166">
        <f t="shared" ref="BN824:BO824" si="4445">(BN121+BN120)/(BN613)</f>
        <v>8.2927177678322091E-3</v>
      </c>
      <c r="BO824" s="166">
        <f t="shared" si="4445"/>
        <v>7.8982931350015245E-3</v>
      </c>
      <c r="BP824" s="166">
        <f t="shared" ref="BP824:BQ824" si="4446">(BP121+BP120)/(BP613)</f>
        <v>7.3752784212781277E-3</v>
      </c>
      <c r="BQ824" s="166">
        <f t="shared" si="4446"/>
        <v>6.9165425480518525E-3</v>
      </c>
      <c r="BR824" s="166"/>
      <c r="BS824" s="166"/>
      <c r="BT824" s="166"/>
      <c r="BU824" s="166"/>
      <c r="BV824" s="166"/>
      <c r="BW824" s="166"/>
      <c r="BX824" s="166"/>
      <c r="BY824" s="166"/>
      <c r="BZ824" s="166"/>
      <c r="CA824" s="166"/>
      <c r="CB824" s="166"/>
      <c r="CC824" s="166"/>
      <c r="CD824" s="166"/>
      <c r="CE824" s="166"/>
      <c r="CF824" s="166"/>
      <c r="CG824" s="166"/>
      <c r="CH824" s="166"/>
      <c r="CI824" s="166"/>
      <c r="CJ824" s="166"/>
      <c r="CK824" s="166"/>
      <c r="CL824" s="166"/>
      <c r="CM824" s="166"/>
      <c r="CN824" s="167"/>
      <c r="CO824" s="167"/>
      <c r="CP824" s="167"/>
      <c r="CQ824" s="167"/>
      <c r="CR824" s="167"/>
      <c r="CS824" s="167"/>
      <c r="CT824" s="167">
        <f t="shared" ref="CT824:DF824" si="4447">(CT121+CT120)/(CT613)</f>
        <v>4.4025020279405127E-3</v>
      </c>
      <c r="CU824" s="167">
        <f t="shared" si="4447"/>
        <v>1.1107329922155166E-2</v>
      </c>
      <c r="CV824" s="167">
        <f t="shared" si="4447"/>
        <v>8.5490962383976549E-3</v>
      </c>
      <c r="CW824" s="167">
        <f t="shared" si="4447"/>
        <v>8.7466328632546352E-3</v>
      </c>
      <c r="CX824" s="167">
        <f t="shared" si="4447"/>
        <v>1.3143416065533684E-2</v>
      </c>
      <c r="CY824" s="167">
        <f t="shared" si="4447"/>
        <v>1.551347414420976E-2</v>
      </c>
      <c r="CZ824" s="174">
        <f t="shared" si="4447"/>
        <v>1.6089366124004158E-2</v>
      </c>
      <c r="DA824" s="166">
        <f t="shared" si="4447"/>
        <v>1.4098322952802235E-2</v>
      </c>
      <c r="DB824" s="166">
        <f t="shared" si="4447"/>
        <v>1.3582415811417236E-2</v>
      </c>
      <c r="DC824" s="166">
        <f t="shared" si="4447"/>
        <v>1.2275376798094198E-2</v>
      </c>
      <c r="DD824" s="166">
        <f t="shared" si="4447"/>
        <v>1.0856323197746386E-2</v>
      </c>
      <c r="DE824" s="166">
        <f t="shared" si="4447"/>
        <v>1.0021816603310887E-2</v>
      </c>
      <c r="DF824" s="166">
        <f t="shared" si="4447"/>
        <v>9.4482510558412322E-3</v>
      </c>
      <c r="DG824" s="166">
        <f t="shared" ref="DG824:DH824" si="4448">(DG121+DG120)/(DG613)</f>
        <v>8.7411254975354562E-3</v>
      </c>
      <c r="DH824" s="166">
        <f t="shared" si="4448"/>
        <v>7.8982931350015245E-3</v>
      </c>
      <c r="DI824" s="166">
        <f t="shared" ref="DI824" si="4449">(DI121+DI120)/(DI613)</f>
        <v>6.9165425480518525E-3</v>
      </c>
    </row>
    <row r="825" spans="1:113" ht="12" hidden="1" outlineLevel="1">
      <c r="A825" s="1" t="s">
        <v>2205</v>
      </c>
      <c r="B825" s="19" t="s">
        <v>2206</v>
      </c>
      <c r="C825" s="165"/>
      <c r="D825" s="165"/>
      <c r="E825" s="165"/>
      <c r="F825" s="165"/>
      <c r="G825" s="165"/>
      <c r="H825" s="165"/>
      <c r="I825" s="165"/>
      <c r="J825" s="165"/>
      <c r="K825" s="165"/>
      <c r="L825" s="165"/>
      <c r="M825" s="165"/>
      <c r="N825" s="165"/>
      <c r="O825" s="165"/>
      <c r="P825" s="165"/>
      <c r="Q825" s="165"/>
      <c r="R825" s="165"/>
      <c r="S825" s="165"/>
      <c r="T825" s="165"/>
      <c r="U825" s="165"/>
      <c r="V825" s="165"/>
      <c r="W825" s="165"/>
      <c r="X825" s="165"/>
      <c r="Y825" s="165"/>
      <c r="Z825" s="165"/>
      <c r="AA825" s="165"/>
      <c r="AB825" s="165"/>
      <c r="AC825" s="165"/>
      <c r="AD825" s="165"/>
      <c r="AE825" s="165"/>
      <c r="AF825" s="165"/>
      <c r="AG825" s="165"/>
      <c r="AH825" s="165"/>
      <c r="AI825" s="165"/>
      <c r="AJ825" s="165"/>
      <c r="AK825" s="165"/>
      <c r="AL825" s="165"/>
      <c r="AM825" s="165"/>
      <c r="AN825" s="165"/>
      <c r="AO825" s="165"/>
      <c r="AP825" s="165">
        <f t="shared" ref="AP825:BI825" si="4450">(AP121+AP120+AP123)/(AP181-AP176)</f>
        <v>1.421979865771812E-2</v>
      </c>
      <c r="AQ825" s="165">
        <f t="shared" ref="AQ825:AR825" si="4451">(AQ121+AQ120+AQ123)/(AQ181-AQ176)</f>
        <v>1.1086474501108648E-2</v>
      </c>
      <c r="AR825" s="165">
        <f t="shared" si="4451"/>
        <v>1.0259352765664448E-2</v>
      </c>
      <c r="AS825" s="165">
        <f t="shared" ref="AS825:AT825" si="4452">(AS121+AS120+AS123)/(AS181-AS176)</f>
        <v>1.0091407678244972E-2</v>
      </c>
      <c r="AT825" s="165">
        <f t="shared" si="4452"/>
        <v>1.154132539091586E-2</v>
      </c>
      <c r="AU825" s="165">
        <f t="shared" ref="AU825:AV825" si="4453">(AU121+AU120+AU123)/(AU181-AU176)</f>
        <v>1.3507740249296341E-2</v>
      </c>
      <c r="AV825" s="165">
        <f t="shared" si="4453"/>
        <v>1.5073635576090096E-2</v>
      </c>
      <c r="AW825" s="165">
        <f t="shared" ref="AW825:AX825" si="4454">(AW121+AW120+AW123)/(AW181-AW176)</f>
        <v>1.5581239811060486E-2</v>
      </c>
      <c r="AX825" s="165">
        <f t="shared" si="4454"/>
        <v>1.5174275989275324E-2</v>
      </c>
      <c r="AY825" s="165">
        <f t="shared" si="4450"/>
        <v>1.6430264228361219E-2</v>
      </c>
      <c r="AZ825" s="173">
        <f t="shared" si="4450"/>
        <v>1.5715886871794035E-2</v>
      </c>
      <c r="BA825" s="165">
        <f t="shared" si="4450"/>
        <v>1.4744794939756301E-2</v>
      </c>
      <c r="BB825" s="165">
        <f t="shared" si="4450"/>
        <v>1.4347735636586218E-2</v>
      </c>
      <c r="BC825" s="165">
        <f t="shared" si="4450"/>
        <v>1.4124043119299053E-2</v>
      </c>
      <c r="BD825" s="165">
        <f t="shared" si="4450"/>
        <v>1.3609543320895817E-2</v>
      </c>
      <c r="BE825" s="165">
        <f t="shared" si="4450"/>
        <v>1.2872012855699968E-2</v>
      </c>
      <c r="BF825" s="165">
        <f t="shared" si="4450"/>
        <v>1.2144978423438473E-2</v>
      </c>
      <c r="BG825" s="165">
        <f t="shared" si="4450"/>
        <v>1.1362192188689526E-2</v>
      </c>
      <c r="BH825" s="165">
        <f t="shared" si="4450"/>
        <v>1.0777615801011576E-2</v>
      </c>
      <c r="BI825" s="165">
        <f t="shared" si="4450"/>
        <v>1.0382562221920003E-2</v>
      </c>
      <c r="BJ825" s="165">
        <f t="shared" ref="BJ825:BK825" si="4455">(BJ121+BJ120+BJ123)/(BJ181-BJ176)</f>
        <v>1.0047847374962325E-2</v>
      </c>
      <c r="BK825" s="165">
        <f t="shared" si="4455"/>
        <v>9.7107959440653514E-3</v>
      </c>
      <c r="BL825" s="165">
        <f t="shared" ref="BL825:BM825" si="4456">(BL121+BL120+BL123)/(BL181-BL176)</f>
        <v>9.3289443750168462E-3</v>
      </c>
      <c r="BM825" s="165">
        <f t="shared" si="4456"/>
        <v>8.9371587650457721E-3</v>
      </c>
      <c r="BN825" s="165">
        <f t="shared" ref="BN825:BO825" si="4457">(BN121+BN120+BN123)/(BN181-BN176)</f>
        <v>8.4803547021508954E-3</v>
      </c>
      <c r="BO825" s="165">
        <f t="shared" si="4457"/>
        <v>8.0404762278102546E-3</v>
      </c>
      <c r="BP825" s="165">
        <f t="shared" ref="BP825:BQ825" si="4458">(BP121+BP120+BP123)/(BP181-BP176)</f>
        <v>7.5111832236281484E-3</v>
      </c>
      <c r="BQ825" s="165">
        <f t="shared" si="4458"/>
        <v>7.012556629901725E-3</v>
      </c>
      <c r="BS825" s="165"/>
      <c r="BT825" s="165"/>
      <c r="BU825" s="165"/>
      <c r="BV825" s="165"/>
      <c r="BW825" s="165"/>
      <c r="BX825" s="165"/>
      <c r="BY825" s="165"/>
      <c r="BZ825" s="165"/>
      <c r="CA825" s="165"/>
      <c r="CB825" s="165"/>
      <c r="CC825" s="165"/>
      <c r="CD825" s="165"/>
      <c r="CE825" s="165"/>
      <c r="CF825" s="165"/>
      <c r="CG825" s="165"/>
      <c r="CH825" s="165"/>
      <c r="CI825" s="165"/>
      <c r="CJ825" s="165"/>
      <c r="CK825" s="165"/>
      <c r="CL825" s="165"/>
      <c r="CM825" s="165"/>
      <c r="CN825" s="165"/>
      <c r="CO825" s="165"/>
      <c r="CP825" s="165"/>
      <c r="CQ825" s="165"/>
      <c r="CR825" s="165"/>
      <c r="CS825" s="165"/>
      <c r="CT825" s="165">
        <f t="shared" ref="CT825:DF825" si="4459">(CT121+CT120+CT123)/(CT181-CT176)</f>
        <v>8.3673469387755099E-3</v>
      </c>
      <c r="CU825" s="165">
        <f t="shared" si="4459"/>
        <v>1.5101587301587302E-2</v>
      </c>
      <c r="CV825" s="165">
        <f t="shared" si="4459"/>
        <v>1.1086474501108648E-2</v>
      </c>
      <c r="CW825" s="165">
        <f t="shared" si="4459"/>
        <v>1.0091407678244972E-2</v>
      </c>
      <c r="CX825" s="165">
        <f t="shared" si="4459"/>
        <v>1.3507740249296341E-2</v>
      </c>
      <c r="CY825" s="165">
        <f t="shared" si="4459"/>
        <v>1.5581239811060486E-2</v>
      </c>
      <c r="CZ825" s="173">
        <f t="shared" si="4459"/>
        <v>1.6430264228361219E-2</v>
      </c>
      <c r="DA825" s="165">
        <f t="shared" si="4459"/>
        <v>1.4744794939756301E-2</v>
      </c>
      <c r="DB825" s="165">
        <f t="shared" si="4459"/>
        <v>1.4124043119299053E-2</v>
      </c>
      <c r="DC825" s="165">
        <f t="shared" si="4459"/>
        <v>1.2872012855699968E-2</v>
      </c>
      <c r="DD825" s="165">
        <f t="shared" si="4459"/>
        <v>1.1362192188689526E-2</v>
      </c>
      <c r="DE825" s="165">
        <f t="shared" si="4459"/>
        <v>1.0382562221920003E-2</v>
      </c>
      <c r="DF825" s="165">
        <f t="shared" si="4459"/>
        <v>9.7107959440653514E-3</v>
      </c>
      <c r="DG825" s="165">
        <f t="shared" ref="DG825:DH825" si="4460">(DG121+DG120+DG123)/(DG181-DG176)</f>
        <v>8.9371587650457721E-3</v>
      </c>
      <c r="DH825" s="165">
        <f t="shared" si="4460"/>
        <v>8.0404762278102546E-3</v>
      </c>
      <c r="DI825" s="165">
        <f t="shared" ref="DI825" si="4461">(DI121+DI120+DI123)/(DI181-DI176)</f>
        <v>7.012556629901725E-3</v>
      </c>
    </row>
    <row r="826" spans="1:113" ht="12" hidden="1" outlineLevel="1">
      <c r="A826" s="1" t="s">
        <v>2207</v>
      </c>
      <c r="B826" s="19" t="s">
        <v>2208</v>
      </c>
      <c r="C826" s="165"/>
      <c r="D826" s="165"/>
      <c r="E826" s="165"/>
      <c r="F826" s="165"/>
      <c r="G826" s="165"/>
      <c r="H826" s="165"/>
      <c r="I826" s="165"/>
      <c r="J826" s="165"/>
      <c r="K826" s="165"/>
      <c r="L826" s="165"/>
      <c r="M826" s="165"/>
      <c r="N826" s="165"/>
      <c r="O826" s="165"/>
      <c r="P826" s="165"/>
      <c r="Q826" s="165"/>
      <c r="R826" s="165"/>
      <c r="S826" s="165"/>
      <c r="T826" s="165"/>
      <c r="U826" s="165"/>
      <c r="V826" s="165"/>
      <c r="W826" s="165"/>
      <c r="X826" s="165"/>
      <c r="Y826" s="165"/>
      <c r="Z826" s="165"/>
      <c r="AA826" s="165"/>
      <c r="AB826" s="165"/>
      <c r="AC826" s="165"/>
      <c r="AD826" s="165"/>
      <c r="AE826" s="165"/>
      <c r="AF826" s="165"/>
      <c r="AG826" s="165"/>
      <c r="AH826" s="165"/>
      <c r="AI826" s="165"/>
      <c r="AJ826" s="165"/>
      <c r="AK826" s="165"/>
      <c r="AL826" s="165"/>
      <c r="AM826" s="165"/>
      <c r="AN826" s="165"/>
      <c r="AO826" s="165"/>
      <c r="AP826" s="165">
        <f t="shared" ref="AP826:BI826" si="4462">(AP121+AP120+AP123)/(AP613-AP612)</f>
        <v>1.3875756719918463E-2</v>
      </c>
      <c r="AQ826" s="165">
        <f t="shared" ref="AQ826:AR826" si="4463">(AQ121+AQ120+AQ123)/(AQ613-AQ612)</f>
        <v>1.0813950614232395E-2</v>
      </c>
      <c r="AR826" s="165">
        <f t="shared" si="4463"/>
        <v>9.0430912401375692E-3</v>
      </c>
      <c r="AS826" s="165">
        <f t="shared" ref="AS826:AT826" si="4464">(AS121+AS120+AS123)/(AS613-AS612)</f>
        <v>9.7492052278346873E-3</v>
      </c>
      <c r="AT826" s="165">
        <f t="shared" si="4464"/>
        <v>1.105248146035368E-2</v>
      </c>
      <c r="AU826" s="165">
        <f t="shared" ref="AU826:AV826" si="4465">(AU121+AU120+AU123)/(AU613-AU612)</f>
        <v>1.4456697149004841E-2</v>
      </c>
      <c r="AV826" s="165">
        <f t="shared" si="4465"/>
        <v>1.6705069124423964E-2</v>
      </c>
      <c r="AW826" s="165">
        <f t="shared" ref="AW826:AX826" si="4466">(AW121+AW120+AW123)/(AW613-AW612)</f>
        <v>1.7065354240586014E-2</v>
      </c>
      <c r="AX826" s="165">
        <f t="shared" si="4466"/>
        <v>1.6502946954813358E-2</v>
      </c>
      <c r="AY826" s="165">
        <f t="shared" si="4462"/>
        <v>1.7698609258906459E-2</v>
      </c>
      <c r="AZ826" s="173">
        <f t="shared" si="4462"/>
        <v>1.6620522581761551E-2</v>
      </c>
      <c r="BA826" s="165">
        <f t="shared" si="4462"/>
        <v>1.5521122687057558E-2</v>
      </c>
      <c r="BB826" s="165">
        <f t="shared" si="4462"/>
        <v>1.5095016888630235E-2</v>
      </c>
      <c r="BC826" s="165">
        <f t="shared" si="4462"/>
        <v>1.4966159497006927E-2</v>
      </c>
      <c r="BD826" s="165">
        <f t="shared" si="4462"/>
        <v>1.4341654280965031E-2</v>
      </c>
      <c r="BE826" s="165">
        <f t="shared" si="4462"/>
        <v>1.3519653680752433E-2</v>
      </c>
      <c r="BF826" s="165">
        <f t="shared" si="4462"/>
        <v>1.2672558893033833E-2</v>
      </c>
      <c r="BG826" s="165">
        <f t="shared" si="4462"/>
        <v>1.1943307106701951E-2</v>
      </c>
      <c r="BH826" s="165">
        <f t="shared" si="4462"/>
        <v>1.1369753786320333E-2</v>
      </c>
      <c r="BI826" s="165">
        <f t="shared" si="4462"/>
        <v>1.1023035481565174E-2</v>
      </c>
      <c r="BJ826" s="165">
        <f t="shared" ref="BJ826:BK826" si="4467">(BJ121+BJ120+BJ123)/(BJ613-BJ612)</f>
        <v>1.0697749541422956E-2</v>
      </c>
      <c r="BK826" s="165">
        <f t="shared" si="4467"/>
        <v>1.0388415679013465E-2</v>
      </c>
      <c r="BL826" s="165">
        <f t="shared" ref="BL826:BM826" si="4468">(BL121+BL120+BL123)/(BL613-BL612)</f>
        <v>9.9938489057415196E-3</v>
      </c>
      <c r="BM826" s="165">
        <f t="shared" si="4468"/>
        <v>9.6062863782454249E-3</v>
      </c>
      <c r="BN826" s="165">
        <f t="shared" ref="BN826:BO826" si="4469">(BN121+BN120+BN123)/(BN613-BN612)</f>
        <v>9.1214275303060418E-3</v>
      </c>
      <c r="BO826" s="165">
        <f t="shared" si="4469"/>
        <v>8.6708973611757858E-3</v>
      </c>
      <c r="BP826" s="165">
        <f t="shared" ref="BP826:BQ826" si="4470">(BP121+BP120+BP123)/(BP613-BP612)</f>
        <v>8.105456823663499E-3</v>
      </c>
      <c r="BQ826" s="165">
        <f t="shared" si="4470"/>
        <v>7.5867679194549743E-3</v>
      </c>
      <c r="BS826" s="165"/>
      <c r="BT826" s="165"/>
      <c r="BU826" s="165"/>
      <c r="BV826" s="165"/>
      <c r="BW826" s="165"/>
      <c r="BX826" s="165"/>
      <c r="BY826" s="165"/>
      <c r="BZ826" s="165"/>
      <c r="CA826" s="165"/>
      <c r="CB826" s="165"/>
      <c r="CC826" s="165"/>
      <c r="CD826" s="165"/>
      <c r="CE826" s="165"/>
      <c r="CF826" s="165"/>
      <c r="CG826" s="165"/>
      <c r="CH826" s="165"/>
      <c r="CI826" s="165"/>
      <c r="CJ826" s="165"/>
      <c r="CK826" s="165"/>
      <c r="CL826" s="165"/>
      <c r="CM826" s="165"/>
      <c r="CN826" s="165"/>
      <c r="CO826" s="165"/>
      <c r="CP826" s="165"/>
      <c r="CQ826" s="165"/>
      <c r="CR826" s="165"/>
      <c r="CS826" s="165"/>
      <c r="CT826" s="165">
        <f t="shared" ref="CT826:DF826" si="4471">(CT121+CT120+CT123)/(CT613-CT612)</f>
        <v>8.9130434782608691E-3</v>
      </c>
      <c r="CU826" s="165">
        <f t="shared" si="4471"/>
        <v>1.5106382978723406E-2</v>
      </c>
      <c r="CV826" s="165">
        <f t="shared" si="4471"/>
        <v>1.0813950614232395E-2</v>
      </c>
      <c r="CW826" s="165">
        <f t="shared" si="4471"/>
        <v>9.7492052278346873E-3</v>
      </c>
      <c r="CX826" s="165">
        <f t="shared" si="4471"/>
        <v>1.4456697149004841E-2</v>
      </c>
      <c r="CY826" s="165">
        <f t="shared" si="4471"/>
        <v>1.7065354240586014E-2</v>
      </c>
      <c r="CZ826" s="173">
        <f t="shared" si="4471"/>
        <v>1.7698609258906459E-2</v>
      </c>
      <c r="DA826" s="165">
        <f t="shared" si="4471"/>
        <v>1.5521122687057558E-2</v>
      </c>
      <c r="DB826" s="165">
        <f t="shared" si="4471"/>
        <v>1.4966159497006927E-2</v>
      </c>
      <c r="DC826" s="165">
        <f t="shared" si="4471"/>
        <v>1.3519653680752433E-2</v>
      </c>
      <c r="DD826" s="165">
        <f t="shared" si="4471"/>
        <v>1.1943307106701951E-2</v>
      </c>
      <c r="DE826" s="165">
        <f t="shared" si="4471"/>
        <v>1.1023035481565174E-2</v>
      </c>
      <c r="DF826" s="165">
        <f t="shared" si="4471"/>
        <v>1.0388415679013465E-2</v>
      </c>
      <c r="DG826" s="165">
        <f t="shared" ref="DG826:DH826" si="4472">(DG121+DG120+DG123)/(DG613-DG612)</f>
        <v>9.6062863782454249E-3</v>
      </c>
      <c r="DH826" s="165">
        <f t="shared" si="4472"/>
        <v>8.6708973611757858E-3</v>
      </c>
      <c r="DI826" s="165">
        <f t="shared" ref="DI826" si="4473">(DI121+DI120+DI123)/(DI613-DI612)</f>
        <v>7.5867679194549743E-3</v>
      </c>
    </row>
    <row r="827" spans="1:113" ht="12" hidden="1" outlineLevel="1">
      <c r="A827" s="1" t="s">
        <v>2209</v>
      </c>
      <c r="B827" s="19" t="s">
        <v>2210</v>
      </c>
      <c r="C827" s="165"/>
      <c r="D827" s="165"/>
      <c r="E827" s="165"/>
      <c r="F827" s="165"/>
      <c r="G827" s="165"/>
      <c r="H827" s="165"/>
      <c r="I827" s="165"/>
      <c r="J827" s="165"/>
      <c r="K827" s="165"/>
      <c r="L827" s="165"/>
      <c r="M827" s="165"/>
      <c r="N827" s="165"/>
      <c r="O827" s="165"/>
      <c r="P827" s="165"/>
      <c r="Q827" s="165"/>
      <c r="R827" s="165"/>
      <c r="S827" s="165"/>
      <c r="T827" s="165"/>
      <c r="U827" s="165"/>
      <c r="V827" s="165"/>
      <c r="W827" s="165"/>
      <c r="X827" s="165"/>
      <c r="Y827" s="165"/>
      <c r="Z827" s="165"/>
      <c r="AA827" s="165"/>
      <c r="AB827" s="165"/>
      <c r="AC827" s="165"/>
      <c r="AD827" s="165"/>
      <c r="AE827" s="165"/>
      <c r="AF827" s="165"/>
      <c r="AG827" s="165"/>
      <c r="AH827" s="165"/>
      <c r="AI827" s="165"/>
      <c r="AJ827" s="165"/>
      <c r="AK827" s="165"/>
      <c r="AL827" s="165"/>
      <c r="AM827" s="165"/>
      <c r="AN827" s="165"/>
      <c r="AO827" s="165"/>
      <c r="AP827" s="165">
        <f t="shared" ref="AP827:BI827" si="4474">(AP121+AP120+AP123)/(AP613)</f>
        <v>1.0967324490456162E-2</v>
      </c>
      <c r="AQ827" s="165">
        <f t="shared" ref="AQ827:AR827" si="4475">(AQ121+AQ120+AQ123)/(AQ613)</f>
        <v>8.5490962383976549E-3</v>
      </c>
      <c r="AR827" s="165">
        <f t="shared" si="4475"/>
        <v>8.0978260869565225E-3</v>
      </c>
      <c r="AS827" s="165">
        <f t="shared" ref="AS827:AT827" si="4476">(AS121+AS120+AS123)/(AS613)</f>
        <v>8.7466328632546352E-3</v>
      </c>
      <c r="AT827" s="165">
        <f t="shared" si="4476"/>
        <v>1.0020687871735195E-2</v>
      </c>
      <c r="AU827" s="165">
        <f t="shared" ref="AU827:AV827" si="4477">(AU121+AU120+AU123)/(AU613)</f>
        <v>1.3143416065533684E-2</v>
      </c>
      <c r="AV827" s="165">
        <f t="shared" si="4477"/>
        <v>1.5186779937158152E-2</v>
      </c>
      <c r="AW827" s="165">
        <f t="shared" ref="AW827:AX827" si="4478">(AW121+AW120+AW123)/(AW613)</f>
        <v>1.551347414420976E-2</v>
      </c>
      <c r="AX827" s="165">
        <f t="shared" si="4478"/>
        <v>1.500282007896221E-2</v>
      </c>
      <c r="AY827" s="165">
        <f t="shared" si="4474"/>
        <v>1.6089366124004158E-2</v>
      </c>
      <c r="AZ827" s="173">
        <f t="shared" si="4474"/>
        <v>1.5109328299512349E-2</v>
      </c>
      <c r="BA827" s="165">
        <f t="shared" si="4474"/>
        <v>1.4098322952802235E-2</v>
      </c>
      <c r="BB827" s="165">
        <f t="shared" si="4474"/>
        <v>1.3682100959226409E-2</v>
      </c>
      <c r="BC827" s="165">
        <f t="shared" si="4474"/>
        <v>1.3582415811417236E-2</v>
      </c>
      <c r="BD827" s="165">
        <f t="shared" si="4474"/>
        <v>1.3000263543326597E-2</v>
      </c>
      <c r="BE827" s="165">
        <f t="shared" si="4474"/>
        <v>1.2275376798094198E-2</v>
      </c>
      <c r="BF827" s="165">
        <f t="shared" si="4474"/>
        <v>1.1502197267923717E-2</v>
      </c>
      <c r="BG827" s="165">
        <f t="shared" si="4474"/>
        <v>1.0856323197746386E-2</v>
      </c>
      <c r="BH827" s="165">
        <f t="shared" si="4474"/>
        <v>1.0319823456074266E-2</v>
      </c>
      <c r="BI827" s="165">
        <f t="shared" si="4474"/>
        <v>1.0021816603310887E-2</v>
      </c>
      <c r="BJ827" s="165">
        <f t="shared" ref="BJ827:BK827" si="4479">(BJ121+BJ120+BJ123)/(BJ613)</f>
        <v>9.7128594629098501E-3</v>
      </c>
      <c r="BK827" s="165">
        <f t="shared" si="4479"/>
        <v>9.4482510558412322E-3</v>
      </c>
      <c r="BL827" s="165">
        <f t="shared" ref="BL827:BM827" si="4480">(BL121+BL120+BL123)/(BL613)</f>
        <v>9.0809610605841144E-3</v>
      </c>
      <c r="BM827" s="165">
        <f t="shared" si="4480"/>
        <v>8.7411254975354562E-3</v>
      </c>
      <c r="BN827" s="165">
        <f t="shared" ref="BN827:BO827" si="4481">(BN121+BN120+BN123)/(BN613)</f>
        <v>8.2927177678322091E-3</v>
      </c>
      <c r="BO827" s="165">
        <f t="shared" si="4481"/>
        <v>7.8982931350015245E-3</v>
      </c>
      <c r="BP827" s="165">
        <f t="shared" ref="BP827:BQ827" si="4482">(BP121+BP120+BP123)/(BP613)</f>
        <v>7.3752784212781277E-3</v>
      </c>
      <c r="BQ827" s="165">
        <f t="shared" si="4482"/>
        <v>6.9165425480518525E-3</v>
      </c>
      <c r="BS827" s="165"/>
      <c r="BT827" s="165"/>
      <c r="BU827" s="165"/>
      <c r="BV827" s="165"/>
      <c r="BW827" s="165"/>
      <c r="BX827" s="165"/>
      <c r="BY827" s="165"/>
      <c r="BZ827" s="165"/>
      <c r="CA827" s="165"/>
      <c r="CB827" s="165"/>
      <c r="CC827" s="165"/>
      <c r="CD827" s="165"/>
      <c r="CE827" s="165"/>
      <c r="CF827" s="165"/>
      <c r="CG827" s="165"/>
      <c r="CH827" s="165"/>
      <c r="CI827" s="165"/>
      <c r="CJ827" s="165"/>
      <c r="CK827" s="165"/>
      <c r="CL827" s="165"/>
      <c r="CM827" s="165"/>
      <c r="CN827" s="165"/>
      <c r="CO827" s="165"/>
      <c r="CP827" s="165"/>
      <c r="CQ827" s="165"/>
      <c r="CR827" s="165"/>
      <c r="CS827" s="165"/>
      <c r="CT827" s="165">
        <f t="shared" ref="CT827:DF827" si="4483">(CT121+CT120+CT123)/(CT613)</f>
        <v>4.4025020279405127E-3</v>
      </c>
      <c r="CU827" s="165">
        <f t="shared" si="4483"/>
        <v>1.1107329922155166E-2</v>
      </c>
      <c r="CV827" s="165">
        <f t="shared" si="4483"/>
        <v>8.5490962383976549E-3</v>
      </c>
      <c r="CW827" s="165">
        <f t="shared" si="4483"/>
        <v>8.7466328632546352E-3</v>
      </c>
      <c r="CX827" s="165">
        <f t="shared" si="4483"/>
        <v>1.3143416065533684E-2</v>
      </c>
      <c r="CY827" s="165">
        <f t="shared" si="4483"/>
        <v>1.551347414420976E-2</v>
      </c>
      <c r="CZ827" s="173">
        <f t="shared" si="4483"/>
        <v>1.6089366124004158E-2</v>
      </c>
      <c r="DA827" s="165">
        <f t="shared" si="4483"/>
        <v>1.4098322952802235E-2</v>
      </c>
      <c r="DB827" s="165">
        <f t="shared" si="4483"/>
        <v>1.3582415811417236E-2</v>
      </c>
      <c r="DC827" s="165">
        <f t="shared" si="4483"/>
        <v>1.2275376798094198E-2</v>
      </c>
      <c r="DD827" s="165">
        <f t="shared" si="4483"/>
        <v>1.0856323197746386E-2</v>
      </c>
      <c r="DE827" s="165">
        <f t="shared" si="4483"/>
        <v>1.0021816603310887E-2</v>
      </c>
      <c r="DF827" s="165">
        <f t="shared" si="4483"/>
        <v>9.4482510558412322E-3</v>
      </c>
      <c r="DG827" s="165">
        <f t="shared" ref="DG827:DH827" si="4484">(DG121+DG120+DG123)/(DG613)</f>
        <v>8.7411254975354562E-3</v>
      </c>
      <c r="DH827" s="165">
        <f t="shared" si="4484"/>
        <v>7.8982931350015245E-3</v>
      </c>
      <c r="DI827" s="165">
        <f t="shared" ref="DI827" si="4485">(DI121+DI120+DI123)/(DI613)</f>
        <v>6.9165425480518525E-3</v>
      </c>
    </row>
    <row r="828" spans="1:113" ht="12" hidden="1" outlineLevel="2">
      <c r="A828" s="1" t="s">
        <v>180</v>
      </c>
      <c r="B828" s="19" t="s">
        <v>801</v>
      </c>
      <c r="DB828" s="19"/>
      <c r="DC828" s="19"/>
      <c r="DD828" s="19"/>
      <c r="DE828" s="19"/>
      <c r="DF828" s="19"/>
      <c r="DG828" s="19"/>
      <c r="DH828" s="19"/>
      <c r="DI828" s="19"/>
    </row>
    <row r="829" spans="1:113" ht="12" hidden="1" outlineLevel="2">
      <c r="A829" s="1" t="s">
        <v>181</v>
      </c>
      <c r="B829" s="19" t="s">
        <v>801</v>
      </c>
      <c r="DB829" s="19"/>
      <c r="DC829" s="19"/>
      <c r="DD829" s="19"/>
      <c r="DE829" s="19"/>
      <c r="DF829" s="19"/>
      <c r="DG829" s="19"/>
      <c r="DH829" s="19"/>
      <c r="DI829" s="19"/>
    </row>
    <row r="830" spans="1:113" ht="12" hidden="1" outlineLevel="2">
      <c r="A830" s="1" t="s">
        <v>182</v>
      </c>
      <c r="B830" s="19" t="s">
        <v>801</v>
      </c>
      <c r="DB830" s="19"/>
      <c r="DC830" s="19"/>
      <c r="DD830" s="19"/>
      <c r="DE830" s="19"/>
      <c r="DF830" s="19"/>
      <c r="DG830" s="19"/>
      <c r="DH830" s="19"/>
      <c r="DI830" s="19"/>
    </row>
    <row r="831" spans="1:113" ht="12" hidden="1" outlineLevel="2">
      <c r="A831" s="1" t="s">
        <v>183</v>
      </c>
      <c r="B831" s="19" t="s">
        <v>801</v>
      </c>
      <c r="DB831" s="19"/>
      <c r="DC831" s="19"/>
      <c r="DD831" s="19"/>
      <c r="DE831" s="19"/>
      <c r="DF831" s="19"/>
      <c r="DG831" s="19"/>
      <c r="DH831" s="19"/>
      <c r="DI831" s="19"/>
    </row>
    <row r="832" spans="1:113" ht="12" hidden="1" outlineLevel="1" collapsed="1">
      <c r="DB832" s="19"/>
      <c r="DC832" s="19"/>
      <c r="DD832" s="19"/>
      <c r="DE832" s="19"/>
      <c r="DF832" s="19"/>
      <c r="DG832" s="19"/>
      <c r="DH832" s="19"/>
      <c r="DI832" s="19"/>
    </row>
    <row r="833" spans="1:113" s="24" customFormat="1" ht="12" hidden="1" outlineLevel="1">
      <c r="A833" s="1"/>
      <c r="B833" s="24" t="s">
        <v>620</v>
      </c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428"/>
      <c r="AC833" s="428"/>
      <c r="AD833" s="428"/>
      <c r="AE833" s="428"/>
      <c r="AF833" s="428"/>
      <c r="AG833" s="428"/>
      <c r="AH833" s="428"/>
      <c r="AI833" s="428"/>
      <c r="AJ833" s="515"/>
      <c r="AK833" s="428"/>
      <c r="AL833" s="428"/>
      <c r="AM833" s="428"/>
      <c r="AN833" s="428"/>
      <c r="AO833" s="428"/>
      <c r="AP833" s="428"/>
      <c r="AQ833" s="428"/>
      <c r="AR833" s="428"/>
      <c r="AS833" s="428"/>
      <c r="AT833" s="428"/>
      <c r="AU833" s="428"/>
      <c r="AV833" s="428"/>
      <c r="AW833" s="428"/>
      <c r="AX833" s="428"/>
      <c r="AY833" s="13"/>
      <c r="AZ833" s="2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13"/>
      <c r="CI833" s="13"/>
      <c r="CJ833" s="13"/>
      <c r="CK833" s="13"/>
      <c r="CL833" s="13"/>
      <c r="CM833" s="13"/>
      <c r="CN833" s="13"/>
      <c r="CO833" s="13"/>
      <c r="CP833" s="13"/>
      <c r="CQ833" s="13"/>
      <c r="CR833" s="13"/>
      <c r="CS833" s="13"/>
      <c r="CT833" s="13"/>
      <c r="CU833" s="428"/>
      <c r="CV833" s="428"/>
      <c r="CW833" s="428"/>
      <c r="CX833" s="428"/>
      <c r="CY833" s="428"/>
      <c r="CZ833" s="23"/>
      <c r="DA833" s="13"/>
      <c r="DB833" s="13"/>
    </row>
    <row r="834" spans="1:113" ht="12" hidden="1" outlineLevel="1">
      <c r="A834" s="1" t="s">
        <v>954</v>
      </c>
      <c r="B834" s="19" t="s">
        <v>543</v>
      </c>
      <c r="C834" s="408"/>
      <c r="D834" s="408"/>
      <c r="E834" s="408"/>
      <c r="F834" s="408"/>
      <c r="G834" s="408"/>
      <c r="H834" s="408"/>
      <c r="I834" s="408"/>
      <c r="J834" s="408"/>
      <c r="K834" s="408"/>
      <c r="L834" s="408"/>
      <c r="M834" s="408"/>
      <c r="N834" s="408"/>
      <c r="O834" s="408"/>
      <c r="P834" s="408"/>
      <c r="Q834" s="408"/>
      <c r="R834" s="408"/>
      <c r="S834" s="408"/>
      <c r="T834" s="394"/>
      <c r="U834" s="408"/>
      <c r="V834" s="408"/>
      <c r="W834" s="408"/>
      <c r="X834" s="408"/>
      <c r="Y834" s="394"/>
      <c r="Z834" s="394"/>
      <c r="AA834" s="394"/>
      <c r="AB834" s="394"/>
      <c r="AC834" s="394"/>
      <c r="AD834" s="394"/>
      <c r="AE834" s="394"/>
      <c r="AF834" s="394"/>
      <c r="AG834" s="394"/>
      <c r="AH834" s="394"/>
      <c r="AI834" s="394"/>
      <c r="AJ834" s="394"/>
      <c r="AK834" s="394"/>
      <c r="AL834" s="394"/>
      <c r="AM834" s="394"/>
      <c r="AN834" s="394"/>
      <c r="AO834" s="394"/>
      <c r="AP834" s="285">
        <f t="shared" ref="AP834:BI834" si="4486">AP590/AP613</f>
        <v>0.20349401488191524</v>
      </c>
      <c r="AQ834" s="285">
        <f t="shared" ref="AQ834:AR834" si="4487">AQ590/AQ613</f>
        <v>0.24523693209574987</v>
      </c>
      <c r="AR834" s="285">
        <f t="shared" si="4487"/>
        <v>0.23351449275362318</v>
      </c>
      <c r="AS834" s="285">
        <f t="shared" ref="AS834:AT834" si="4488">AS590/AS613</f>
        <v>0.20472191411820631</v>
      </c>
      <c r="AT834" s="285">
        <f t="shared" si="4488"/>
        <v>0.17274372898888027</v>
      </c>
      <c r="AU834" s="285">
        <f t="shared" ref="AU834:AV834" si="4489">AU590/AU613</f>
        <v>0.16701308228389777</v>
      </c>
      <c r="AV834" s="285">
        <f t="shared" si="4489"/>
        <v>0.16245781450017457</v>
      </c>
      <c r="AW834" s="285">
        <f t="shared" ref="AW834:AX834" si="4490">AW590/AW613</f>
        <v>0.14681094579128082</v>
      </c>
      <c r="AX834" s="285">
        <f t="shared" si="4490"/>
        <v>0.13761985335589397</v>
      </c>
      <c r="AY834" s="285">
        <f t="shared" si="4486"/>
        <v>0.13136473848285418</v>
      </c>
      <c r="AZ834" s="286">
        <f t="shared" si="4486"/>
        <v>0.12576687116564417</v>
      </c>
      <c r="BA834" s="162">
        <f t="shared" si="4486"/>
        <v>0.11998238469217314</v>
      </c>
      <c r="BB834" s="162">
        <f t="shared" si="4486"/>
        <v>0.11752944102270202</v>
      </c>
      <c r="BC834" s="162">
        <f t="shared" si="4486"/>
        <v>0.11475267122743218</v>
      </c>
      <c r="BD834" s="162">
        <f t="shared" si="4486"/>
        <v>0.12135575799623234</v>
      </c>
      <c r="BE834" s="162">
        <f t="shared" si="4486"/>
        <v>0.11820594512136259</v>
      </c>
      <c r="BF834" s="162">
        <f t="shared" si="4486"/>
        <v>0.11711429003331701</v>
      </c>
      <c r="BG834" s="162">
        <f t="shared" si="4486"/>
        <v>0.11647051135410581</v>
      </c>
      <c r="BH834" s="162">
        <f t="shared" si="4486"/>
        <v>0.11793406923767526</v>
      </c>
      <c r="BI834" s="162">
        <f t="shared" si="4486"/>
        <v>0.11681808762409959</v>
      </c>
      <c r="BJ834" s="162">
        <f t="shared" ref="BJ834:BK834" si="4491">BJ590/BJ613</f>
        <v>0.1168992963994292</v>
      </c>
      <c r="BK834" s="162">
        <f t="shared" si="4491"/>
        <v>0.11645006318247805</v>
      </c>
      <c r="BL834" s="162">
        <f t="shared" ref="BL834:BM834" si="4492">BL590/BL613</f>
        <v>0.11726074296069472</v>
      </c>
      <c r="BM834" s="162">
        <f t="shared" si="4492"/>
        <v>0.11694018793330239</v>
      </c>
      <c r="BN834" s="162">
        <f t="shared" ref="BN834:BO834" si="4493">BN590/BN613</f>
        <v>0.11758660421713102</v>
      </c>
      <c r="BO834" s="162">
        <f t="shared" si="4493"/>
        <v>0.11708027627004816</v>
      </c>
      <c r="BP834" s="162">
        <f t="shared" ref="BP834:BQ834" si="4494">BP590/BP613</f>
        <v>0.11746627624117369</v>
      </c>
      <c r="BQ834" s="162">
        <f t="shared" si="4494"/>
        <v>0.11672010517048266</v>
      </c>
      <c r="BR834" s="162"/>
      <c r="BS834" s="162"/>
      <c r="BT834" s="162"/>
      <c r="BU834" s="162"/>
      <c r="BV834" s="162"/>
      <c r="BW834" s="162"/>
      <c r="BX834" s="162"/>
      <c r="BY834" s="162"/>
      <c r="BZ834" s="162"/>
      <c r="CA834" s="162"/>
      <c r="CB834" s="162"/>
      <c r="CC834" s="162"/>
      <c r="CD834" s="162"/>
      <c r="CE834" s="162"/>
      <c r="CF834" s="162"/>
      <c r="CG834" s="162"/>
      <c r="CH834" s="162"/>
      <c r="CI834" s="162"/>
      <c r="CJ834" s="162"/>
      <c r="CK834" s="162"/>
      <c r="CL834" s="162"/>
      <c r="CM834" s="285"/>
      <c r="CN834" s="285"/>
      <c r="CO834" s="285"/>
      <c r="CP834" s="285"/>
      <c r="CQ834" s="285"/>
      <c r="CR834" s="285"/>
      <c r="CS834" s="285"/>
      <c r="CT834" s="285">
        <f t="shared" ref="CT834:DF834" si="4495">CT590/CT613</f>
        <v>0.436</v>
      </c>
      <c r="CU834" s="285">
        <f t="shared" si="4495"/>
        <v>0.23100000000000001</v>
      </c>
      <c r="CV834" s="285">
        <f t="shared" si="4495"/>
        <v>0.24523693209574987</v>
      </c>
      <c r="CW834" s="285">
        <f t="shared" si="4495"/>
        <v>0.20472191411820628</v>
      </c>
      <c r="CX834" s="285">
        <f t="shared" si="4495"/>
        <v>0.16701308228389777</v>
      </c>
      <c r="CY834" s="285">
        <f t="shared" si="4495"/>
        <v>0.14681094579128082</v>
      </c>
      <c r="CZ834" s="286">
        <f t="shared" si="4495"/>
        <v>0.13136473848285418</v>
      </c>
      <c r="DA834" s="162">
        <f t="shared" si="4495"/>
        <v>0.11998238469217315</v>
      </c>
      <c r="DB834" s="162">
        <f t="shared" si="4495"/>
        <v>0.11475267122743221</v>
      </c>
      <c r="DC834" s="162">
        <f t="shared" si="4495"/>
        <v>0.11820594512136259</v>
      </c>
      <c r="DD834" s="162">
        <f t="shared" si="4495"/>
        <v>0.11647051135410581</v>
      </c>
      <c r="DE834" s="162">
        <f t="shared" si="4495"/>
        <v>0.11681808762409959</v>
      </c>
      <c r="DF834" s="162">
        <f t="shared" si="4495"/>
        <v>0.11645006318247805</v>
      </c>
      <c r="DG834" s="162">
        <f t="shared" ref="DG834:DH834" si="4496">DG590/DG613</f>
        <v>0.11694018793330239</v>
      </c>
      <c r="DH834" s="162">
        <f t="shared" si="4496"/>
        <v>0.11708027627004815</v>
      </c>
      <c r="DI834" s="162">
        <f t="shared" ref="DI834" si="4497">DI590/DI613</f>
        <v>0.11672010517048263</v>
      </c>
    </row>
    <row r="835" spans="1:113" ht="12" hidden="1" outlineLevel="1">
      <c r="A835" s="1" t="s">
        <v>2454</v>
      </c>
      <c r="B835" s="19" t="s">
        <v>2455</v>
      </c>
      <c r="C835" s="408"/>
      <c r="D835" s="408"/>
      <c r="E835" s="408"/>
      <c r="F835" s="408"/>
      <c r="G835" s="408"/>
      <c r="H835" s="408"/>
      <c r="I835" s="408"/>
      <c r="J835" s="408"/>
      <c r="K835" s="408"/>
      <c r="L835" s="408"/>
      <c r="M835" s="408"/>
      <c r="N835" s="408"/>
      <c r="O835" s="408"/>
      <c r="P835" s="408"/>
      <c r="Q835" s="408"/>
      <c r="R835" s="408"/>
      <c r="S835" s="408"/>
      <c r="T835" s="394"/>
      <c r="U835" s="408"/>
      <c r="V835" s="408"/>
      <c r="W835" s="408"/>
      <c r="X835" s="408"/>
      <c r="Y835" s="394"/>
      <c r="Z835" s="394"/>
      <c r="AA835" s="394"/>
      <c r="AB835" s="394"/>
      <c r="AC835" s="394"/>
      <c r="AD835" s="394"/>
      <c r="AE835" s="394"/>
      <c r="AF835" s="394"/>
      <c r="AG835" s="394"/>
      <c r="AH835" s="394"/>
      <c r="AI835" s="394"/>
      <c r="AJ835" s="394"/>
      <c r="AK835" s="394"/>
      <c r="AL835" s="394"/>
      <c r="AM835" s="394"/>
      <c r="AN835" s="394"/>
      <c r="AO835" s="394"/>
      <c r="AP835" s="285">
        <f t="shared" ref="AP835:BI835" si="4498">AP593/AP616</f>
        <v>0.20349401488191524</v>
      </c>
      <c r="AQ835" s="285">
        <f t="shared" ref="AQ835:AR835" si="4499">AQ593/AQ616</f>
        <v>0.24523693209574987</v>
      </c>
      <c r="AR835" s="285">
        <f t="shared" si="4499"/>
        <v>0.23351449275362318</v>
      </c>
      <c r="AS835" s="285">
        <f t="shared" ref="AS835:AT835" si="4500">AS593/AS616</f>
        <v>0.20472191411820631</v>
      </c>
      <c r="AT835" s="285">
        <f t="shared" si="4500"/>
        <v>0.17274372898888027</v>
      </c>
      <c r="AU835" s="285">
        <f t="shared" ref="AU835:AV835" si="4501">AU593/AU616</f>
        <v>0.16701308228389777</v>
      </c>
      <c r="AV835" s="285">
        <f t="shared" si="4501"/>
        <v>0.16245781450017457</v>
      </c>
      <c r="AW835" s="285">
        <f t="shared" ref="AW835:AX835" si="4502">AW593/AW616</f>
        <v>0.14681094579128082</v>
      </c>
      <c r="AX835" s="285">
        <f t="shared" si="4502"/>
        <v>0.13761985335589397</v>
      </c>
      <c r="AY835" s="285">
        <f t="shared" si="4498"/>
        <v>0.13136473848285418</v>
      </c>
      <c r="AZ835" s="286">
        <f t="shared" si="4498"/>
        <v>0.12576687116564417</v>
      </c>
      <c r="BA835" s="162">
        <f t="shared" si="4498"/>
        <v>0.11998238469217314</v>
      </c>
      <c r="BB835" s="162">
        <f t="shared" si="4498"/>
        <v>0.11752944102270202</v>
      </c>
      <c r="BC835" s="162">
        <f t="shared" si="4498"/>
        <v>0.11475267122743218</v>
      </c>
      <c r="BD835" s="162">
        <f t="shared" si="4498"/>
        <v>0.12135575799623234</v>
      </c>
      <c r="BE835" s="162">
        <f t="shared" si="4498"/>
        <v>0.11820594512136259</v>
      </c>
      <c r="BF835" s="162">
        <f t="shared" si="4498"/>
        <v>0.11711429003331701</v>
      </c>
      <c r="BG835" s="162">
        <f t="shared" si="4498"/>
        <v>0.11647051135410581</v>
      </c>
      <c r="BH835" s="162">
        <f t="shared" si="4498"/>
        <v>0.11793406923767526</v>
      </c>
      <c r="BI835" s="162">
        <f t="shared" si="4498"/>
        <v>0.11681808762409959</v>
      </c>
      <c r="BJ835" s="162">
        <f t="shared" ref="BJ835:BK835" si="4503">BJ593/BJ616</f>
        <v>0.1168992963994292</v>
      </c>
      <c r="BK835" s="162">
        <f t="shared" si="4503"/>
        <v>0.11645006318247805</v>
      </c>
      <c r="BL835" s="162">
        <f t="shared" ref="BL835:BM835" si="4504">BL593/BL616</f>
        <v>0.11726074296069472</v>
      </c>
      <c r="BM835" s="162">
        <f t="shared" si="4504"/>
        <v>0.11694018793330239</v>
      </c>
      <c r="BN835" s="162">
        <f t="shared" ref="BN835:BO835" si="4505">BN593/BN616</f>
        <v>0.11758660421713102</v>
      </c>
      <c r="BO835" s="162">
        <f t="shared" si="4505"/>
        <v>0.11708027627004816</v>
      </c>
      <c r="BP835" s="162">
        <f t="shared" ref="BP835:BQ835" si="4506">BP593/BP616</f>
        <v>0.11746627624117369</v>
      </c>
      <c r="BQ835" s="162">
        <f t="shared" si="4506"/>
        <v>0.11672010517048266</v>
      </c>
      <c r="BR835" s="162"/>
      <c r="BS835" s="162"/>
      <c r="BT835" s="162"/>
      <c r="BU835" s="162"/>
      <c r="BV835" s="162"/>
      <c r="BW835" s="162"/>
      <c r="BX835" s="162"/>
      <c r="BY835" s="162"/>
      <c r="BZ835" s="162"/>
      <c r="CA835" s="162"/>
      <c r="CB835" s="162"/>
      <c r="CC835" s="162"/>
      <c r="CD835" s="162"/>
      <c r="CE835" s="162"/>
      <c r="CF835" s="162"/>
      <c r="CG835" s="162"/>
      <c r="CH835" s="162"/>
      <c r="CI835" s="162"/>
      <c r="CJ835" s="162"/>
      <c r="CK835" s="162"/>
      <c r="CL835" s="162"/>
      <c r="CM835" s="285"/>
      <c r="CN835" s="285"/>
      <c r="CO835" s="285"/>
      <c r="CP835" s="285"/>
      <c r="CQ835" s="285"/>
      <c r="CR835" s="285"/>
      <c r="CS835" s="285"/>
      <c r="CT835" s="285">
        <f t="shared" ref="CT835:DF835" si="4507">CT593/CT616</f>
        <v>0.436</v>
      </c>
      <c r="CU835" s="285">
        <f t="shared" si="4507"/>
        <v>0.23100000000000001</v>
      </c>
      <c r="CV835" s="285">
        <f t="shared" si="4507"/>
        <v>0.24523693209574987</v>
      </c>
      <c r="CW835" s="285">
        <f t="shared" si="4507"/>
        <v>0.20472191411820628</v>
      </c>
      <c r="CX835" s="285">
        <f t="shared" si="4507"/>
        <v>0.16701308228389777</v>
      </c>
      <c r="CY835" s="285">
        <f t="shared" si="4507"/>
        <v>0.14681094579128082</v>
      </c>
      <c r="CZ835" s="286">
        <f t="shared" si="4507"/>
        <v>0.13136473848285418</v>
      </c>
      <c r="DA835" s="162">
        <f t="shared" si="4507"/>
        <v>0.11998238469217315</v>
      </c>
      <c r="DB835" s="162">
        <f t="shared" si="4507"/>
        <v>0.11475267122743221</v>
      </c>
      <c r="DC835" s="162">
        <f t="shared" si="4507"/>
        <v>0.11820594512136259</v>
      </c>
      <c r="DD835" s="162">
        <f t="shared" si="4507"/>
        <v>0.11647051135410581</v>
      </c>
      <c r="DE835" s="162">
        <f t="shared" si="4507"/>
        <v>0.11681808762409959</v>
      </c>
      <c r="DF835" s="162">
        <f t="shared" si="4507"/>
        <v>0.11645006318247805</v>
      </c>
      <c r="DG835" s="162">
        <f t="shared" ref="DG835:DH835" si="4508">DG593/DG616</f>
        <v>0.11694018793330239</v>
      </c>
      <c r="DH835" s="162">
        <f t="shared" si="4508"/>
        <v>0.11708027627004815</v>
      </c>
      <c r="DI835" s="162">
        <f t="shared" ref="DI835" si="4509">DI593/DI616</f>
        <v>0.11672010517048263</v>
      </c>
    </row>
    <row r="836" spans="1:113" ht="12" hidden="1" outlineLevel="1">
      <c r="A836" s="1" t="s">
        <v>955</v>
      </c>
      <c r="B836" s="19" t="s">
        <v>544</v>
      </c>
      <c r="C836" s="408"/>
      <c r="D836" s="408"/>
      <c r="E836" s="408"/>
      <c r="F836" s="408"/>
      <c r="G836" s="408"/>
      <c r="H836" s="408"/>
      <c r="I836" s="408"/>
      <c r="J836" s="408"/>
      <c r="K836" s="408"/>
      <c r="L836" s="408"/>
      <c r="M836" s="408"/>
      <c r="N836" s="408"/>
      <c r="O836" s="408"/>
      <c r="P836" s="408"/>
      <c r="Q836" s="408"/>
      <c r="R836" s="408"/>
      <c r="S836" s="408"/>
      <c r="T836" s="394"/>
      <c r="U836" s="408"/>
      <c r="V836" s="408"/>
      <c r="W836" s="408"/>
      <c r="X836" s="408"/>
      <c r="Y836" s="394"/>
      <c r="Z836" s="394"/>
      <c r="AA836" s="394"/>
      <c r="AB836" s="394"/>
      <c r="AC836" s="394"/>
      <c r="AD836" s="394"/>
      <c r="AE836" s="394"/>
      <c r="AF836" s="394"/>
      <c r="AG836" s="394"/>
      <c r="AH836" s="394"/>
      <c r="AI836" s="394"/>
      <c r="AJ836" s="394"/>
      <c r="AK836" s="394"/>
      <c r="AL836" s="394"/>
      <c r="AM836" s="394"/>
      <c r="AN836" s="394"/>
      <c r="AO836" s="394"/>
      <c r="AP836" s="285">
        <f t="shared" ref="AP836:BI836" si="4510">AP587/AP613</f>
        <v>0.20349401488191524</v>
      </c>
      <c r="AQ836" s="285">
        <f t="shared" ref="AQ836:AR836" si="4511">AQ587/AQ613</f>
        <v>0.24523693209574987</v>
      </c>
      <c r="AR836" s="285">
        <f t="shared" si="4511"/>
        <v>0.23351449275362318</v>
      </c>
      <c r="AS836" s="285">
        <f t="shared" ref="AS836:AT836" si="4512">AS587/AS613</f>
        <v>0.20472191411820631</v>
      </c>
      <c r="AT836" s="285">
        <f t="shared" si="4512"/>
        <v>0.17274372898888027</v>
      </c>
      <c r="AU836" s="285">
        <f t="shared" ref="AU836:AV836" si="4513">AU587/AU613</f>
        <v>0.16701308228389777</v>
      </c>
      <c r="AV836" s="285">
        <f t="shared" si="4513"/>
        <v>0.17118584894681718</v>
      </c>
      <c r="AW836" s="285">
        <f t="shared" ref="AW836:AX836" si="4514">AW587/AW613</f>
        <v>0.15461450421392156</v>
      </c>
      <c r="AX836" s="285">
        <f t="shared" si="4514"/>
        <v>0.14467005076142131</v>
      </c>
      <c r="AY836" s="285">
        <f t="shared" si="4510"/>
        <v>0.13785936958780742</v>
      </c>
      <c r="AZ836" s="286">
        <f t="shared" si="4510"/>
        <v>0.13166588013213781</v>
      </c>
      <c r="BA836" s="162">
        <f t="shared" si="4510"/>
        <v>0.12535491497176679</v>
      </c>
      <c r="BB836" s="162">
        <f t="shared" si="4510"/>
        <v>0.12254658378573788</v>
      </c>
      <c r="BC836" s="162">
        <f t="shared" si="4510"/>
        <v>0.11942723740517862</v>
      </c>
      <c r="BD836" s="162">
        <f t="shared" si="4510"/>
        <v>0.12572379600265321</v>
      </c>
      <c r="BE836" s="162">
        <f t="shared" si="4510"/>
        <v>0.12225342938831435</v>
      </c>
      <c r="BF836" s="162">
        <f t="shared" si="4510"/>
        <v>0.1209131934872365</v>
      </c>
      <c r="BG836" s="162">
        <f t="shared" si="4510"/>
        <v>0.12004407543207106</v>
      </c>
      <c r="BH836" s="162">
        <f t="shared" si="4510"/>
        <v>0.12134878371552232</v>
      </c>
      <c r="BI836" s="162">
        <f t="shared" si="4510"/>
        <v>0.12005587336440599</v>
      </c>
      <c r="BJ836" s="162">
        <f t="shared" ref="BJ836:BK836" si="4515">BJ587/BJ613</f>
        <v>0.12001891670633384</v>
      </c>
      <c r="BK836" s="162">
        <f t="shared" si="4515"/>
        <v>0.1194297470307177</v>
      </c>
      <c r="BL836" s="162">
        <f t="shared" ref="BL836:BM836" si="4516">BL587/BL613</f>
        <v>0.12015499051872922</v>
      </c>
      <c r="BM836" s="162">
        <f t="shared" si="4516"/>
        <v>0.1197246248618868</v>
      </c>
      <c r="BN836" s="162">
        <f t="shared" ref="BN836:BO836" si="4517">BN587/BN613</f>
        <v>0.12030259633049563</v>
      </c>
      <c r="BO836" s="162">
        <f t="shared" si="4517"/>
        <v>0.11970518616717161</v>
      </c>
      <c r="BP836" s="162">
        <f t="shared" ref="BP836:BQ836" si="4518">BP587/BP613</f>
        <v>0.12002609444425212</v>
      </c>
      <c r="BQ836" s="162">
        <f t="shared" si="4518"/>
        <v>0.11919390662163416</v>
      </c>
      <c r="BR836" s="162"/>
      <c r="BS836" s="162"/>
      <c r="BT836" s="162"/>
      <c r="BU836" s="162"/>
      <c r="BV836" s="162"/>
      <c r="BW836" s="162"/>
      <c r="BX836" s="162"/>
      <c r="BY836" s="162"/>
      <c r="BZ836" s="162"/>
      <c r="CA836" s="162"/>
      <c r="CB836" s="162"/>
      <c r="CC836" s="162"/>
      <c r="CD836" s="162"/>
      <c r="CE836" s="162"/>
      <c r="CF836" s="162"/>
      <c r="CG836" s="162"/>
      <c r="CH836" s="162"/>
      <c r="CI836" s="162"/>
      <c r="CJ836" s="162"/>
      <c r="CK836" s="162"/>
      <c r="CL836" s="162"/>
      <c r="CM836" s="285"/>
      <c r="CN836" s="285"/>
      <c r="CO836" s="285"/>
      <c r="CP836" s="285"/>
      <c r="CQ836" s="285"/>
      <c r="CR836" s="285"/>
      <c r="CS836" s="285"/>
      <c r="CT836" s="285">
        <f t="shared" ref="CT836:DF836" si="4519">CT587/CT613</f>
        <v>0.436</v>
      </c>
      <c r="CU836" s="285">
        <f t="shared" si="4519"/>
        <v>0.23100000000000001</v>
      </c>
      <c r="CV836" s="285">
        <f t="shared" si="4519"/>
        <v>0.24523693209574987</v>
      </c>
      <c r="CW836" s="285">
        <f t="shared" si="4519"/>
        <v>0.20472191411820628</v>
      </c>
      <c r="CX836" s="285">
        <f t="shared" si="4519"/>
        <v>0.16701308228389777</v>
      </c>
      <c r="CY836" s="285">
        <f t="shared" si="4519"/>
        <v>0.15461450421392156</v>
      </c>
      <c r="CZ836" s="286">
        <f t="shared" si="4519"/>
        <v>0.13785936958780742</v>
      </c>
      <c r="DA836" s="162">
        <f t="shared" si="4519"/>
        <v>0.12535491497176682</v>
      </c>
      <c r="DB836" s="162">
        <f t="shared" si="4519"/>
        <v>0.11942723740517865</v>
      </c>
      <c r="DC836" s="162">
        <f t="shared" si="4519"/>
        <v>0.12225342938831435</v>
      </c>
      <c r="DD836" s="162">
        <f t="shared" si="4519"/>
        <v>0.12004407543207106</v>
      </c>
      <c r="DE836" s="162">
        <f t="shared" si="4519"/>
        <v>0.12005587336440599</v>
      </c>
      <c r="DF836" s="162">
        <f t="shared" si="4519"/>
        <v>0.1194297470307177</v>
      </c>
      <c r="DG836" s="162">
        <f t="shared" ref="DG836:DH836" si="4520">DG587/DG613</f>
        <v>0.1197246248618868</v>
      </c>
      <c r="DH836" s="162">
        <f t="shared" si="4520"/>
        <v>0.1197051861671716</v>
      </c>
      <c r="DI836" s="162">
        <f t="shared" ref="DI836" si="4521">DI587/DI613</f>
        <v>0.11919390662163415</v>
      </c>
    </row>
    <row r="837" spans="1:113" ht="12" hidden="1" outlineLevel="1">
      <c r="A837" s="1" t="s">
        <v>956</v>
      </c>
      <c r="B837" s="19" t="s">
        <v>652</v>
      </c>
      <c r="C837" s="408"/>
      <c r="D837" s="408"/>
      <c r="E837" s="408"/>
      <c r="F837" s="408"/>
      <c r="G837" s="408"/>
      <c r="H837" s="408"/>
      <c r="I837" s="408"/>
      <c r="J837" s="408"/>
      <c r="K837" s="408"/>
      <c r="L837" s="408"/>
      <c r="M837" s="408"/>
      <c r="N837" s="408"/>
      <c r="O837" s="408"/>
      <c r="P837" s="408"/>
      <c r="Q837" s="408"/>
      <c r="R837" s="408"/>
      <c r="S837" s="408"/>
      <c r="T837" s="394"/>
      <c r="U837" s="408"/>
      <c r="V837" s="408"/>
      <c r="W837" s="408"/>
      <c r="X837" s="408"/>
      <c r="Y837" s="394"/>
      <c r="Z837" s="394"/>
      <c r="AA837" s="394"/>
      <c r="AB837" s="394"/>
      <c r="AC837" s="394"/>
      <c r="AD837" s="394"/>
      <c r="AE837" s="394"/>
      <c r="AF837" s="394"/>
      <c r="AG837" s="394"/>
      <c r="AH837" s="394"/>
      <c r="AI837" s="394"/>
      <c r="AJ837" s="394"/>
      <c r="AK837" s="394"/>
      <c r="AL837" s="394"/>
      <c r="AM837" s="394"/>
      <c r="AN837" s="394"/>
      <c r="AO837" s="394"/>
      <c r="AP837" s="285">
        <f t="shared" ref="AP837:BI837" si="4522">AP607/AP613</f>
        <v>0.20964089291491428</v>
      </c>
      <c r="AQ837" s="285">
        <f t="shared" ref="AQ837:AR837" si="4523">AQ607/AQ613</f>
        <v>0.26380068392769906</v>
      </c>
      <c r="AR837" s="285">
        <f t="shared" si="4523"/>
        <v>0.24891304347826088</v>
      </c>
      <c r="AS837" s="285">
        <f t="shared" ref="AS837:AT837" si="4524">AS607/AS613</f>
        <v>0.21898272856916495</v>
      </c>
      <c r="AT837" s="285">
        <f t="shared" si="4524"/>
        <v>0.18554434962503233</v>
      </c>
      <c r="AU837" s="285">
        <f t="shared" ref="AU837:AV837" si="4525">AU607/AU613</f>
        <v>0.18938745567917839</v>
      </c>
      <c r="AV837" s="285">
        <f t="shared" si="4525"/>
        <v>0.19294774816711277</v>
      </c>
      <c r="AW837" s="285">
        <f t="shared" ref="AW837:AX837" si="4526">AW607/AW613</f>
        <v>0.17500780355842263</v>
      </c>
      <c r="AX837" s="285">
        <f t="shared" si="4526"/>
        <v>0.17484489565707839</v>
      </c>
      <c r="AY837" s="285">
        <f t="shared" si="4522"/>
        <v>0.16548320055420851</v>
      </c>
      <c r="AZ837" s="286">
        <f t="shared" si="4522"/>
        <v>0.16894761680037754</v>
      </c>
      <c r="BA837" s="162">
        <f t="shared" si="4522"/>
        <v>0.15959208051114987</v>
      </c>
      <c r="BB837" s="162">
        <f t="shared" si="4522"/>
        <v>0.15513266294265637</v>
      </c>
      <c r="BC837" s="162">
        <f t="shared" si="4522"/>
        <v>0.15067520033104009</v>
      </c>
      <c r="BD837" s="162">
        <f t="shared" si="4522"/>
        <v>0.15564217831178875</v>
      </c>
      <c r="BE837" s="162">
        <f t="shared" si="4522"/>
        <v>0.15069400086448492</v>
      </c>
      <c r="BF837" s="162">
        <f t="shared" si="4522"/>
        <v>0.14809463135517761</v>
      </c>
      <c r="BG837" s="162">
        <f t="shared" si="4522"/>
        <v>0.14600140010933182</v>
      </c>
      <c r="BH837" s="162">
        <f t="shared" si="4522"/>
        <v>0.14642716042847295</v>
      </c>
      <c r="BI837" s="162">
        <f t="shared" si="4522"/>
        <v>0.14417635987360006</v>
      </c>
      <c r="BJ837" s="162">
        <f t="shared" ref="BJ837:BK837" si="4527">BJ607/BJ613</f>
        <v>0.14348384922701157</v>
      </c>
      <c r="BK837" s="162">
        <f t="shared" si="4527"/>
        <v>0.14213964063830462</v>
      </c>
      <c r="BL837" s="162">
        <f t="shared" ref="BL837:BM837" si="4528">BL607/BL613</f>
        <v>0.14239125236259612</v>
      </c>
      <c r="BM837" s="162">
        <f t="shared" si="4528"/>
        <v>0.14136878673545844</v>
      </c>
      <c r="BN837" s="162">
        <f t="shared" ref="BN837:BO837" si="4529">BN607/BN613</f>
        <v>0.14156651130757658</v>
      </c>
      <c r="BO837" s="162">
        <f t="shared" si="4529"/>
        <v>0.14048280920518549</v>
      </c>
      <c r="BP837" s="162">
        <f t="shared" ref="BP837:BQ837" si="4530">BP607/BP613</f>
        <v>0.14044048592546388</v>
      </c>
      <c r="BQ837" s="162">
        <f t="shared" si="4530"/>
        <v>0.13914968987100193</v>
      </c>
      <c r="BR837" s="162"/>
      <c r="BS837" s="162"/>
      <c r="BT837" s="162"/>
      <c r="BU837" s="162"/>
      <c r="BV837" s="162"/>
      <c r="BW837" s="162"/>
      <c r="BX837" s="162"/>
      <c r="BY837" s="162"/>
      <c r="BZ837" s="162"/>
      <c r="CA837" s="162"/>
      <c r="CB837" s="162"/>
      <c r="CC837" s="162"/>
      <c r="CD837" s="162"/>
      <c r="CE837" s="162"/>
      <c r="CF837" s="162"/>
      <c r="CG837" s="162"/>
      <c r="CH837" s="162"/>
      <c r="CI837" s="162"/>
      <c r="CJ837" s="162"/>
      <c r="CK837" s="162"/>
      <c r="CL837" s="162"/>
      <c r="CM837" s="285"/>
      <c r="CN837" s="285"/>
      <c r="CO837" s="285"/>
      <c r="CP837" s="285"/>
      <c r="CQ837" s="285"/>
      <c r="CR837" s="285"/>
      <c r="CS837" s="285"/>
      <c r="CT837" s="285">
        <f t="shared" ref="CT837:DF837" si="4531">CT607/CT613</f>
        <v>0.442</v>
      </c>
      <c r="CU837" s="285">
        <f t="shared" si="4531"/>
        <v>0.23800000000000004</v>
      </c>
      <c r="CV837" s="285">
        <f t="shared" si="4531"/>
        <v>0.26380068392769906</v>
      </c>
      <c r="CW837" s="285">
        <f t="shared" si="4531"/>
        <v>0.21898272856916493</v>
      </c>
      <c r="CX837" s="285">
        <f t="shared" si="4531"/>
        <v>0.18938745567917839</v>
      </c>
      <c r="CY837" s="285">
        <f t="shared" si="4531"/>
        <v>0.17500780355842263</v>
      </c>
      <c r="CZ837" s="286">
        <f t="shared" si="4531"/>
        <v>0.16548320055420851</v>
      </c>
      <c r="DA837" s="162">
        <f t="shared" si="4531"/>
        <v>0.15959208051114987</v>
      </c>
      <c r="DB837" s="162">
        <f t="shared" si="4531"/>
        <v>0.15067520033104012</v>
      </c>
      <c r="DC837" s="162">
        <f t="shared" si="4531"/>
        <v>0.15069400086448492</v>
      </c>
      <c r="DD837" s="162">
        <f t="shared" si="4531"/>
        <v>0.14600140010933182</v>
      </c>
      <c r="DE837" s="162">
        <f t="shared" si="4531"/>
        <v>0.14417635987360006</v>
      </c>
      <c r="DF837" s="162">
        <f t="shared" si="4531"/>
        <v>0.14213964063830462</v>
      </c>
      <c r="DG837" s="162">
        <f t="shared" ref="DG837:DH837" si="4532">DG607/DG613</f>
        <v>0.14136878673545844</v>
      </c>
      <c r="DH837" s="162">
        <f t="shared" si="4532"/>
        <v>0.14048280920518549</v>
      </c>
      <c r="DI837" s="162">
        <f t="shared" ref="DI837" si="4533">DI607/DI613</f>
        <v>0.13914968987100193</v>
      </c>
    </row>
    <row r="838" spans="1:113" ht="12" hidden="1" outlineLevel="1">
      <c r="A838" s="1" t="s">
        <v>1010</v>
      </c>
      <c r="B838" s="19" t="s">
        <v>653</v>
      </c>
      <c r="C838" s="408"/>
      <c r="D838" s="408"/>
      <c r="E838" s="408"/>
      <c r="F838" s="408"/>
      <c r="G838" s="408"/>
      <c r="H838" s="408"/>
      <c r="I838" s="408"/>
      <c r="J838" s="408"/>
      <c r="K838" s="408"/>
      <c r="L838" s="408"/>
      <c r="M838" s="408"/>
      <c r="N838" s="408"/>
      <c r="O838" s="408"/>
      <c r="P838" s="408"/>
      <c r="Q838" s="408"/>
      <c r="R838" s="408"/>
      <c r="S838" s="408"/>
      <c r="T838" s="394"/>
      <c r="U838" s="408"/>
      <c r="V838" s="408"/>
      <c r="W838" s="408"/>
      <c r="X838" s="408"/>
      <c r="Y838" s="394"/>
      <c r="Z838" s="394"/>
      <c r="AA838" s="394"/>
      <c r="AB838" s="394"/>
      <c r="AC838" s="394"/>
      <c r="AD838" s="394"/>
      <c r="AE838" s="394"/>
      <c r="AF838" s="394"/>
      <c r="AG838" s="394"/>
      <c r="AH838" s="394"/>
      <c r="AI838" s="394"/>
      <c r="AJ838" s="394"/>
      <c r="AK838" s="394"/>
      <c r="AL838" s="394"/>
      <c r="AM838" s="394"/>
      <c r="AN838" s="394"/>
      <c r="AO838" s="394"/>
      <c r="AP838" s="285">
        <f t="shared" ref="AP838:BI839" si="4534">AP136</f>
        <v>0</v>
      </c>
      <c r="AQ838" s="285">
        <f t="shared" ref="AQ838:AR838" si="4535">AQ136</f>
        <v>0</v>
      </c>
      <c r="AR838" s="285">
        <f t="shared" si="4535"/>
        <v>0</v>
      </c>
      <c r="AS838" s="285">
        <f t="shared" ref="AS838:AT838" si="4536">AS136</f>
        <v>0</v>
      </c>
      <c r="AT838" s="285">
        <f t="shared" si="4536"/>
        <v>0</v>
      </c>
      <c r="AU838" s="285">
        <f t="shared" ref="AU838:AV838" si="4537">AU136</f>
        <v>0</v>
      </c>
      <c r="AV838" s="285">
        <f t="shared" si="4537"/>
        <v>0</v>
      </c>
      <c r="AW838" s="285">
        <f t="shared" ref="AW838:AX838" si="4538">AW136</f>
        <v>0</v>
      </c>
      <c r="AX838" s="285">
        <f t="shared" si="4538"/>
        <v>0</v>
      </c>
      <c r="AY838" s="285">
        <f t="shared" si="4534"/>
        <v>0</v>
      </c>
      <c r="AZ838" s="286">
        <f t="shared" si="4534"/>
        <v>0</v>
      </c>
      <c r="BA838" s="162">
        <f t="shared" si="4534"/>
        <v>0</v>
      </c>
      <c r="BB838" s="162">
        <f t="shared" si="4534"/>
        <v>0</v>
      </c>
      <c r="BC838" s="162">
        <f t="shared" si="4534"/>
        <v>0</v>
      </c>
      <c r="BD838" s="162">
        <f t="shared" si="4534"/>
        <v>0</v>
      </c>
      <c r="BE838" s="162">
        <f t="shared" si="4534"/>
        <v>0</v>
      </c>
      <c r="BF838" s="162">
        <f t="shared" si="4534"/>
        <v>0</v>
      </c>
      <c r="BG838" s="162">
        <f t="shared" si="4534"/>
        <v>0</v>
      </c>
      <c r="BH838" s="162">
        <f t="shared" si="4534"/>
        <v>0.24541279877604077</v>
      </c>
      <c r="BI838" s="162">
        <f t="shared" si="4534"/>
        <v>0.39300607884190775</v>
      </c>
      <c r="BJ838" s="162">
        <f t="shared" ref="BJ838:BK838" si="4539">BJ136</f>
        <v>0.29036313266271013</v>
      </c>
      <c r="BK838" s="162">
        <f t="shared" si="4539"/>
        <v>0.4235440485062415</v>
      </c>
      <c r="BL838" s="162">
        <f t="shared" ref="BL838:BM838" si="4540">BL136</f>
        <v>0.39851045638861671</v>
      </c>
      <c r="BM838" s="162">
        <f t="shared" si="4540"/>
        <v>0.51997849354593939</v>
      </c>
      <c r="BN838" s="162">
        <f t="shared" ref="BN838:BO838" si="4541">BN136</f>
        <v>0.49370298652879285</v>
      </c>
      <c r="BO838" s="162">
        <f t="shared" si="4541"/>
        <v>0.55190077482463684</v>
      </c>
      <c r="BP838" s="162">
        <f t="shared" ref="BP838:BQ838" si="4542">BP136</f>
        <v>0.52506999117327269</v>
      </c>
      <c r="BQ838" s="162">
        <f t="shared" si="4542"/>
        <v>0.52261909144473551</v>
      </c>
      <c r="BR838" s="162"/>
      <c r="BS838" s="162"/>
      <c r="BT838" s="162"/>
      <c r="BU838" s="162"/>
      <c r="BV838" s="162"/>
      <c r="BW838" s="162"/>
      <c r="BX838" s="162"/>
      <c r="BY838" s="162"/>
      <c r="BZ838" s="162"/>
      <c r="CA838" s="162"/>
      <c r="CB838" s="162"/>
      <c r="CC838" s="162"/>
      <c r="CD838" s="162"/>
      <c r="CE838" s="162"/>
      <c r="CF838" s="162"/>
      <c r="CG838" s="162"/>
      <c r="CH838" s="162"/>
      <c r="CI838" s="162"/>
      <c r="CJ838" s="162"/>
      <c r="CK838" s="162"/>
      <c r="CL838" s="162"/>
      <c r="CM838" s="285"/>
      <c r="CN838" s="285"/>
      <c r="CO838" s="285"/>
      <c r="CP838" s="285"/>
      <c r="CQ838" s="285"/>
      <c r="CR838" s="285"/>
      <c r="CS838" s="285"/>
      <c r="CT838" s="285">
        <f t="shared" ref="CT838:DF839" si="4543">CT136</f>
        <v>0</v>
      </c>
      <c r="CU838" s="285">
        <f t="shared" si="4543"/>
        <v>0</v>
      </c>
      <c r="CV838" s="285">
        <f t="shared" si="4543"/>
        <v>0</v>
      </c>
      <c r="CW838" s="285">
        <f t="shared" ref="CW838:DF838" si="4544">CW735/CW730</f>
        <v>0</v>
      </c>
      <c r="CX838" s="285">
        <f t="shared" si="4544"/>
        <v>0</v>
      </c>
      <c r="CY838" s="285">
        <f t="shared" si="4544"/>
        <v>0</v>
      </c>
      <c r="CZ838" s="286">
        <f t="shared" si="4544"/>
        <v>0</v>
      </c>
      <c r="DA838" s="162">
        <f t="shared" si="4544"/>
        <v>0</v>
      </c>
      <c r="DB838" s="162">
        <f t="shared" si="4544"/>
        <v>0</v>
      </c>
      <c r="DC838" s="162">
        <f t="shared" si="4544"/>
        <v>0</v>
      </c>
      <c r="DD838" s="162">
        <f t="shared" si="4544"/>
        <v>0</v>
      </c>
      <c r="DE838" s="162">
        <f t="shared" si="4544"/>
        <v>0.32072076146505474</v>
      </c>
      <c r="DF838" s="162">
        <f t="shared" si="4544"/>
        <v>0.35792588855295815</v>
      </c>
      <c r="DG838" s="162">
        <f t="shared" ref="DG838:DH838" si="4545">DG735/DG730</f>
        <v>0.45995532953909318</v>
      </c>
      <c r="DH838" s="162">
        <f t="shared" si="4545"/>
        <v>0.5229557533190814</v>
      </c>
      <c r="DI838" s="162">
        <f t="shared" ref="DI838" si="4546">DI735/DI730</f>
        <v>0.5239032866093204</v>
      </c>
    </row>
    <row r="839" spans="1:113" ht="12" hidden="1" outlineLevel="1">
      <c r="A839" s="1" t="s">
        <v>1072</v>
      </c>
      <c r="B839" s="19" t="s">
        <v>769</v>
      </c>
      <c r="C839" s="614"/>
      <c r="D839" s="614"/>
      <c r="E839" s="614"/>
      <c r="F839" s="614"/>
      <c r="G839" s="614"/>
      <c r="H839" s="614"/>
      <c r="I839" s="614"/>
      <c r="J839" s="614"/>
      <c r="K839" s="614"/>
      <c r="L839" s="614"/>
      <c r="M839" s="614"/>
      <c r="N839" s="614"/>
      <c r="O839" s="614"/>
      <c r="P839" s="614"/>
      <c r="Q839" s="614"/>
      <c r="R839" s="614"/>
      <c r="S839" s="614"/>
      <c r="T839" s="614"/>
      <c r="U839" s="614"/>
      <c r="V839" s="614"/>
      <c r="W839" s="614"/>
      <c r="X839" s="614"/>
      <c r="Y839" s="511"/>
      <c r="Z839" s="511"/>
      <c r="AA839" s="511"/>
      <c r="AB839" s="511"/>
      <c r="AC839" s="511"/>
      <c r="AD839" s="511"/>
      <c r="AE839" s="511"/>
      <c r="AF839" s="511"/>
      <c r="AG839" s="511"/>
      <c r="AH839" s="511"/>
      <c r="AI839" s="511"/>
      <c r="AJ839" s="511"/>
      <c r="AK839" s="511"/>
      <c r="AL839" s="511"/>
      <c r="AM839" s="511"/>
      <c r="AN839" s="511"/>
      <c r="AO839" s="511"/>
      <c r="AP839" s="518">
        <f t="shared" si="4534"/>
        <v>0</v>
      </c>
      <c r="AQ839" s="518">
        <f t="shared" ref="AQ839:AR839" si="4547">AQ137</f>
        <v>0</v>
      </c>
      <c r="AR839" s="518">
        <f t="shared" si="4547"/>
        <v>0</v>
      </c>
      <c r="AS839" s="518">
        <f t="shared" ref="AS839:AT839" si="4548">AS137</f>
        <v>0</v>
      </c>
      <c r="AT839" s="518">
        <f t="shared" si="4548"/>
        <v>0</v>
      </c>
      <c r="AU839" s="518">
        <f t="shared" ref="AU839:AV839" si="4549">AU137</f>
        <v>36</v>
      </c>
      <c r="AV839" s="518">
        <f t="shared" si="4549"/>
        <v>57.5</v>
      </c>
      <c r="AW839" s="518">
        <f t="shared" ref="AW839:AX839" si="4550">AW137</f>
        <v>75.5</v>
      </c>
      <c r="AX839" s="518">
        <f t="shared" si="4550"/>
        <v>0</v>
      </c>
      <c r="AY839" s="518">
        <f t="shared" si="4534"/>
        <v>0</v>
      </c>
      <c r="AZ839" s="592">
        <f t="shared" si="4534"/>
        <v>0</v>
      </c>
      <c r="BA839" s="421">
        <f t="shared" si="4534"/>
        <v>32.469693372047097</v>
      </c>
      <c r="BB839" s="421">
        <f t="shared" si="4534"/>
        <v>67.596924020482845</v>
      </c>
      <c r="BC839" s="421">
        <f t="shared" si="4534"/>
        <v>103.81262448484628</v>
      </c>
      <c r="BD839" s="421">
        <f t="shared" si="4534"/>
        <v>146.08187166973175</v>
      </c>
      <c r="BE839" s="421">
        <f t="shared" si="4534"/>
        <v>191.98772946574002</v>
      </c>
      <c r="BF839" s="421">
        <f t="shared" si="4534"/>
        <v>244.25592086153307</v>
      </c>
      <c r="BG839" s="421">
        <f t="shared" si="4534"/>
        <v>300.96710044034859</v>
      </c>
      <c r="BH839" s="421">
        <f t="shared" si="4534"/>
        <v>347.90882884678155</v>
      </c>
      <c r="BI839" s="421">
        <f t="shared" si="4534"/>
        <v>387.17840478027819</v>
      </c>
      <c r="BJ839" s="421">
        <f t="shared" ref="BJ839:BK839" si="4551">BJ137</f>
        <v>436.91725972819989</v>
      </c>
      <c r="BK839" s="421">
        <f t="shared" si="4551"/>
        <v>478.43483746165219</v>
      </c>
      <c r="BL839" s="421">
        <f t="shared" ref="BL839:BM839" si="4552">BL137</f>
        <v>524.48440519251153</v>
      </c>
      <c r="BM839" s="421">
        <f t="shared" si="4552"/>
        <v>562.00133231118855</v>
      </c>
      <c r="BN839" s="421">
        <f t="shared" ref="BN839:BO839" si="4553">BN137</f>
        <v>603.68832401574934</v>
      </c>
      <c r="BO839" s="421">
        <f t="shared" si="4553"/>
        <v>640.79636179102761</v>
      </c>
      <c r="BP839" s="421">
        <f t="shared" ref="BP839:BQ839" si="4554">BP137</f>
        <v>682.14815639123947</v>
      </c>
      <c r="BQ839" s="421">
        <f t="shared" si="4554"/>
        <v>723.90932325056326</v>
      </c>
      <c r="BR839" s="421"/>
      <c r="BS839" s="421"/>
      <c r="BT839" s="421"/>
      <c r="BU839" s="421"/>
      <c r="BV839" s="421"/>
      <c r="BW839" s="421"/>
      <c r="BX839" s="421"/>
      <c r="BY839" s="421"/>
      <c r="BZ839" s="421"/>
      <c r="CA839" s="421"/>
      <c r="CB839" s="421"/>
      <c r="CC839" s="421"/>
      <c r="CD839" s="421"/>
      <c r="CE839" s="421"/>
      <c r="CF839" s="421"/>
      <c r="CG839" s="421"/>
      <c r="CH839" s="421"/>
      <c r="CI839" s="421"/>
      <c r="CJ839" s="421"/>
      <c r="CK839" s="421"/>
      <c r="CL839" s="421"/>
      <c r="CM839" s="518"/>
      <c r="CN839" s="518"/>
      <c r="CO839" s="518"/>
      <c r="CP839" s="518"/>
      <c r="CQ839" s="518"/>
      <c r="CR839" s="518"/>
      <c r="CS839" s="518"/>
      <c r="CT839" s="518">
        <f t="shared" si="4543"/>
        <v>0</v>
      </c>
      <c r="CU839" s="518">
        <f t="shared" si="4543"/>
        <v>0</v>
      </c>
      <c r="CV839" s="518">
        <f t="shared" si="4543"/>
        <v>0</v>
      </c>
      <c r="CW839" s="518">
        <f t="shared" si="4543"/>
        <v>0</v>
      </c>
      <c r="CX839" s="518">
        <f t="shared" si="4543"/>
        <v>36</v>
      </c>
      <c r="CY839" s="518">
        <f t="shared" si="4543"/>
        <v>75.5</v>
      </c>
      <c r="CZ839" s="592">
        <f t="shared" si="4543"/>
        <v>0</v>
      </c>
      <c r="DA839" s="421">
        <f t="shared" si="4543"/>
        <v>32.469693372047097</v>
      </c>
      <c r="DB839" s="421">
        <f t="shared" si="4543"/>
        <v>103.81262448484628</v>
      </c>
      <c r="DC839" s="421">
        <f t="shared" si="4543"/>
        <v>191.98772946574002</v>
      </c>
      <c r="DD839" s="421">
        <f t="shared" si="4543"/>
        <v>300.96710044034859</v>
      </c>
      <c r="DE839" s="421">
        <f t="shared" si="4543"/>
        <v>387.17840478027819</v>
      </c>
      <c r="DF839" s="421">
        <f t="shared" si="4543"/>
        <v>478.43483746165219</v>
      </c>
      <c r="DG839" s="421">
        <f t="shared" ref="DG839:DH839" si="4555">DG137</f>
        <v>562.00133231118855</v>
      </c>
      <c r="DH839" s="421">
        <f t="shared" si="4555"/>
        <v>640.79636179102761</v>
      </c>
      <c r="DI839" s="421">
        <f t="shared" ref="DI839" si="4556">DI137</f>
        <v>723.90932325056326</v>
      </c>
    </row>
    <row r="840" spans="1:113" ht="12" hidden="1" outlineLevel="1">
      <c r="A840" s="1" t="s">
        <v>1011</v>
      </c>
      <c r="B840" s="19" t="s">
        <v>654</v>
      </c>
      <c r="C840" s="408"/>
      <c r="D840" s="408"/>
      <c r="E840" s="408"/>
      <c r="F840" s="408"/>
      <c r="G840" s="408"/>
      <c r="H840" s="408"/>
      <c r="I840" s="408"/>
      <c r="J840" s="408"/>
      <c r="K840" s="408"/>
      <c r="L840" s="408"/>
      <c r="M840" s="408"/>
      <c r="N840" s="408"/>
      <c r="O840" s="408"/>
      <c r="P840" s="408"/>
      <c r="Q840" s="408"/>
      <c r="R840" s="408"/>
      <c r="S840" s="408"/>
      <c r="T840" s="394"/>
      <c r="U840" s="408"/>
      <c r="V840" s="408"/>
      <c r="W840" s="408"/>
      <c r="X840" s="408"/>
      <c r="Y840" s="394"/>
      <c r="Z840" s="394"/>
      <c r="AA840" s="394"/>
      <c r="AB840" s="394"/>
      <c r="AC840" s="394"/>
      <c r="AD840" s="394"/>
      <c r="AE840" s="394"/>
      <c r="AF840" s="394"/>
      <c r="AG840" s="394"/>
      <c r="AH840" s="394"/>
      <c r="AI840" s="394"/>
      <c r="AJ840" s="394"/>
      <c r="AK840" s="394"/>
      <c r="AL840" s="394"/>
      <c r="AM840" s="394"/>
      <c r="AN840" s="394"/>
      <c r="AO840" s="394"/>
      <c r="AP840" s="285">
        <f t="shared" ref="AP840:BI840" si="4557">AP738/AP730</f>
        <v>17.492307692307705</v>
      </c>
      <c r="AQ840" s="285">
        <f t="shared" ref="AQ840:AR840" si="4558">AQ738/AQ730</f>
        <v>-298.23076923076826</v>
      </c>
      <c r="AR840" s="285">
        <f t="shared" si="4558"/>
        <v>-524.28571428570751</v>
      </c>
      <c r="AS840" s="285">
        <f t="shared" ref="AS840:AT840" si="4559">AS738/AS730</f>
        <v>-0.58333333333333381</v>
      </c>
      <c r="AT840" s="285">
        <f t="shared" si="4559"/>
        <v>0</v>
      </c>
      <c r="AU840" s="285">
        <f t="shared" ref="AU840:AV840" si="4560">AU738/AU730</f>
        <v>0</v>
      </c>
      <c r="AV840" s="285">
        <f t="shared" si="4560"/>
        <v>0</v>
      </c>
      <c r="AW840" s="285">
        <f t="shared" ref="AW840:AX840" si="4561">AW738/AW730</f>
        <v>0</v>
      </c>
      <c r="AX840" s="285">
        <f t="shared" si="4561"/>
        <v>0</v>
      </c>
      <c r="AY840" s="285">
        <f t="shared" si="4557"/>
        <v>0</v>
      </c>
      <c r="AZ840" s="286">
        <f t="shared" si="4557"/>
        <v>0</v>
      </c>
      <c r="BA840" s="162">
        <f t="shared" si="4557"/>
        <v>0</v>
      </c>
      <c r="BB840" s="162">
        <f t="shared" si="4557"/>
        <v>0</v>
      </c>
      <c r="BC840" s="162">
        <f t="shared" si="4557"/>
        <v>0</v>
      </c>
      <c r="BD840" s="162">
        <f t="shared" si="4557"/>
        <v>-1.4877448443056638</v>
      </c>
      <c r="BE840" s="162">
        <f t="shared" si="4557"/>
        <v>0</v>
      </c>
      <c r="BF840" s="162">
        <f t="shared" si="4557"/>
        <v>0</v>
      </c>
      <c r="BG840" s="162">
        <f t="shared" si="4557"/>
        <v>0</v>
      </c>
      <c r="BH840" s="162">
        <f t="shared" si="4557"/>
        <v>0</v>
      </c>
      <c r="BI840" s="162">
        <f t="shared" si="4557"/>
        <v>0.23580364730514458</v>
      </c>
      <c r="BJ840" s="162">
        <f t="shared" ref="BJ840:BK840" si="4562">BJ738/BJ730</f>
        <v>0.36295391582838765</v>
      </c>
      <c r="BK840" s="162">
        <f t="shared" si="4562"/>
        <v>0.28236269900416106</v>
      </c>
      <c r="BL840" s="162">
        <f t="shared" ref="BL840:BM840" si="4563">BL738/BL730</f>
        <v>0.39851045638861671</v>
      </c>
      <c r="BM840" s="162">
        <f t="shared" si="4563"/>
        <v>0.3899838701594544</v>
      </c>
      <c r="BN840" s="162">
        <f t="shared" ref="BN840:BO840" si="4564">BN738/BN730</f>
        <v>0.49370298652879285</v>
      </c>
      <c r="BO840" s="162">
        <f t="shared" si="4564"/>
        <v>0.49057846651078824</v>
      </c>
      <c r="BP840" s="162">
        <f t="shared" ref="BP840:BQ840" si="4565">BP738/BP730</f>
        <v>0.52506999117327258</v>
      </c>
      <c r="BQ840" s="162">
        <f t="shared" si="4565"/>
        <v>0.52261909144473551</v>
      </c>
      <c r="BR840" s="162"/>
      <c r="BS840" s="162"/>
      <c r="BT840" s="162"/>
      <c r="BU840" s="162"/>
      <c r="BV840" s="162"/>
      <c r="BW840" s="162"/>
      <c r="BX840" s="162"/>
      <c r="BY840" s="162"/>
      <c r="BZ840" s="162"/>
      <c r="CA840" s="162"/>
      <c r="CB840" s="162"/>
      <c r="CC840" s="162"/>
      <c r="CD840" s="162"/>
      <c r="CE840" s="162"/>
      <c r="CF840" s="162"/>
      <c r="CG840" s="162"/>
      <c r="CH840" s="162"/>
      <c r="CI840" s="162"/>
      <c r="CJ840" s="162"/>
      <c r="CK840" s="162"/>
      <c r="CL840" s="162"/>
      <c r="CM840" s="285"/>
      <c r="CN840" s="285"/>
      <c r="CO840" s="285"/>
      <c r="CP840" s="285"/>
      <c r="CQ840" s="285"/>
      <c r="CR840" s="285"/>
      <c r="CS840" s="285"/>
      <c r="CT840" s="285" t="e">
        <f t="shared" ref="CT840:DF840" si="4566">CT738/CT730</f>
        <v>#DIV/0!</v>
      </c>
      <c r="CU840" s="285" t="e">
        <f t="shared" si="4566"/>
        <v>#DIV/0!</v>
      </c>
      <c r="CV840" s="285">
        <f t="shared" si="4566"/>
        <v>0</v>
      </c>
      <c r="CW840" s="285">
        <f t="shared" si="4566"/>
        <v>-40.868131868131869</v>
      </c>
      <c r="CX840" s="285">
        <f t="shared" si="4566"/>
        <v>0</v>
      </c>
      <c r="CY840" s="285">
        <f t="shared" si="4566"/>
        <v>0</v>
      </c>
      <c r="CZ840" s="286">
        <f t="shared" si="4566"/>
        <v>0</v>
      </c>
      <c r="DA840" s="162">
        <f t="shared" si="4566"/>
        <v>0</v>
      </c>
      <c r="DB840" s="162">
        <f t="shared" si="4566"/>
        <v>0</v>
      </c>
      <c r="DC840" s="162">
        <f t="shared" si="4566"/>
        <v>-0.71143493186304452</v>
      </c>
      <c r="DD840" s="162">
        <f t="shared" si="4566"/>
        <v>0</v>
      </c>
      <c r="DE840" s="162">
        <f t="shared" si="4566"/>
        <v>0.12025614153052222</v>
      </c>
      <c r="DF840" s="162">
        <f t="shared" si="4566"/>
        <v>0.32209541619676418</v>
      </c>
      <c r="DG840" s="162">
        <f t="shared" ref="DG840:DH840" si="4567">DG738/DG730</f>
        <v>0.39420106105726899</v>
      </c>
      <c r="DH840" s="162">
        <f t="shared" si="4567"/>
        <v>0.49213576725467734</v>
      </c>
      <c r="DI840" s="162">
        <f t="shared" ref="DI840" si="4568">DI738/DI730</f>
        <v>0.52384167456658071</v>
      </c>
    </row>
    <row r="841" spans="1:113" ht="12" hidden="1" outlineLevel="1">
      <c r="A841" s="1" t="s">
        <v>1012</v>
      </c>
      <c r="B841" s="19" t="s">
        <v>545</v>
      </c>
      <c r="C841" s="408"/>
      <c r="D841" s="408"/>
      <c r="E841" s="408"/>
      <c r="F841" s="408"/>
      <c r="G841" s="408"/>
      <c r="H841" s="408"/>
      <c r="I841" s="408"/>
      <c r="J841" s="408"/>
      <c r="K841" s="408"/>
      <c r="L841" s="408"/>
      <c r="M841" s="408"/>
      <c r="N841" s="408"/>
      <c r="O841" s="408"/>
      <c r="P841" s="408"/>
      <c r="Q841" s="408"/>
      <c r="R841" s="408"/>
      <c r="S841" s="408"/>
      <c r="T841" s="394"/>
      <c r="U841" s="408"/>
      <c r="V841" s="408"/>
      <c r="W841" s="408"/>
      <c r="X841" s="408"/>
      <c r="Y841" s="394"/>
      <c r="Z841" s="394"/>
      <c r="AA841" s="394"/>
      <c r="AB841" s="394"/>
      <c r="AC841" s="394"/>
      <c r="AD841" s="394"/>
      <c r="AE841" s="394"/>
      <c r="AF841" s="394"/>
      <c r="AG841" s="394"/>
      <c r="AH841" s="394"/>
      <c r="AI841" s="394"/>
      <c r="AJ841" s="394"/>
      <c r="AK841" s="394"/>
      <c r="AL841" s="394"/>
      <c r="AM841" s="394"/>
      <c r="AN841" s="394"/>
      <c r="AO841" s="394"/>
      <c r="AP841" s="285">
        <f t="shared" ref="AP841:BI841" si="4569">AP838*(1-AP785)</f>
        <v>0</v>
      </c>
      <c r="AQ841" s="285">
        <f t="shared" ref="AQ841:AR841" si="4570">AQ838*(1-AQ785)</f>
        <v>0</v>
      </c>
      <c r="AR841" s="285">
        <f t="shared" si="4570"/>
        <v>0</v>
      </c>
      <c r="AS841" s="285">
        <f t="shared" ref="AS841:AT841" si="4571">AS838*(1-AS785)</f>
        <v>0</v>
      </c>
      <c r="AT841" s="285">
        <f t="shared" si="4571"/>
        <v>0</v>
      </c>
      <c r="AU841" s="285">
        <f t="shared" ref="AU841:AV841" si="4572">AU838*(1-AU785)</f>
        <v>0</v>
      </c>
      <c r="AV841" s="285">
        <f t="shared" si="4572"/>
        <v>0</v>
      </c>
      <c r="AW841" s="285">
        <f t="shared" ref="AW841:AX841" si="4573">AW838*(1-AW785)</f>
        <v>0</v>
      </c>
      <c r="AX841" s="285">
        <f t="shared" si="4573"/>
        <v>0</v>
      </c>
      <c r="AY841" s="285">
        <f t="shared" si="4569"/>
        <v>0</v>
      </c>
      <c r="AZ841" s="286">
        <f t="shared" si="4569"/>
        <v>0</v>
      </c>
      <c r="BA841" s="162">
        <f t="shared" si="4569"/>
        <v>0</v>
      </c>
      <c r="BB841" s="162">
        <f t="shared" si="4569"/>
        <v>0</v>
      </c>
      <c r="BC841" s="162">
        <f t="shared" si="4569"/>
        <v>0</v>
      </c>
      <c r="BD841" s="162">
        <f t="shared" si="4569"/>
        <v>0</v>
      </c>
      <c r="BE841" s="162">
        <f t="shared" si="4569"/>
        <v>0</v>
      </c>
      <c r="BF841" s="162">
        <f t="shared" si="4569"/>
        <v>0</v>
      </c>
      <c r="BG841" s="162">
        <f t="shared" si="4569"/>
        <v>0</v>
      </c>
      <c r="BH841" s="162">
        <f t="shared" si="4569"/>
        <v>0.21812937622322448</v>
      </c>
      <c r="BI841" s="162">
        <f t="shared" si="4569"/>
        <v>0.34900044065579144</v>
      </c>
      <c r="BJ841" s="162">
        <f t="shared" ref="BJ841:BK841" si="4574">BJ838*(1-BJ785)</f>
        <v>0.25708011955478777</v>
      </c>
      <c r="BK841" s="162">
        <f t="shared" si="4574"/>
        <v>0.37473675063892076</v>
      </c>
      <c r="BL841" s="162">
        <f t="shared" ref="BL841:BM841" si="4575">BL838*(1-BL785)</f>
        <v>0.35216934430689256</v>
      </c>
      <c r="BM841" s="162">
        <f t="shared" si="4575"/>
        <v>0.45967670210455752</v>
      </c>
      <c r="BN841" s="162">
        <f t="shared" ref="BN841:BO841" si="4576">BN838*(1-BN785)</f>
        <v>0.43612333489211269</v>
      </c>
      <c r="BO841" s="162">
        <f t="shared" si="4576"/>
        <v>0.48797065285239988</v>
      </c>
      <c r="BP841" s="162">
        <f t="shared" ref="BP841:BQ841" si="4577">BP838*(1-BP785)</f>
        <v>0.46395778541556493</v>
      </c>
      <c r="BQ841" s="162">
        <f t="shared" si="4577"/>
        <v>0.46219114789439492</v>
      </c>
      <c r="BR841" s="162"/>
      <c r="BS841" s="162"/>
      <c r="BT841" s="162"/>
      <c r="BU841" s="162"/>
      <c r="BV841" s="162"/>
      <c r="BW841" s="162"/>
      <c r="BX841" s="162"/>
      <c r="BY841" s="162"/>
      <c r="BZ841" s="162"/>
      <c r="CA841" s="162"/>
      <c r="CB841" s="162"/>
      <c r="CC841" s="162"/>
      <c r="CD841" s="162"/>
      <c r="CE841" s="162"/>
      <c r="CF841" s="162"/>
      <c r="CG841" s="162"/>
      <c r="CH841" s="162"/>
      <c r="CI841" s="162"/>
      <c r="CJ841" s="162"/>
      <c r="CK841" s="162"/>
      <c r="CL841" s="162"/>
      <c r="CM841" s="285"/>
      <c r="CN841" s="285"/>
      <c r="CO841" s="285"/>
      <c r="CP841" s="285"/>
      <c r="CQ841" s="285"/>
      <c r="CR841" s="285"/>
      <c r="CS841" s="285"/>
      <c r="CT841" s="285">
        <f t="shared" ref="CT841:DF841" si="4578">CT838*(1-CT785)</f>
        <v>0</v>
      </c>
      <c r="CU841" s="285">
        <f t="shared" si="4578"/>
        <v>0</v>
      </c>
      <c r="CV841" s="285">
        <f t="shared" si="4578"/>
        <v>0</v>
      </c>
      <c r="CW841" s="285">
        <f t="shared" si="4578"/>
        <v>0</v>
      </c>
      <c r="CX841" s="285">
        <f t="shared" si="4578"/>
        <v>0</v>
      </c>
      <c r="CY841" s="285">
        <f t="shared" si="4578"/>
        <v>0</v>
      </c>
      <c r="CZ841" s="286">
        <f t="shared" si="4578"/>
        <v>0</v>
      </c>
      <c r="DA841" s="162">
        <f t="shared" si="4578"/>
        <v>0</v>
      </c>
      <c r="DB841" s="162">
        <f t="shared" si="4578"/>
        <v>0</v>
      </c>
      <c r="DC841" s="162">
        <f t="shared" si="4578"/>
        <v>0</v>
      </c>
      <c r="DD841" s="162">
        <f t="shared" si="4578"/>
        <v>0</v>
      </c>
      <c r="DE841" s="162">
        <f t="shared" si="4578"/>
        <v>0.28494943942255574</v>
      </c>
      <c r="DF841" s="162">
        <f t="shared" si="4578"/>
        <v>0.31680126783014323</v>
      </c>
      <c r="DG841" s="162">
        <f t="shared" ref="DG841:DH841" si="4579">DG838*(1-DG785)</f>
        <v>0.40655291055339715</v>
      </c>
      <c r="DH841" s="162">
        <f t="shared" si="4579"/>
        <v>0.46218760803018238</v>
      </c>
      <c r="DI841" s="162">
        <f t="shared" ref="DI841" si="4580">DI838*(1-DI785)</f>
        <v>0.46314182451385449</v>
      </c>
    </row>
    <row r="842" spans="1:113" ht="12" hidden="1" outlineLevel="2">
      <c r="A842" s="1" t="s">
        <v>1013</v>
      </c>
      <c r="B842" s="19" t="s">
        <v>801</v>
      </c>
      <c r="DB842" s="19"/>
      <c r="DC842" s="19"/>
      <c r="DD842" s="19"/>
      <c r="DE842" s="19"/>
      <c r="DF842" s="19"/>
      <c r="DG842" s="19"/>
      <c r="DH842" s="19"/>
      <c r="DI842" s="19"/>
    </row>
    <row r="843" spans="1:113" ht="12" hidden="1" outlineLevel="2">
      <c r="A843" s="1" t="s">
        <v>184</v>
      </c>
      <c r="B843" s="19" t="s">
        <v>801</v>
      </c>
      <c r="DB843" s="19"/>
      <c r="DC843" s="19"/>
      <c r="DD843" s="19"/>
      <c r="DE843" s="19"/>
      <c r="DF843" s="19"/>
      <c r="DG843" s="19"/>
      <c r="DH843" s="19"/>
      <c r="DI843" s="19"/>
    </row>
    <row r="844" spans="1:113" ht="12" hidden="1" outlineLevel="2">
      <c r="A844" s="1" t="s">
        <v>185</v>
      </c>
      <c r="B844" s="19" t="s">
        <v>801</v>
      </c>
      <c r="DB844" s="19"/>
      <c r="DC844" s="19"/>
      <c r="DD844" s="19"/>
      <c r="DE844" s="19"/>
      <c r="DF844" s="19"/>
      <c r="DG844" s="19"/>
      <c r="DH844" s="19"/>
      <c r="DI844" s="19"/>
    </row>
    <row r="845" spans="1:113" ht="12" hidden="1" outlineLevel="2">
      <c r="A845" s="1" t="s">
        <v>186</v>
      </c>
      <c r="B845" s="19" t="s">
        <v>801</v>
      </c>
      <c r="DB845" s="19"/>
      <c r="DC845" s="19"/>
      <c r="DD845" s="19"/>
      <c r="DE845" s="19"/>
      <c r="DF845" s="19"/>
      <c r="DG845" s="19"/>
      <c r="DH845" s="19"/>
      <c r="DI845" s="19"/>
    </row>
    <row r="846" spans="1:113" ht="12" hidden="1" outlineLevel="2">
      <c r="A846" s="1" t="s">
        <v>187</v>
      </c>
      <c r="B846" s="19" t="s">
        <v>801</v>
      </c>
      <c r="DB846" s="19"/>
      <c r="DC846" s="19"/>
      <c r="DD846" s="19"/>
      <c r="DE846" s="19"/>
      <c r="DF846" s="19"/>
      <c r="DG846" s="19"/>
      <c r="DH846" s="19"/>
      <c r="DI846" s="19"/>
    </row>
    <row r="847" spans="1:113" ht="12" hidden="1" outlineLevel="2">
      <c r="A847" s="1" t="s">
        <v>188</v>
      </c>
      <c r="B847" s="19" t="s">
        <v>801</v>
      </c>
      <c r="DB847" s="19"/>
      <c r="DC847" s="19"/>
      <c r="DD847" s="19"/>
      <c r="DE847" s="19"/>
      <c r="DF847" s="19"/>
      <c r="DG847" s="19"/>
      <c r="DH847" s="19"/>
      <c r="DI847" s="19"/>
    </row>
    <row r="848" spans="1:113" ht="12" hidden="1" outlineLevel="2">
      <c r="A848" s="1" t="s">
        <v>7</v>
      </c>
      <c r="B848" s="19" t="s">
        <v>801</v>
      </c>
      <c r="DB848" s="19"/>
      <c r="DC848" s="19"/>
      <c r="DD848" s="19"/>
      <c r="DE848" s="19"/>
      <c r="DF848" s="19"/>
      <c r="DG848" s="19"/>
      <c r="DH848" s="19"/>
      <c r="DI848" s="19"/>
    </row>
    <row r="849" spans="1:113" ht="12" hidden="1" outlineLevel="2">
      <c r="A849" s="1" t="s">
        <v>8</v>
      </c>
      <c r="B849" s="19" t="s">
        <v>801</v>
      </c>
      <c r="DB849" s="19"/>
      <c r="DC849" s="19"/>
      <c r="DD849" s="19"/>
      <c r="DE849" s="19"/>
      <c r="DF849" s="19"/>
      <c r="DG849" s="19"/>
      <c r="DH849" s="19"/>
      <c r="DI849" s="19"/>
    </row>
    <row r="850" spans="1:113" ht="12" hidden="1" outlineLevel="2">
      <c r="A850" s="1" t="s">
        <v>9</v>
      </c>
      <c r="B850" s="19" t="s">
        <v>801</v>
      </c>
      <c r="BR850" s="19"/>
      <c r="BS850" s="19"/>
      <c r="BT850" s="19"/>
      <c r="BU850" s="19"/>
      <c r="BV850" s="19"/>
      <c r="BW850" s="19"/>
      <c r="BX850" s="19"/>
      <c r="BY850" s="19"/>
      <c r="BZ850" s="19"/>
      <c r="CA850" s="19"/>
      <c r="CB850" s="19"/>
      <c r="CC850" s="19"/>
      <c r="CD850" s="19"/>
      <c r="CE850" s="19"/>
      <c r="CF850" s="19"/>
      <c r="CG850" s="19"/>
      <c r="CH850" s="19"/>
      <c r="CI850" s="19"/>
      <c r="CJ850" s="19"/>
      <c r="CK850" s="19"/>
      <c r="CL850" s="19"/>
      <c r="CM850" s="19"/>
      <c r="CN850" s="19"/>
      <c r="CO850" s="19"/>
      <c r="CP850" s="19"/>
      <c r="CQ850" s="19"/>
      <c r="CR850" s="19"/>
      <c r="CS850" s="19"/>
      <c r="CT850" s="19"/>
      <c r="CV850" s="19"/>
      <c r="CW850" s="19"/>
      <c r="CX850" s="19"/>
      <c r="CY850" s="19"/>
      <c r="CZ850" s="296"/>
      <c r="DA850" s="19"/>
      <c r="DB850" s="19"/>
      <c r="DC850" s="19"/>
      <c r="DD850" s="19"/>
      <c r="DE850" s="19"/>
      <c r="DF850" s="19"/>
      <c r="DG850" s="19"/>
      <c r="DH850" s="19"/>
      <c r="DI850" s="19"/>
    </row>
    <row r="851" spans="1:113" ht="12" hidden="1" outlineLevel="2">
      <c r="A851" s="1" t="s">
        <v>10</v>
      </c>
      <c r="B851" s="19" t="s">
        <v>801</v>
      </c>
      <c r="BR851" s="19"/>
      <c r="BS851" s="19"/>
      <c r="BT851" s="19"/>
      <c r="BU851" s="19"/>
      <c r="BV851" s="19"/>
      <c r="BW851" s="19"/>
      <c r="BX851" s="19"/>
      <c r="BY851" s="19"/>
      <c r="BZ851" s="19"/>
      <c r="CA851" s="19"/>
      <c r="CB851" s="19"/>
      <c r="CC851" s="19"/>
      <c r="CD851" s="19"/>
      <c r="CE851" s="19"/>
      <c r="CF851" s="19"/>
      <c r="CG851" s="19"/>
      <c r="CH851" s="19"/>
      <c r="CI851" s="19"/>
      <c r="CJ851" s="19"/>
      <c r="CK851" s="19"/>
      <c r="CL851" s="19"/>
      <c r="CM851" s="19"/>
      <c r="CN851" s="19"/>
      <c r="CO851" s="19"/>
      <c r="CP851" s="19"/>
      <c r="CQ851" s="19"/>
      <c r="CR851" s="19"/>
      <c r="CS851" s="19"/>
      <c r="CT851" s="19"/>
      <c r="CV851" s="19"/>
      <c r="CW851" s="19"/>
      <c r="CX851" s="19"/>
      <c r="CY851" s="19"/>
      <c r="CZ851" s="296"/>
      <c r="DA851" s="19"/>
      <c r="DB851" s="19"/>
      <c r="DC851" s="19"/>
      <c r="DD851" s="19"/>
      <c r="DE851" s="19"/>
      <c r="DF851" s="19"/>
      <c r="DG851" s="19"/>
      <c r="DH851" s="19"/>
      <c r="DI851" s="19"/>
    </row>
    <row r="852" spans="1:113" ht="12" hidden="1" outlineLevel="1" collapsed="1">
      <c r="AF852" s="394"/>
      <c r="AG852" s="394"/>
      <c r="AH852" s="394"/>
      <c r="BR852" s="19"/>
      <c r="BS852" s="19"/>
      <c r="BT852" s="19"/>
      <c r="BU852" s="19"/>
      <c r="BV852" s="19"/>
      <c r="BW852" s="19"/>
      <c r="BX852" s="19"/>
      <c r="BY852" s="19"/>
      <c r="BZ852" s="19"/>
      <c r="CA852" s="19"/>
      <c r="CB852" s="19"/>
      <c r="CC852" s="19"/>
      <c r="CD852" s="19"/>
      <c r="CE852" s="19"/>
      <c r="CF852" s="19"/>
      <c r="CG852" s="19"/>
      <c r="CH852" s="19"/>
      <c r="CI852" s="19"/>
      <c r="CJ852" s="19"/>
      <c r="CK852" s="19"/>
      <c r="CL852" s="19"/>
      <c r="CM852" s="19"/>
      <c r="CN852" s="19"/>
      <c r="CO852" s="19"/>
      <c r="CP852" s="19"/>
      <c r="CQ852" s="19"/>
      <c r="CR852" s="19"/>
      <c r="CS852" s="19"/>
      <c r="CT852" s="19"/>
      <c r="CV852" s="19"/>
      <c r="CW852" s="19"/>
      <c r="CX852" s="19"/>
      <c r="CY852" s="19"/>
      <c r="CZ852" s="296"/>
      <c r="DA852" s="19"/>
      <c r="DB852" s="19"/>
      <c r="DC852" s="19"/>
      <c r="DD852" s="19"/>
      <c r="DE852" s="19"/>
      <c r="DF852" s="19"/>
      <c r="DG852" s="19"/>
      <c r="DH852" s="19"/>
      <c r="DI852" s="19"/>
    </row>
    <row r="853" spans="1:113" ht="12" collapsed="1">
      <c r="Z853" s="42"/>
      <c r="AA853" s="42"/>
      <c r="AB853" s="42"/>
      <c r="AC853" s="42"/>
      <c r="AD853" s="42"/>
      <c r="AE853" s="42"/>
      <c r="AF853" s="416"/>
      <c r="AG853" s="416"/>
      <c r="AH853" s="416"/>
      <c r="AI853" s="42"/>
      <c r="AJ853" s="42"/>
      <c r="AK853" s="42"/>
      <c r="AL853" s="42"/>
      <c r="AM853" s="42"/>
      <c r="AN853" s="42"/>
      <c r="AO853" s="42"/>
      <c r="AP853" s="42"/>
      <c r="AQ853" s="42"/>
      <c r="AR853" s="42"/>
      <c r="AS853" s="42"/>
      <c r="AT853" s="42"/>
      <c r="AU853" s="42"/>
      <c r="AV853" s="42"/>
      <c r="AW853" s="42"/>
      <c r="AX853" s="42"/>
      <c r="AY853" s="42"/>
      <c r="AZ853" s="43"/>
      <c r="BA853" s="42"/>
      <c r="BB853" s="42"/>
      <c r="BC853" s="42"/>
      <c r="BD853" s="42"/>
      <c r="BE853" s="42"/>
      <c r="BF853" s="42"/>
      <c r="BG853" s="42"/>
      <c r="BH853" s="42"/>
      <c r="BI853" s="42"/>
      <c r="BJ853" s="42"/>
      <c r="BK853" s="42"/>
      <c r="BL853" s="42"/>
      <c r="BM853" s="42"/>
      <c r="BN853" s="42"/>
      <c r="BO853" s="42"/>
      <c r="BP853" s="42"/>
      <c r="BQ853" s="42"/>
      <c r="BR853" s="19"/>
      <c r="BS853" s="19"/>
      <c r="BT853" s="19"/>
      <c r="BU853" s="19"/>
      <c r="BV853" s="19"/>
      <c r="BW853" s="19"/>
      <c r="BX853" s="19"/>
      <c r="BY853" s="19"/>
      <c r="BZ853" s="19"/>
      <c r="CA853" s="19"/>
      <c r="CB853" s="19"/>
      <c r="CC853" s="19"/>
      <c r="CD853" s="19"/>
      <c r="CE853" s="19"/>
      <c r="CF853" s="19"/>
      <c r="CG853" s="19"/>
      <c r="CH853" s="19"/>
      <c r="CI853" s="19"/>
      <c r="CJ853" s="19"/>
      <c r="CK853" s="19"/>
      <c r="CL853" s="19"/>
      <c r="CM853" s="19"/>
      <c r="CN853" s="19"/>
      <c r="CO853" s="19"/>
      <c r="CP853" s="19"/>
      <c r="CQ853" s="19"/>
      <c r="CR853" s="19"/>
      <c r="CS853" s="19"/>
      <c r="CT853" s="19"/>
      <c r="CU853" s="42"/>
      <c r="CV853" s="19"/>
      <c r="CW853" s="19"/>
      <c r="CX853" s="19"/>
      <c r="CY853" s="19"/>
      <c r="CZ853" s="296"/>
      <c r="DA853" s="19"/>
      <c r="DB853" s="19"/>
      <c r="DC853" s="19"/>
      <c r="DD853" s="19"/>
      <c r="DE853" s="19"/>
      <c r="DF853" s="19"/>
      <c r="DG853" s="19"/>
      <c r="DH853" s="19"/>
      <c r="DI853" s="19"/>
    </row>
    <row r="854" spans="1:113" ht="12">
      <c r="CY854" s="19"/>
      <c r="CZ854" s="296"/>
      <c r="DA854" s="19"/>
      <c r="DB854" s="19"/>
      <c r="DC854" s="19"/>
      <c r="DD854" s="19"/>
      <c r="DE854" s="19"/>
      <c r="DF854" s="19"/>
      <c r="DG854" s="19"/>
      <c r="DH854" s="19"/>
      <c r="DI854" s="19"/>
    </row>
    <row r="855" spans="1:113" ht="12">
      <c r="Y855" s="42"/>
      <c r="Z855" s="157"/>
      <c r="AA855" s="157"/>
      <c r="AB855" s="157"/>
      <c r="AC855" s="157"/>
      <c r="AD855" s="157"/>
      <c r="AE855" s="157"/>
      <c r="AF855" s="157"/>
      <c r="AG855" s="157"/>
      <c r="AH855" s="157"/>
      <c r="AI855" s="157"/>
      <c r="AJ855" s="157"/>
      <c r="AK855" s="157"/>
      <c r="AL855" s="157"/>
      <c r="AM855" s="157"/>
      <c r="AN855" s="157"/>
      <c r="AO855" s="157"/>
      <c r="AP855" s="157"/>
      <c r="AQ855" s="157"/>
      <c r="AR855" s="157"/>
      <c r="AS855" s="157"/>
      <c r="AT855" s="157"/>
      <c r="AU855" s="157"/>
      <c r="AV855" s="157"/>
      <c r="AW855" s="157"/>
      <c r="AX855" s="157"/>
      <c r="AY855" s="157"/>
      <c r="AZ855" s="657"/>
      <c r="BA855" s="157"/>
      <c r="BB855" s="157"/>
      <c r="BC855" s="157"/>
      <c r="BD855" s="157"/>
      <c r="BE855" s="157"/>
      <c r="BF855" s="157"/>
      <c r="BG855" s="157"/>
      <c r="BH855" s="157"/>
      <c r="BI855" s="157"/>
      <c r="BJ855" s="157"/>
      <c r="BK855" s="157"/>
      <c r="BL855" s="157"/>
      <c r="BM855" s="157"/>
      <c r="BN855" s="157"/>
      <c r="BO855" s="157"/>
      <c r="BP855" s="157"/>
      <c r="BQ855" s="157"/>
      <c r="BR855" s="19"/>
      <c r="BS855" s="19"/>
      <c r="BT855" s="19"/>
      <c r="BU855" s="19"/>
      <c r="BV855" s="19"/>
      <c r="BW855" s="19"/>
      <c r="BX855" s="19"/>
      <c r="BY855" s="19"/>
      <c r="BZ855" s="19"/>
      <c r="CA855" s="19"/>
      <c r="CB855" s="19"/>
      <c r="CC855" s="19"/>
      <c r="CD855" s="19"/>
      <c r="CE855" s="19"/>
      <c r="CF855" s="19"/>
      <c r="CG855" s="19"/>
      <c r="CH855" s="19"/>
      <c r="CI855" s="19"/>
      <c r="CJ855" s="19"/>
      <c r="CK855" s="19"/>
      <c r="CL855" s="19"/>
      <c r="CM855" s="19"/>
      <c r="CN855" s="19"/>
      <c r="CO855" s="19"/>
      <c r="CP855" s="19"/>
      <c r="CQ855" s="19"/>
      <c r="CR855" s="19"/>
      <c r="CS855" s="19"/>
      <c r="CT855" s="19"/>
      <c r="CU855" s="157"/>
      <c r="CV855" s="19"/>
      <c r="CW855" s="19"/>
      <c r="CX855" s="19"/>
      <c r="DC855" s="19"/>
      <c r="DD855" s="19"/>
      <c r="DE855" s="19"/>
      <c r="DF855" s="19"/>
      <c r="DG855" s="19"/>
      <c r="DH855" s="19"/>
      <c r="DI855" s="19"/>
    </row>
    <row r="856" spans="1:113" ht="12">
      <c r="Z856" s="157"/>
      <c r="AA856" s="157"/>
      <c r="AB856" s="157"/>
      <c r="AC856" s="157"/>
      <c r="AD856" s="157"/>
      <c r="AE856" s="157"/>
      <c r="AF856" s="157"/>
      <c r="AG856" s="157"/>
      <c r="AH856" s="157"/>
      <c r="AI856" s="157"/>
      <c r="AJ856" s="157"/>
      <c r="AK856" s="157"/>
      <c r="AL856" s="157"/>
      <c r="AM856" s="157"/>
      <c r="AN856" s="157"/>
      <c r="AO856" s="157"/>
      <c r="AP856" s="157"/>
      <c r="AQ856" s="157"/>
      <c r="AR856" s="157"/>
      <c r="AS856" s="157"/>
      <c r="AT856" s="157"/>
      <c r="AU856" s="157"/>
      <c r="AV856" s="157"/>
      <c r="AW856" s="157"/>
      <c r="AX856" s="157"/>
      <c r="AY856" s="157"/>
      <c r="AZ856" s="657"/>
      <c r="BA856" s="157"/>
      <c r="BB856" s="157"/>
      <c r="BC856" s="157"/>
      <c r="BD856" s="157"/>
      <c r="BE856" s="157"/>
      <c r="BF856" s="157"/>
      <c r="BG856" s="157"/>
      <c r="BH856" s="157"/>
      <c r="BI856" s="157"/>
      <c r="BJ856" s="157"/>
      <c r="BK856" s="157"/>
      <c r="BL856" s="157"/>
      <c r="BM856" s="157"/>
      <c r="BN856" s="157"/>
      <c r="BO856" s="157"/>
      <c r="BP856" s="157"/>
      <c r="BQ856" s="157"/>
      <c r="BR856" s="19"/>
      <c r="BS856" s="19"/>
      <c r="BT856" s="19"/>
      <c r="BU856" s="19"/>
      <c r="BV856" s="19"/>
      <c r="BW856" s="19"/>
      <c r="BX856" s="19"/>
      <c r="BY856" s="19"/>
      <c r="BZ856" s="19"/>
      <c r="CA856" s="19"/>
      <c r="CB856" s="19"/>
      <c r="CC856" s="19"/>
      <c r="CD856" s="19"/>
      <c r="CE856" s="19"/>
      <c r="CF856" s="19"/>
      <c r="CG856" s="19"/>
      <c r="CH856" s="19"/>
      <c r="CI856" s="19"/>
      <c r="CJ856" s="19"/>
      <c r="CK856" s="19"/>
      <c r="CL856" s="19"/>
      <c r="CM856" s="19"/>
      <c r="CN856" s="19"/>
      <c r="CO856" s="19"/>
      <c r="CP856" s="19"/>
      <c r="CQ856" s="19"/>
      <c r="CR856" s="19"/>
      <c r="CS856" s="19"/>
      <c r="CT856" s="19"/>
      <c r="CU856" s="157"/>
      <c r="CV856" s="19"/>
      <c r="CW856" s="19"/>
      <c r="CX856" s="19"/>
      <c r="DC856" s="19"/>
      <c r="DD856" s="19"/>
      <c r="DE856" s="19"/>
      <c r="DF856" s="19"/>
      <c r="DG856" s="19"/>
      <c r="DH856" s="19"/>
      <c r="DI856" s="19"/>
    </row>
    <row r="857" spans="1:113" ht="12">
      <c r="Z857" s="157"/>
      <c r="AA857" s="157"/>
      <c r="AB857" s="157"/>
      <c r="AC857" s="157"/>
      <c r="AD857" s="157"/>
      <c r="AE857" s="157"/>
      <c r="AF857" s="157"/>
      <c r="AG857" s="157"/>
      <c r="AH857" s="157"/>
      <c r="AI857" s="157"/>
      <c r="AJ857" s="157"/>
      <c r="AK857" s="157"/>
      <c r="AL857" s="157"/>
      <c r="AM857" s="157"/>
      <c r="AN857" s="157"/>
      <c r="AO857" s="157"/>
      <c r="AP857" s="157"/>
      <c r="AQ857" s="157"/>
      <c r="AR857" s="157"/>
      <c r="AS857" s="157"/>
      <c r="AT857" s="157"/>
      <c r="AU857" s="157"/>
      <c r="AV857" s="157"/>
      <c r="AW857" s="157"/>
      <c r="AX857" s="157"/>
      <c r="AY857" s="157"/>
      <c r="AZ857" s="657"/>
      <c r="BA857" s="157"/>
      <c r="BB857" s="157"/>
      <c r="BC857" s="157"/>
      <c r="BD857" s="157"/>
      <c r="BE857" s="157"/>
      <c r="BF857" s="157"/>
      <c r="BG857" s="157"/>
      <c r="BH857" s="157"/>
      <c r="BI857" s="157"/>
      <c r="BJ857" s="157"/>
      <c r="BK857" s="157"/>
      <c r="BL857" s="157"/>
      <c r="BM857" s="157"/>
      <c r="BN857" s="157"/>
      <c r="BO857" s="157"/>
      <c r="BP857" s="157"/>
      <c r="BQ857" s="157"/>
      <c r="BR857" s="19"/>
      <c r="BS857" s="19"/>
      <c r="BT857" s="19"/>
      <c r="BU857" s="19"/>
      <c r="BV857" s="19"/>
      <c r="BW857" s="19"/>
      <c r="BX857" s="19"/>
      <c r="BY857" s="19"/>
      <c r="BZ857" s="19"/>
      <c r="CA857" s="19"/>
      <c r="CB857" s="19"/>
      <c r="CC857" s="19"/>
      <c r="CD857" s="19"/>
      <c r="CE857" s="19"/>
      <c r="CF857" s="19"/>
      <c r="CG857" s="19"/>
      <c r="CH857" s="19"/>
      <c r="CI857" s="19"/>
      <c r="CJ857" s="19"/>
      <c r="CK857" s="19"/>
      <c r="CL857" s="19"/>
      <c r="CM857" s="19"/>
      <c r="CN857" s="19"/>
      <c r="CO857" s="19"/>
      <c r="CP857" s="19"/>
      <c r="CQ857" s="19"/>
      <c r="CR857" s="19"/>
      <c r="CS857" s="19"/>
      <c r="CT857" s="19"/>
      <c r="CU857" s="157"/>
      <c r="CV857" s="19"/>
      <c r="CW857" s="19"/>
      <c r="CX857" s="19"/>
      <c r="DC857" s="19"/>
      <c r="DD857" s="19"/>
      <c r="DE857" s="19"/>
      <c r="DF857" s="19"/>
      <c r="DG857" s="19"/>
      <c r="DH857" s="19"/>
      <c r="DI857" s="19"/>
    </row>
    <row r="858" spans="1:113" ht="12">
      <c r="Z858" s="157"/>
      <c r="AA858" s="157"/>
      <c r="AB858" s="157"/>
      <c r="AC858" s="157"/>
      <c r="AD858" s="157"/>
      <c r="AE858" s="157"/>
      <c r="AF858" s="157"/>
      <c r="AG858" s="157"/>
      <c r="AH858" s="157"/>
      <c r="AI858" s="157"/>
      <c r="AJ858" s="157"/>
      <c r="AK858" s="157"/>
      <c r="AL858" s="157"/>
      <c r="AM858" s="157"/>
      <c r="AN858" s="157"/>
      <c r="AO858" s="157"/>
      <c r="AP858" s="157"/>
      <c r="AQ858" s="157"/>
      <c r="AR858" s="157"/>
      <c r="AS858" s="157"/>
      <c r="AT858" s="157"/>
      <c r="AU858" s="157"/>
      <c r="AV858" s="157"/>
      <c r="AW858" s="157"/>
      <c r="AX858" s="157"/>
      <c r="AY858" s="157"/>
      <c r="AZ858" s="657"/>
      <c r="BA858" s="157"/>
      <c r="BB858" s="157"/>
      <c r="BC858" s="157"/>
      <c r="BD858" s="157"/>
      <c r="BE858" s="157"/>
      <c r="BF858" s="157"/>
      <c r="BG858" s="157"/>
      <c r="BH858" s="157"/>
      <c r="BI858" s="157"/>
      <c r="BJ858" s="157"/>
      <c r="BK858" s="157"/>
      <c r="BL858" s="157"/>
      <c r="BM858" s="157"/>
      <c r="BN858" s="157"/>
      <c r="BO858" s="157"/>
      <c r="BP858" s="157"/>
      <c r="BQ858" s="157"/>
      <c r="BR858" s="19"/>
      <c r="BS858" s="19"/>
      <c r="BT858" s="19"/>
      <c r="BU858" s="19"/>
      <c r="BV858" s="19"/>
      <c r="BW858" s="19"/>
      <c r="BX858" s="19"/>
      <c r="BY858" s="19"/>
      <c r="BZ858" s="19"/>
      <c r="CA858" s="19"/>
      <c r="CB858" s="19"/>
      <c r="CC858" s="19"/>
      <c r="CD858" s="19"/>
      <c r="CE858" s="19"/>
      <c r="CF858" s="19"/>
      <c r="CG858" s="19"/>
      <c r="CH858" s="19"/>
      <c r="CI858" s="19"/>
      <c r="CJ858" s="19"/>
      <c r="CK858" s="19"/>
      <c r="CL858" s="19"/>
      <c r="CM858" s="19"/>
      <c r="CN858" s="19"/>
      <c r="CO858" s="19"/>
      <c r="CP858" s="19"/>
      <c r="CQ858" s="19"/>
      <c r="CR858" s="19"/>
      <c r="CS858" s="19"/>
      <c r="CT858" s="19"/>
      <c r="CU858" s="157"/>
      <c r="CV858" s="19"/>
      <c r="CW858" s="19"/>
      <c r="CX858" s="19"/>
      <c r="DC858" s="19"/>
      <c r="DD858" s="19"/>
      <c r="DE858" s="19"/>
      <c r="DF858" s="19"/>
      <c r="DG858" s="19"/>
      <c r="DH858" s="19"/>
      <c r="DI858" s="19"/>
    </row>
    <row r="859" spans="1:113" ht="12">
      <c r="DC859" s="19"/>
      <c r="DD859" s="19"/>
      <c r="DE859" s="19"/>
      <c r="DF859" s="19"/>
      <c r="DG859" s="19"/>
      <c r="DH859" s="19"/>
      <c r="DI859" s="19"/>
    </row>
    <row r="860" spans="1:113" ht="12">
      <c r="DC860" s="19"/>
      <c r="DD860" s="19"/>
      <c r="DE860" s="19"/>
      <c r="DF860" s="19"/>
      <c r="DG860" s="19"/>
      <c r="DH860" s="19"/>
      <c r="DI860" s="19"/>
    </row>
    <row r="861" spans="1:113" ht="12">
      <c r="DC861" s="19"/>
      <c r="DD861" s="19"/>
      <c r="DE861" s="19"/>
      <c r="DF861" s="19"/>
      <c r="DG861" s="19"/>
      <c r="DH861" s="19"/>
      <c r="DI861" s="19"/>
    </row>
    <row r="862" spans="1:113" ht="12">
      <c r="DC862" s="19"/>
      <c r="DD862" s="19"/>
      <c r="DE862" s="19"/>
      <c r="DF862" s="19"/>
      <c r="DG862" s="19"/>
      <c r="DH862" s="19"/>
      <c r="DI862" s="19"/>
    </row>
    <row r="863" spans="1:113" ht="12">
      <c r="DC863" s="19"/>
      <c r="DD863" s="19"/>
      <c r="DE863" s="19"/>
      <c r="DF863" s="19"/>
      <c r="DG863" s="19"/>
      <c r="DH863" s="19"/>
      <c r="DI863" s="19"/>
    </row>
    <row r="864" spans="1:113" ht="12">
      <c r="DC864" s="19"/>
      <c r="DD864" s="19"/>
      <c r="DE864" s="19"/>
      <c r="DF864" s="19"/>
      <c r="DG864" s="19"/>
      <c r="DH864" s="19"/>
      <c r="DI864" s="19"/>
    </row>
    <row r="865" spans="3:106" s="19" customFormat="1" ht="12"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2"/>
      <c r="BA865" s="21"/>
      <c r="BB865" s="21"/>
      <c r="BC865" s="21"/>
      <c r="BD865" s="21"/>
      <c r="BE865" s="21"/>
      <c r="BF865" s="21"/>
      <c r="BG865" s="21"/>
      <c r="BH865" s="21"/>
      <c r="BI865" s="21"/>
      <c r="BJ865" s="21"/>
      <c r="BK865" s="21"/>
      <c r="BL865" s="21"/>
      <c r="BM865" s="21"/>
      <c r="BN865" s="21"/>
      <c r="BO865" s="21"/>
      <c r="BP865" s="21"/>
      <c r="BQ865" s="21"/>
      <c r="BR865" s="21"/>
      <c r="BS865" s="21"/>
      <c r="BT865" s="21"/>
      <c r="BU865" s="21"/>
      <c r="BV865" s="21"/>
      <c r="BW865" s="21"/>
      <c r="BX865" s="21"/>
      <c r="BY865" s="21"/>
      <c r="BZ865" s="21"/>
      <c r="CA865" s="21"/>
      <c r="CB865" s="21"/>
      <c r="CC865" s="21"/>
      <c r="CD865" s="21"/>
      <c r="CE865" s="21"/>
      <c r="CF865" s="21"/>
      <c r="CG865" s="21"/>
      <c r="CH865" s="21"/>
      <c r="CI865" s="21"/>
      <c r="CJ865" s="21"/>
      <c r="CK865" s="21"/>
      <c r="CL865" s="21"/>
      <c r="CM865" s="21"/>
      <c r="CN865" s="21"/>
      <c r="CO865" s="21"/>
      <c r="CP865" s="21"/>
      <c r="CQ865" s="21"/>
      <c r="CR865" s="21"/>
      <c r="CS865" s="21"/>
      <c r="CT865" s="21"/>
      <c r="CU865" s="21"/>
      <c r="CV865" s="21"/>
      <c r="CW865" s="21"/>
      <c r="CX865" s="21"/>
      <c r="CY865" s="21"/>
      <c r="CZ865" s="22"/>
      <c r="DA865" s="21"/>
      <c r="DB865" s="21"/>
    </row>
    <row r="866" spans="3:106" s="19" customFormat="1" ht="12"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2"/>
      <c r="BA866" s="21"/>
      <c r="BB866" s="21"/>
      <c r="BC866" s="21"/>
      <c r="BD866" s="21"/>
      <c r="BE866" s="21"/>
      <c r="BF866" s="21"/>
      <c r="BG866" s="21"/>
      <c r="BH866" s="21"/>
      <c r="BI866" s="21"/>
      <c r="BJ866" s="21"/>
      <c r="BK866" s="21"/>
      <c r="BL866" s="21"/>
      <c r="BM866" s="21"/>
      <c r="BN866" s="21"/>
      <c r="BO866" s="21"/>
      <c r="BP866" s="21"/>
      <c r="BQ866" s="21"/>
      <c r="BR866" s="21"/>
      <c r="BS866" s="21"/>
      <c r="BT866" s="21"/>
      <c r="BU866" s="21"/>
      <c r="BV866" s="21"/>
      <c r="BW866" s="21"/>
      <c r="BX866" s="21"/>
      <c r="BY866" s="21"/>
      <c r="BZ866" s="21"/>
      <c r="CA866" s="21"/>
      <c r="CB866" s="21"/>
      <c r="CC866" s="21"/>
      <c r="CD866" s="21"/>
      <c r="CE866" s="21"/>
      <c r="CF866" s="21"/>
      <c r="CG866" s="21"/>
      <c r="CH866" s="21"/>
      <c r="CI866" s="21"/>
      <c r="CJ866" s="21"/>
      <c r="CK866" s="21"/>
      <c r="CL866" s="21"/>
      <c r="CM866" s="21"/>
      <c r="CN866" s="21"/>
      <c r="CO866" s="21"/>
      <c r="CP866" s="21"/>
      <c r="CQ866" s="21"/>
      <c r="CR866" s="21"/>
      <c r="CS866" s="21"/>
      <c r="CT866" s="21"/>
      <c r="CU866" s="21"/>
      <c r="CV866" s="21"/>
      <c r="CW866" s="21"/>
      <c r="CX866" s="21"/>
      <c r="CY866" s="21"/>
      <c r="CZ866" s="22"/>
      <c r="DA866" s="21"/>
      <c r="DB866" s="21"/>
    </row>
    <row r="867" spans="3:106" s="19" customFormat="1" ht="12"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2"/>
      <c r="BA867" s="21"/>
      <c r="BB867" s="21"/>
      <c r="BC867" s="21"/>
      <c r="BD867" s="21"/>
      <c r="BE867" s="21"/>
      <c r="BF867" s="21"/>
      <c r="BG867" s="21"/>
      <c r="BH867" s="21"/>
      <c r="BI867" s="21"/>
      <c r="BJ867" s="21"/>
      <c r="BK867" s="21"/>
      <c r="BL867" s="21"/>
      <c r="BM867" s="21"/>
      <c r="BN867" s="21"/>
      <c r="BO867" s="21"/>
      <c r="BP867" s="21"/>
      <c r="BQ867" s="21"/>
      <c r="BR867" s="21"/>
      <c r="BS867" s="21"/>
      <c r="BT867" s="21"/>
      <c r="BU867" s="21"/>
      <c r="BV867" s="21"/>
      <c r="BW867" s="21"/>
      <c r="BX867" s="21"/>
      <c r="BY867" s="21"/>
      <c r="BZ867" s="21"/>
      <c r="CA867" s="21"/>
      <c r="CB867" s="21"/>
      <c r="CC867" s="21"/>
      <c r="CD867" s="21"/>
      <c r="CE867" s="21"/>
      <c r="CF867" s="21"/>
      <c r="CG867" s="21"/>
      <c r="CH867" s="21"/>
      <c r="CI867" s="21"/>
      <c r="CJ867" s="21"/>
      <c r="CK867" s="21"/>
      <c r="CL867" s="21"/>
      <c r="CM867" s="21"/>
      <c r="CN867" s="21"/>
      <c r="CO867" s="21"/>
      <c r="CP867" s="21"/>
      <c r="CQ867" s="21"/>
      <c r="CR867" s="21"/>
      <c r="CS867" s="21"/>
      <c r="CT867" s="21"/>
      <c r="CU867" s="21"/>
      <c r="CV867" s="21"/>
      <c r="CW867" s="21"/>
      <c r="CX867" s="21"/>
      <c r="CY867" s="21"/>
      <c r="CZ867" s="22"/>
      <c r="DA867" s="21"/>
      <c r="DB867" s="21"/>
    </row>
    <row r="868" spans="3:106" s="19" customFormat="1" ht="12"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2"/>
      <c r="BA868" s="21"/>
      <c r="BB868" s="21"/>
      <c r="BC868" s="21"/>
      <c r="BD868" s="21"/>
      <c r="BE868" s="21"/>
      <c r="BF868" s="21"/>
      <c r="BG868" s="21"/>
      <c r="BH868" s="21"/>
      <c r="BI868" s="21"/>
      <c r="BJ868" s="21"/>
      <c r="BK868" s="21"/>
      <c r="BL868" s="21"/>
      <c r="BM868" s="21"/>
      <c r="BN868" s="21"/>
      <c r="BO868" s="21"/>
      <c r="BP868" s="21"/>
      <c r="BQ868" s="21"/>
      <c r="BR868" s="21"/>
      <c r="BS868" s="21"/>
      <c r="BT868" s="21"/>
      <c r="BU868" s="21"/>
      <c r="BV868" s="21"/>
      <c r="BW868" s="21"/>
      <c r="BX868" s="21"/>
      <c r="BY868" s="21"/>
      <c r="BZ868" s="21"/>
      <c r="CA868" s="21"/>
      <c r="CB868" s="21"/>
      <c r="CC868" s="21"/>
      <c r="CD868" s="21"/>
      <c r="CE868" s="21"/>
      <c r="CF868" s="21"/>
      <c r="CG868" s="21"/>
      <c r="CH868" s="21"/>
      <c r="CI868" s="21"/>
      <c r="CJ868" s="21"/>
      <c r="CK868" s="21"/>
      <c r="CL868" s="21"/>
      <c r="CM868" s="21"/>
      <c r="CN868" s="21"/>
      <c r="CO868" s="21"/>
      <c r="CP868" s="21"/>
      <c r="CQ868" s="21"/>
      <c r="CR868" s="21"/>
      <c r="CS868" s="21"/>
      <c r="CT868" s="21"/>
      <c r="CU868" s="21"/>
      <c r="CV868" s="21"/>
      <c r="CW868" s="21"/>
      <c r="CX868" s="21"/>
      <c r="CY868" s="21"/>
      <c r="CZ868" s="22"/>
      <c r="DA868" s="21"/>
      <c r="DB868" s="21"/>
    </row>
    <row r="869" spans="3:106" s="19" customFormat="1" ht="12"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2"/>
      <c r="BA869" s="21"/>
      <c r="BB869" s="21"/>
      <c r="BC869" s="21"/>
      <c r="BD869" s="21"/>
      <c r="BE869" s="21"/>
      <c r="BF869" s="21"/>
      <c r="BG869" s="21"/>
      <c r="BH869" s="21"/>
      <c r="BI869" s="21"/>
      <c r="BJ869" s="21"/>
      <c r="BK869" s="21"/>
      <c r="BL869" s="21"/>
      <c r="BM869" s="21"/>
      <c r="BN869" s="21"/>
      <c r="BO869" s="21"/>
      <c r="BP869" s="21"/>
      <c r="BQ869" s="21"/>
      <c r="BR869" s="21"/>
      <c r="BS869" s="21"/>
      <c r="BT869" s="21"/>
      <c r="BU869" s="21"/>
      <c r="BV869" s="21"/>
      <c r="BW869" s="21"/>
      <c r="BX869" s="21"/>
      <c r="BY869" s="21"/>
      <c r="BZ869" s="21"/>
      <c r="CA869" s="21"/>
      <c r="CB869" s="21"/>
      <c r="CC869" s="21"/>
      <c r="CD869" s="21"/>
      <c r="CE869" s="21"/>
      <c r="CF869" s="21"/>
      <c r="CG869" s="21"/>
      <c r="CH869" s="21"/>
      <c r="CI869" s="21"/>
      <c r="CJ869" s="21"/>
      <c r="CK869" s="21"/>
      <c r="CL869" s="21"/>
      <c r="CM869" s="21"/>
      <c r="CN869" s="21"/>
      <c r="CO869" s="21"/>
      <c r="CP869" s="21"/>
      <c r="CQ869" s="21"/>
      <c r="CR869" s="21"/>
      <c r="CS869" s="21"/>
      <c r="CT869" s="21"/>
      <c r="CU869" s="21"/>
      <c r="CV869" s="21"/>
      <c r="CW869" s="21"/>
      <c r="CX869" s="21"/>
      <c r="CY869" s="21"/>
      <c r="CZ869" s="22"/>
      <c r="DA869" s="21"/>
      <c r="DB869" s="21"/>
    </row>
    <row r="870" spans="3:106" s="19" customFormat="1" ht="12"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2"/>
      <c r="BA870" s="21"/>
      <c r="BB870" s="21"/>
      <c r="BC870" s="21"/>
      <c r="BD870" s="21"/>
      <c r="BE870" s="21"/>
      <c r="BF870" s="21"/>
      <c r="BG870" s="21"/>
      <c r="BH870" s="21"/>
      <c r="BI870" s="21"/>
      <c r="BJ870" s="21"/>
      <c r="BK870" s="21"/>
      <c r="BL870" s="21"/>
      <c r="BM870" s="21"/>
      <c r="BN870" s="21"/>
      <c r="BO870" s="21"/>
      <c r="BP870" s="21"/>
      <c r="BQ870" s="21"/>
      <c r="BR870" s="21"/>
      <c r="BS870" s="21"/>
      <c r="BT870" s="21"/>
      <c r="BU870" s="21"/>
      <c r="BV870" s="21"/>
      <c r="BW870" s="21"/>
      <c r="BX870" s="21"/>
      <c r="BY870" s="21"/>
      <c r="BZ870" s="21"/>
      <c r="CA870" s="21"/>
      <c r="CB870" s="21"/>
      <c r="CC870" s="21"/>
      <c r="CD870" s="21"/>
      <c r="CE870" s="21"/>
      <c r="CF870" s="21"/>
      <c r="CG870" s="21"/>
      <c r="CH870" s="21"/>
      <c r="CI870" s="21"/>
      <c r="CJ870" s="21"/>
      <c r="CK870" s="21"/>
      <c r="CL870" s="21"/>
      <c r="CM870" s="21"/>
      <c r="CN870" s="21"/>
      <c r="CO870" s="21"/>
      <c r="CP870" s="21"/>
      <c r="CQ870" s="21"/>
      <c r="CR870" s="21"/>
      <c r="CS870" s="21"/>
      <c r="CT870" s="21"/>
      <c r="CU870" s="21"/>
      <c r="CV870" s="21"/>
      <c r="CW870" s="21"/>
      <c r="CX870" s="21"/>
      <c r="CY870" s="21"/>
      <c r="CZ870" s="22"/>
      <c r="DA870" s="21"/>
      <c r="DB870" s="21"/>
    </row>
    <row r="871" spans="3:106" s="19" customFormat="1" ht="12"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2"/>
      <c r="BA871" s="21"/>
      <c r="BB871" s="21"/>
      <c r="BC871" s="21"/>
      <c r="BD871" s="21"/>
      <c r="BE871" s="21"/>
      <c r="BF871" s="21"/>
      <c r="BG871" s="21"/>
      <c r="BH871" s="21"/>
      <c r="BI871" s="21"/>
      <c r="BJ871" s="21"/>
      <c r="BK871" s="21"/>
      <c r="BL871" s="21"/>
      <c r="BM871" s="21"/>
      <c r="BN871" s="21"/>
      <c r="BO871" s="21"/>
      <c r="BP871" s="21"/>
      <c r="BQ871" s="21"/>
      <c r="BR871" s="21"/>
      <c r="BS871" s="21"/>
      <c r="BT871" s="21"/>
      <c r="BU871" s="21"/>
      <c r="BV871" s="21"/>
      <c r="BW871" s="21"/>
      <c r="BX871" s="21"/>
      <c r="BY871" s="21"/>
      <c r="BZ871" s="21"/>
      <c r="CA871" s="21"/>
      <c r="CB871" s="21"/>
      <c r="CC871" s="21"/>
      <c r="CD871" s="21"/>
      <c r="CE871" s="21"/>
      <c r="CF871" s="21"/>
      <c r="CG871" s="21"/>
      <c r="CH871" s="21"/>
      <c r="CI871" s="21"/>
      <c r="CJ871" s="21"/>
      <c r="CK871" s="21"/>
      <c r="CL871" s="21"/>
      <c r="CM871" s="21"/>
      <c r="CN871" s="21"/>
      <c r="CO871" s="21"/>
      <c r="CP871" s="21"/>
      <c r="CQ871" s="21"/>
      <c r="CR871" s="21"/>
      <c r="CS871" s="21"/>
      <c r="CT871" s="21"/>
      <c r="CU871" s="21"/>
      <c r="CV871" s="21"/>
      <c r="CW871" s="21"/>
      <c r="CX871" s="21"/>
      <c r="CY871" s="21"/>
      <c r="CZ871" s="22"/>
      <c r="DA871" s="21"/>
      <c r="DB871" s="21"/>
    </row>
    <row r="872" spans="3:106" s="19" customFormat="1" ht="12"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2"/>
      <c r="BA872" s="21"/>
      <c r="BB872" s="21"/>
      <c r="BC872" s="21"/>
      <c r="BD872" s="21"/>
      <c r="BE872" s="21"/>
      <c r="BF872" s="21"/>
      <c r="BG872" s="21"/>
      <c r="BH872" s="21"/>
      <c r="BI872" s="21"/>
      <c r="BJ872" s="21"/>
      <c r="BK872" s="21"/>
      <c r="BL872" s="21"/>
      <c r="BM872" s="21"/>
      <c r="BN872" s="21"/>
      <c r="BO872" s="21"/>
      <c r="BP872" s="21"/>
      <c r="BQ872" s="21"/>
      <c r="BR872" s="21"/>
      <c r="BS872" s="21"/>
      <c r="BT872" s="21"/>
      <c r="BU872" s="21"/>
      <c r="BV872" s="21"/>
      <c r="BW872" s="21"/>
      <c r="BX872" s="21"/>
      <c r="BY872" s="21"/>
      <c r="BZ872" s="21"/>
      <c r="CA872" s="21"/>
      <c r="CB872" s="21"/>
      <c r="CC872" s="21"/>
      <c r="CD872" s="21"/>
      <c r="CE872" s="21"/>
      <c r="CF872" s="21"/>
      <c r="CG872" s="21"/>
      <c r="CH872" s="21"/>
      <c r="CI872" s="21"/>
      <c r="CJ872" s="21"/>
      <c r="CK872" s="21"/>
      <c r="CL872" s="21"/>
      <c r="CM872" s="21"/>
      <c r="CN872" s="21"/>
      <c r="CO872" s="21"/>
      <c r="CP872" s="21"/>
      <c r="CQ872" s="21"/>
      <c r="CR872" s="21"/>
      <c r="CS872" s="21"/>
      <c r="CT872" s="21"/>
      <c r="CU872" s="21"/>
      <c r="CV872" s="21"/>
      <c r="CW872" s="21"/>
      <c r="CX872" s="21"/>
      <c r="CY872" s="21"/>
      <c r="CZ872" s="22"/>
      <c r="DA872" s="21"/>
      <c r="DB872" s="21"/>
    </row>
    <row r="873" spans="3:106" s="19" customFormat="1" ht="12"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2"/>
      <c r="BA873" s="21"/>
      <c r="BB873" s="21"/>
      <c r="BC873" s="21"/>
      <c r="BD873" s="21"/>
      <c r="BE873" s="21"/>
      <c r="BF873" s="21"/>
      <c r="BG873" s="21"/>
      <c r="BH873" s="21"/>
      <c r="BI873" s="21"/>
      <c r="BJ873" s="21"/>
      <c r="BK873" s="21"/>
      <c r="BL873" s="21"/>
      <c r="BM873" s="21"/>
      <c r="BN873" s="21"/>
      <c r="BO873" s="21"/>
      <c r="BP873" s="21"/>
      <c r="BQ873" s="21"/>
      <c r="BR873" s="21"/>
      <c r="BS873" s="21"/>
      <c r="BT873" s="21"/>
      <c r="BU873" s="21"/>
      <c r="BV873" s="21"/>
      <c r="BW873" s="21"/>
      <c r="BX873" s="21"/>
      <c r="BY873" s="21"/>
      <c r="BZ873" s="21"/>
      <c r="CA873" s="21"/>
      <c r="CB873" s="21"/>
      <c r="CC873" s="21"/>
      <c r="CD873" s="21"/>
      <c r="CE873" s="21"/>
      <c r="CF873" s="21"/>
      <c r="CG873" s="21"/>
      <c r="CH873" s="21"/>
      <c r="CI873" s="21"/>
      <c r="CJ873" s="21"/>
      <c r="CK873" s="21"/>
      <c r="CL873" s="21"/>
      <c r="CM873" s="21"/>
      <c r="CN873" s="21"/>
      <c r="CO873" s="21"/>
      <c r="CP873" s="21"/>
      <c r="CQ873" s="21"/>
      <c r="CR873" s="21"/>
      <c r="CS873" s="21"/>
      <c r="CT873" s="21"/>
      <c r="CU873" s="21"/>
      <c r="CV873" s="21"/>
      <c r="CW873" s="21"/>
      <c r="CX873" s="21"/>
      <c r="CY873" s="21"/>
      <c r="CZ873" s="22"/>
      <c r="DA873" s="21"/>
      <c r="DB873" s="21"/>
    </row>
    <row r="874" spans="3:106" s="19" customFormat="1" ht="12"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2"/>
      <c r="BA874" s="21"/>
      <c r="BB874" s="21"/>
      <c r="BC874" s="21"/>
      <c r="BD874" s="21"/>
      <c r="BE874" s="21"/>
      <c r="BF874" s="21"/>
      <c r="BG874" s="21"/>
      <c r="BH874" s="21"/>
      <c r="BI874" s="21"/>
      <c r="BJ874" s="21"/>
      <c r="BK874" s="21"/>
      <c r="BL874" s="21"/>
      <c r="BM874" s="21"/>
      <c r="BN874" s="21"/>
      <c r="BO874" s="21"/>
      <c r="BP874" s="21"/>
      <c r="BQ874" s="21"/>
      <c r="BR874" s="21"/>
      <c r="BS874" s="21"/>
      <c r="BT874" s="21"/>
      <c r="BU874" s="21"/>
      <c r="BV874" s="21"/>
      <c r="BW874" s="21"/>
      <c r="BX874" s="21"/>
      <c r="BY874" s="21"/>
      <c r="BZ874" s="21"/>
      <c r="CA874" s="21"/>
      <c r="CB874" s="21"/>
      <c r="CC874" s="21"/>
      <c r="CD874" s="21"/>
      <c r="CE874" s="21"/>
      <c r="CF874" s="21"/>
      <c r="CG874" s="21"/>
      <c r="CH874" s="21"/>
      <c r="CI874" s="21"/>
      <c r="CJ874" s="21"/>
      <c r="CK874" s="21"/>
      <c r="CL874" s="21"/>
      <c r="CM874" s="21"/>
      <c r="CN874" s="21"/>
      <c r="CO874" s="21"/>
      <c r="CP874" s="21"/>
      <c r="CQ874" s="21"/>
      <c r="CR874" s="21"/>
      <c r="CS874" s="21"/>
      <c r="CT874" s="21"/>
      <c r="CU874" s="21"/>
      <c r="CV874" s="21"/>
      <c r="CW874" s="21"/>
      <c r="CX874" s="21"/>
      <c r="CY874" s="21"/>
      <c r="CZ874" s="22"/>
      <c r="DA874" s="21"/>
      <c r="DB874" s="21"/>
    </row>
    <row r="875" spans="3:106" s="19" customFormat="1" ht="12"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2"/>
      <c r="BA875" s="21"/>
      <c r="BB875" s="21"/>
      <c r="BC875" s="21"/>
      <c r="BD875" s="21"/>
      <c r="BE875" s="21"/>
      <c r="BF875" s="21"/>
      <c r="BG875" s="21"/>
      <c r="BH875" s="21"/>
      <c r="BI875" s="21"/>
      <c r="BJ875" s="21"/>
      <c r="BK875" s="21"/>
      <c r="BL875" s="21"/>
      <c r="BM875" s="21"/>
      <c r="BN875" s="21"/>
      <c r="BO875" s="21"/>
      <c r="BP875" s="21"/>
      <c r="BQ875" s="21"/>
      <c r="BR875" s="21"/>
      <c r="BS875" s="21"/>
      <c r="BT875" s="21"/>
      <c r="BU875" s="21"/>
      <c r="BV875" s="21"/>
      <c r="BW875" s="21"/>
      <c r="BX875" s="21"/>
      <c r="BY875" s="21"/>
      <c r="BZ875" s="21"/>
      <c r="CA875" s="21"/>
      <c r="CB875" s="21"/>
      <c r="CC875" s="21"/>
      <c r="CD875" s="21"/>
      <c r="CE875" s="21"/>
      <c r="CF875" s="21"/>
      <c r="CG875" s="21"/>
      <c r="CH875" s="21"/>
      <c r="CI875" s="21"/>
      <c r="CJ875" s="21"/>
      <c r="CK875" s="21"/>
      <c r="CL875" s="21"/>
      <c r="CM875" s="21"/>
      <c r="CN875" s="21"/>
      <c r="CO875" s="21"/>
      <c r="CP875" s="21"/>
      <c r="CQ875" s="21"/>
      <c r="CR875" s="21"/>
      <c r="CS875" s="21"/>
      <c r="CT875" s="21"/>
      <c r="CU875" s="21"/>
      <c r="CV875" s="21"/>
      <c r="CW875" s="21"/>
      <c r="CX875" s="21"/>
      <c r="CY875" s="21"/>
      <c r="CZ875" s="22"/>
      <c r="DA875" s="21"/>
      <c r="DB875" s="21"/>
    </row>
    <row r="876" spans="3:106" s="19" customFormat="1" ht="12"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2"/>
      <c r="BA876" s="21"/>
      <c r="BB876" s="21"/>
      <c r="BC876" s="21"/>
      <c r="BD876" s="21"/>
      <c r="BE876" s="21"/>
      <c r="BF876" s="21"/>
      <c r="BG876" s="21"/>
      <c r="BH876" s="21"/>
      <c r="BI876" s="21"/>
      <c r="BJ876" s="21"/>
      <c r="BK876" s="21"/>
      <c r="BL876" s="21"/>
      <c r="BM876" s="21"/>
      <c r="BN876" s="21"/>
      <c r="BO876" s="21"/>
      <c r="BP876" s="21"/>
      <c r="BQ876" s="21"/>
      <c r="BR876" s="21"/>
      <c r="BS876" s="21"/>
      <c r="BT876" s="21"/>
      <c r="BU876" s="21"/>
      <c r="BV876" s="21"/>
      <c r="BW876" s="21"/>
      <c r="BX876" s="21"/>
      <c r="BY876" s="21"/>
      <c r="BZ876" s="21"/>
      <c r="CA876" s="21"/>
      <c r="CB876" s="21"/>
      <c r="CC876" s="21"/>
      <c r="CD876" s="21"/>
      <c r="CE876" s="21"/>
      <c r="CF876" s="21"/>
      <c r="CG876" s="21"/>
      <c r="CH876" s="21"/>
      <c r="CI876" s="21"/>
      <c r="CJ876" s="21"/>
      <c r="CK876" s="21"/>
      <c r="CL876" s="21"/>
      <c r="CM876" s="21"/>
      <c r="CN876" s="21"/>
      <c r="CO876" s="21"/>
      <c r="CP876" s="21"/>
      <c r="CQ876" s="21"/>
      <c r="CR876" s="21"/>
      <c r="CS876" s="21"/>
      <c r="CT876" s="21"/>
      <c r="CU876" s="21"/>
      <c r="CV876" s="21"/>
      <c r="CW876" s="21"/>
      <c r="CX876" s="21"/>
      <c r="CY876" s="21"/>
      <c r="CZ876" s="22"/>
      <c r="DA876" s="21"/>
      <c r="DB876" s="21"/>
    </row>
    <row r="877" spans="3:106" s="19" customFormat="1" ht="12"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2"/>
      <c r="BA877" s="21"/>
      <c r="BB877" s="21"/>
      <c r="BC877" s="21"/>
      <c r="BD877" s="21"/>
      <c r="BE877" s="21"/>
      <c r="BF877" s="21"/>
      <c r="BG877" s="21"/>
      <c r="BH877" s="21"/>
      <c r="BI877" s="21"/>
      <c r="BJ877" s="21"/>
      <c r="BK877" s="21"/>
      <c r="BL877" s="21"/>
      <c r="BM877" s="21"/>
      <c r="BN877" s="21"/>
      <c r="BO877" s="21"/>
      <c r="BP877" s="21"/>
      <c r="BQ877" s="21"/>
      <c r="BR877" s="21"/>
      <c r="BS877" s="21"/>
      <c r="BT877" s="21"/>
      <c r="BU877" s="21"/>
      <c r="BV877" s="21"/>
      <c r="BW877" s="21"/>
      <c r="BX877" s="21"/>
      <c r="BY877" s="21"/>
      <c r="BZ877" s="21"/>
      <c r="CA877" s="21"/>
      <c r="CB877" s="21"/>
      <c r="CC877" s="21"/>
      <c r="CD877" s="21"/>
      <c r="CE877" s="21"/>
      <c r="CF877" s="21"/>
      <c r="CG877" s="21"/>
      <c r="CH877" s="21"/>
      <c r="CI877" s="21"/>
      <c r="CJ877" s="21"/>
      <c r="CK877" s="21"/>
      <c r="CL877" s="21"/>
      <c r="CM877" s="21"/>
      <c r="CN877" s="21"/>
      <c r="CO877" s="21"/>
      <c r="CP877" s="21"/>
      <c r="CQ877" s="21"/>
      <c r="CR877" s="21"/>
      <c r="CS877" s="21"/>
      <c r="CT877" s="21"/>
      <c r="CU877" s="21"/>
      <c r="CV877" s="21"/>
      <c r="CW877" s="21"/>
      <c r="CX877" s="21"/>
      <c r="CY877" s="21"/>
      <c r="CZ877" s="22"/>
      <c r="DA877" s="21"/>
      <c r="DB877" s="21"/>
    </row>
    <row r="878" spans="3:106" s="19" customFormat="1" ht="12"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2"/>
      <c r="BA878" s="21"/>
      <c r="BB878" s="21"/>
      <c r="BC878" s="21"/>
      <c r="BD878" s="21"/>
      <c r="BE878" s="21"/>
      <c r="BF878" s="21"/>
      <c r="BG878" s="21"/>
      <c r="BH878" s="21"/>
      <c r="BI878" s="21"/>
      <c r="BJ878" s="21"/>
      <c r="BK878" s="21"/>
      <c r="BL878" s="21"/>
      <c r="BM878" s="21"/>
      <c r="BN878" s="21"/>
      <c r="BO878" s="21"/>
      <c r="BP878" s="21"/>
      <c r="BQ878" s="21"/>
      <c r="BR878" s="21"/>
      <c r="BS878" s="21"/>
      <c r="BT878" s="21"/>
      <c r="BU878" s="21"/>
      <c r="BV878" s="21"/>
      <c r="BW878" s="21"/>
      <c r="BX878" s="21"/>
      <c r="BY878" s="21"/>
      <c r="BZ878" s="21"/>
      <c r="CA878" s="21"/>
      <c r="CB878" s="21"/>
      <c r="CC878" s="21"/>
      <c r="CD878" s="21"/>
      <c r="CE878" s="21"/>
      <c r="CF878" s="21"/>
      <c r="CG878" s="21"/>
      <c r="CH878" s="21"/>
      <c r="CI878" s="21"/>
      <c r="CJ878" s="21"/>
      <c r="CK878" s="21"/>
      <c r="CL878" s="21"/>
      <c r="CM878" s="21"/>
      <c r="CN878" s="21"/>
      <c r="CO878" s="21"/>
      <c r="CP878" s="21"/>
      <c r="CQ878" s="21"/>
      <c r="CR878" s="21"/>
      <c r="CS878" s="21"/>
      <c r="CT878" s="21"/>
      <c r="CU878" s="21"/>
      <c r="CV878" s="21"/>
      <c r="CW878" s="21"/>
      <c r="CX878" s="21"/>
      <c r="CY878" s="21"/>
      <c r="CZ878" s="22"/>
      <c r="DA878" s="21"/>
      <c r="DB878" s="21"/>
    </row>
    <row r="879" spans="3:106" s="19" customFormat="1" ht="12"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2"/>
      <c r="BA879" s="21"/>
      <c r="BB879" s="21"/>
      <c r="BC879" s="21"/>
      <c r="BD879" s="21"/>
      <c r="BE879" s="21"/>
      <c r="BF879" s="21"/>
      <c r="BG879" s="21"/>
      <c r="BH879" s="21"/>
      <c r="BI879" s="21"/>
      <c r="BJ879" s="21"/>
      <c r="BK879" s="21"/>
      <c r="BL879" s="21"/>
      <c r="BM879" s="21"/>
      <c r="BN879" s="21"/>
      <c r="BO879" s="21"/>
      <c r="BP879" s="21"/>
      <c r="BQ879" s="21"/>
      <c r="BR879" s="21"/>
      <c r="BS879" s="21"/>
      <c r="BT879" s="21"/>
      <c r="BU879" s="21"/>
      <c r="BV879" s="21"/>
      <c r="BW879" s="21"/>
      <c r="BX879" s="21"/>
      <c r="BY879" s="21"/>
      <c r="BZ879" s="21"/>
      <c r="CA879" s="21"/>
      <c r="CB879" s="21"/>
      <c r="CC879" s="21"/>
      <c r="CD879" s="21"/>
      <c r="CE879" s="21"/>
      <c r="CF879" s="21"/>
      <c r="CG879" s="21"/>
      <c r="CH879" s="21"/>
      <c r="CI879" s="21"/>
      <c r="CJ879" s="21"/>
      <c r="CK879" s="21"/>
      <c r="CL879" s="21"/>
      <c r="CM879" s="21"/>
      <c r="CN879" s="21"/>
      <c r="CO879" s="21"/>
      <c r="CP879" s="21"/>
      <c r="CQ879" s="21"/>
      <c r="CR879" s="21"/>
      <c r="CS879" s="21"/>
      <c r="CT879" s="21"/>
      <c r="CU879" s="21"/>
      <c r="CV879" s="21"/>
      <c r="CW879" s="21"/>
      <c r="CX879" s="21"/>
      <c r="CY879" s="21"/>
      <c r="CZ879" s="22"/>
      <c r="DA879" s="21"/>
      <c r="DB879" s="21"/>
    </row>
    <row r="880" spans="3:106" s="19" customFormat="1" ht="12"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2"/>
      <c r="BA880" s="21"/>
      <c r="BB880" s="21"/>
      <c r="BC880" s="21"/>
      <c r="BD880" s="21"/>
      <c r="BE880" s="21"/>
      <c r="BF880" s="21"/>
      <c r="BG880" s="21"/>
      <c r="BH880" s="21"/>
      <c r="BI880" s="21"/>
      <c r="BJ880" s="21"/>
      <c r="BK880" s="21"/>
      <c r="BL880" s="21"/>
      <c r="BM880" s="21"/>
      <c r="BN880" s="21"/>
      <c r="BO880" s="21"/>
      <c r="BP880" s="21"/>
      <c r="BQ880" s="21"/>
      <c r="BR880" s="21"/>
      <c r="BS880" s="21"/>
      <c r="BT880" s="21"/>
      <c r="BU880" s="21"/>
      <c r="BV880" s="21"/>
      <c r="BW880" s="21"/>
      <c r="BX880" s="21"/>
      <c r="BY880" s="21"/>
      <c r="BZ880" s="21"/>
      <c r="CA880" s="21"/>
      <c r="CB880" s="21"/>
      <c r="CC880" s="21"/>
      <c r="CD880" s="21"/>
      <c r="CE880" s="21"/>
      <c r="CF880" s="21"/>
      <c r="CG880" s="21"/>
      <c r="CH880" s="21"/>
      <c r="CI880" s="21"/>
      <c r="CJ880" s="21"/>
      <c r="CK880" s="21"/>
      <c r="CL880" s="21"/>
      <c r="CM880" s="21"/>
      <c r="CN880" s="21"/>
      <c r="CO880" s="21"/>
      <c r="CP880" s="21"/>
      <c r="CQ880" s="21"/>
      <c r="CR880" s="21"/>
      <c r="CS880" s="21"/>
      <c r="CT880" s="21"/>
      <c r="CU880" s="21"/>
      <c r="CV880" s="21"/>
      <c r="CW880" s="21"/>
      <c r="CX880" s="21"/>
      <c r="CY880" s="21"/>
      <c r="CZ880" s="22"/>
      <c r="DA880" s="21"/>
      <c r="DB880" s="21"/>
    </row>
    <row r="881" spans="3:106" s="19" customFormat="1" ht="12"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2"/>
      <c r="BA881" s="21"/>
      <c r="BB881" s="21"/>
      <c r="BC881" s="21"/>
      <c r="BD881" s="21"/>
      <c r="BE881" s="21"/>
      <c r="BF881" s="21"/>
      <c r="BG881" s="21"/>
      <c r="BH881" s="21"/>
      <c r="BI881" s="21"/>
      <c r="BJ881" s="21"/>
      <c r="BK881" s="21"/>
      <c r="BL881" s="21"/>
      <c r="BM881" s="21"/>
      <c r="BN881" s="21"/>
      <c r="BO881" s="21"/>
      <c r="BP881" s="21"/>
      <c r="BQ881" s="21"/>
      <c r="BR881" s="21"/>
      <c r="BS881" s="21"/>
      <c r="BT881" s="21"/>
      <c r="BU881" s="21"/>
      <c r="BV881" s="21"/>
      <c r="BW881" s="21"/>
      <c r="BX881" s="21"/>
      <c r="BY881" s="21"/>
      <c r="BZ881" s="21"/>
      <c r="CA881" s="21"/>
      <c r="CB881" s="21"/>
      <c r="CC881" s="21"/>
      <c r="CD881" s="21"/>
      <c r="CE881" s="21"/>
      <c r="CF881" s="21"/>
      <c r="CG881" s="21"/>
      <c r="CH881" s="21"/>
      <c r="CI881" s="21"/>
      <c r="CJ881" s="21"/>
      <c r="CK881" s="21"/>
      <c r="CL881" s="21"/>
      <c r="CM881" s="21"/>
      <c r="CN881" s="21"/>
      <c r="CO881" s="21"/>
      <c r="CP881" s="21"/>
      <c r="CQ881" s="21"/>
      <c r="CR881" s="21"/>
      <c r="CS881" s="21"/>
      <c r="CT881" s="21"/>
      <c r="CU881" s="21"/>
      <c r="CV881" s="21"/>
      <c r="CW881" s="21"/>
      <c r="CX881" s="21"/>
      <c r="CY881" s="21"/>
      <c r="CZ881" s="22"/>
      <c r="DA881" s="21"/>
      <c r="DB881" s="21"/>
    </row>
    <row r="882" spans="3:106" s="19" customFormat="1" ht="12"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2"/>
      <c r="BA882" s="21"/>
      <c r="BB882" s="21"/>
      <c r="BC882" s="21"/>
      <c r="BD882" s="21"/>
      <c r="BE882" s="21"/>
      <c r="BF882" s="21"/>
      <c r="BG882" s="21"/>
      <c r="BH882" s="21"/>
      <c r="BI882" s="21"/>
      <c r="BJ882" s="21"/>
      <c r="BK882" s="21"/>
      <c r="BL882" s="21"/>
      <c r="BM882" s="21"/>
      <c r="BN882" s="21"/>
      <c r="BO882" s="21"/>
      <c r="BP882" s="21"/>
      <c r="BQ882" s="21"/>
      <c r="BR882" s="21"/>
      <c r="BS882" s="21"/>
      <c r="BT882" s="21"/>
      <c r="BU882" s="21"/>
      <c r="BV882" s="21"/>
      <c r="BW882" s="21"/>
      <c r="BX882" s="21"/>
      <c r="BY882" s="21"/>
      <c r="BZ882" s="21"/>
      <c r="CA882" s="21"/>
      <c r="CB882" s="21"/>
      <c r="CC882" s="21"/>
      <c r="CD882" s="21"/>
      <c r="CE882" s="21"/>
      <c r="CF882" s="21"/>
      <c r="CG882" s="21"/>
      <c r="CH882" s="21"/>
      <c r="CI882" s="21"/>
      <c r="CJ882" s="21"/>
      <c r="CK882" s="21"/>
      <c r="CL882" s="21"/>
      <c r="CM882" s="21"/>
      <c r="CN882" s="21"/>
      <c r="CO882" s="21"/>
      <c r="CP882" s="21"/>
      <c r="CQ882" s="21"/>
      <c r="CR882" s="21"/>
      <c r="CS882" s="21"/>
      <c r="CT882" s="21"/>
      <c r="CU882" s="21"/>
      <c r="CV882" s="21"/>
      <c r="CW882" s="21"/>
      <c r="CX882" s="21"/>
      <c r="CY882" s="21"/>
      <c r="CZ882" s="22"/>
      <c r="DA882" s="21"/>
      <c r="DB882" s="21"/>
    </row>
    <row r="883" spans="3:106" s="19" customFormat="1" ht="12"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2"/>
      <c r="BA883" s="21"/>
      <c r="BB883" s="21"/>
      <c r="BC883" s="21"/>
      <c r="BD883" s="21"/>
      <c r="BE883" s="21"/>
      <c r="BF883" s="21"/>
      <c r="BG883" s="21"/>
      <c r="BH883" s="21"/>
      <c r="BI883" s="21"/>
      <c r="BJ883" s="21"/>
      <c r="BK883" s="21"/>
      <c r="BL883" s="21"/>
      <c r="BM883" s="21"/>
      <c r="BN883" s="21"/>
      <c r="BO883" s="21"/>
      <c r="BP883" s="21"/>
      <c r="BQ883" s="21"/>
      <c r="BR883" s="21"/>
      <c r="BS883" s="21"/>
      <c r="BT883" s="21"/>
      <c r="BU883" s="21"/>
      <c r="BV883" s="21"/>
      <c r="BW883" s="21"/>
      <c r="BX883" s="21"/>
      <c r="BY883" s="21"/>
      <c r="BZ883" s="21"/>
      <c r="CA883" s="21"/>
      <c r="CB883" s="21"/>
      <c r="CC883" s="21"/>
      <c r="CD883" s="21"/>
      <c r="CE883" s="21"/>
      <c r="CF883" s="21"/>
      <c r="CG883" s="21"/>
      <c r="CH883" s="21"/>
      <c r="CI883" s="21"/>
      <c r="CJ883" s="21"/>
      <c r="CK883" s="21"/>
      <c r="CL883" s="21"/>
      <c r="CM883" s="21"/>
      <c r="CN883" s="21"/>
      <c r="CO883" s="21"/>
      <c r="CP883" s="21"/>
      <c r="CQ883" s="21"/>
      <c r="CR883" s="21"/>
      <c r="CS883" s="21"/>
      <c r="CT883" s="21"/>
      <c r="CU883" s="21"/>
      <c r="CV883" s="21"/>
      <c r="CW883" s="21"/>
      <c r="CX883" s="21"/>
      <c r="CY883" s="21"/>
      <c r="CZ883" s="22"/>
      <c r="DA883" s="21"/>
      <c r="DB883" s="21"/>
    </row>
    <row r="884" spans="3:106" s="19" customFormat="1" ht="12"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2"/>
      <c r="BA884" s="21"/>
      <c r="BB884" s="21"/>
      <c r="BC884" s="21"/>
      <c r="BD884" s="21"/>
      <c r="BE884" s="21"/>
      <c r="BF884" s="21"/>
      <c r="BG884" s="21"/>
      <c r="BH884" s="21"/>
      <c r="BI884" s="21"/>
      <c r="BJ884" s="21"/>
      <c r="BK884" s="21"/>
      <c r="BL884" s="21"/>
      <c r="BM884" s="21"/>
      <c r="BN884" s="21"/>
      <c r="BO884" s="21"/>
      <c r="BP884" s="21"/>
      <c r="BQ884" s="21"/>
      <c r="BR884" s="21"/>
      <c r="BS884" s="21"/>
      <c r="BT884" s="21"/>
      <c r="BU884" s="21"/>
      <c r="BV884" s="21"/>
      <c r="BW884" s="21"/>
      <c r="BX884" s="21"/>
      <c r="BY884" s="21"/>
      <c r="BZ884" s="21"/>
      <c r="CA884" s="21"/>
      <c r="CB884" s="21"/>
      <c r="CC884" s="21"/>
      <c r="CD884" s="21"/>
      <c r="CE884" s="21"/>
      <c r="CF884" s="21"/>
      <c r="CG884" s="21"/>
      <c r="CH884" s="21"/>
      <c r="CI884" s="21"/>
      <c r="CJ884" s="21"/>
      <c r="CK884" s="21"/>
      <c r="CL884" s="21"/>
      <c r="CM884" s="21"/>
      <c r="CN884" s="21"/>
      <c r="CO884" s="21"/>
      <c r="CP884" s="21"/>
      <c r="CQ884" s="21"/>
      <c r="CR884" s="21"/>
      <c r="CS884" s="21"/>
      <c r="CT884" s="21"/>
      <c r="CU884" s="21"/>
      <c r="CV884" s="21"/>
      <c r="CW884" s="21"/>
      <c r="CX884" s="21"/>
      <c r="CY884" s="21"/>
      <c r="CZ884" s="22"/>
      <c r="DA884" s="21"/>
      <c r="DB884" s="21"/>
    </row>
    <row r="885" spans="3:106" s="19" customFormat="1" ht="12"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2"/>
      <c r="BA885" s="21"/>
      <c r="BB885" s="21"/>
      <c r="BC885" s="21"/>
      <c r="BD885" s="21"/>
      <c r="BE885" s="21"/>
      <c r="BF885" s="21"/>
      <c r="BG885" s="21"/>
      <c r="BH885" s="21"/>
      <c r="BI885" s="21"/>
      <c r="BJ885" s="21"/>
      <c r="BK885" s="21"/>
      <c r="BL885" s="21"/>
      <c r="BM885" s="21"/>
      <c r="BN885" s="21"/>
      <c r="BO885" s="21"/>
      <c r="BP885" s="21"/>
      <c r="BQ885" s="21"/>
      <c r="BR885" s="21"/>
      <c r="BS885" s="21"/>
      <c r="BT885" s="21"/>
      <c r="BU885" s="21"/>
      <c r="BV885" s="21"/>
      <c r="BW885" s="21"/>
      <c r="BX885" s="21"/>
      <c r="BY885" s="21"/>
      <c r="BZ885" s="21"/>
      <c r="CA885" s="21"/>
      <c r="CB885" s="21"/>
      <c r="CC885" s="21"/>
      <c r="CD885" s="21"/>
      <c r="CE885" s="21"/>
      <c r="CF885" s="21"/>
      <c r="CG885" s="21"/>
      <c r="CH885" s="21"/>
      <c r="CI885" s="21"/>
      <c r="CJ885" s="21"/>
      <c r="CK885" s="21"/>
      <c r="CL885" s="21"/>
      <c r="CM885" s="21"/>
      <c r="CN885" s="21"/>
      <c r="CO885" s="21"/>
      <c r="CP885" s="21"/>
      <c r="CQ885" s="21"/>
      <c r="CR885" s="21"/>
      <c r="CS885" s="21"/>
      <c r="CT885" s="21"/>
      <c r="CU885" s="21"/>
      <c r="CV885" s="21"/>
      <c r="CW885" s="21"/>
      <c r="CX885" s="21"/>
      <c r="CY885" s="21"/>
      <c r="CZ885" s="22"/>
      <c r="DA885" s="21"/>
      <c r="DB885" s="21"/>
    </row>
    <row r="886" spans="3:106" s="19" customFormat="1" ht="12"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2"/>
      <c r="BA886" s="21"/>
      <c r="BB886" s="21"/>
      <c r="BC886" s="21"/>
      <c r="BD886" s="21"/>
      <c r="BE886" s="21"/>
      <c r="BF886" s="21"/>
      <c r="BG886" s="21"/>
      <c r="BH886" s="21"/>
      <c r="BI886" s="21"/>
      <c r="BJ886" s="21"/>
      <c r="BK886" s="21"/>
      <c r="BL886" s="21"/>
      <c r="BM886" s="21"/>
      <c r="BN886" s="21"/>
      <c r="BO886" s="21"/>
      <c r="BP886" s="21"/>
      <c r="BQ886" s="21"/>
      <c r="BR886" s="21"/>
      <c r="BS886" s="21"/>
      <c r="BT886" s="21"/>
      <c r="BU886" s="21"/>
      <c r="BV886" s="21"/>
      <c r="BW886" s="21"/>
      <c r="BX886" s="21"/>
      <c r="BY886" s="21"/>
      <c r="BZ886" s="21"/>
      <c r="CA886" s="21"/>
      <c r="CB886" s="21"/>
      <c r="CC886" s="21"/>
      <c r="CD886" s="21"/>
      <c r="CE886" s="21"/>
      <c r="CF886" s="21"/>
      <c r="CG886" s="21"/>
      <c r="CH886" s="21"/>
      <c r="CI886" s="21"/>
      <c r="CJ886" s="21"/>
      <c r="CK886" s="21"/>
      <c r="CL886" s="21"/>
      <c r="CM886" s="21"/>
      <c r="CN886" s="21"/>
      <c r="CO886" s="21"/>
      <c r="CP886" s="21"/>
      <c r="CQ886" s="21"/>
      <c r="CR886" s="21"/>
      <c r="CS886" s="21"/>
      <c r="CT886" s="21"/>
      <c r="CU886" s="21"/>
      <c r="CV886" s="21"/>
      <c r="CW886" s="21"/>
      <c r="CX886" s="21"/>
      <c r="CY886" s="21"/>
      <c r="CZ886" s="22"/>
      <c r="DA886" s="21"/>
      <c r="DB886" s="21"/>
    </row>
    <row r="887" spans="3:106" s="19" customFormat="1" ht="12"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2"/>
      <c r="BA887" s="21"/>
      <c r="BB887" s="21"/>
      <c r="BC887" s="21"/>
      <c r="BD887" s="21"/>
      <c r="BE887" s="21"/>
      <c r="BF887" s="21"/>
      <c r="BG887" s="21"/>
      <c r="BH887" s="21"/>
      <c r="BI887" s="21"/>
      <c r="BJ887" s="21"/>
      <c r="BK887" s="21"/>
      <c r="BL887" s="21"/>
      <c r="BM887" s="21"/>
      <c r="BN887" s="21"/>
      <c r="BO887" s="21"/>
      <c r="BP887" s="21"/>
      <c r="BQ887" s="21"/>
      <c r="BR887" s="21"/>
      <c r="BS887" s="21"/>
      <c r="BT887" s="21"/>
      <c r="BU887" s="21"/>
      <c r="BV887" s="21"/>
      <c r="BW887" s="21"/>
      <c r="BX887" s="21"/>
      <c r="BY887" s="21"/>
      <c r="BZ887" s="21"/>
      <c r="CA887" s="21"/>
      <c r="CB887" s="21"/>
      <c r="CC887" s="21"/>
      <c r="CD887" s="21"/>
      <c r="CE887" s="21"/>
      <c r="CF887" s="21"/>
      <c r="CG887" s="21"/>
      <c r="CH887" s="21"/>
      <c r="CI887" s="21"/>
      <c r="CJ887" s="21"/>
      <c r="CK887" s="21"/>
      <c r="CL887" s="21"/>
      <c r="CM887" s="21"/>
      <c r="CN887" s="21"/>
      <c r="CO887" s="21"/>
      <c r="CP887" s="21"/>
      <c r="CQ887" s="21"/>
      <c r="CR887" s="21"/>
      <c r="CS887" s="21"/>
      <c r="CT887" s="21"/>
      <c r="CU887" s="21"/>
      <c r="CV887" s="21"/>
      <c r="CW887" s="21"/>
      <c r="CX887" s="21"/>
      <c r="CY887" s="21"/>
      <c r="CZ887" s="22"/>
      <c r="DA887" s="21"/>
      <c r="DB887" s="21"/>
    </row>
    <row r="888" spans="3:106" s="19" customFormat="1" ht="12"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2"/>
      <c r="BA888" s="21"/>
      <c r="BB888" s="21"/>
      <c r="BC888" s="21"/>
      <c r="BD888" s="21"/>
      <c r="BE888" s="21"/>
      <c r="BF888" s="21"/>
      <c r="BG888" s="21"/>
      <c r="BH888" s="21"/>
      <c r="BI888" s="21"/>
      <c r="BJ888" s="21"/>
      <c r="BK888" s="21"/>
      <c r="BL888" s="21"/>
      <c r="BM888" s="21"/>
      <c r="BN888" s="21"/>
      <c r="BO888" s="21"/>
      <c r="BP888" s="21"/>
      <c r="BQ888" s="21"/>
      <c r="BR888" s="21"/>
      <c r="BS888" s="21"/>
      <c r="BT888" s="21"/>
      <c r="BU888" s="21"/>
      <c r="BV888" s="21"/>
      <c r="BW888" s="21"/>
      <c r="BX888" s="21"/>
      <c r="BY888" s="21"/>
      <c r="BZ888" s="21"/>
      <c r="CA888" s="21"/>
      <c r="CB888" s="21"/>
      <c r="CC888" s="21"/>
      <c r="CD888" s="21"/>
      <c r="CE888" s="21"/>
      <c r="CF888" s="21"/>
      <c r="CG888" s="21"/>
      <c r="CH888" s="21"/>
      <c r="CI888" s="21"/>
      <c r="CJ888" s="21"/>
      <c r="CK888" s="21"/>
      <c r="CL888" s="21"/>
      <c r="CM888" s="21"/>
      <c r="CN888" s="21"/>
      <c r="CO888" s="21"/>
      <c r="CP888" s="21"/>
      <c r="CQ888" s="21"/>
      <c r="CR888" s="21"/>
      <c r="CS888" s="21"/>
      <c r="CT888" s="21"/>
      <c r="CU888" s="21"/>
      <c r="CV888" s="21"/>
      <c r="CW888" s="21"/>
      <c r="CX888" s="21"/>
      <c r="CY888" s="21"/>
      <c r="CZ888" s="22"/>
      <c r="DA888" s="21"/>
      <c r="DB888" s="21"/>
    </row>
    <row r="889" spans="3:106" s="19" customFormat="1" ht="12"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2"/>
      <c r="BA889" s="21"/>
      <c r="BB889" s="21"/>
      <c r="BC889" s="21"/>
      <c r="BD889" s="21"/>
      <c r="BE889" s="21"/>
      <c r="BF889" s="21"/>
      <c r="BG889" s="21"/>
      <c r="BH889" s="21"/>
      <c r="BI889" s="21"/>
      <c r="BJ889" s="21"/>
      <c r="BK889" s="21"/>
      <c r="BL889" s="21"/>
      <c r="BM889" s="21"/>
      <c r="BN889" s="21"/>
      <c r="BO889" s="21"/>
      <c r="BP889" s="21"/>
      <c r="BQ889" s="21"/>
      <c r="BR889" s="21"/>
      <c r="BS889" s="21"/>
      <c r="BT889" s="21"/>
      <c r="BU889" s="21"/>
      <c r="BV889" s="21"/>
      <c r="BW889" s="21"/>
      <c r="BX889" s="21"/>
      <c r="BY889" s="21"/>
      <c r="BZ889" s="21"/>
      <c r="CA889" s="21"/>
      <c r="CB889" s="21"/>
      <c r="CC889" s="21"/>
      <c r="CD889" s="21"/>
      <c r="CE889" s="21"/>
      <c r="CF889" s="21"/>
      <c r="CG889" s="21"/>
      <c r="CH889" s="21"/>
      <c r="CI889" s="21"/>
      <c r="CJ889" s="21"/>
      <c r="CK889" s="21"/>
      <c r="CL889" s="21"/>
      <c r="CM889" s="21"/>
      <c r="CN889" s="21"/>
      <c r="CO889" s="21"/>
      <c r="CP889" s="21"/>
      <c r="CQ889" s="21"/>
      <c r="CR889" s="21"/>
      <c r="CS889" s="21"/>
      <c r="CT889" s="21"/>
      <c r="CU889" s="21"/>
      <c r="CV889" s="21"/>
      <c r="CW889" s="21"/>
      <c r="CX889" s="21"/>
      <c r="CY889" s="21"/>
      <c r="CZ889" s="22"/>
      <c r="DA889" s="21"/>
      <c r="DB889" s="21"/>
    </row>
    <row r="890" spans="3:106" s="19" customFormat="1" ht="12"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2"/>
      <c r="BA890" s="21"/>
      <c r="BB890" s="21"/>
      <c r="BC890" s="21"/>
      <c r="BD890" s="21"/>
      <c r="BE890" s="21"/>
      <c r="BF890" s="21"/>
      <c r="BG890" s="21"/>
      <c r="BH890" s="21"/>
      <c r="BI890" s="21"/>
      <c r="BJ890" s="21"/>
      <c r="BK890" s="21"/>
      <c r="BL890" s="21"/>
      <c r="BM890" s="21"/>
      <c r="BN890" s="21"/>
      <c r="BO890" s="21"/>
      <c r="BP890" s="21"/>
      <c r="BQ890" s="21"/>
      <c r="BR890" s="21"/>
      <c r="BS890" s="21"/>
      <c r="BT890" s="21"/>
      <c r="BU890" s="21"/>
      <c r="BV890" s="21"/>
      <c r="BW890" s="21"/>
      <c r="BX890" s="21"/>
      <c r="BY890" s="21"/>
      <c r="BZ890" s="21"/>
      <c r="CA890" s="21"/>
      <c r="CB890" s="21"/>
      <c r="CC890" s="21"/>
      <c r="CD890" s="21"/>
      <c r="CE890" s="21"/>
      <c r="CF890" s="21"/>
      <c r="CG890" s="21"/>
      <c r="CH890" s="21"/>
      <c r="CI890" s="21"/>
      <c r="CJ890" s="21"/>
      <c r="CK890" s="21"/>
      <c r="CL890" s="21"/>
      <c r="CM890" s="21"/>
      <c r="CN890" s="21"/>
      <c r="CO890" s="21"/>
      <c r="CP890" s="21"/>
      <c r="CQ890" s="21"/>
      <c r="CR890" s="21"/>
      <c r="CS890" s="21"/>
      <c r="CT890" s="21"/>
      <c r="CU890" s="21"/>
      <c r="CV890" s="21"/>
      <c r="CW890" s="21"/>
      <c r="CX890" s="21"/>
      <c r="CY890" s="21"/>
      <c r="CZ890" s="22"/>
      <c r="DA890" s="21"/>
      <c r="DB890" s="21"/>
    </row>
    <row r="891" spans="3:106" s="19" customFormat="1" ht="12"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2"/>
      <c r="BA891" s="21"/>
      <c r="BB891" s="21"/>
      <c r="BC891" s="21"/>
      <c r="BD891" s="21"/>
      <c r="BE891" s="21"/>
      <c r="BF891" s="21"/>
      <c r="BG891" s="21"/>
      <c r="BH891" s="21"/>
      <c r="BI891" s="21"/>
      <c r="BJ891" s="21"/>
      <c r="BK891" s="21"/>
      <c r="BL891" s="21"/>
      <c r="BM891" s="21"/>
      <c r="BN891" s="21"/>
      <c r="BO891" s="21"/>
      <c r="BP891" s="21"/>
      <c r="BQ891" s="21"/>
      <c r="BR891" s="21"/>
      <c r="BS891" s="21"/>
      <c r="BT891" s="21"/>
      <c r="BU891" s="21"/>
      <c r="BV891" s="21"/>
      <c r="BW891" s="21"/>
      <c r="BX891" s="21"/>
      <c r="BY891" s="21"/>
      <c r="BZ891" s="21"/>
      <c r="CA891" s="21"/>
      <c r="CB891" s="21"/>
      <c r="CC891" s="21"/>
      <c r="CD891" s="21"/>
      <c r="CE891" s="21"/>
      <c r="CF891" s="21"/>
      <c r="CG891" s="21"/>
      <c r="CH891" s="21"/>
      <c r="CI891" s="21"/>
      <c r="CJ891" s="21"/>
      <c r="CK891" s="21"/>
      <c r="CL891" s="21"/>
      <c r="CM891" s="21"/>
      <c r="CN891" s="21"/>
      <c r="CO891" s="21"/>
      <c r="CP891" s="21"/>
      <c r="CQ891" s="21"/>
      <c r="CR891" s="21"/>
      <c r="CS891" s="21"/>
      <c r="CT891" s="21"/>
      <c r="CU891" s="21"/>
      <c r="CV891" s="21"/>
      <c r="CW891" s="21"/>
      <c r="CX891" s="21"/>
      <c r="CY891" s="21"/>
      <c r="CZ891" s="22"/>
      <c r="DA891" s="21"/>
      <c r="DB891" s="21"/>
    </row>
    <row r="892" spans="3:106" s="19" customFormat="1" ht="12"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2"/>
      <c r="BA892" s="21"/>
      <c r="BB892" s="21"/>
      <c r="BC892" s="21"/>
      <c r="BD892" s="21"/>
      <c r="BE892" s="21"/>
      <c r="BF892" s="21"/>
      <c r="BG892" s="21"/>
      <c r="BH892" s="21"/>
      <c r="BI892" s="21"/>
      <c r="BJ892" s="21"/>
      <c r="BK892" s="21"/>
      <c r="BL892" s="21"/>
      <c r="BM892" s="21"/>
      <c r="BN892" s="21"/>
      <c r="BO892" s="21"/>
      <c r="BP892" s="21"/>
      <c r="BQ892" s="21"/>
      <c r="BR892" s="21"/>
      <c r="BS892" s="21"/>
      <c r="BT892" s="21"/>
      <c r="BU892" s="21"/>
      <c r="BV892" s="21"/>
      <c r="BW892" s="21"/>
      <c r="BX892" s="21"/>
      <c r="BY892" s="21"/>
      <c r="BZ892" s="21"/>
      <c r="CA892" s="21"/>
      <c r="CB892" s="21"/>
      <c r="CC892" s="21"/>
      <c r="CD892" s="21"/>
      <c r="CE892" s="21"/>
      <c r="CF892" s="21"/>
      <c r="CG892" s="21"/>
      <c r="CH892" s="21"/>
      <c r="CI892" s="21"/>
      <c r="CJ892" s="21"/>
      <c r="CK892" s="21"/>
      <c r="CL892" s="21"/>
      <c r="CM892" s="21"/>
      <c r="CN892" s="21"/>
      <c r="CO892" s="21"/>
      <c r="CP892" s="21"/>
      <c r="CQ892" s="21"/>
      <c r="CR892" s="21"/>
      <c r="CS892" s="21"/>
      <c r="CT892" s="21"/>
      <c r="CU892" s="21"/>
      <c r="CV892" s="21"/>
      <c r="CW892" s="21"/>
      <c r="CX892" s="21"/>
      <c r="CY892" s="21"/>
      <c r="CZ892" s="22"/>
      <c r="DA892" s="21"/>
      <c r="DB892" s="21"/>
    </row>
    <row r="893" spans="3:106" s="19" customFormat="1" ht="12"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2"/>
      <c r="BA893" s="21"/>
      <c r="BB893" s="21"/>
      <c r="BC893" s="21"/>
      <c r="BD893" s="21"/>
      <c r="BE893" s="21"/>
      <c r="BF893" s="21"/>
      <c r="BG893" s="21"/>
      <c r="BH893" s="21"/>
      <c r="BI893" s="21"/>
      <c r="BJ893" s="21"/>
      <c r="BK893" s="21"/>
      <c r="BL893" s="21"/>
      <c r="BM893" s="21"/>
      <c r="BN893" s="21"/>
      <c r="BO893" s="21"/>
      <c r="BP893" s="21"/>
      <c r="BQ893" s="21"/>
      <c r="BR893" s="21"/>
      <c r="BS893" s="21"/>
      <c r="BT893" s="21"/>
      <c r="BU893" s="21"/>
      <c r="BV893" s="21"/>
      <c r="BW893" s="21"/>
      <c r="BX893" s="21"/>
      <c r="BY893" s="21"/>
      <c r="BZ893" s="21"/>
      <c r="CA893" s="21"/>
      <c r="CB893" s="21"/>
      <c r="CC893" s="21"/>
      <c r="CD893" s="21"/>
      <c r="CE893" s="21"/>
      <c r="CF893" s="21"/>
      <c r="CG893" s="21"/>
      <c r="CH893" s="21"/>
      <c r="CI893" s="21"/>
      <c r="CJ893" s="21"/>
      <c r="CK893" s="21"/>
      <c r="CL893" s="21"/>
      <c r="CM893" s="21"/>
      <c r="CN893" s="21"/>
      <c r="CO893" s="21"/>
      <c r="CP893" s="21"/>
      <c r="CQ893" s="21"/>
      <c r="CR893" s="21"/>
      <c r="CS893" s="21"/>
      <c r="CT893" s="21"/>
      <c r="CU893" s="21"/>
      <c r="CV893" s="21"/>
      <c r="CW893" s="21"/>
      <c r="CX893" s="21"/>
      <c r="CY893" s="21"/>
      <c r="CZ893" s="22"/>
      <c r="DA893" s="21"/>
      <c r="DB893" s="21"/>
    </row>
    <row r="894" spans="3:106" s="19" customFormat="1" ht="12"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2"/>
      <c r="BA894" s="21"/>
      <c r="BB894" s="21"/>
      <c r="BC894" s="21"/>
      <c r="BD894" s="21"/>
      <c r="BE894" s="21"/>
      <c r="BF894" s="21"/>
      <c r="BG894" s="21"/>
      <c r="BH894" s="21"/>
      <c r="BI894" s="21"/>
      <c r="BJ894" s="21"/>
      <c r="BK894" s="21"/>
      <c r="BL894" s="21"/>
      <c r="BM894" s="21"/>
      <c r="BN894" s="21"/>
      <c r="BO894" s="21"/>
      <c r="BP894" s="21"/>
      <c r="BQ894" s="21"/>
      <c r="BR894" s="21"/>
      <c r="BS894" s="21"/>
      <c r="BT894" s="21"/>
      <c r="BU894" s="21"/>
      <c r="BV894" s="21"/>
      <c r="BW894" s="21"/>
      <c r="BX894" s="21"/>
      <c r="BY894" s="21"/>
      <c r="BZ894" s="21"/>
      <c r="CA894" s="21"/>
      <c r="CB894" s="21"/>
      <c r="CC894" s="21"/>
      <c r="CD894" s="21"/>
      <c r="CE894" s="21"/>
      <c r="CF894" s="21"/>
      <c r="CG894" s="21"/>
      <c r="CH894" s="21"/>
      <c r="CI894" s="21"/>
      <c r="CJ894" s="21"/>
      <c r="CK894" s="21"/>
      <c r="CL894" s="21"/>
      <c r="CM894" s="21"/>
      <c r="CN894" s="21"/>
      <c r="CO894" s="21"/>
      <c r="CP894" s="21"/>
      <c r="CQ894" s="21"/>
      <c r="CR894" s="21"/>
      <c r="CS894" s="21"/>
      <c r="CT894" s="21"/>
      <c r="CU894" s="21"/>
      <c r="CV894" s="21"/>
      <c r="CW894" s="21"/>
      <c r="CX894" s="21"/>
      <c r="CY894" s="21"/>
      <c r="CZ894" s="22"/>
      <c r="DA894" s="21"/>
      <c r="DB894" s="21"/>
    </row>
    <row r="895" spans="3:106" s="19" customFormat="1" ht="12"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2"/>
      <c r="BA895" s="21"/>
      <c r="BB895" s="21"/>
      <c r="BC895" s="21"/>
      <c r="BD895" s="21"/>
      <c r="BE895" s="21"/>
      <c r="BF895" s="21"/>
      <c r="BG895" s="21"/>
      <c r="BH895" s="21"/>
      <c r="BI895" s="21"/>
      <c r="BJ895" s="21"/>
      <c r="BK895" s="21"/>
      <c r="BL895" s="21"/>
      <c r="BM895" s="21"/>
      <c r="BN895" s="21"/>
      <c r="BO895" s="21"/>
      <c r="BP895" s="21"/>
      <c r="BQ895" s="21"/>
      <c r="BR895" s="21"/>
      <c r="BS895" s="21"/>
      <c r="BT895" s="21"/>
      <c r="BU895" s="21"/>
      <c r="BV895" s="21"/>
      <c r="BW895" s="21"/>
      <c r="BX895" s="21"/>
      <c r="BY895" s="21"/>
      <c r="BZ895" s="21"/>
      <c r="CA895" s="21"/>
      <c r="CB895" s="21"/>
      <c r="CC895" s="21"/>
      <c r="CD895" s="21"/>
      <c r="CE895" s="21"/>
      <c r="CF895" s="21"/>
      <c r="CG895" s="21"/>
      <c r="CH895" s="21"/>
      <c r="CI895" s="21"/>
      <c r="CJ895" s="21"/>
      <c r="CK895" s="21"/>
      <c r="CL895" s="21"/>
      <c r="CM895" s="21"/>
      <c r="CN895" s="21"/>
      <c r="CO895" s="21"/>
      <c r="CP895" s="21"/>
      <c r="CQ895" s="21"/>
      <c r="CR895" s="21"/>
      <c r="CS895" s="21"/>
      <c r="CT895" s="21"/>
      <c r="CU895" s="21"/>
      <c r="CV895" s="21"/>
      <c r="CW895" s="21"/>
      <c r="CX895" s="21"/>
      <c r="CY895" s="21"/>
      <c r="CZ895" s="22"/>
      <c r="DA895" s="21"/>
      <c r="DB895" s="21"/>
    </row>
    <row r="896" spans="3:106" s="19" customFormat="1" ht="12"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2"/>
      <c r="BA896" s="21"/>
      <c r="BB896" s="21"/>
      <c r="BC896" s="21"/>
      <c r="BD896" s="21"/>
      <c r="BE896" s="21"/>
      <c r="BF896" s="21"/>
      <c r="BG896" s="21"/>
      <c r="BH896" s="21"/>
      <c r="BI896" s="21"/>
      <c r="BJ896" s="21"/>
      <c r="BK896" s="21"/>
      <c r="BL896" s="21"/>
      <c r="BM896" s="21"/>
      <c r="BN896" s="21"/>
      <c r="BO896" s="21"/>
      <c r="BP896" s="21"/>
      <c r="BQ896" s="21"/>
      <c r="BR896" s="21"/>
      <c r="BS896" s="21"/>
      <c r="BT896" s="21"/>
      <c r="BU896" s="21"/>
      <c r="BV896" s="21"/>
      <c r="BW896" s="21"/>
      <c r="BX896" s="21"/>
      <c r="BY896" s="21"/>
      <c r="BZ896" s="21"/>
      <c r="CA896" s="21"/>
      <c r="CB896" s="21"/>
      <c r="CC896" s="21"/>
      <c r="CD896" s="21"/>
      <c r="CE896" s="21"/>
      <c r="CF896" s="21"/>
      <c r="CG896" s="21"/>
      <c r="CH896" s="21"/>
      <c r="CI896" s="21"/>
      <c r="CJ896" s="21"/>
      <c r="CK896" s="21"/>
      <c r="CL896" s="21"/>
      <c r="CM896" s="21"/>
      <c r="CN896" s="21"/>
      <c r="CO896" s="21"/>
      <c r="CP896" s="21"/>
      <c r="CQ896" s="21"/>
      <c r="CR896" s="21"/>
      <c r="CS896" s="21"/>
      <c r="CT896" s="21"/>
      <c r="CU896" s="21"/>
      <c r="CV896" s="21"/>
      <c r="CW896" s="21"/>
      <c r="CX896" s="21"/>
      <c r="CY896" s="21"/>
      <c r="CZ896" s="22"/>
      <c r="DA896" s="21"/>
      <c r="DB896" s="21"/>
    </row>
    <row r="897" spans="3:106" s="19" customFormat="1" ht="12"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2"/>
      <c r="BA897" s="21"/>
      <c r="BB897" s="21"/>
      <c r="BC897" s="21"/>
      <c r="BD897" s="21"/>
      <c r="BE897" s="21"/>
      <c r="BF897" s="21"/>
      <c r="BG897" s="21"/>
      <c r="BH897" s="21"/>
      <c r="BI897" s="21"/>
      <c r="BJ897" s="21"/>
      <c r="BK897" s="21"/>
      <c r="BL897" s="21"/>
      <c r="BM897" s="21"/>
      <c r="BN897" s="21"/>
      <c r="BO897" s="21"/>
      <c r="BP897" s="21"/>
      <c r="BQ897" s="21"/>
      <c r="BR897" s="21"/>
      <c r="BS897" s="21"/>
      <c r="BT897" s="21"/>
      <c r="BU897" s="21"/>
      <c r="BV897" s="21"/>
      <c r="BW897" s="21"/>
      <c r="BX897" s="21"/>
      <c r="BY897" s="21"/>
      <c r="BZ897" s="21"/>
      <c r="CA897" s="21"/>
      <c r="CB897" s="21"/>
      <c r="CC897" s="21"/>
      <c r="CD897" s="21"/>
      <c r="CE897" s="21"/>
      <c r="CF897" s="21"/>
      <c r="CG897" s="21"/>
      <c r="CH897" s="21"/>
      <c r="CI897" s="21"/>
      <c r="CJ897" s="21"/>
      <c r="CK897" s="21"/>
      <c r="CL897" s="21"/>
      <c r="CM897" s="21"/>
      <c r="CN897" s="21"/>
      <c r="CO897" s="21"/>
      <c r="CP897" s="21"/>
      <c r="CQ897" s="21"/>
      <c r="CR897" s="21"/>
      <c r="CS897" s="21"/>
      <c r="CT897" s="21"/>
      <c r="CU897" s="21"/>
      <c r="CV897" s="21"/>
      <c r="CW897" s="21"/>
      <c r="CX897" s="21"/>
      <c r="CY897" s="21"/>
      <c r="CZ897" s="22"/>
      <c r="DA897" s="21"/>
      <c r="DB897" s="21"/>
    </row>
    <row r="898" spans="3:106" s="19" customFormat="1" ht="12"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2"/>
      <c r="BA898" s="21"/>
      <c r="BB898" s="21"/>
      <c r="BC898" s="21"/>
      <c r="BD898" s="21"/>
      <c r="BE898" s="21"/>
      <c r="BF898" s="21"/>
      <c r="BG898" s="21"/>
      <c r="BH898" s="21"/>
      <c r="BI898" s="21"/>
      <c r="BJ898" s="21"/>
      <c r="BK898" s="21"/>
      <c r="BL898" s="21"/>
      <c r="BM898" s="21"/>
      <c r="BN898" s="21"/>
      <c r="BO898" s="21"/>
      <c r="BP898" s="21"/>
      <c r="BQ898" s="21"/>
      <c r="BR898" s="21"/>
      <c r="BS898" s="21"/>
      <c r="BT898" s="21"/>
      <c r="BU898" s="21"/>
      <c r="BV898" s="21"/>
      <c r="BW898" s="21"/>
      <c r="BX898" s="21"/>
      <c r="BY898" s="21"/>
      <c r="BZ898" s="21"/>
      <c r="CA898" s="21"/>
      <c r="CB898" s="21"/>
      <c r="CC898" s="21"/>
      <c r="CD898" s="21"/>
      <c r="CE898" s="21"/>
      <c r="CF898" s="21"/>
      <c r="CG898" s="21"/>
      <c r="CH898" s="21"/>
      <c r="CI898" s="21"/>
      <c r="CJ898" s="21"/>
      <c r="CK898" s="21"/>
      <c r="CL898" s="21"/>
      <c r="CM898" s="21"/>
      <c r="CN898" s="21"/>
      <c r="CO898" s="21"/>
      <c r="CP898" s="21"/>
      <c r="CQ898" s="21"/>
      <c r="CR898" s="21"/>
      <c r="CS898" s="21"/>
      <c r="CT898" s="21"/>
      <c r="CU898" s="21"/>
      <c r="CV898" s="21"/>
      <c r="CW898" s="21"/>
      <c r="CX898" s="21"/>
      <c r="CY898" s="21"/>
      <c r="CZ898" s="22"/>
      <c r="DA898" s="21"/>
      <c r="DB898" s="21"/>
    </row>
    <row r="899" spans="3:106" s="19" customFormat="1" ht="12"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2"/>
      <c r="BA899" s="21"/>
      <c r="BB899" s="21"/>
      <c r="BC899" s="21"/>
      <c r="BD899" s="21"/>
      <c r="BE899" s="21"/>
      <c r="BF899" s="21"/>
      <c r="BG899" s="21"/>
      <c r="BH899" s="21"/>
      <c r="BI899" s="21"/>
      <c r="BJ899" s="21"/>
      <c r="BK899" s="21"/>
      <c r="BL899" s="21"/>
      <c r="BM899" s="21"/>
      <c r="BN899" s="21"/>
      <c r="BO899" s="21"/>
      <c r="BP899" s="21"/>
      <c r="BQ899" s="21"/>
      <c r="BR899" s="21"/>
      <c r="BS899" s="21"/>
      <c r="BT899" s="21"/>
      <c r="BU899" s="21"/>
      <c r="BV899" s="21"/>
      <c r="BW899" s="21"/>
      <c r="BX899" s="21"/>
      <c r="BY899" s="21"/>
      <c r="BZ899" s="21"/>
      <c r="CA899" s="21"/>
      <c r="CB899" s="21"/>
      <c r="CC899" s="21"/>
      <c r="CD899" s="21"/>
      <c r="CE899" s="21"/>
      <c r="CF899" s="21"/>
      <c r="CG899" s="21"/>
      <c r="CH899" s="21"/>
      <c r="CI899" s="21"/>
      <c r="CJ899" s="21"/>
      <c r="CK899" s="21"/>
      <c r="CL899" s="21"/>
      <c r="CM899" s="21"/>
      <c r="CN899" s="21"/>
      <c r="CO899" s="21"/>
      <c r="CP899" s="21"/>
      <c r="CQ899" s="21"/>
      <c r="CR899" s="21"/>
      <c r="CS899" s="21"/>
      <c r="CT899" s="21"/>
      <c r="CU899" s="21"/>
      <c r="CV899" s="21"/>
      <c r="CW899" s="21"/>
      <c r="CX899" s="21"/>
      <c r="CY899" s="21"/>
      <c r="CZ899" s="22"/>
      <c r="DA899" s="21"/>
      <c r="DB899" s="21"/>
    </row>
    <row r="900" spans="3:106" s="19" customFormat="1" ht="12"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2"/>
      <c r="BA900" s="21"/>
      <c r="BB900" s="21"/>
      <c r="BC900" s="21"/>
      <c r="BD900" s="21"/>
      <c r="BE900" s="21"/>
      <c r="BF900" s="21"/>
      <c r="BG900" s="21"/>
      <c r="BH900" s="21"/>
      <c r="BI900" s="21"/>
      <c r="BJ900" s="21"/>
      <c r="BK900" s="21"/>
      <c r="BL900" s="21"/>
      <c r="BM900" s="21"/>
      <c r="BN900" s="21"/>
      <c r="BO900" s="21"/>
      <c r="BP900" s="21"/>
      <c r="BQ900" s="21"/>
      <c r="BR900" s="21"/>
      <c r="BS900" s="21"/>
      <c r="BT900" s="21"/>
      <c r="BU900" s="21"/>
      <c r="BV900" s="21"/>
      <c r="BW900" s="21"/>
      <c r="BX900" s="21"/>
      <c r="BY900" s="21"/>
      <c r="BZ900" s="21"/>
      <c r="CA900" s="21"/>
      <c r="CB900" s="21"/>
      <c r="CC900" s="21"/>
      <c r="CD900" s="21"/>
      <c r="CE900" s="21"/>
      <c r="CF900" s="21"/>
      <c r="CG900" s="21"/>
      <c r="CH900" s="21"/>
      <c r="CI900" s="21"/>
      <c r="CJ900" s="21"/>
      <c r="CK900" s="21"/>
      <c r="CL900" s="21"/>
      <c r="CM900" s="21"/>
      <c r="CN900" s="21"/>
      <c r="CO900" s="21"/>
      <c r="CP900" s="21"/>
      <c r="CQ900" s="21"/>
      <c r="CR900" s="21"/>
      <c r="CS900" s="21"/>
      <c r="CT900" s="21"/>
      <c r="CU900" s="21"/>
      <c r="CV900" s="21"/>
      <c r="CW900" s="21"/>
      <c r="CX900" s="21"/>
      <c r="CY900" s="21"/>
      <c r="CZ900" s="22"/>
      <c r="DA900" s="21"/>
      <c r="DB900" s="21"/>
    </row>
    <row r="901" spans="3:106" s="19" customFormat="1" ht="12"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2"/>
      <c r="BA901" s="21"/>
      <c r="BB901" s="21"/>
      <c r="BC901" s="21"/>
      <c r="BD901" s="21"/>
      <c r="BE901" s="21"/>
      <c r="BF901" s="21"/>
      <c r="BG901" s="21"/>
      <c r="BH901" s="21"/>
      <c r="BI901" s="21"/>
      <c r="BJ901" s="21"/>
      <c r="BK901" s="21"/>
      <c r="BL901" s="21"/>
      <c r="BM901" s="21"/>
      <c r="BN901" s="21"/>
      <c r="BO901" s="21"/>
      <c r="BP901" s="21"/>
      <c r="BQ901" s="21"/>
      <c r="BR901" s="21"/>
      <c r="BS901" s="21"/>
      <c r="BT901" s="21"/>
      <c r="BU901" s="21"/>
      <c r="BV901" s="21"/>
      <c r="BW901" s="21"/>
      <c r="BX901" s="21"/>
      <c r="BY901" s="21"/>
      <c r="BZ901" s="21"/>
      <c r="CA901" s="21"/>
      <c r="CB901" s="21"/>
      <c r="CC901" s="21"/>
      <c r="CD901" s="21"/>
      <c r="CE901" s="21"/>
      <c r="CF901" s="21"/>
      <c r="CG901" s="21"/>
      <c r="CH901" s="21"/>
      <c r="CI901" s="21"/>
      <c r="CJ901" s="21"/>
      <c r="CK901" s="21"/>
      <c r="CL901" s="21"/>
      <c r="CM901" s="21"/>
      <c r="CN901" s="21"/>
      <c r="CO901" s="21"/>
      <c r="CP901" s="21"/>
      <c r="CQ901" s="21"/>
      <c r="CR901" s="21"/>
      <c r="CS901" s="21"/>
      <c r="CT901" s="21"/>
      <c r="CU901" s="21"/>
      <c r="CV901" s="21"/>
      <c r="CW901" s="21"/>
      <c r="CX901" s="21"/>
      <c r="CY901" s="21"/>
      <c r="CZ901" s="22"/>
      <c r="DA901" s="21"/>
      <c r="DB901" s="21"/>
    </row>
    <row r="902" spans="3:106" s="19" customFormat="1" ht="12"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2"/>
      <c r="BA902" s="21"/>
      <c r="BB902" s="21"/>
      <c r="BC902" s="21"/>
      <c r="BD902" s="21"/>
      <c r="BE902" s="21"/>
      <c r="BF902" s="21"/>
      <c r="BG902" s="21"/>
      <c r="BH902" s="21"/>
      <c r="BI902" s="21"/>
      <c r="BJ902" s="21"/>
      <c r="BK902" s="21"/>
      <c r="BL902" s="21"/>
      <c r="BM902" s="21"/>
      <c r="BN902" s="21"/>
      <c r="BO902" s="21"/>
      <c r="BP902" s="21"/>
      <c r="BQ902" s="21"/>
      <c r="BR902" s="21"/>
      <c r="BS902" s="21"/>
      <c r="BT902" s="21"/>
      <c r="BU902" s="21"/>
      <c r="BV902" s="21"/>
      <c r="BW902" s="21"/>
      <c r="BX902" s="21"/>
      <c r="BY902" s="21"/>
      <c r="BZ902" s="21"/>
      <c r="CA902" s="21"/>
      <c r="CB902" s="21"/>
      <c r="CC902" s="21"/>
      <c r="CD902" s="21"/>
      <c r="CE902" s="21"/>
      <c r="CF902" s="21"/>
      <c r="CG902" s="21"/>
      <c r="CH902" s="21"/>
      <c r="CI902" s="21"/>
      <c r="CJ902" s="21"/>
      <c r="CK902" s="21"/>
      <c r="CL902" s="21"/>
      <c r="CM902" s="21"/>
      <c r="CN902" s="21"/>
      <c r="CO902" s="21"/>
      <c r="CP902" s="21"/>
      <c r="CQ902" s="21"/>
      <c r="CR902" s="21"/>
      <c r="CS902" s="21"/>
      <c r="CT902" s="21"/>
      <c r="CU902" s="21"/>
      <c r="CV902" s="21"/>
      <c r="CW902" s="21"/>
      <c r="CX902" s="21"/>
      <c r="CY902" s="21"/>
      <c r="CZ902" s="22"/>
      <c r="DA902" s="21"/>
      <c r="DB902" s="21"/>
    </row>
    <row r="903" spans="3:106" s="19" customFormat="1" ht="12"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2"/>
      <c r="BA903" s="21"/>
      <c r="BB903" s="21"/>
      <c r="BC903" s="21"/>
      <c r="BD903" s="21"/>
      <c r="BE903" s="21"/>
      <c r="BF903" s="21"/>
      <c r="BG903" s="21"/>
      <c r="BH903" s="21"/>
      <c r="BI903" s="21"/>
      <c r="BJ903" s="21"/>
      <c r="BK903" s="21"/>
      <c r="BL903" s="21"/>
      <c r="BM903" s="21"/>
      <c r="BN903" s="21"/>
      <c r="BO903" s="21"/>
      <c r="BP903" s="21"/>
      <c r="BQ903" s="21"/>
      <c r="BR903" s="21"/>
      <c r="BS903" s="21"/>
      <c r="BT903" s="21"/>
      <c r="BU903" s="21"/>
      <c r="BV903" s="21"/>
      <c r="BW903" s="21"/>
      <c r="BX903" s="21"/>
      <c r="BY903" s="21"/>
      <c r="BZ903" s="21"/>
      <c r="CA903" s="21"/>
      <c r="CB903" s="21"/>
      <c r="CC903" s="21"/>
      <c r="CD903" s="21"/>
      <c r="CE903" s="21"/>
      <c r="CF903" s="21"/>
      <c r="CG903" s="21"/>
      <c r="CH903" s="21"/>
      <c r="CI903" s="21"/>
      <c r="CJ903" s="21"/>
      <c r="CK903" s="21"/>
      <c r="CL903" s="21"/>
      <c r="CM903" s="21"/>
      <c r="CN903" s="21"/>
      <c r="CO903" s="21"/>
      <c r="CP903" s="21"/>
      <c r="CQ903" s="21"/>
      <c r="CR903" s="21"/>
      <c r="CS903" s="21"/>
      <c r="CT903" s="21"/>
      <c r="CU903" s="21"/>
      <c r="CV903" s="21"/>
      <c r="CW903" s="21"/>
      <c r="CX903" s="21"/>
      <c r="CY903" s="21"/>
      <c r="CZ903" s="22"/>
      <c r="DA903" s="21"/>
      <c r="DB903" s="21"/>
    </row>
    <row r="904" spans="3:106" s="19" customFormat="1" ht="12"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2"/>
      <c r="BA904" s="21"/>
      <c r="BB904" s="21"/>
      <c r="BC904" s="21"/>
      <c r="BD904" s="21"/>
      <c r="BE904" s="21"/>
      <c r="BF904" s="21"/>
      <c r="BG904" s="21"/>
      <c r="BH904" s="21"/>
      <c r="BI904" s="21"/>
      <c r="BJ904" s="21"/>
      <c r="BK904" s="21"/>
      <c r="BL904" s="21"/>
      <c r="BM904" s="21"/>
      <c r="BN904" s="21"/>
      <c r="BO904" s="21"/>
      <c r="BP904" s="21"/>
      <c r="BQ904" s="21"/>
      <c r="BR904" s="21"/>
      <c r="BS904" s="21"/>
      <c r="BT904" s="21"/>
      <c r="BU904" s="21"/>
      <c r="BV904" s="21"/>
      <c r="BW904" s="21"/>
      <c r="BX904" s="21"/>
      <c r="BY904" s="21"/>
      <c r="BZ904" s="21"/>
      <c r="CA904" s="21"/>
      <c r="CB904" s="21"/>
      <c r="CC904" s="21"/>
      <c r="CD904" s="21"/>
      <c r="CE904" s="21"/>
      <c r="CF904" s="21"/>
      <c r="CG904" s="21"/>
      <c r="CH904" s="21"/>
      <c r="CI904" s="21"/>
      <c r="CJ904" s="21"/>
      <c r="CK904" s="21"/>
      <c r="CL904" s="21"/>
      <c r="CM904" s="21"/>
      <c r="CN904" s="21"/>
      <c r="CO904" s="21"/>
      <c r="CP904" s="21"/>
      <c r="CQ904" s="21"/>
      <c r="CR904" s="21"/>
      <c r="CS904" s="21"/>
      <c r="CT904" s="21"/>
      <c r="CU904" s="21"/>
      <c r="CV904" s="21"/>
      <c r="CW904" s="21"/>
      <c r="CX904" s="21"/>
      <c r="CY904" s="21"/>
      <c r="CZ904" s="22"/>
      <c r="DA904" s="21"/>
      <c r="DB904" s="21"/>
    </row>
    <row r="905" spans="3:106" s="19" customFormat="1" ht="12"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2"/>
      <c r="BA905" s="21"/>
      <c r="BB905" s="21"/>
      <c r="BC905" s="21"/>
      <c r="BD905" s="21"/>
      <c r="BE905" s="21"/>
      <c r="BF905" s="21"/>
      <c r="BG905" s="21"/>
      <c r="BH905" s="21"/>
      <c r="BI905" s="21"/>
      <c r="BJ905" s="21"/>
      <c r="BK905" s="21"/>
      <c r="BL905" s="21"/>
      <c r="BM905" s="21"/>
      <c r="BN905" s="21"/>
      <c r="BO905" s="21"/>
      <c r="BP905" s="21"/>
      <c r="BQ905" s="21"/>
      <c r="BR905" s="21"/>
      <c r="BS905" s="21"/>
      <c r="BT905" s="21"/>
      <c r="BU905" s="21"/>
      <c r="BV905" s="21"/>
      <c r="BW905" s="21"/>
      <c r="BX905" s="21"/>
      <c r="BY905" s="21"/>
      <c r="BZ905" s="21"/>
      <c r="CA905" s="21"/>
      <c r="CB905" s="21"/>
      <c r="CC905" s="21"/>
      <c r="CD905" s="21"/>
      <c r="CE905" s="21"/>
      <c r="CF905" s="21"/>
      <c r="CG905" s="21"/>
      <c r="CH905" s="21"/>
      <c r="CI905" s="21"/>
      <c r="CJ905" s="21"/>
      <c r="CK905" s="21"/>
      <c r="CL905" s="21"/>
      <c r="CM905" s="21"/>
      <c r="CN905" s="21"/>
      <c r="CO905" s="21"/>
      <c r="CP905" s="21"/>
      <c r="CQ905" s="21"/>
      <c r="CR905" s="21"/>
      <c r="CS905" s="21"/>
      <c r="CT905" s="21"/>
      <c r="CU905" s="21"/>
      <c r="CV905" s="21"/>
      <c r="CW905" s="21"/>
      <c r="CX905" s="21"/>
      <c r="CY905" s="21"/>
      <c r="CZ905" s="22"/>
      <c r="DA905" s="21"/>
      <c r="DB905" s="21"/>
    </row>
    <row r="906" spans="3:106" s="19" customFormat="1" ht="12"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2"/>
      <c r="BA906" s="21"/>
      <c r="BB906" s="21"/>
      <c r="BC906" s="21"/>
      <c r="BD906" s="21"/>
      <c r="BE906" s="21"/>
      <c r="BF906" s="21"/>
      <c r="BG906" s="21"/>
      <c r="BH906" s="21"/>
      <c r="BI906" s="21"/>
      <c r="BJ906" s="21"/>
      <c r="BK906" s="21"/>
      <c r="BL906" s="21"/>
      <c r="BM906" s="21"/>
      <c r="BN906" s="21"/>
      <c r="BO906" s="21"/>
      <c r="BP906" s="21"/>
      <c r="BQ906" s="21"/>
      <c r="BR906" s="21"/>
      <c r="BS906" s="21"/>
      <c r="BT906" s="21"/>
      <c r="BU906" s="21"/>
      <c r="BV906" s="21"/>
      <c r="BW906" s="21"/>
      <c r="BX906" s="21"/>
      <c r="BY906" s="21"/>
      <c r="BZ906" s="21"/>
      <c r="CA906" s="21"/>
      <c r="CB906" s="21"/>
      <c r="CC906" s="21"/>
      <c r="CD906" s="21"/>
      <c r="CE906" s="21"/>
      <c r="CF906" s="21"/>
      <c r="CG906" s="21"/>
      <c r="CH906" s="21"/>
      <c r="CI906" s="21"/>
      <c r="CJ906" s="21"/>
      <c r="CK906" s="21"/>
      <c r="CL906" s="21"/>
      <c r="CM906" s="21"/>
      <c r="CN906" s="21"/>
      <c r="CO906" s="21"/>
      <c r="CP906" s="21"/>
      <c r="CQ906" s="21"/>
      <c r="CR906" s="21"/>
      <c r="CS906" s="21"/>
      <c r="CT906" s="21"/>
      <c r="CU906" s="21"/>
      <c r="CV906" s="21"/>
      <c r="CW906" s="21"/>
      <c r="CX906" s="21"/>
      <c r="CY906" s="21"/>
      <c r="CZ906" s="22"/>
      <c r="DA906" s="21"/>
      <c r="DB906" s="21"/>
    </row>
    <row r="907" spans="3:106" s="19" customFormat="1" ht="12"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2"/>
      <c r="BA907" s="21"/>
      <c r="BB907" s="21"/>
      <c r="BC907" s="21"/>
      <c r="BD907" s="21"/>
      <c r="BE907" s="21"/>
      <c r="BF907" s="21"/>
      <c r="BG907" s="21"/>
      <c r="BH907" s="21"/>
      <c r="BI907" s="21"/>
      <c r="BJ907" s="21"/>
      <c r="BK907" s="21"/>
      <c r="BL907" s="21"/>
      <c r="BM907" s="21"/>
      <c r="BN907" s="21"/>
      <c r="BO907" s="21"/>
      <c r="BP907" s="21"/>
      <c r="BQ907" s="21"/>
      <c r="BR907" s="21"/>
      <c r="BS907" s="21"/>
      <c r="BT907" s="21"/>
      <c r="BU907" s="21"/>
      <c r="BV907" s="21"/>
      <c r="BW907" s="21"/>
      <c r="BX907" s="21"/>
      <c r="BY907" s="21"/>
      <c r="BZ907" s="21"/>
      <c r="CA907" s="21"/>
      <c r="CB907" s="21"/>
      <c r="CC907" s="21"/>
      <c r="CD907" s="21"/>
      <c r="CE907" s="21"/>
      <c r="CF907" s="21"/>
      <c r="CG907" s="21"/>
      <c r="CH907" s="21"/>
      <c r="CI907" s="21"/>
      <c r="CJ907" s="21"/>
      <c r="CK907" s="21"/>
      <c r="CL907" s="21"/>
      <c r="CM907" s="21"/>
      <c r="CN907" s="21"/>
      <c r="CO907" s="21"/>
      <c r="CP907" s="21"/>
      <c r="CQ907" s="21"/>
      <c r="CR907" s="21"/>
      <c r="CS907" s="21"/>
      <c r="CT907" s="21"/>
      <c r="CU907" s="21"/>
      <c r="CV907" s="21"/>
      <c r="CW907" s="21"/>
      <c r="CX907" s="21"/>
      <c r="CY907" s="21"/>
      <c r="CZ907" s="22"/>
      <c r="DA907" s="21"/>
      <c r="DB907" s="21"/>
    </row>
    <row r="908" spans="3:106" s="19" customFormat="1" ht="12"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2"/>
      <c r="BA908" s="21"/>
      <c r="BB908" s="21"/>
      <c r="BC908" s="21"/>
      <c r="BD908" s="21"/>
      <c r="BE908" s="21"/>
      <c r="BF908" s="21"/>
      <c r="BG908" s="21"/>
      <c r="BH908" s="21"/>
      <c r="BI908" s="21"/>
      <c r="BJ908" s="21"/>
      <c r="BK908" s="21"/>
      <c r="BL908" s="21"/>
      <c r="BM908" s="21"/>
      <c r="BN908" s="21"/>
      <c r="BO908" s="21"/>
      <c r="BP908" s="21"/>
      <c r="BQ908" s="21"/>
      <c r="BR908" s="21"/>
      <c r="BS908" s="21"/>
      <c r="BT908" s="21"/>
      <c r="BU908" s="21"/>
      <c r="BV908" s="21"/>
      <c r="BW908" s="21"/>
      <c r="BX908" s="21"/>
      <c r="BY908" s="21"/>
      <c r="BZ908" s="21"/>
      <c r="CA908" s="21"/>
      <c r="CB908" s="21"/>
      <c r="CC908" s="21"/>
      <c r="CD908" s="21"/>
      <c r="CE908" s="21"/>
      <c r="CF908" s="21"/>
      <c r="CG908" s="21"/>
      <c r="CH908" s="21"/>
      <c r="CI908" s="21"/>
      <c r="CJ908" s="21"/>
      <c r="CK908" s="21"/>
      <c r="CL908" s="21"/>
      <c r="CM908" s="21"/>
      <c r="CN908" s="21"/>
      <c r="CO908" s="21"/>
      <c r="CP908" s="21"/>
      <c r="CQ908" s="21"/>
      <c r="CR908" s="21"/>
      <c r="CS908" s="21"/>
      <c r="CT908" s="21"/>
      <c r="CU908" s="21"/>
      <c r="CV908" s="21"/>
      <c r="CW908" s="21"/>
      <c r="CX908" s="21"/>
      <c r="CY908" s="21"/>
      <c r="CZ908" s="22"/>
      <c r="DA908" s="21"/>
      <c r="DB908" s="21"/>
    </row>
    <row r="909" spans="3:106" s="19" customFormat="1" ht="12"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2"/>
      <c r="BA909" s="21"/>
      <c r="BB909" s="21"/>
      <c r="BC909" s="21"/>
      <c r="BD909" s="21"/>
      <c r="BE909" s="21"/>
      <c r="BF909" s="21"/>
      <c r="BG909" s="21"/>
      <c r="BH909" s="21"/>
      <c r="BI909" s="21"/>
      <c r="BJ909" s="21"/>
      <c r="BK909" s="21"/>
      <c r="BL909" s="21"/>
      <c r="BM909" s="21"/>
      <c r="BN909" s="21"/>
      <c r="BO909" s="21"/>
      <c r="BP909" s="21"/>
      <c r="BQ909" s="21"/>
      <c r="BR909" s="21"/>
      <c r="BS909" s="21"/>
      <c r="BT909" s="21"/>
      <c r="BU909" s="21"/>
      <c r="BV909" s="21"/>
      <c r="BW909" s="21"/>
      <c r="BX909" s="21"/>
      <c r="BY909" s="21"/>
      <c r="BZ909" s="21"/>
      <c r="CA909" s="21"/>
      <c r="CB909" s="21"/>
      <c r="CC909" s="21"/>
      <c r="CD909" s="21"/>
      <c r="CE909" s="21"/>
      <c r="CF909" s="21"/>
      <c r="CG909" s="21"/>
      <c r="CH909" s="21"/>
      <c r="CI909" s="21"/>
      <c r="CJ909" s="21"/>
      <c r="CK909" s="21"/>
      <c r="CL909" s="21"/>
      <c r="CM909" s="21"/>
      <c r="CN909" s="21"/>
      <c r="CO909" s="21"/>
      <c r="CP909" s="21"/>
      <c r="CQ909" s="21"/>
      <c r="CR909" s="21"/>
      <c r="CS909" s="21"/>
      <c r="CT909" s="21"/>
      <c r="CU909" s="21"/>
      <c r="CV909" s="21"/>
      <c r="CW909" s="21"/>
      <c r="CX909" s="21"/>
      <c r="CY909" s="21"/>
      <c r="CZ909" s="22"/>
      <c r="DA909" s="21"/>
      <c r="DB909" s="21"/>
    </row>
    <row r="910" spans="3:106" s="19" customFormat="1" ht="12"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2"/>
      <c r="BA910" s="21"/>
      <c r="BB910" s="21"/>
      <c r="BC910" s="21"/>
      <c r="BD910" s="21"/>
      <c r="BE910" s="21"/>
      <c r="BF910" s="21"/>
      <c r="BG910" s="21"/>
      <c r="BH910" s="21"/>
      <c r="BI910" s="21"/>
      <c r="BJ910" s="21"/>
      <c r="BK910" s="21"/>
      <c r="BL910" s="21"/>
      <c r="BM910" s="21"/>
      <c r="BN910" s="21"/>
      <c r="BO910" s="21"/>
      <c r="BP910" s="21"/>
      <c r="BQ910" s="21"/>
      <c r="BR910" s="21"/>
      <c r="BS910" s="21"/>
      <c r="BT910" s="21"/>
      <c r="BU910" s="21"/>
      <c r="BV910" s="21"/>
      <c r="BW910" s="21"/>
      <c r="BX910" s="21"/>
      <c r="BY910" s="21"/>
      <c r="BZ910" s="21"/>
      <c r="CA910" s="21"/>
      <c r="CB910" s="21"/>
      <c r="CC910" s="21"/>
      <c r="CD910" s="21"/>
      <c r="CE910" s="21"/>
      <c r="CF910" s="21"/>
      <c r="CG910" s="21"/>
      <c r="CH910" s="21"/>
      <c r="CI910" s="21"/>
      <c r="CJ910" s="21"/>
      <c r="CK910" s="21"/>
      <c r="CL910" s="21"/>
      <c r="CM910" s="21"/>
      <c r="CN910" s="21"/>
      <c r="CO910" s="21"/>
      <c r="CP910" s="21"/>
      <c r="CQ910" s="21"/>
      <c r="CR910" s="21"/>
      <c r="CS910" s="21"/>
      <c r="CT910" s="21"/>
      <c r="CU910" s="21"/>
      <c r="CV910" s="21"/>
      <c r="CW910" s="21"/>
      <c r="CX910" s="21"/>
      <c r="CY910" s="21"/>
      <c r="CZ910" s="22"/>
      <c r="DA910" s="21"/>
      <c r="DB910" s="21"/>
    </row>
    <row r="911" spans="3:106" s="19" customFormat="1" ht="12"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2"/>
      <c r="BA911" s="21"/>
      <c r="BB911" s="21"/>
      <c r="BC911" s="21"/>
      <c r="BD911" s="21"/>
      <c r="BE911" s="21"/>
      <c r="BF911" s="21"/>
      <c r="BG911" s="21"/>
      <c r="BH911" s="21"/>
      <c r="BI911" s="21"/>
      <c r="BJ911" s="21"/>
      <c r="BK911" s="21"/>
      <c r="BL911" s="21"/>
      <c r="BM911" s="21"/>
      <c r="BN911" s="21"/>
      <c r="BO911" s="21"/>
      <c r="BP911" s="21"/>
      <c r="BQ911" s="21"/>
      <c r="BR911" s="21"/>
      <c r="BS911" s="21"/>
      <c r="BT911" s="21"/>
      <c r="BU911" s="21"/>
      <c r="BV911" s="21"/>
      <c r="BW911" s="21"/>
      <c r="BX911" s="21"/>
      <c r="BY911" s="21"/>
      <c r="BZ911" s="21"/>
      <c r="CA911" s="21"/>
      <c r="CB911" s="21"/>
      <c r="CC911" s="21"/>
      <c r="CD911" s="21"/>
      <c r="CE911" s="21"/>
      <c r="CF911" s="21"/>
      <c r="CG911" s="21"/>
      <c r="CH911" s="21"/>
      <c r="CI911" s="21"/>
      <c r="CJ911" s="21"/>
      <c r="CK911" s="21"/>
      <c r="CL911" s="21"/>
      <c r="CM911" s="21"/>
      <c r="CN911" s="21"/>
      <c r="CO911" s="21"/>
      <c r="CP911" s="21"/>
      <c r="CQ911" s="21"/>
      <c r="CR911" s="21"/>
      <c r="CS911" s="21"/>
      <c r="CT911" s="21"/>
      <c r="CU911" s="21"/>
      <c r="CV911" s="21"/>
      <c r="CW911" s="21"/>
      <c r="CX911" s="21"/>
      <c r="CY911" s="21"/>
      <c r="CZ911" s="22"/>
      <c r="DA911" s="21"/>
      <c r="DB911" s="21"/>
    </row>
    <row r="912" spans="3:106" s="19" customFormat="1" ht="12"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2"/>
      <c r="BA912" s="21"/>
      <c r="BB912" s="21"/>
      <c r="BC912" s="21"/>
      <c r="BD912" s="21"/>
      <c r="BE912" s="21"/>
      <c r="BF912" s="21"/>
      <c r="BG912" s="21"/>
      <c r="BH912" s="21"/>
      <c r="BI912" s="21"/>
      <c r="BJ912" s="21"/>
      <c r="BK912" s="21"/>
      <c r="BL912" s="21"/>
      <c r="BM912" s="21"/>
      <c r="BN912" s="21"/>
      <c r="BO912" s="21"/>
      <c r="BP912" s="21"/>
      <c r="BQ912" s="21"/>
      <c r="BR912" s="21"/>
      <c r="BS912" s="21"/>
      <c r="BT912" s="21"/>
      <c r="BU912" s="21"/>
      <c r="BV912" s="21"/>
      <c r="BW912" s="21"/>
      <c r="BX912" s="21"/>
      <c r="BY912" s="21"/>
      <c r="BZ912" s="21"/>
      <c r="CA912" s="21"/>
      <c r="CB912" s="21"/>
      <c r="CC912" s="21"/>
      <c r="CD912" s="21"/>
      <c r="CE912" s="21"/>
      <c r="CF912" s="21"/>
      <c r="CG912" s="21"/>
      <c r="CH912" s="21"/>
      <c r="CI912" s="21"/>
      <c r="CJ912" s="21"/>
      <c r="CK912" s="21"/>
      <c r="CL912" s="21"/>
      <c r="CM912" s="21"/>
      <c r="CN912" s="21"/>
      <c r="CO912" s="21"/>
      <c r="CP912" s="21"/>
      <c r="CQ912" s="21"/>
      <c r="CR912" s="21"/>
      <c r="CS912" s="21"/>
      <c r="CT912" s="21"/>
      <c r="CU912" s="21"/>
      <c r="CV912" s="21"/>
      <c r="CW912" s="21"/>
      <c r="CX912" s="21"/>
      <c r="CY912" s="21"/>
      <c r="CZ912" s="22"/>
      <c r="DA912" s="21"/>
      <c r="DB912" s="21"/>
    </row>
    <row r="913" spans="3:106" s="19" customFormat="1" ht="12"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2"/>
      <c r="BA913" s="21"/>
      <c r="BB913" s="21"/>
      <c r="BC913" s="21"/>
      <c r="BD913" s="21"/>
      <c r="BE913" s="21"/>
      <c r="BF913" s="21"/>
      <c r="BG913" s="21"/>
      <c r="BH913" s="21"/>
      <c r="BI913" s="21"/>
      <c r="BJ913" s="21"/>
      <c r="BK913" s="21"/>
      <c r="BL913" s="21"/>
      <c r="BM913" s="21"/>
      <c r="BN913" s="21"/>
      <c r="BO913" s="21"/>
      <c r="BP913" s="21"/>
      <c r="BQ913" s="21"/>
      <c r="BR913" s="21"/>
      <c r="BS913" s="21"/>
      <c r="BT913" s="21"/>
      <c r="BU913" s="21"/>
      <c r="BV913" s="21"/>
      <c r="BW913" s="21"/>
      <c r="BX913" s="21"/>
      <c r="BY913" s="21"/>
      <c r="BZ913" s="21"/>
      <c r="CA913" s="21"/>
      <c r="CB913" s="21"/>
      <c r="CC913" s="21"/>
      <c r="CD913" s="21"/>
      <c r="CE913" s="21"/>
      <c r="CF913" s="21"/>
      <c r="CG913" s="21"/>
      <c r="CH913" s="21"/>
      <c r="CI913" s="21"/>
      <c r="CJ913" s="21"/>
      <c r="CK913" s="21"/>
      <c r="CL913" s="21"/>
      <c r="CM913" s="21"/>
      <c r="CN913" s="21"/>
      <c r="CO913" s="21"/>
      <c r="CP913" s="21"/>
      <c r="CQ913" s="21"/>
      <c r="CR913" s="21"/>
      <c r="CS913" s="21"/>
      <c r="CT913" s="21"/>
      <c r="CU913" s="21"/>
      <c r="CV913" s="21"/>
      <c r="CW913" s="21"/>
      <c r="CX913" s="21"/>
      <c r="CY913" s="21"/>
      <c r="CZ913" s="22"/>
      <c r="DA913" s="21"/>
      <c r="DB913" s="21"/>
    </row>
    <row r="914" spans="3:106" s="19" customFormat="1" ht="12"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2"/>
      <c r="BA914" s="21"/>
      <c r="BB914" s="21"/>
      <c r="BC914" s="21"/>
      <c r="BD914" s="21"/>
      <c r="BE914" s="21"/>
      <c r="BF914" s="21"/>
      <c r="BG914" s="21"/>
      <c r="BH914" s="21"/>
      <c r="BI914" s="21"/>
      <c r="BJ914" s="21"/>
      <c r="BK914" s="21"/>
      <c r="BL914" s="21"/>
      <c r="BM914" s="21"/>
      <c r="BN914" s="21"/>
      <c r="BO914" s="21"/>
      <c r="BP914" s="21"/>
      <c r="BQ914" s="21"/>
      <c r="BR914" s="21"/>
      <c r="BS914" s="21"/>
      <c r="BT914" s="21"/>
      <c r="BU914" s="21"/>
      <c r="BV914" s="21"/>
      <c r="BW914" s="21"/>
      <c r="BX914" s="21"/>
      <c r="BY914" s="21"/>
      <c r="BZ914" s="21"/>
      <c r="CA914" s="21"/>
      <c r="CB914" s="21"/>
      <c r="CC914" s="21"/>
      <c r="CD914" s="21"/>
      <c r="CE914" s="21"/>
      <c r="CF914" s="21"/>
      <c r="CG914" s="21"/>
      <c r="CH914" s="21"/>
      <c r="CI914" s="21"/>
      <c r="CJ914" s="21"/>
      <c r="CK914" s="21"/>
      <c r="CL914" s="21"/>
      <c r="CM914" s="21"/>
      <c r="CN914" s="21"/>
      <c r="CO914" s="21"/>
      <c r="CP914" s="21"/>
      <c r="CQ914" s="21"/>
      <c r="CR914" s="21"/>
      <c r="CS914" s="21"/>
      <c r="CT914" s="21"/>
      <c r="CU914" s="21"/>
      <c r="CV914" s="21"/>
      <c r="CW914" s="21"/>
      <c r="CX914" s="21"/>
      <c r="CY914" s="21"/>
      <c r="CZ914" s="22"/>
      <c r="DA914" s="21"/>
      <c r="DB914" s="21"/>
    </row>
    <row r="915" spans="3:106" s="19" customFormat="1" ht="12"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2"/>
      <c r="BA915" s="21"/>
      <c r="BB915" s="21"/>
      <c r="BC915" s="21"/>
      <c r="BD915" s="21"/>
      <c r="BE915" s="21"/>
      <c r="BF915" s="21"/>
      <c r="BG915" s="21"/>
      <c r="BH915" s="21"/>
      <c r="BI915" s="21"/>
      <c r="BJ915" s="21"/>
      <c r="BK915" s="21"/>
      <c r="BL915" s="21"/>
      <c r="BM915" s="21"/>
      <c r="BN915" s="21"/>
      <c r="BO915" s="21"/>
      <c r="BP915" s="21"/>
      <c r="BQ915" s="21"/>
      <c r="BR915" s="21"/>
      <c r="BS915" s="21"/>
      <c r="BT915" s="21"/>
      <c r="BU915" s="21"/>
      <c r="BV915" s="21"/>
      <c r="BW915" s="21"/>
      <c r="BX915" s="21"/>
      <c r="BY915" s="21"/>
      <c r="BZ915" s="21"/>
      <c r="CA915" s="21"/>
      <c r="CB915" s="21"/>
      <c r="CC915" s="21"/>
      <c r="CD915" s="21"/>
      <c r="CE915" s="21"/>
      <c r="CF915" s="21"/>
      <c r="CG915" s="21"/>
      <c r="CH915" s="21"/>
      <c r="CI915" s="21"/>
      <c r="CJ915" s="21"/>
      <c r="CK915" s="21"/>
      <c r="CL915" s="21"/>
      <c r="CM915" s="21"/>
      <c r="CN915" s="21"/>
      <c r="CO915" s="21"/>
      <c r="CP915" s="21"/>
      <c r="CQ915" s="21"/>
      <c r="CR915" s="21"/>
      <c r="CS915" s="21"/>
      <c r="CT915" s="21"/>
      <c r="CU915" s="21"/>
      <c r="CV915" s="21"/>
      <c r="CW915" s="21"/>
      <c r="CX915" s="21"/>
      <c r="CY915" s="21"/>
      <c r="CZ915" s="22"/>
      <c r="DA915" s="21"/>
      <c r="DB915" s="21"/>
    </row>
    <row r="916" spans="3:106" s="19" customFormat="1" ht="12"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2"/>
      <c r="BA916" s="21"/>
      <c r="BB916" s="21"/>
      <c r="BC916" s="21"/>
      <c r="BD916" s="21"/>
      <c r="BE916" s="21"/>
      <c r="BF916" s="21"/>
      <c r="BG916" s="21"/>
      <c r="BH916" s="21"/>
      <c r="BI916" s="21"/>
      <c r="BJ916" s="21"/>
      <c r="BK916" s="21"/>
      <c r="BL916" s="21"/>
      <c r="BM916" s="21"/>
      <c r="BN916" s="21"/>
      <c r="BO916" s="21"/>
      <c r="BP916" s="21"/>
      <c r="BQ916" s="21"/>
      <c r="BR916" s="21"/>
      <c r="BS916" s="21"/>
      <c r="BT916" s="21"/>
      <c r="BU916" s="21"/>
      <c r="BV916" s="21"/>
      <c r="BW916" s="21"/>
      <c r="BX916" s="21"/>
      <c r="BY916" s="21"/>
      <c r="BZ916" s="21"/>
      <c r="CA916" s="21"/>
      <c r="CB916" s="21"/>
      <c r="CC916" s="21"/>
      <c r="CD916" s="21"/>
      <c r="CE916" s="21"/>
      <c r="CF916" s="21"/>
      <c r="CG916" s="21"/>
      <c r="CH916" s="21"/>
      <c r="CI916" s="21"/>
      <c r="CJ916" s="21"/>
      <c r="CK916" s="21"/>
      <c r="CL916" s="21"/>
      <c r="CM916" s="21"/>
      <c r="CN916" s="21"/>
      <c r="CO916" s="21"/>
      <c r="CP916" s="21"/>
      <c r="CQ916" s="21"/>
      <c r="CR916" s="21"/>
      <c r="CS916" s="21"/>
      <c r="CT916" s="21"/>
      <c r="CU916" s="21"/>
      <c r="CV916" s="21"/>
      <c r="CW916" s="21"/>
      <c r="CX916" s="21"/>
      <c r="CY916" s="21"/>
      <c r="CZ916" s="22"/>
      <c r="DA916" s="21"/>
      <c r="DB916" s="21"/>
    </row>
    <row r="917" spans="3:106" s="19" customFormat="1" ht="12"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2"/>
      <c r="BA917" s="21"/>
      <c r="BB917" s="21"/>
      <c r="BC917" s="21"/>
      <c r="BD917" s="21"/>
      <c r="BE917" s="21"/>
      <c r="BF917" s="21"/>
      <c r="BG917" s="21"/>
      <c r="BH917" s="21"/>
      <c r="BI917" s="21"/>
      <c r="BJ917" s="21"/>
      <c r="BK917" s="21"/>
      <c r="BL917" s="21"/>
      <c r="BM917" s="21"/>
      <c r="BN917" s="21"/>
      <c r="BO917" s="21"/>
      <c r="BP917" s="21"/>
      <c r="BQ917" s="21"/>
      <c r="BR917" s="21"/>
      <c r="BS917" s="21"/>
      <c r="BT917" s="21"/>
      <c r="BU917" s="21"/>
      <c r="BV917" s="21"/>
      <c r="BW917" s="21"/>
      <c r="BX917" s="21"/>
      <c r="BY917" s="21"/>
      <c r="BZ917" s="21"/>
      <c r="CA917" s="21"/>
      <c r="CB917" s="21"/>
      <c r="CC917" s="21"/>
      <c r="CD917" s="21"/>
      <c r="CE917" s="21"/>
      <c r="CF917" s="21"/>
      <c r="CG917" s="21"/>
      <c r="CH917" s="21"/>
      <c r="CI917" s="21"/>
      <c r="CJ917" s="21"/>
      <c r="CK917" s="21"/>
      <c r="CL917" s="21"/>
      <c r="CM917" s="21"/>
      <c r="CN917" s="21"/>
      <c r="CO917" s="21"/>
      <c r="CP917" s="21"/>
      <c r="CQ917" s="21"/>
      <c r="CR917" s="21"/>
      <c r="CS917" s="21"/>
      <c r="CT917" s="21"/>
      <c r="CU917" s="21"/>
      <c r="CV917" s="21"/>
      <c r="CW917" s="21"/>
      <c r="CX917" s="21"/>
      <c r="CY917" s="21"/>
      <c r="CZ917" s="22"/>
      <c r="DA917" s="21"/>
      <c r="DB917" s="21"/>
    </row>
    <row r="918" spans="3:106" s="19" customFormat="1" ht="12"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2"/>
      <c r="BA918" s="21"/>
      <c r="BB918" s="21"/>
      <c r="BC918" s="21"/>
      <c r="BD918" s="21"/>
      <c r="BE918" s="21"/>
      <c r="BF918" s="21"/>
      <c r="BG918" s="21"/>
      <c r="BH918" s="21"/>
      <c r="BI918" s="21"/>
      <c r="BJ918" s="21"/>
      <c r="BK918" s="21"/>
      <c r="BL918" s="21"/>
      <c r="BM918" s="21"/>
      <c r="BN918" s="21"/>
      <c r="BO918" s="21"/>
      <c r="BP918" s="21"/>
      <c r="BQ918" s="21"/>
      <c r="BR918" s="21"/>
      <c r="BS918" s="21"/>
      <c r="BT918" s="21"/>
      <c r="BU918" s="21"/>
      <c r="BV918" s="21"/>
      <c r="BW918" s="21"/>
      <c r="BX918" s="21"/>
      <c r="BY918" s="21"/>
      <c r="BZ918" s="21"/>
      <c r="CA918" s="21"/>
      <c r="CB918" s="21"/>
      <c r="CC918" s="21"/>
      <c r="CD918" s="21"/>
      <c r="CE918" s="21"/>
      <c r="CF918" s="21"/>
      <c r="CG918" s="21"/>
      <c r="CH918" s="21"/>
      <c r="CI918" s="21"/>
      <c r="CJ918" s="21"/>
      <c r="CK918" s="21"/>
      <c r="CL918" s="21"/>
      <c r="CM918" s="21"/>
      <c r="CN918" s="21"/>
      <c r="CO918" s="21"/>
      <c r="CP918" s="21"/>
      <c r="CQ918" s="21"/>
      <c r="CR918" s="21"/>
      <c r="CS918" s="21"/>
      <c r="CT918" s="21"/>
      <c r="CU918" s="21"/>
      <c r="CV918" s="21"/>
      <c r="CW918" s="21"/>
      <c r="CX918" s="21"/>
      <c r="CY918" s="21"/>
      <c r="CZ918" s="22"/>
      <c r="DA918" s="21"/>
      <c r="DB918" s="21"/>
    </row>
    <row r="919" spans="3:106" s="19" customFormat="1" ht="12"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2"/>
      <c r="BA919" s="21"/>
      <c r="BB919" s="21"/>
      <c r="BC919" s="21"/>
      <c r="BD919" s="21"/>
      <c r="BE919" s="21"/>
      <c r="BF919" s="21"/>
      <c r="BG919" s="21"/>
      <c r="BH919" s="21"/>
      <c r="BI919" s="21"/>
      <c r="BJ919" s="21"/>
      <c r="BK919" s="21"/>
      <c r="BL919" s="21"/>
      <c r="BM919" s="21"/>
      <c r="BN919" s="21"/>
      <c r="BO919" s="21"/>
      <c r="BP919" s="21"/>
      <c r="BQ919" s="21"/>
      <c r="BR919" s="21"/>
      <c r="BS919" s="21"/>
      <c r="BT919" s="21"/>
      <c r="BU919" s="21"/>
      <c r="BV919" s="21"/>
      <c r="BW919" s="21"/>
      <c r="BX919" s="21"/>
      <c r="BY919" s="21"/>
      <c r="BZ919" s="21"/>
      <c r="CA919" s="21"/>
      <c r="CB919" s="21"/>
      <c r="CC919" s="21"/>
      <c r="CD919" s="21"/>
      <c r="CE919" s="21"/>
      <c r="CF919" s="21"/>
      <c r="CG919" s="21"/>
      <c r="CH919" s="21"/>
      <c r="CI919" s="21"/>
      <c r="CJ919" s="21"/>
      <c r="CK919" s="21"/>
      <c r="CL919" s="21"/>
      <c r="CM919" s="21"/>
      <c r="CN919" s="21"/>
      <c r="CO919" s="21"/>
      <c r="CP919" s="21"/>
      <c r="CQ919" s="21"/>
      <c r="CR919" s="21"/>
      <c r="CS919" s="21"/>
      <c r="CT919" s="21"/>
      <c r="CU919" s="21"/>
      <c r="CV919" s="21"/>
      <c r="CW919" s="21"/>
      <c r="CX919" s="21"/>
      <c r="CY919" s="21"/>
      <c r="CZ919" s="22"/>
      <c r="DA919" s="21"/>
      <c r="DB919" s="21"/>
    </row>
    <row r="920" spans="3:106" s="19" customFormat="1" ht="12"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2"/>
      <c r="BA920" s="21"/>
      <c r="BB920" s="21"/>
      <c r="BC920" s="21"/>
      <c r="BD920" s="21"/>
      <c r="BE920" s="21"/>
      <c r="BF920" s="21"/>
      <c r="BG920" s="21"/>
      <c r="BH920" s="21"/>
      <c r="BI920" s="21"/>
      <c r="BJ920" s="21"/>
      <c r="BK920" s="21"/>
      <c r="BL920" s="21"/>
      <c r="BM920" s="21"/>
      <c r="BN920" s="21"/>
      <c r="BO920" s="21"/>
      <c r="BP920" s="21"/>
      <c r="BQ920" s="21"/>
      <c r="BR920" s="21"/>
      <c r="BS920" s="21"/>
      <c r="BT920" s="21"/>
      <c r="BU920" s="21"/>
      <c r="BV920" s="21"/>
      <c r="BW920" s="21"/>
      <c r="BX920" s="21"/>
      <c r="BY920" s="21"/>
      <c r="BZ920" s="21"/>
      <c r="CA920" s="21"/>
      <c r="CB920" s="21"/>
      <c r="CC920" s="21"/>
      <c r="CD920" s="21"/>
      <c r="CE920" s="21"/>
      <c r="CF920" s="21"/>
      <c r="CG920" s="21"/>
      <c r="CH920" s="21"/>
      <c r="CI920" s="21"/>
      <c r="CJ920" s="21"/>
      <c r="CK920" s="21"/>
      <c r="CL920" s="21"/>
      <c r="CM920" s="21"/>
      <c r="CN920" s="21"/>
      <c r="CO920" s="21"/>
      <c r="CP920" s="21"/>
      <c r="CQ920" s="21"/>
      <c r="CR920" s="21"/>
      <c r="CS920" s="21"/>
      <c r="CT920" s="21"/>
      <c r="CU920" s="21"/>
      <c r="CV920" s="21"/>
      <c r="CW920" s="21"/>
      <c r="CX920" s="21"/>
      <c r="CY920" s="21"/>
      <c r="CZ920" s="22"/>
      <c r="DA920" s="21"/>
      <c r="DB920" s="21"/>
    </row>
    <row r="921" spans="3:106" s="19" customFormat="1" ht="12"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2"/>
      <c r="BA921" s="21"/>
      <c r="BB921" s="21"/>
      <c r="BC921" s="21"/>
      <c r="BD921" s="21"/>
      <c r="BE921" s="21"/>
      <c r="BF921" s="21"/>
      <c r="BG921" s="21"/>
      <c r="BH921" s="21"/>
      <c r="BI921" s="21"/>
      <c r="BJ921" s="21"/>
      <c r="BK921" s="21"/>
      <c r="BL921" s="21"/>
      <c r="BM921" s="21"/>
      <c r="BN921" s="21"/>
      <c r="BO921" s="21"/>
      <c r="BP921" s="21"/>
      <c r="BQ921" s="21"/>
      <c r="BR921" s="21"/>
      <c r="BS921" s="21"/>
      <c r="BT921" s="21"/>
      <c r="BU921" s="21"/>
      <c r="BV921" s="21"/>
      <c r="BW921" s="21"/>
      <c r="BX921" s="21"/>
      <c r="BY921" s="21"/>
      <c r="BZ921" s="21"/>
      <c r="CA921" s="21"/>
      <c r="CB921" s="21"/>
      <c r="CC921" s="21"/>
      <c r="CD921" s="21"/>
      <c r="CE921" s="21"/>
      <c r="CF921" s="21"/>
      <c r="CG921" s="21"/>
      <c r="CH921" s="21"/>
      <c r="CI921" s="21"/>
      <c r="CJ921" s="21"/>
      <c r="CK921" s="21"/>
      <c r="CL921" s="21"/>
      <c r="CM921" s="21"/>
      <c r="CN921" s="21"/>
      <c r="CO921" s="21"/>
      <c r="CP921" s="21"/>
      <c r="CQ921" s="21"/>
      <c r="CR921" s="21"/>
      <c r="CS921" s="21"/>
      <c r="CT921" s="21"/>
      <c r="CU921" s="21"/>
      <c r="CV921" s="21"/>
      <c r="CW921" s="21"/>
      <c r="CX921" s="21"/>
      <c r="CY921" s="21"/>
      <c r="CZ921" s="22"/>
      <c r="DA921" s="21"/>
      <c r="DB921" s="21"/>
    </row>
    <row r="922" spans="3:106" s="19" customFormat="1" ht="12"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2"/>
      <c r="BA922" s="21"/>
      <c r="BB922" s="21"/>
      <c r="BC922" s="21"/>
      <c r="BD922" s="21"/>
      <c r="BE922" s="21"/>
      <c r="BF922" s="21"/>
      <c r="BG922" s="21"/>
      <c r="BH922" s="21"/>
      <c r="BI922" s="21"/>
      <c r="BJ922" s="21"/>
      <c r="BK922" s="21"/>
      <c r="BL922" s="21"/>
      <c r="BM922" s="21"/>
      <c r="BN922" s="21"/>
      <c r="BO922" s="21"/>
      <c r="BP922" s="21"/>
      <c r="BQ922" s="21"/>
      <c r="BR922" s="21"/>
      <c r="BS922" s="21"/>
      <c r="BT922" s="21"/>
      <c r="BU922" s="21"/>
      <c r="BV922" s="21"/>
      <c r="BW922" s="21"/>
      <c r="BX922" s="21"/>
      <c r="BY922" s="21"/>
      <c r="BZ922" s="21"/>
      <c r="CA922" s="21"/>
      <c r="CB922" s="21"/>
      <c r="CC922" s="21"/>
      <c r="CD922" s="21"/>
      <c r="CE922" s="21"/>
      <c r="CF922" s="21"/>
      <c r="CG922" s="21"/>
      <c r="CH922" s="21"/>
      <c r="CI922" s="21"/>
      <c r="CJ922" s="21"/>
      <c r="CK922" s="21"/>
      <c r="CL922" s="21"/>
      <c r="CM922" s="21"/>
      <c r="CN922" s="21"/>
      <c r="CO922" s="21"/>
      <c r="CP922" s="21"/>
      <c r="CQ922" s="21"/>
      <c r="CR922" s="21"/>
      <c r="CS922" s="21"/>
      <c r="CT922" s="21"/>
      <c r="CU922" s="21"/>
      <c r="CV922" s="21"/>
      <c r="CW922" s="21"/>
      <c r="CX922" s="21"/>
      <c r="CY922" s="21"/>
      <c r="CZ922" s="22"/>
      <c r="DA922" s="21"/>
      <c r="DB922" s="21"/>
    </row>
    <row r="923" spans="3:106" s="19" customFormat="1" ht="12"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2"/>
      <c r="BA923" s="21"/>
      <c r="BB923" s="21"/>
      <c r="BC923" s="21"/>
      <c r="BD923" s="21"/>
      <c r="BE923" s="21"/>
      <c r="BF923" s="21"/>
      <c r="BG923" s="21"/>
      <c r="BH923" s="21"/>
      <c r="BI923" s="21"/>
      <c r="BJ923" s="21"/>
      <c r="BK923" s="21"/>
      <c r="BL923" s="21"/>
      <c r="BM923" s="21"/>
      <c r="BN923" s="21"/>
      <c r="BO923" s="21"/>
      <c r="BP923" s="21"/>
      <c r="BQ923" s="21"/>
      <c r="BR923" s="21"/>
      <c r="BS923" s="21"/>
      <c r="BT923" s="21"/>
      <c r="BU923" s="21"/>
      <c r="BV923" s="21"/>
      <c r="BW923" s="21"/>
      <c r="BX923" s="21"/>
      <c r="BY923" s="21"/>
      <c r="BZ923" s="21"/>
      <c r="CA923" s="21"/>
      <c r="CB923" s="21"/>
      <c r="CC923" s="21"/>
      <c r="CD923" s="21"/>
      <c r="CE923" s="21"/>
      <c r="CF923" s="21"/>
      <c r="CG923" s="21"/>
      <c r="CH923" s="21"/>
      <c r="CI923" s="21"/>
      <c r="CJ923" s="21"/>
      <c r="CK923" s="21"/>
      <c r="CL923" s="21"/>
      <c r="CM923" s="21"/>
      <c r="CN923" s="21"/>
      <c r="CO923" s="21"/>
      <c r="CP923" s="21"/>
      <c r="CQ923" s="21"/>
      <c r="CR923" s="21"/>
      <c r="CS923" s="21"/>
      <c r="CT923" s="21"/>
      <c r="CU923" s="21"/>
      <c r="CV923" s="21"/>
      <c r="CW923" s="21"/>
      <c r="CX923" s="21"/>
      <c r="CY923" s="21"/>
      <c r="CZ923" s="22"/>
      <c r="DA923" s="21"/>
      <c r="DB923" s="21"/>
    </row>
    <row r="924" spans="3:106" s="19" customFormat="1" ht="12"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2"/>
      <c r="BA924" s="21"/>
      <c r="BB924" s="21"/>
      <c r="BC924" s="21"/>
      <c r="BD924" s="21"/>
      <c r="BE924" s="21"/>
      <c r="BF924" s="21"/>
      <c r="BG924" s="21"/>
      <c r="BH924" s="21"/>
      <c r="BI924" s="21"/>
      <c r="BJ924" s="21"/>
      <c r="BK924" s="21"/>
      <c r="BL924" s="21"/>
      <c r="BM924" s="21"/>
      <c r="BN924" s="21"/>
      <c r="BO924" s="21"/>
      <c r="BP924" s="21"/>
      <c r="BQ924" s="21"/>
      <c r="BR924" s="21"/>
      <c r="BS924" s="21"/>
      <c r="BT924" s="21"/>
      <c r="BU924" s="21"/>
      <c r="BV924" s="21"/>
      <c r="BW924" s="21"/>
      <c r="BX924" s="21"/>
      <c r="BY924" s="21"/>
      <c r="BZ924" s="21"/>
      <c r="CA924" s="21"/>
      <c r="CB924" s="21"/>
      <c r="CC924" s="21"/>
      <c r="CD924" s="21"/>
      <c r="CE924" s="21"/>
      <c r="CF924" s="21"/>
      <c r="CG924" s="21"/>
      <c r="CH924" s="21"/>
      <c r="CI924" s="21"/>
      <c r="CJ924" s="21"/>
      <c r="CK924" s="21"/>
      <c r="CL924" s="21"/>
      <c r="CM924" s="21"/>
      <c r="CN924" s="21"/>
      <c r="CO924" s="21"/>
      <c r="CP924" s="21"/>
      <c r="CQ924" s="21"/>
      <c r="CR924" s="21"/>
      <c r="CS924" s="21"/>
      <c r="CT924" s="21"/>
      <c r="CU924" s="21"/>
      <c r="CV924" s="21"/>
      <c r="CW924" s="21"/>
      <c r="CX924" s="21"/>
      <c r="CY924" s="21"/>
      <c r="CZ924" s="22"/>
      <c r="DA924" s="21"/>
      <c r="DB924" s="21"/>
    </row>
    <row r="925" spans="3:106" s="19" customFormat="1" ht="12"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2"/>
      <c r="BA925" s="21"/>
      <c r="BB925" s="21"/>
      <c r="BC925" s="21"/>
      <c r="BD925" s="21"/>
      <c r="BE925" s="21"/>
      <c r="BF925" s="21"/>
      <c r="BG925" s="21"/>
      <c r="BH925" s="21"/>
      <c r="BI925" s="21"/>
      <c r="BJ925" s="21"/>
      <c r="BK925" s="21"/>
      <c r="BL925" s="21"/>
      <c r="BM925" s="21"/>
      <c r="BN925" s="21"/>
      <c r="BO925" s="21"/>
      <c r="BP925" s="21"/>
      <c r="BQ925" s="21"/>
      <c r="BR925" s="21"/>
      <c r="BS925" s="21"/>
      <c r="BT925" s="21"/>
      <c r="BU925" s="21"/>
      <c r="BV925" s="21"/>
      <c r="BW925" s="21"/>
      <c r="BX925" s="21"/>
      <c r="BY925" s="21"/>
      <c r="BZ925" s="21"/>
      <c r="CA925" s="21"/>
      <c r="CB925" s="21"/>
      <c r="CC925" s="21"/>
      <c r="CD925" s="21"/>
      <c r="CE925" s="21"/>
      <c r="CF925" s="21"/>
      <c r="CG925" s="21"/>
      <c r="CH925" s="21"/>
      <c r="CI925" s="21"/>
      <c r="CJ925" s="21"/>
      <c r="CK925" s="21"/>
      <c r="CL925" s="21"/>
      <c r="CM925" s="21"/>
      <c r="CN925" s="21"/>
      <c r="CO925" s="21"/>
      <c r="CP925" s="21"/>
      <c r="CQ925" s="21"/>
      <c r="CR925" s="21"/>
      <c r="CS925" s="21"/>
      <c r="CT925" s="21"/>
      <c r="CU925" s="21"/>
      <c r="CV925" s="21"/>
      <c r="CW925" s="21"/>
      <c r="CX925" s="21"/>
      <c r="CY925" s="21"/>
      <c r="CZ925" s="22"/>
      <c r="DA925" s="21"/>
      <c r="DB925" s="21"/>
    </row>
    <row r="926" spans="3:106" s="19" customFormat="1" ht="12"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2"/>
      <c r="BA926" s="21"/>
      <c r="BB926" s="21"/>
      <c r="BC926" s="21"/>
      <c r="BD926" s="21"/>
      <c r="BE926" s="21"/>
      <c r="BF926" s="21"/>
      <c r="BG926" s="21"/>
      <c r="BH926" s="21"/>
      <c r="BI926" s="21"/>
      <c r="BJ926" s="21"/>
      <c r="BK926" s="21"/>
      <c r="BL926" s="21"/>
      <c r="BM926" s="21"/>
      <c r="BN926" s="21"/>
      <c r="BO926" s="21"/>
      <c r="BP926" s="21"/>
      <c r="BQ926" s="21"/>
      <c r="BR926" s="21"/>
      <c r="BS926" s="21"/>
      <c r="BT926" s="21"/>
      <c r="BU926" s="21"/>
      <c r="BV926" s="21"/>
      <c r="BW926" s="21"/>
      <c r="BX926" s="21"/>
      <c r="BY926" s="21"/>
      <c r="BZ926" s="21"/>
      <c r="CA926" s="21"/>
      <c r="CB926" s="21"/>
      <c r="CC926" s="21"/>
      <c r="CD926" s="21"/>
      <c r="CE926" s="21"/>
      <c r="CF926" s="21"/>
      <c r="CG926" s="21"/>
      <c r="CH926" s="21"/>
      <c r="CI926" s="21"/>
      <c r="CJ926" s="21"/>
      <c r="CK926" s="21"/>
      <c r="CL926" s="21"/>
      <c r="CM926" s="21"/>
      <c r="CN926" s="21"/>
      <c r="CO926" s="21"/>
      <c r="CP926" s="21"/>
      <c r="CQ926" s="21"/>
      <c r="CR926" s="21"/>
      <c r="CS926" s="21"/>
      <c r="CT926" s="21"/>
      <c r="CU926" s="21"/>
      <c r="CV926" s="21"/>
      <c r="CW926" s="21"/>
      <c r="CX926" s="21"/>
      <c r="CY926" s="21"/>
      <c r="CZ926" s="22"/>
      <c r="DA926" s="21"/>
      <c r="DB926" s="21"/>
    </row>
    <row r="927" spans="3:106" s="19" customFormat="1" ht="12"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2"/>
      <c r="BA927" s="21"/>
      <c r="BB927" s="21"/>
      <c r="BC927" s="21"/>
      <c r="BD927" s="21"/>
      <c r="BE927" s="21"/>
      <c r="BF927" s="21"/>
      <c r="BG927" s="21"/>
      <c r="BH927" s="21"/>
      <c r="BI927" s="21"/>
      <c r="BJ927" s="21"/>
      <c r="BK927" s="21"/>
      <c r="BL927" s="21"/>
      <c r="BM927" s="21"/>
      <c r="BN927" s="21"/>
      <c r="BO927" s="21"/>
      <c r="BP927" s="21"/>
      <c r="BQ927" s="21"/>
      <c r="BR927" s="21"/>
      <c r="BS927" s="21"/>
      <c r="BT927" s="21"/>
      <c r="BU927" s="21"/>
      <c r="BV927" s="21"/>
      <c r="BW927" s="21"/>
      <c r="BX927" s="21"/>
      <c r="BY927" s="21"/>
      <c r="BZ927" s="21"/>
      <c r="CA927" s="21"/>
      <c r="CB927" s="21"/>
      <c r="CC927" s="21"/>
      <c r="CD927" s="21"/>
      <c r="CE927" s="21"/>
      <c r="CF927" s="21"/>
      <c r="CG927" s="21"/>
      <c r="CH927" s="21"/>
      <c r="CI927" s="21"/>
      <c r="CJ927" s="21"/>
      <c r="CK927" s="21"/>
      <c r="CL927" s="21"/>
      <c r="CM927" s="21"/>
      <c r="CN927" s="21"/>
      <c r="CO927" s="21"/>
      <c r="CP927" s="21"/>
      <c r="CQ927" s="21"/>
      <c r="CR927" s="21"/>
      <c r="CS927" s="21"/>
      <c r="CT927" s="21"/>
      <c r="CU927" s="21"/>
      <c r="CV927" s="21"/>
      <c r="CW927" s="21"/>
      <c r="CX927" s="21"/>
      <c r="CY927" s="21"/>
      <c r="CZ927" s="22"/>
      <c r="DA927" s="21"/>
      <c r="DB927" s="21"/>
    </row>
    <row r="928" spans="3:106" s="19" customFormat="1" ht="12"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2"/>
      <c r="BA928" s="21"/>
      <c r="BB928" s="21"/>
      <c r="BC928" s="21"/>
      <c r="BD928" s="21"/>
      <c r="BE928" s="21"/>
      <c r="BF928" s="21"/>
      <c r="BG928" s="21"/>
      <c r="BH928" s="21"/>
      <c r="BI928" s="21"/>
      <c r="BJ928" s="21"/>
      <c r="BK928" s="21"/>
      <c r="BL928" s="21"/>
      <c r="BM928" s="21"/>
      <c r="BN928" s="21"/>
      <c r="BO928" s="21"/>
      <c r="BP928" s="21"/>
      <c r="BQ928" s="21"/>
      <c r="BR928" s="21"/>
      <c r="BS928" s="21"/>
      <c r="BT928" s="21"/>
      <c r="BU928" s="21"/>
      <c r="BV928" s="21"/>
      <c r="BW928" s="21"/>
      <c r="BX928" s="21"/>
      <c r="BY928" s="21"/>
      <c r="BZ928" s="21"/>
      <c r="CA928" s="21"/>
      <c r="CB928" s="21"/>
      <c r="CC928" s="21"/>
      <c r="CD928" s="21"/>
      <c r="CE928" s="21"/>
      <c r="CF928" s="21"/>
      <c r="CG928" s="21"/>
      <c r="CH928" s="21"/>
      <c r="CI928" s="21"/>
      <c r="CJ928" s="21"/>
      <c r="CK928" s="21"/>
      <c r="CL928" s="21"/>
      <c r="CM928" s="21"/>
      <c r="CN928" s="21"/>
      <c r="CO928" s="21"/>
      <c r="CP928" s="21"/>
      <c r="CQ928" s="21"/>
      <c r="CR928" s="21"/>
      <c r="CS928" s="21"/>
      <c r="CT928" s="21"/>
      <c r="CU928" s="21"/>
      <c r="CV928" s="21"/>
      <c r="CW928" s="21"/>
      <c r="CX928" s="21"/>
      <c r="CY928" s="21"/>
      <c r="CZ928" s="22"/>
      <c r="DA928" s="21"/>
      <c r="DB928" s="21"/>
    </row>
    <row r="929" spans="3:106" s="19" customFormat="1" ht="12"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2"/>
      <c r="BA929" s="21"/>
      <c r="BB929" s="21"/>
      <c r="BC929" s="21"/>
      <c r="BD929" s="21"/>
      <c r="BE929" s="21"/>
      <c r="BF929" s="21"/>
      <c r="BG929" s="21"/>
      <c r="BH929" s="21"/>
      <c r="BI929" s="21"/>
      <c r="BJ929" s="21"/>
      <c r="BK929" s="21"/>
      <c r="BL929" s="21"/>
      <c r="BM929" s="21"/>
      <c r="BN929" s="21"/>
      <c r="BO929" s="21"/>
      <c r="BP929" s="21"/>
      <c r="BQ929" s="21"/>
      <c r="BR929" s="21"/>
      <c r="BS929" s="21"/>
      <c r="BT929" s="21"/>
      <c r="BU929" s="21"/>
      <c r="BV929" s="21"/>
      <c r="BW929" s="21"/>
      <c r="BX929" s="21"/>
      <c r="BY929" s="21"/>
      <c r="BZ929" s="21"/>
      <c r="CA929" s="21"/>
      <c r="CB929" s="21"/>
      <c r="CC929" s="21"/>
      <c r="CD929" s="21"/>
      <c r="CE929" s="21"/>
      <c r="CF929" s="21"/>
      <c r="CG929" s="21"/>
      <c r="CH929" s="21"/>
      <c r="CI929" s="21"/>
      <c r="CJ929" s="21"/>
      <c r="CK929" s="21"/>
      <c r="CL929" s="21"/>
      <c r="CM929" s="21"/>
      <c r="CN929" s="21"/>
      <c r="CO929" s="21"/>
      <c r="CP929" s="21"/>
      <c r="CQ929" s="21"/>
      <c r="CR929" s="21"/>
      <c r="CS929" s="21"/>
      <c r="CT929" s="21"/>
      <c r="CU929" s="21"/>
      <c r="CV929" s="21"/>
      <c r="CW929" s="21"/>
      <c r="CX929" s="21"/>
      <c r="CY929" s="21"/>
      <c r="CZ929" s="22"/>
      <c r="DA929" s="21"/>
      <c r="DB929" s="21"/>
    </row>
    <row r="930" spans="3:106" s="19" customFormat="1" ht="12"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2"/>
      <c r="BA930" s="21"/>
      <c r="BB930" s="21"/>
      <c r="BC930" s="21"/>
      <c r="BD930" s="21"/>
      <c r="BE930" s="21"/>
      <c r="BF930" s="21"/>
      <c r="BG930" s="21"/>
      <c r="BH930" s="21"/>
      <c r="BI930" s="21"/>
      <c r="BJ930" s="21"/>
      <c r="BK930" s="21"/>
      <c r="BL930" s="21"/>
      <c r="BM930" s="21"/>
      <c r="BN930" s="21"/>
      <c r="BO930" s="21"/>
      <c r="BP930" s="21"/>
      <c r="BQ930" s="21"/>
      <c r="BR930" s="21"/>
      <c r="BS930" s="21"/>
      <c r="BT930" s="21"/>
      <c r="BU930" s="21"/>
      <c r="BV930" s="21"/>
      <c r="BW930" s="21"/>
      <c r="BX930" s="21"/>
      <c r="BY930" s="21"/>
      <c r="BZ930" s="21"/>
      <c r="CA930" s="21"/>
      <c r="CB930" s="21"/>
      <c r="CC930" s="21"/>
      <c r="CD930" s="21"/>
      <c r="CE930" s="21"/>
      <c r="CF930" s="21"/>
      <c r="CG930" s="21"/>
      <c r="CH930" s="21"/>
      <c r="CI930" s="21"/>
      <c r="CJ930" s="21"/>
      <c r="CK930" s="21"/>
      <c r="CL930" s="21"/>
      <c r="CM930" s="21"/>
      <c r="CN930" s="21"/>
      <c r="CO930" s="21"/>
      <c r="CP930" s="21"/>
      <c r="CQ930" s="21"/>
      <c r="CR930" s="21"/>
      <c r="CS930" s="21"/>
      <c r="CT930" s="21"/>
      <c r="CU930" s="21"/>
      <c r="CV930" s="21"/>
      <c r="CW930" s="21"/>
      <c r="CX930" s="21"/>
      <c r="CY930" s="21"/>
      <c r="CZ930" s="22"/>
      <c r="DA930" s="21"/>
      <c r="DB930" s="21"/>
    </row>
    <row r="931" spans="3:106" s="19" customFormat="1" ht="12"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2"/>
      <c r="BA931" s="21"/>
      <c r="BB931" s="21"/>
      <c r="BC931" s="21"/>
      <c r="BD931" s="21"/>
      <c r="BE931" s="21"/>
      <c r="BF931" s="21"/>
      <c r="BG931" s="21"/>
      <c r="BH931" s="21"/>
      <c r="BI931" s="21"/>
      <c r="BJ931" s="21"/>
      <c r="BK931" s="21"/>
      <c r="BL931" s="21"/>
      <c r="BM931" s="21"/>
      <c r="BN931" s="21"/>
      <c r="BO931" s="21"/>
      <c r="BP931" s="21"/>
      <c r="BQ931" s="21"/>
      <c r="BR931" s="21"/>
      <c r="BS931" s="21"/>
      <c r="BT931" s="21"/>
      <c r="BU931" s="21"/>
      <c r="BV931" s="21"/>
      <c r="BW931" s="21"/>
      <c r="BX931" s="21"/>
      <c r="BY931" s="21"/>
      <c r="BZ931" s="21"/>
      <c r="CA931" s="21"/>
      <c r="CB931" s="21"/>
      <c r="CC931" s="21"/>
      <c r="CD931" s="21"/>
      <c r="CE931" s="21"/>
      <c r="CF931" s="21"/>
      <c r="CG931" s="21"/>
      <c r="CH931" s="21"/>
      <c r="CI931" s="21"/>
      <c r="CJ931" s="21"/>
      <c r="CK931" s="21"/>
      <c r="CL931" s="21"/>
      <c r="CM931" s="21"/>
      <c r="CN931" s="21"/>
      <c r="CO931" s="21"/>
      <c r="CP931" s="21"/>
      <c r="CQ931" s="21"/>
      <c r="CR931" s="21"/>
      <c r="CS931" s="21"/>
      <c r="CT931" s="21"/>
      <c r="CU931" s="21"/>
      <c r="CV931" s="21"/>
      <c r="CW931" s="21"/>
      <c r="CX931" s="21"/>
      <c r="CY931" s="21"/>
      <c r="CZ931" s="22"/>
      <c r="DA931" s="21"/>
      <c r="DB931" s="21"/>
    </row>
    <row r="932" spans="3:106" s="19" customFormat="1" ht="12"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2"/>
      <c r="BA932" s="21"/>
      <c r="BB932" s="21"/>
      <c r="BC932" s="21"/>
      <c r="BD932" s="21"/>
      <c r="BE932" s="21"/>
      <c r="BF932" s="21"/>
      <c r="BG932" s="21"/>
      <c r="BH932" s="21"/>
      <c r="BI932" s="21"/>
      <c r="BJ932" s="21"/>
      <c r="BK932" s="21"/>
      <c r="BL932" s="21"/>
      <c r="BM932" s="21"/>
      <c r="BN932" s="21"/>
      <c r="BO932" s="21"/>
      <c r="BP932" s="21"/>
      <c r="BQ932" s="21"/>
      <c r="BR932" s="21"/>
      <c r="BS932" s="21"/>
      <c r="BT932" s="21"/>
      <c r="BU932" s="21"/>
      <c r="BV932" s="21"/>
      <c r="BW932" s="21"/>
      <c r="BX932" s="21"/>
      <c r="BY932" s="21"/>
      <c r="BZ932" s="21"/>
      <c r="CA932" s="21"/>
      <c r="CB932" s="21"/>
      <c r="CC932" s="21"/>
      <c r="CD932" s="21"/>
      <c r="CE932" s="21"/>
      <c r="CF932" s="21"/>
      <c r="CG932" s="21"/>
      <c r="CH932" s="21"/>
      <c r="CI932" s="21"/>
      <c r="CJ932" s="21"/>
      <c r="CK932" s="21"/>
      <c r="CL932" s="21"/>
      <c r="CM932" s="21"/>
      <c r="CN932" s="21"/>
      <c r="CO932" s="21"/>
      <c r="CP932" s="21"/>
      <c r="CQ932" s="21"/>
      <c r="CR932" s="21"/>
      <c r="CS932" s="21"/>
      <c r="CT932" s="21"/>
      <c r="CU932" s="21"/>
      <c r="CV932" s="21"/>
      <c r="CW932" s="21"/>
      <c r="CX932" s="21"/>
      <c r="CY932" s="21"/>
      <c r="CZ932" s="22"/>
      <c r="DA932" s="21"/>
      <c r="DB932" s="21"/>
    </row>
    <row r="933" spans="3:106" s="19" customFormat="1" ht="12"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2"/>
      <c r="BA933" s="21"/>
      <c r="BB933" s="21"/>
      <c r="BC933" s="21"/>
      <c r="BD933" s="21"/>
      <c r="BE933" s="21"/>
      <c r="BF933" s="21"/>
      <c r="BG933" s="21"/>
      <c r="BH933" s="21"/>
      <c r="BI933" s="21"/>
      <c r="BJ933" s="21"/>
      <c r="BK933" s="21"/>
      <c r="BL933" s="21"/>
      <c r="BM933" s="21"/>
      <c r="BN933" s="21"/>
      <c r="BO933" s="21"/>
      <c r="BP933" s="21"/>
      <c r="BQ933" s="21"/>
      <c r="BR933" s="21"/>
      <c r="BS933" s="21"/>
      <c r="BT933" s="21"/>
      <c r="BU933" s="21"/>
      <c r="BV933" s="21"/>
      <c r="BW933" s="21"/>
      <c r="BX933" s="21"/>
      <c r="BY933" s="21"/>
      <c r="BZ933" s="21"/>
      <c r="CA933" s="21"/>
      <c r="CB933" s="21"/>
      <c r="CC933" s="21"/>
      <c r="CD933" s="21"/>
      <c r="CE933" s="21"/>
      <c r="CF933" s="21"/>
      <c r="CG933" s="21"/>
      <c r="CH933" s="21"/>
      <c r="CI933" s="21"/>
      <c r="CJ933" s="21"/>
      <c r="CK933" s="21"/>
      <c r="CL933" s="21"/>
      <c r="CM933" s="21"/>
      <c r="CN933" s="21"/>
      <c r="CO933" s="21"/>
      <c r="CP933" s="21"/>
      <c r="CQ933" s="21"/>
      <c r="CR933" s="21"/>
      <c r="CS933" s="21"/>
      <c r="CT933" s="21"/>
      <c r="CU933" s="21"/>
      <c r="CV933" s="21"/>
      <c r="CW933" s="21"/>
      <c r="CX933" s="21"/>
      <c r="CY933" s="21"/>
      <c r="CZ933" s="22"/>
      <c r="DA933" s="21"/>
      <c r="DB933" s="21"/>
    </row>
    <row r="934" spans="3:106" s="19" customFormat="1" ht="12"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2"/>
      <c r="BA934" s="21"/>
      <c r="BB934" s="21"/>
      <c r="BC934" s="21"/>
      <c r="BD934" s="21"/>
      <c r="BE934" s="21"/>
      <c r="BF934" s="21"/>
      <c r="BG934" s="21"/>
      <c r="BH934" s="21"/>
      <c r="BI934" s="21"/>
      <c r="BJ934" s="21"/>
      <c r="BK934" s="21"/>
      <c r="BL934" s="21"/>
      <c r="BM934" s="21"/>
      <c r="BN934" s="21"/>
      <c r="BO934" s="21"/>
      <c r="BP934" s="21"/>
      <c r="BQ934" s="21"/>
      <c r="BR934" s="21"/>
      <c r="BS934" s="21"/>
      <c r="BT934" s="21"/>
      <c r="BU934" s="21"/>
      <c r="BV934" s="21"/>
      <c r="BW934" s="21"/>
      <c r="BX934" s="21"/>
      <c r="BY934" s="21"/>
      <c r="BZ934" s="21"/>
      <c r="CA934" s="21"/>
      <c r="CB934" s="21"/>
      <c r="CC934" s="21"/>
      <c r="CD934" s="21"/>
      <c r="CE934" s="21"/>
      <c r="CF934" s="21"/>
      <c r="CG934" s="21"/>
      <c r="CH934" s="21"/>
      <c r="CI934" s="21"/>
      <c r="CJ934" s="21"/>
      <c r="CK934" s="21"/>
      <c r="CL934" s="21"/>
      <c r="CM934" s="21"/>
      <c r="CN934" s="21"/>
      <c r="CO934" s="21"/>
      <c r="CP934" s="21"/>
      <c r="CQ934" s="21"/>
      <c r="CR934" s="21"/>
      <c r="CS934" s="21"/>
      <c r="CT934" s="21"/>
      <c r="CU934" s="21"/>
      <c r="CV934" s="21"/>
      <c r="CW934" s="21"/>
      <c r="CX934" s="21"/>
      <c r="CY934" s="21"/>
      <c r="CZ934" s="22"/>
      <c r="DA934" s="21"/>
      <c r="DB934" s="21"/>
    </row>
    <row r="935" spans="3:106" s="19" customFormat="1" ht="12"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2"/>
      <c r="BA935" s="21"/>
      <c r="BB935" s="21"/>
      <c r="BC935" s="21"/>
      <c r="BD935" s="21"/>
      <c r="BE935" s="21"/>
      <c r="BF935" s="21"/>
      <c r="BG935" s="21"/>
      <c r="BH935" s="21"/>
      <c r="BI935" s="21"/>
      <c r="BJ935" s="21"/>
      <c r="BK935" s="21"/>
      <c r="BL935" s="21"/>
      <c r="BM935" s="21"/>
      <c r="BN935" s="21"/>
      <c r="BO935" s="21"/>
      <c r="BP935" s="21"/>
      <c r="BQ935" s="21"/>
      <c r="BR935" s="21"/>
      <c r="BS935" s="21"/>
      <c r="BT935" s="21"/>
      <c r="BU935" s="21"/>
      <c r="BV935" s="21"/>
      <c r="BW935" s="21"/>
      <c r="BX935" s="21"/>
      <c r="BY935" s="21"/>
      <c r="BZ935" s="21"/>
      <c r="CA935" s="21"/>
      <c r="CB935" s="21"/>
      <c r="CC935" s="21"/>
      <c r="CD935" s="21"/>
      <c r="CE935" s="21"/>
      <c r="CF935" s="21"/>
      <c r="CG935" s="21"/>
      <c r="CH935" s="21"/>
      <c r="CI935" s="21"/>
      <c r="CJ935" s="21"/>
      <c r="CK935" s="21"/>
      <c r="CL935" s="21"/>
      <c r="CM935" s="21"/>
      <c r="CN935" s="21"/>
      <c r="CO935" s="21"/>
      <c r="CP935" s="21"/>
      <c r="CQ935" s="21"/>
      <c r="CR935" s="21"/>
      <c r="CS935" s="21"/>
      <c r="CT935" s="21"/>
      <c r="CU935" s="21"/>
      <c r="CV935" s="21"/>
      <c r="CW935" s="21"/>
      <c r="CX935" s="21"/>
      <c r="CY935" s="21"/>
      <c r="CZ935" s="22"/>
      <c r="DA935" s="21"/>
      <c r="DB935" s="21"/>
    </row>
    <row r="936" spans="3:106" s="19" customFormat="1" ht="12"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2"/>
      <c r="BA936" s="21"/>
      <c r="BB936" s="21"/>
      <c r="BC936" s="21"/>
      <c r="BD936" s="21"/>
      <c r="BE936" s="21"/>
      <c r="BF936" s="21"/>
      <c r="BG936" s="21"/>
      <c r="BH936" s="21"/>
      <c r="BI936" s="21"/>
      <c r="BJ936" s="21"/>
      <c r="BK936" s="21"/>
      <c r="BL936" s="21"/>
      <c r="BM936" s="21"/>
      <c r="BN936" s="21"/>
      <c r="BO936" s="21"/>
      <c r="BP936" s="21"/>
      <c r="BQ936" s="21"/>
      <c r="BR936" s="21"/>
      <c r="BS936" s="21"/>
      <c r="BT936" s="21"/>
      <c r="BU936" s="21"/>
      <c r="BV936" s="21"/>
      <c r="BW936" s="21"/>
      <c r="BX936" s="21"/>
      <c r="BY936" s="21"/>
      <c r="BZ936" s="21"/>
      <c r="CA936" s="21"/>
      <c r="CB936" s="21"/>
      <c r="CC936" s="21"/>
      <c r="CD936" s="21"/>
      <c r="CE936" s="21"/>
      <c r="CF936" s="21"/>
      <c r="CG936" s="21"/>
      <c r="CH936" s="21"/>
      <c r="CI936" s="21"/>
      <c r="CJ936" s="21"/>
      <c r="CK936" s="21"/>
      <c r="CL936" s="21"/>
      <c r="CM936" s="21"/>
      <c r="CN936" s="21"/>
      <c r="CO936" s="21"/>
      <c r="CP936" s="21"/>
      <c r="CQ936" s="21"/>
      <c r="CR936" s="21"/>
      <c r="CS936" s="21"/>
      <c r="CT936" s="21"/>
      <c r="CU936" s="21"/>
      <c r="CV936" s="21"/>
      <c r="CW936" s="21"/>
      <c r="CX936" s="21"/>
      <c r="CY936" s="21"/>
      <c r="CZ936" s="22"/>
      <c r="DA936" s="21"/>
      <c r="DB936" s="21"/>
    </row>
    <row r="937" spans="3:106" s="19" customFormat="1" ht="12"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2"/>
      <c r="BA937" s="21"/>
      <c r="BB937" s="21"/>
      <c r="BC937" s="21"/>
      <c r="BD937" s="21"/>
      <c r="BE937" s="21"/>
      <c r="BF937" s="21"/>
      <c r="BG937" s="21"/>
      <c r="BH937" s="21"/>
      <c r="BI937" s="21"/>
      <c r="BJ937" s="21"/>
      <c r="BK937" s="21"/>
      <c r="BL937" s="21"/>
      <c r="BM937" s="21"/>
      <c r="BN937" s="21"/>
      <c r="BO937" s="21"/>
      <c r="BP937" s="21"/>
      <c r="BQ937" s="21"/>
      <c r="BR937" s="21"/>
      <c r="BS937" s="21"/>
      <c r="BT937" s="21"/>
      <c r="BU937" s="21"/>
      <c r="BV937" s="21"/>
      <c r="BW937" s="21"/>
      <c r="BX937" s="21"/>
      <c r="BY937" s="21"/>
      <c r="BZ937" s="21"/>
      <c r="CA937" s="21"/>
      <c r="CB937" s="21"/>
      <c r="CC937" s="21"/>
      <c r="CD937" s="21"/>
      <c r="CE937" s="21"/>
      <c r="CF937" s="21"/>
      <c r="CG937" s="21"/>
      <c r="CH937" s="21"/>
      <c r="CI937" s="21"/>
      <c r="CJ937" s="21"/>
      <c r="CK937" s="21"/>
      <c r="CL937" s="21"/>
      <c r="CM937" s="21"/>
      <c r="CN937" s="21"/>
      <c r="CO937" s="21"/>
      <c r="CP937" s="21"/>
      <c r="CQ937" s="21"/>
      <c r="CR937" s="21"/>
      <c r="CS937" s="21"/>
      <c r="CT937" s="21"/>
      <c r="CU937" s="21"/>
      <c r="CV937" s="21"/>
      <c r="CW937" s="21"/>
      <c r="CX937" s="21"/>
      <c r="CY937" s="21"/>
      <c r="CZ937" s="22"/>
      <c r="DA937" s="21"/>
      <c r="DB937" s="21"/>
    </row>
    <row r="938" spans="3:106" s="19" customFormat="1" ht="12"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2"/>
      <c r="BA938" s="21"/>
      <c r="BB938" s="21"/>
      <c r="BC938" s="21"/>
      <c r="BD938" s="21"/>
      <c r="BE938" s="21"/>
      <c r="BF938" s="21"/>
      <c r="BG938" s="21"/>
      <c r="BH938" s="21"/>
      <c r="BI938" s="21"/>
      <c r="BJ938" s="21"/>
      <c r="BK938" s="21"/>
      <c r="BL938" s="21"/>
      <c r="BM938" s="21"/>
      <c r="BN938" s="21"/>
      <c r="BO938" s="21"/>
      <c r="BP938" s="21"/>
      <c r="BQ938" s="21"/>
      <c r="BR938" s="21"/>
      <c r="BS938" s="21"/>
      <c r="BT938" s="21"/>
      <c r="BU938" s="21"/>
      <c r="BV938" s="21"/>
      <c r="BW938" s="21"/>
      <c r="BX938" s="21"/>
      <c r="BY938" s="21"/>
      <c r="BZ938" s="21"/>
      <c r="CA938" s="21"/>
      <c r="CB938" s="21"/>
      <c r="CC938" s="21"/>
      <c r="CD938" s="21"/>
      <c r="CE938" s="21"/>
      <c r="CF938" s="21"/>
      <c r="CG938" s="21"/>
      <c r="CH938" s="21"/>
      <c r="CI938" s="21"/>
      <c r="CJ938" s="21"/>
      <c r="CK938" s="21"/>
      <c r="CL938" s="21"/>
      <c r="CM938" s="21"/>
      <c r="CN938" s="21"/>
      <c r="CO938" s="21"/>
      <c r="CP938" s="21"/>
      <c r="CQ938" s="21"/>
      <c r="CR938" s="21"/>
      <c r="CS938" s="21"/>
      <c r="CT938" s="21"/>
      <c r="CU938" s="21"/>
      <c r="CV938" s="21"/>
      <c r="CW938" s="21"/>
      <c r="CX938" s="21"/>
      <c r="CY938" s="21"/>
      <c r="CZ938" s="22"/>
      <c r="DA938" s="21"/>
      <c r="DB938" s="21"/>
    </row>
    <row r="939" spans="3:106" s="19" customFormat="1" ht="12"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2"/>
      <c r="BA939" s="21"/>
      <c r="BB939" s="21"/>
      <c r="BC939" s="21"/>
      <c r="BD939" s="21"/>
      <c r="BE939" s="21"/>
      <c r="BF939" s="21"/>
      <c r="BG939" s="21"/>
      <c r="BH939" s="21"/>
      <c r="BI939" s="21"/>
      <c r="BJ939" s="21"/>
      <c r="BK939" s="21"/>
      <c r="BL939" s="21"/>
      <c r="BM939" s="21"/>
      <c r="BN939" s="21"/>
      <c r="BO939" s="21"/>
      <c r="BP939" s="21"/>
      <c r="BQ939" s="21"/>
      <c r="BR939" s="21"/>
      <c r="BS939" s="21"/>
      <c r="BT939" s="21"/>
      <c r="BU939" s="21"/>
      <c r="BV939" s="21"/>
      <c r="BW939" s="21"/>
      <c r="BX939" s="21"/>
      <c r="BY939" s="21"/>
      <c r="BZ939" s="21"/>
      <c r="CA939" s="21"/>
      <c r="CB939" s="21"/>
      <c r="CC939" s="21"/>
      <c r="CD939" s="21"/>
      <c r="CE939" s="21"/>
      <c r="CF939" s="21"/>
      <c r="CG939" s="21"/>
      <c r="CH939" s="21"/>
      <c r="CI939" s="21"/>
      <c r="CJ939" s="21"/>
      <c r="CK939" s="21"/>
      <c r="CL939" s="21"/>
      <c r="CM939" s="21"/>
      <c r="CN939" s="21"/>
      <c r="CO939" s="21"/>
      <c r="CP939" s="21"/>
      <c r="CQ939" s="21"/>
      <c r="CR939" s="21"/>
      <c r="CS939" s="21"/>
      <c r="CT939" s="21"/>
      <c r="CU939" s="21"/>
      <c r="CV939" s="21"/>
      <c r="CW939" s="21"/>
      <c r="CX939" s="21"/>
      <c r="CY939" s="21"/>
      <c r="CZ939" s="22"/>
      <c r="DA939" s="21"/>
      <c r="DB939" s="21"/>
    </row>
    <row r="940" spans="3:106" s="19" customFormat="1" ht="12"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2"/>
      <c r="BA940" s="21"/>
      <c r="BB940" s="21"/>
      <c r="BC940" s="21"/>
      <c r="BD940" s="21"/>
      <c r="BE940" s="21"/>
      <c r="BF940" s="21"/>
      <c r="BG940" s="21"/>
      <c r="BH940" s="21"/>
      <c r="BI940" s="21"/>
      <c r="BJ940" s="21"/>
      <c r="BK940" s="21"/>
      <c r="BL940" s="21"/>
      <c r="BM940" s="21"/>
      <c r="BN940" s="21"/>
      <c r="BO940" s="21"/>
      <c r="BP940" s="21"/>
      <c r="BQ940" s="21"/>
      <c r="BR940" s="21"/>
      <c r="BS940" s="21"/>
      <c r="BT940" s="21"/>
      <c r="BU940" s="21"/>
      <c r="BV940" s="21"/>
      <c r="BW940" s="21"/>
      <c r="BX940" s="21"/>
      <c r="BY940" s="21"/>
      <c r="BZ940" s="21"/>
      <c r="CA940" s="21"/>
      <c r="CB940" s="21"/>
      <c r="CC940" s="21"/>
      <c r="CD940" s="21"/>
      <c r="CE940" s="21"/>
      <c r="CF940" s="21"/>
      <c r="CG940" s="21"/>
      <c r="CH940" s="21"/>
      <c r="CI940" s="21"/>
      <c r="CJ940" s="21"/>
      <c r="CK940" s="21"/>
      <c r="CL940" s="21"/>
      <c r="CM940" s="21"/>
      <c r="CN940" s="21"/>
      <c r="CO940" s="21"/>
      <c r="CP940" s="21"/>
      <c r="CQ940" s="21"/>
      <c r="CR940" s="21"/>
      <c r="CS940" s="21"/>
      <c r="CT940" s="21"/>
      <c r="CU940" s="21"/>
      <c r="CV940" s="21"/>
      <c r="CW940" s="21"/>
      <c r="CX940" s="21"/>
      <c r="CY940" s="21"/>
      <c r="CZ940" s="22"/>
      <c r="DA940" s="21"/>
      <c r="DB940" s="21"/>
    </row>
    <row r="941" spans="3:106" s="19" customFormat="1" ht="12"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2"/>
      <c r="BA941" s="21"/>
      <c r="BB941" s="21"/>
      <c r="BC941" s="21"/>
      <c r="BD941" s="21"/>
      <c r="BE941" s="21"/>
      <c r="BF941" s="21"/>
      <c r="BG941" s="21"/>
      <c r="BH941" s="21"/>
      <c r="BI941" s="21"/>
      <c r="BJ941" s="21"/>
      <c r="BK941" s="21"/>
      <c r="BL941" s="21"/>
      <c r="BM941" s="21"/>
      <c r="BN941" s="21"/>
      <c r="BO941" s="21"/>
      <c r="BP941" s="21"/>
      <c r="BQ941" s="21"/>
      <c r="BR941" s="21"/>
      <c r="BS941" s="21"/>
      <c r="BT941" s="21"/>
      <c r="BU941" s="21"/>
      <c r="BV941" s="21"/>
      <c r="BW941" s="21"/>
      <c r="BX941" s="21"/>
      <c r="BY941" s="21"/>
      <c r="BZ941" s="21"/>
      <c r="CA941" s="21"/>
      <c r="CB941" s="21"/>
      <c r="CC941" s="21"/>
      <c r="CD941" s="21"/>
      <c r="CE941" s="21"/>
      <c r="CF941" s="21"/>
      <c r="CG941" s="21"/>
      <c r="CH941" s="21"/>
      <c r="CI941" s="21"/>
      <c r="CJ941" s="21"/>
      <c r="CK941" s="21"/>
      <c r="CL941" s="21"/>
      <c r="CM941" s="21"/>
      <c r="CN941" s="21"/>
      <c r="CO941" s="21"/>
      <c r="CP941" s="21"/>
      <c r="CQ941" s="21"/>
      <c r="CR941" s="21"/>
      <c r="CS941" s="21"/>
      <c r="CT941" s="21"/>
      <c r="CU941" s="21"/>
      <c r="CV941" s="21"/>
      <c r="CW941" s="21"/>
      <c r="CX941" s="21"/>
      <c r="CY941" s="21"/>
      <c r="CZ941" s="22"/>
      <c r="DA941" s="21"/>
      <c r="DB941" s="21"/>
    </row>
    <row r="942" spans="3:106" s="19" customFormat="1" ht="12"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2"/>
      <c r="BA942" s="21"/>
      <c r="BB942" s="21"/>
      <c r="BC942" s="21"/>
      <c r="BD942" s="21"/>
      <c r="BE942" s="21"/>
      <c r="BF942" s="21"/>
      <c r="BG942" s="21"/>
      <c r="BH942" s="21"/>
      <c r="BI942" s="21"/>
      <c r="BJ942" s="21"/>
      <c r="BK942" s="21"/>
      <c r="BL942" s="21"/>
      <c r="BM942" s="21"/>
      <c r="BN942" s="21"/>
      <c r="BO942" s="21"/>
      <c r="BP942" s="21"/>
      <c r="BQ942" s="21"/>
      <c r="BR942" s="21"/>
      <c r="BS942" s="21"/>
      <c r="BT942" s="21"/>
      <c r="BU942" s="21"/>
      <c r="BV942" s="21"/>
      <c r="BW942" s="21"/>
      <c r="BX942" s="21"/>
      <c r="BY942" s="21"/>
      <c r="BZ942" s="21"/>
      <c r="CA942" s="21"/>
      <c r="CB942" s="21"/>
      <c r="CC942" s="21"/>
      <c r="CD942" s="21"/>
      <c r="CE942" s="21"/>
      <c r="CF942" s="21"/>
      <c r="CG942" s="21"/>
      <c r="CH942" s="21"/>
      <c r="CI942" s="21"/>
      <c r="CJ942" s="21"/>
      <c r="CK942" s="21"/>
      <c r="CL942" s="21"/>
      <c r="CM942" s="21"/>
      <c r="CN942" s="21"/>
      <c r="CO942" s="21"/>
      <c r="CP942" s="21"/>
      <c r="CQ942" s="21"/>
      <c r="CR942" s="21"/>
      <c r="CS942" s="21"/>
      <c r="CT942" s="21"/>
      <c r="CU942" s="21"/>
      <c r="CV942" s="21"/>
      <c r="CW942" s="21"/>
      <c r="CX942" s="21"/>
      <c r="CY942" s="21"/>
      <c r="CZ942" s="22"/>
      <c r="DA942" s="21"/>
      <c r="DB942" s="21"/>
    </row>
    <row r="943" spans="3:106" s="19" customFormat="1" ht="12"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2"/>
      <c r="BA943" s="21"/>
      <c r="BB943" s="21"/>
      <c r="BC943" s="21"/>
      <c r="BD943" s="21"/>
      <c r="BE943" s="21"/>
      <c r="BF943" s="21"/>
      <c r="BG943" s="21"/>
      <c r="BH943" s="21"/>
      <c r="BI943" s="21"/>
      <c r="BJ943" s="21"/>
      <c r="BK943" s="21"/>
      <c r="BL943" s="21"/>
      <c r="BM943" s="21"/>
      <c r="BN943" s="21"/>
      <c r="BO943" s="21"/>
      <c r="BP943" s="21"/>
      <c r="BQ943" s="21"/>
      <c r="BR943" s="21"/>
      <c r="BS943" s="21"/>
      <c r="BT943" s="21"/>
      <c r="BU943" s="21"/>
      <c r="BV943" s="21"/>
      <c r="BW943" s="21"/>
      <c r="BX943" s="21"/>
      <c r="BY943" s="21"/>
      <c r="BZ943" s="21"/>
      <c r="CA943" s="21"/>
      <c r="CB943" s="21"/>
      <c r="CC943" s="21"/>
      <c r="CD943" s="21"/>
      <c r="CE943" s="21"/>
      <c r="CF943" s="21"/>
      <c r="CG943" s="21"/>
      <c r="CH943" s="21"/>
      <c r="CI943" s="21"/>
      <c r="CJ943" s="21"/>
      <c r="CK943" s="21"/>
      <c r="CL943" s="21"/>
      <c r="CM943" s="21"/>
      <c r="CN943" s="21"/>
      <c r="CO943" s="21"/>
      <c r="CP943" s="21"/>
      <c r="CQ943" s="21"/>
      <c r="CR943" s="21"/>
      <c r="CS943" s="21"/>
      <c r="CT943" s="21"/>
      <c r="CU943" s="21"/>
      <c r="CV943" s="21"/>
      <c r="CW943" s="21"/>
      <c r="CX943" s="21"/>
      <c r="CY943" s="21"/>
      <c r="CZ943" s="22"/>
      <c r="DA943" s="21"/>
      <c r="DB943" s="21"/>
    </row>
    <row r="944" spans="3:106" s="19" customFormat="1" ht="12"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2"/>
      <c r="BA944" s="21"/>
      <c r="BB944" s="21"/>
      <c r="BC944" s="21"/>
      <c r="BD944" s="21"/>
      <c r="BE944" s="21"/>
      <c r="BF944" s="21"/>
      <c r="BG944" s="21"/>
      <c r="BH944" s="21"/>
      <c r="BI944" s="21"/>
      <c r="BJ944" s="21"/>
      <c r="BK944" s="21"/>
      <c r="BL944" s="21"/>
      <c r="BM944" s="21"/>
      <c r="BN944" s="21"/>
      <c r="BO944" s="21"/>
      <c r="BP944" s="21"/>
      <c r="BQ944" s="21"/>
      <c r="BR944" s="21"/>
      <c r="BS944" s="21"/>
      <c r="BT944" s="21"/>
      <c r="BU944" s="21"/>
      <c r="BV944" s="21"/>
      <c r="BW944" s="21"/>
      <c r="BX944" s="21"/>
      <c r="BY944" s="21"/>
      <c r="BZ944" s="21"/>
      <c r="CA944" s="21"/>
      <c r="CB944" s="21"/>
      <c r="CC944" s="21"/>
      <c r="CD944" s="21"/>
      <c r="CE944" s="21"/>
      <c r="CF944" s="21"/>
      <c r="CG944" s="21"/>
      <c r="CH944" s="21"/>
      <c r="CI944" s="21"/>
      <c r="CJ944" s="21"/>
      <c r="CK944" s="21"/>
      <c r="CL944" s="21"/>
      <c r="CM944" s="21"/>
      <c r="CN944" s="21"/>
      <c r="CO944" s="21"/>
      <c r="CP944" s="21"/>
      <c r="CQ944" s="21"/>
      <c r="CR944" s="21"/>
      <c r="CS944" s="21"/>
      <c r="CT944" s="21"/>
      <c r="CU944" s="21"/>
      <c r="CV944" s="21"/>
      <c r="CW944" s="21"/>
      <c r="CX944" s="21"/>
      <c r="CY944" s="21"/>
      <c r="CZ944" s="22"/>
      <c r="DA944" s="21"/>
      <c r="DB944" s="21"/>
    </row>
    <row r="945" spans="3:106" s="19" customFormat="1" ht="12"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2"/>
      <c r="BA945" s="21"/>
      <c r="BB945" s="21"/>
      <c r="BC945" s="21"/>
      <c r="BD945" s="21"/>
      <c r="BE945" s="21"/>
      <c r="BF945" s="21"/>
      <c r="BG945" s="21"/>
      <c r="BH945" s="21"/>
      <c r="BI945" s="21"/>
      <c r="BJ945" s="21"/>
      <c r="BK945" s="21"/>
      <c r="BL945" s="21"/>
      <c r="BM945" s="21"/>
      <c r="BN945" s="21"/>
      <c r="BO945" s="21"/>
      <c r="BP945" s="21"/>
      <c r="BQ945" s="21"/>
      <c r="BR945" s="21"/>
      <c r="BS945" s="21"/>
      <c r="BT945" s="21"/>
      <c r="BU945" s="21"/>
      <c r="BV945" s="21"/>
      <c r="BW945" s="21"/>
      <c r="BX945" s="21"/>
      <c r="BY945" s="21"/>
      <c r="BZ945" s="21"/>
      <c r="CA945" s="21"/>
      <c r="CB945" s="21"/>
      <c r="CC945" s="21"/>
      <c r="CD945" s="21"/>
      <c r="CE945" s="21"/>
      <c r="CF945" s="21"/>
      <c r="CG945" s="21"/>
      <c r="CH945" s="21"/>
      <c r="CI945" s="21"/>
      <c r="CJ945" s="21"/>
      <c r="CK945" s="21"/>
      <c r="CL945" s="21"/>
      <c r="CM945" s="21"/>
      <c r="CN945" s="21"/>
      <c r="CO945" s="21"/>
      <c r="CP945" s="21"/>
      <c r="CQ945" s="21"/>
      <c r="CR945" s="21"/>
      <c r="CS945" s="21"/>
      <c r="CT945" s="21"/>
      <c r="CU945" s="21"/>
      <c r="CV945" s="21"/>
      <c r="CW945" s="21"/>
      <c r="CX945" s="21"/>
      <c r="CY945" s="21"/>
      <c r="CZ945" s="22"/>
      <c r="DA945" s="21"/>
      <c r="DB945" s="21"/>
    </row>
    <row r="946" spans="3:106" s="19" customFormat="1" ht="12"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2"/>
      <c r="BA946" s="21"/>
      <c r="BB946" s="21"/>
      <c r="BC946" s="21"/>
      <c r="BD946" s="21"/>
      <c r="BE946" s="21"/>
      <c r="BF946" s="21"/>
      <c r="BG946" s="21"/>
      <c r="BH946" s="21"/>
      <c r="BI946" s="21"/>
      <c r="BJ946" s="21"/>
      <c r="BK946" s="21"/>
      <c r="BL946" s="21"/>
      <c r="BM946" s="21"/>
      <c r="BN946" s="21"/>
      <c r="BO946" s="21"/>
      <c r="BP946" s="21"/>
      <c r="BQ946" s="21"/>
      <c r="BR946" s="21"/>
      <c r="BS946" s="21"/>
      <c r="BT946" s="21"/>
      <c r="BU946" s="21"/>
      <c r="BV946" s="21"/>
      <c r="BW946" s="21"/>
      <c r="BX946" s="21"/>
      <c r="BY946" s="21"/>
      <c r="BZ946" s="21"/>
      <c r="CA946" s="21"/>
      <c r="CB946" s="21"/>
      <c r="CC946" s="21"/>
      <c r="CD946" s="21"/>
      <c r="CE946" s="21"/>
      <c r="CF946" s="21"/>
      <c r="CG946" s="21"/>
      <c r="CH946" s="21"/>
      <c r="CI946" s="21"/>
      <c r="CJ946" s="21"/>
      <c r="CK946" s="21"/>
      <c r="CL946" s="21"/>
      <c r="CM946" s="21"/>
      <c r="CN946" s="21"/>
      <c r="CO946" s="21"/>
      <c r="CP946" s="21"/>
      <c r="CQ946" s="21"/>
      <c r="CR946" s="21"/>
      <c r="CS946" s="21"/>
      <c r="CT946" s="21"/>
      <c r="CU946" s="21"/>
      <c r="CV946" s="21"/>
      <c r="CW946" s="21"/>
      <c r="CX946" s="21"/>
      <c r="CY946" s="21"/>
      <c r="CZ946" s="22"/>
      <c r="DA946" s="21"/>
      <c r="DB946" s="21"/>
    </row>
    <row r="947" spans="3:106" s="19" customFormat="1" ht="12"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2"/>
      <c r="BA947" s="21"/>
      <c r="BB947" s="21"/>
      <c r="BC947" s="21"/>
      <c r="BD947" s="21"/>
      <c r="BE947" s="21"/>
      <c r="BF947" s="21"/>
      <c r="BG947" s="21"/>
      <c r="BH947" s="21"/>
      <c r="BI947" s="21"/>
      <c r="BJ947" s="21"/>
      <c r="BK947" s="21"/>
      <c r="BL947" s="21"/>
      <c r="BM947" s="21"/>
      <c r="BN947" s="21"/>
      <c r="BO947" s="21"/>
      <c r="BP947" s="21"/>
      <c r="BQ947" s="21"/>
      <c r="BR947" s="21"/>
      <c r="BS947" s="21"/>
      <c r="BT947" s="21"/>
      <c r="BU947" s="21"/>
      <c r="BV947" s="21"/>
      <c r="BW947" s="21"/>
      <c r="BX947" s="21"/>
      <c r="BY947" s="21"/>
      <c r="BZ947" s="21"/>
      <c r="CA947" s="21"/>
      <c r="CB947" s="21"/>
      <c r="CC947" s="21"/>
      <c r="CD947" s="21"/>
      <c r="CE947" s="21"/>
      <c r="CF947" s="21"/>
      <c r="CG947" s="21"/>
      <c r="CH947" s="21"/>
      <c r="CI947" s="21"/>
      <c r="CJ947" s="21"/>
      <c r="CK947" s="21"/>
      <c r="CL947" s="21"/>
      <c r="CM947" s="21"/>
      <c r="CN947" s="21"/>
      <c r="CO947" s="21"/>
      <c r="CP947" s="21"/>
      <c r="CQ947" s="21"/>
      <c r="CR947" s="21"/>
      <c r="CS947" s="21"/>
      <c r="CT947" s="21"/>
      <c r="CU947" s="21"/>
      <c r="CV947" s="21"/>
      <c r="CW947" s="21"/>
      <c r="CX947" s="21"/>
      <c r="CY947" s="21"/>
      <c r="CZ947" s="22"/>
      <c r="DA947" s="21"/>
      <c r="DB947" s="21"/>
    </row>
    <row r="948" spans="3:106" s="19" customFormat="1" ht="12"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2"/>
      <c r="BA948" s="21"/>
      <c r="BB948" s="21"/>
      <c r="BC948" s="21"/>
      <c r="BD948" s="21"/>
      <c r="BE948" s="21"/>
      <c r="BF948" s="21"/>
      <c r="BG948" s="21"/>
      <c r="BH948" s="21"/>
      <c r="BI948" s="21"/>
      <c r="BJ948" s="21"/>
      <c r="BK948" s="21"/>
      <c r="BL948" s="21"/>
      <c r="BM948" s="21"/>
      <c r="BN948" s="21"/>
      <c r="BO948" s="21"/>
      <c r="BP948" s="21"/>
      <c r="BQ948" s="21"/>
      <c r="BR948" s="21"/>
      <c r="BS948" s="21"/>
      <c r="BT948" s="21"/>
      <c r="BU948" s="21"/>
      <c r="BV948" s="21"/>
      <c r="BW948" s="21"/>
      <c r="BX948" s="21"/>
      <c r="BY948" s="21"/>
      <c r="BZ948" s="21"/>
      <c r="CA948" s="21"/>
      <c r="CB948" s="21"/>
      <c r="CC948" s="21"/>
      <c r="CD948" s="21"/>
      <c r="CE948" s="21"/>
      <c r="CF948" s="21"/>
      <c r="CG948" s="21"/>
      <c r="CH948" s="21"/>
      <c r="CI948" s="21"/>
      <c r="CJ948" s="21"/>
      <c r="CK948" s="21"/>
      <c r="CL948" s="21"/>
      <c r="CM948" s="21"/>
      <c r="CN948" s="21"/>
      <c r="CO948" s="21"/>
      <c r="CP948" s="21"/>
      <c r="CQ948" s="21"/>
      <c r="CR948" s="21"/>
      <c r="CS948" s="21"/>
      <c r="CT948" s="21"/>
      <c r="CU948" s="21"/>
      <c r="CV948" s="21"/>
      <c r="CW948" s="21"/>
      <c r="CX948" s="21"/>
      <c r="CY948" s="21"/>
      <c r="CZ948" s="22"/>
      <c r="DA948" s="21"/>
      <c r="DB948" s="21"/>
    </row>
    <row r="949" spans="3:106" s="19" customFormat="1" ht="12"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2"/>
      <c r="BA949" s="21"/>
      <c r="BB949" s="21"/>
      <c r="BC949" s="21"/>
      <c r="BD949" s="21"/>
      <c r="BE949" s="21"/>
      <c r="BF949" s="21"/>
      <c r="BG949" s="21"/>
      <c r="BH949" s="21"/>
      <c r="BI949" s="21"/>
      <c r="BJ949" s="21"/>
      <c r="BK949" s="21"/>
      <c r="BL949" s="21"/>
      <c r="BM949" s="21"/>
      <c r="BN949" s="21"/>
      <c r="BO949" s="21"/>
      <c r="BP949" s="21"/>
      <c r="BQ949" s="21"/>
      <c r="BR949" s="21"/>
      <c r="BS949" s="21"/>
      <c r="BT949" s="21"/>
      <c r="BU949" s="21"/>
      <c r="BV949" s="21"/>
      <c r="BW949" s="21"/>
      <c r="BX949" s="21"/>
      <c r="BY949" s="21"/>
      <c r="BZ949" s="21"/>
      <c r="CA949" s="21"/>
      <c r="CB949" s="21"/>
      <c r="CC949" s="21"/>
      <c r="CD949" s="21"/>
      <c r="CE949" s="21"/>
      <c r="CF949" s="21"/>
      <c r="CG949" s="21"/>
      <c r="CH949" s="21"/>
      <c r="CI949" s="21"/>
      <c r="CJ949" s="21"/>
      <c r="CK949" s="21"/>
      <c r="CL949" s="21"/>
      <c r="CM949" s="21"/>
      <c r="CN949" s="21"/>
      <c r="CO949" s="21"/>
      <c r="CP949" s="21"/>
      <c r="CQ949" s="21"/>
      <c r="CR949" s="21"/>
      <c r="CS949" s="21"/>
      <c r="CT949" s="21"/>
      <c r="CU949" s="21"/>
      <c r="CV949" s="21"/>
      <c r="CW949" s="21"/>
      <c r="CX949" s="21"/>
      <c r="CY949" s="21"/>
      <c r="CZ949" s="22"/>
      <c r="DA949" s="21"/>
      <c r="DB949" s="21"/>
    </row>
    <row r="950" spans="3:106" s="19" customFormat="1" ht="12"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2"/>
      <c r="BA950" s="21"/>
      <c r="BB950" s="21"/>
      <c r="BC950" s="21"/>
      <c r="BD950" s="21"/>
      <c r="BE950" s="21"/>
      <c r="BF950" s="21"/>
      <c r="BG950" s="21"/>
      <c r="BH950" s="21"/>
      <c r="BI950" s="21"/>
      <c r="BJ950" s="21"/>
      <c r="BK950" s="21"/>
      <c r="BL950" s="21"/>
      <c r="BM950" s="21"/>
      <c r="BN950" s="21"/>
      <c r="BO950" s="21"/>
      <c r="BP950" s="21"/>
      <c r="BQ950" s="21"/>
      <c r="BR950" s="21"/>
      <c r="BS950" s="21"/>
      <c r="BT950" s="21"/>
      <c r="BU950" s="21"/>
      <c r="BV950" s="21"/>
      <c r="BW950" s="21"/>
      <c r="BX950" s="21"/>
      <c r="BY950" s="21"/>
      <c r="BZ950" s="21"/>
      <c r="CA950" s="21"/>
      <c r="CB950" s="21"/>
      <c r="CC950" s="21"/>
      <c r="CD950" s="21"/>
      <c r="CE950" s="21"/>
      <c r="CF950" s="21"/>
      <c r="CG950" s="21"/>
      <c r="CH950" s="21"/>
      <c r="CI950" s="21"/>
      <c r="CJ950" s="21"/>
      <c r="CK950" s="21"/>
      <c r="CL950" s="21"/>
      <c r="CM950" s="21"/>
      <c r="CN950" s="21"/>
      <c r="CO950" s="21"/>
      <c r="CP950" s="21"/>
      <c r="CQ950" s="21"/>
      <c r="CR950" s="21"/>
      <c r="CS950" s="21"/>
      <c r="CT950" s="21"/>
      <c r="CU950" s="21"/>
      <c r="CV950" s="21"/>
      <c r="CW950" s="21"/>
      <c r="CX950" s="21"/>
      <c r="CY950" s="21"/>
      <c r="CZ950" s="22"/>
      <c r="DA950" s="21"/>
      <c r="DB950" s="21"/>
    </row>
    <row r="951" spans="3:106" s="19" customFormat="1" ht="12"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2"/>
      <c r="BA951" s="21"/>
      <c r="BB951" s="21"/>
      <c r="BC951" s="21"/>
      <c r="BD951" s="21"/>
      <c r="BE951" s="21"/>
      <c r="BF951" s="21"/>
      <c r="BG951" s="21"/>
      <c r="BH951" s="21"/>
      <c r="BI951" s="21"/>
      <c r="BJ951" s="21"/>
      <c r="BK951" s="21"/>
      <c r="BL951" s="21"/>
      <c r="BM951" s="21"/>
      <c r="BN951" s="21"/>
      <c r="BO951" s="21"/>
      <c r="BP951" s="21"/>
      <c r="BQ951" s="21"/>
      <c r="BR951" s="21"/>
      <c r="BS951" s="21"/>
      <c r="BT951" s="21"/>
      <c r="BU951" s="21"/>
      <c r="BV951" s="21"/>
      <c r="BW951" s="21"/>
      <c r="BX951" s="21"/>
      <c r="BY951" s="21"/>
      <c r="BZ951" s="21"/>
      <c r="CA951" s="21"/>
      <c r="CB951" s="21"/>
      <c r="CC951" s="21"/>
      <c r="CD951" s="21"/>
      <c r="CE951" s="21"/>
      <c r="CF951" s="21"/>
      <c r="CG951" s="21"/>
      <c r="CH951" s="21"/>
      <c r="CI951" s="21"/>
      <c r="CJ951" s="21"/>
      <c r="CK951" s="21"/>
      <c r="CL951" s="21"/>
      <c r="CM951" s="21"/>
      <c r="CN951" s="21"/>
      <c r="CO951" s="21"/>
      <c r="CP951" s="21"/>
      <c r="CQ951" s="21"/>
      <c r="CR951" s="21"/>
      <c r="CS951" s="21"/>
      <c r="CT951" s="21"/>
      <c r="CU951" s="21"/>
      <c r="CV951" s="21"/>
      <c r="CW951" s="21"/>
      <c r="CX951" s="21"/>
      <c r="CY951" s="21"/>
      <c r="CZ951" s="22"/>
      <c r="DA951" s="21"/>
      <c r="DB951" s="21"/>
    </row>
    <row r="952" spans="3:106" s="19" customFormat="1" ht="12"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2"/>
      <c r="BA952" s="21"/>
      <c r="BB952" s="21"/>
      <c r="BC952" s="21"/>
      <c r="BD952" s="21"/>
      <c r="BE952" s="21"/>
      <c r="BF952" s="21"/>
      <c r="BG952" s="21"/>
      <c r="BH952" s="21"/>
      <c r="BI952" s="21"/>
      <c r="BJ952" s="21"/>
      <c r="BK952" s="21"/>
      <c r="BL952" s="21"/>
      <c r="BM952" s="21"/>
      <c r="BN952" s="21"/>
      <c r="BO952" s="21"/>
      <c r="BP952" s="21"/>
      <c r="BQ952" s="21"/>
      <c r="BR952" s="21"/>
      <c r="BS952" s="21"/>
      <c r="BT952" s="21"/>
      <c r="BU952" s="21"/>
      <c r="BV952" s="21"/>
      <c r="BW952" s="21"/>
      <c r="BX952" s="21"/>
      <c r="BY952" s="21"/>
      <c r="BZ952" s="21"/>
      <c r="CA952" s="21"/>
      <c r="CB952" s="21"/>
      <c r="CC952" s="21"/>
      <c r="CD952" s="21"/>
      <c r="CE952" s="21"/>
      <c r="CF952" s="21"/>
      <c r="CG952" s="21"/>
      <c r="CH952" s="21"/>
      <c r="CI952" s="21"/>
      <c r="CJ952" s="21"/>
      <c r="CK952" s="21"/>
      <c r="CL952" s="21"/>
      <c r="CM952" s="21"/>
      <c r="CN952" s="21"/>
      <c r="CO952" s="21"/>
      <c r="CP952" s="21"/>
      <c r="CQ952" s="21"/>
      <c r="CR952" s="21"/>
      <c r="CS952" s="21"/>
      <c r="CT952" s="21"/>
      <c r="CU952" s="21"/>
      <c r="CV952" s="21"/>
      <c r="CW952" s="21"/>
      <c r="CX952" s="21"/>
      <c r="CY952" s="21"/>
      <c r="CZ952" s="22"/>
      <c r="DA952" s="21"/>
      <c r="DB952" s="21"/>
    </row>
    <row r="953" spans="3:106" s="19" customFormat="1" ht="12"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2"/>
      <c r="BA953" s="21"/>
      <c r="BB953" s="21"/>
      <c r="BC953" s="21"/>
      <c r="BD953" s="21"/>
      <c r="BE953" s="21"/>
      <c r="BF953" s="21"/>
      <c r="BG953" s="21"/>
      <c r="BH953" s="21"/>
      <c r="BI953" s="21"/>
      <c r="BJ953" s="21"/>
      <c r="BK953" s="21"/>
      <c r="BL953" s="21"/>
      <c r="BM953" s="21"/>
      <c r="BN953" s="21"/>
      <c r="BO953" s="21"/>
      <c r="BP953" s="21"/>
      <c r="BQ953" s="21"/>
      <c r="BR953" s="21"/>
      <c r="BS953" s="21"/>
      <c r="BT953" s="21"/>
      <c r="BU953" s="21"/>
      <c r="BV953" s="21"/>
      <c r="BW953" s="21"/>
      <c r="BX953" s="21"/>
      <c r="BY953" s="21"/>
      <c r="BZ953" s="21"/>
      <c r="CA953" s="21"/>
      <c r="CB953" s="21"/>
      <c r="CC953" s="21"/>
      <c r="CD953" s="21"/>
      <c r="CE953" s="21"/>
      <c r="CF953" s="21"/>
      <c r="CG953" s="21"/>
      <c r="CH953" s="21"/>
      <c r="CI953" s="21"/>
      <c r="CJ953" s="21"/>
      <c r="CK953" s="21"/>
      <c r="CL953" s="21"/>
      <c r="CM953" s="21"/>
      <c r="CN953" s="21"/>
      <c r="CO953" s="21"/>
      <c r="CP953" s="21"/>
      <c r="CQ953" s="21"/>
      <c r="CR953" s="21"/>
      <c r="CS953" s="21"/>
      <c r="CT953" s="21"/>
      <c r="CU953" s="21"/>
      <c r="CV953" s="21"/>
      <c r="CW953" s="21"/>
      <c r="CX953" s="21"/>
      <c r="CY953" s="21"/>
      <c r="CZ953" s="22"/>
      <c r="DA953" s="21"/>
      <c r="DB953" s="21"/>
    </row>
    <row r="954" spans="3:106" s="19" customFormat="1" ht="12"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2"/>
      <c r="BA954" s="21"/>
      <c r="BB954" s="21"/>
      <c r="BC954" s="21"/>
      <c r="BD954" s="21"/>
      <c r="BE954" s="21"/>
      <c r="BF954" s="21"/>
      <c r="BG954" s="21"/>
      <c r="BH954" s="21"/>
      <c r="BI954" s="21"/>
      <c r="BJ954" s="21"/>
      <c r="BK954" s="21"/>
      <c r="BL954" s="21"/>
      <c r="BM954" s="21"/>
      <c r="BN954" s="21"/>
      <c r="BO954" s="21"/>
      <c r="BP954" s="21"/>
      <c r="BQ954" s="21"/>
      <c r="BR954" s="21"/>
      <c r="BS954" s="21"/>
      <c r="BT954" s="21"/>
      <c r="BU954" s="21"/>
      <c r="BV954" s="21"/>
      <c r="BW954" s="21"/>
      <c r="BX954" s="21"/>
      <c r="BY954" s="21"/>
      <c r="BZ954" s="21"/>
      <c r="CA954" s="21"/>
      <c r="CB954" s="21"/>
      <c r="CC954" s="21"/>
      <c r="CD954" s="21"/>
      <c r="CE954" s="21"/>
      <c r="CF954" s="21"/>
      <c r="CG954" s="21"/>
      <c r="CH954" s="21"/>
      <c r="CI954" s="21"/>
      <c r="CJ954" s="21"/>
      <c r="CK954" s="21"/>
      <c r="CL954" s="21"/>
      <c r="CM954" s="21"/>
      <c r="CN954" s="21"/>
      <c r="CO954" s="21"/>
      <c r="CP954" s="21"/>
      <c r="CQ954" s="21"/>
      <c r="CR954" s="21"/>
      <c r="CS954" s="21"/>
      <c r="CT954" s="21"/>
      <c r="CU954" s="21"/>
      <c r="CV954" s="21"/>
      <c r="CW954" s="21"/>
      <c r="CX954" s="21"/>
      <c r="CY954" s="21"/>
      <c r="CZ954" s="22"/>
      <c r="DA954" s="21"/>
      <c r="DB954" s="21"/>
    </row>
    <row r="955" spans="3:106" s="19" customFormat="1" ht="12"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2"/>
      <c r="BA955" s="21"/>
      <c r="BB955" s="21"/>
      <c r="BC955" s="21"/>
      <c r="BD955" s="21"/>
      <c r="BE955" s="21"/>
      <c r="BF955" s="21"/>
      <c r="BG955" s="21"/>
      <c r="BH955" s="21"/>
      <c r="BI955" s="21"/>
      <c r="BJ955" s="21"/>
      <c r="BK955" s="21"/>
      <c r="BL955" s="21"/>
      <c r="BM955" s="21"/>
      <c r="BN955" s="21"/>
      <c r="BO955" s="21"/>
      <c r="BP955" s="21"/>
      <c r="BQ955" s="21"/>
      <c r="BR955" s="21"/>
      <c r="BS955" s="21"/>
      <c r="BT955" s="21"/>
      <c r="BU955" s="21"/>
      <c r="BV955" s="21"/>
      <c r="BW955" s="21"/>
      <c r="BX955" s="21"/>
      <c r="BY955" s="21"/>
      <c r="BZ955" s="21"/>
      <c r="CA955" s="21"/>
      <c r="CB955" s="21"/>
      <c r="CC955" s="21"/>
      <c r="CD955" s="21"/>
      <c r="CE955" s="21"/>
      <c r="CF955" s="21"/>
      <c r="CG955" s="21"/>
      <c r="CH955" s="21"/>
      <c r="CI955" s="21"/>
      <c r="CJ955" s="21"/>
      <c r="CK955" s="21"/>
      <c r="CL955" s="21"/>
      <c r="CM955" s="21"/>
      <c r="CN955" s="21"/>
      <c r="CO955" s="21"/>
      <c r="CP955" s="21"/>
      <c r="CQ955" s="21"/>
      <c r="CR955" s="21"/>
      <c r="CS955" s="21"/>
      <c r="CT955" s="21"/>
      <c r="CU955" s="21"/>
      <c r="CV955" s="21"/>
      <c r="CW955" s="21"/>
      <c r="CX955" s="21"/>
      <c r="CY955" s="21"/>
      <c r="CZ955" s="22"/>
      <c r="DA955" s="21"/>
      <c r="DB955" s="21"/>
    </row>
    <row r="956" spans="3:106" s="19" customFormat="1" ht="12"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2"/>
      <c r="BA956" s="21"/>
      <c r="BB956" s="21"/>
      <c r="BC956" s="21"/>
      <c r="BD956" s="21"/>
      <c r="BE956" s="21"/>
      <c r="BF956" s="21"/>
      <c r="BG956" s="21"/>
      <c r="BH956" s="21"/>
      <c r="BI956" s="21"/>
      <c r="BJ956" s="21"/>
      <c r="BK956" s="21"/>
      <c r="BL956" s="21"/>
      <c r="BM956" s="21"/>
      <c r="BN956" s="21"/>
      <c r="BO956" s="21"/>
      <c r="BP956" s="21"/>
      <c r="BQ956" s="21"/>
      <c r="BR956" s="21"/>
      <c r="BS956" s="21"/>
      <c r="BT956" s="21"/>
      <c r="BU956" s="21"/>
      <c r="BV956" s="21"/>
      <c r="BW956" s="21"/>
      <c r="BX956" s="21"/>
      <c r="BY956" s="21"/>
      <c r="BZ956" s="21"/>
      <c r="CA956" s="21"/>
      <c r="CB956" s="21"/>
      <c r="CC956" s="21"/>
      <c r="CD956" s="21"/>
      <c r="CE956" s="21"/>
      <c r="CF956" s="21"/>
      <c r="CG956" s="21"/>
      <c r="CH956" s="21"/>
      <c r="CI956" s="21"/>
      <c r="CJ956" s="21"/>
      <c r="CK956" s="21"/>
      <c r="CL956" s="21"/>
      <c r="CM956" s="21"/>
      <c r="CN956" s="21"/>
      <c r="CO956" s="21"/>
      <c r="CP956" s="21"/>
      <c r="CQ956" s="21"/>
      <c r="CR956" s="21"/>
      <c r="CS956" s="21"/>
      <c r="CT956" s="21"/>
      <c r="CU956" s="21"/>
      <c r="CV956" s="21"/>
      <c r="CW956" s="21"/>
      <c r="CX956" s="21"/>
      <c r="CY956" s="21"/>
      <c r="CZ956" s="22"/>
      <c r="DA956" s="21"/>
      <c r="DB956" s="21"/>
    </row>
    <row r="957" spans="3:106" s="19" customFormat="1" ht="12"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2"/>
      <c r="BA957" s="21"/>
      <c r="BB957" s="21"/>
      <c r="BC957" s="21"/>
      <c r="BD957" s="21"/>
      <c r="BE957" s="21"/>
      <c r="BF957" s="21"/>
      <c r="BG957" s="21"/>
      <c r="BH957" s="21"/>
      <c r="BI957" s="21"/>
      <c r="BJ957" s="21"/>
      <c r="BK957" s="21"/>
      <c r="BL957" s="21"/>
      <c r="BM957" s="21"/>
      <c r="BN957" s="21"/>
      <c r="BO957" s="21"/>
      <c r="BP957" s="21"/>
      <c r="BQ957" s="21"/>
      <c r="BR957" s="21"/>
      <c r="BS957" s="21"/>
      <c r="BT957" s="21"/>
      <c r="BU957" s="21"/>
      <c r="BV957" s="21"/>
      <c r="BW957" s="21"/>
      <c r="BX957" s="21"/>
      <c r="BY957" s="21"/>
      <c r="BZ957" s="21"/>
      <c r="CA957" s="21"/>
      <c r="CB957" s="21"/>
      <c r="CC957" s="21"/>
      <c r="CD957" s="21"/>
      <c r="CE957" s="21"/>
      <c r="CF957" s="21"/>
      <c r="CG957" s="21"/>
      <c r="CH957" s="21"/>
      <c r="CI957" s="21"/>
      <c r="CJ957" s="21"/>
      <c r="CK957" s="21"/>
      <c r="CL957" s="21"/>
      <c r="CM957" s="21"/>
      <c r="CN957" s="21"/>
      <c r="CO957" s="21"/>
      <c r="CP957" s="21"/>
      <c r="CQ957" s="21"/>
      <c r="CR957" s="21"/>
      <c r="CS957" s="21"/>
      <c r="CT957" s="21"/>
      <c r="CU957" s="21"/>
      <c r="CV957" s="21"/>
      <c r="CW957" s="21"/>
      <c r="CX957" s="21"/>
      <c r="CY957" s="21"/>
      <c r="CZ957" s="22"/>
      <c r="DA957" s="21"/>
      <c r="DB957" s="21"/>
    </row>
    <row r="958" spans="3:106" s="19" customFormat="1" ht="12"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2"/>
      <c r="BA958" s="21"/>
      <c r="BB958" s="21"/>
      <c r="BC958" s="21"/>
      <c r="BD958" s="21"/>
      <c r="BE958" s="21"/>
      <c r="BF958" s="21"/>
      <c r="BG958" s="21"/>
      <c r="BH958" s="21"/>
      <c r="BI958" s="21"/>
      <c r="BJ958" s="21"/>
      <c r="BK958" s="21"/>
      <c r="BL958" s="21"/>
      <c r="BM958" s="21"/>
      <c r="BN958" s="21"/>
      <c r="BO958" s="21"/>
      <c r="BP958" s="21"/>
      <c r="BQ958" s="21"/>
      <c r="BR958" s="21"/>
      <c r="BS958" s="21"/>
      <c r="BT958" s="21"/>
      <c r="BU958" s="21"/>
      <c r="BV958" s="21"/>
      <c r="BW958" s="21"/>
      <c r="BX958" s="21"/>
      <c r="BY958" s="21"/>
      <c r="BZ958" s="21"/>
      <c r="CA958" s="21"/>
      <c r="CB958" s="21"/>
      <c r="CC958" s="21"/>
      <c r="CD958" s="21"/>
      <c r="CE958" s="21"/>
      <c r="CF958" s="21"/>
      <c r="CG958" s="21"/>
      <c r="CH958" s="21"/>
      <c r="CI958" s="21"/>
      <c r="CJ958" s="21"/>
      <c r="CK958" s="21"/>
      <c r="CL958" s="21"/>
      <c r="CM958" s="21"/>
      <c r="CN958" s="21"/>
      <c r="CO958" s="21"/>
      <c r="CP958" s="21"/>
      <c r="CQ958" s="21"/>
      <c r="CR958" s="21"/>
      <c r="CS958" s="21"/>
      <c r="CT958" s="21"/>
      <c r="CU958" s="21"/>
      <c r="CV958" s="21"/>
      <c r="CW958" s="21"/>
      <c r="CX958" s="21"/>
      <c r="CY958" s="21"/>
      <c r="CZ958" s="22"/>
      <c r="DA958" s="21"/>
      <c r="DB958" s="21"/>
    </row>
    <row r="959" spans="3:106" s="19" customFormat="1" ht="12"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2"/>
      <c r="BA959" s="21"/>
      <c r="BB959" s="21"/>
      <c r="BC959" s="21"/>
      <c r="BD959" s="21"/>
      <c r="BE959" s="21"/>
      <c r="BF959" s="21"/>
      <c r="BG959" s="21"/>
      <c r="BH959" s="21"/>
      <c r="BI959" s="21"/>
      <c r="BJ959" s="21"/>
      <c r="BK959" s="21"/>
      <c r="BL959" s="21"/>
      <c r="BM959" s="21"/>
      <c r="BN959" s="21"/>
      <c r="BO959" s="21"/>
      <c r="BP959" s="21"/>
      <c r="BQ959" s="21"/>
      <c r="BR959" s="21"/>
      <c r="BS959" s="21"/>
      <c r="BT959" s="21"/>
      <c r="BU959" s="21"/>
      <c r="BV959" s="21"/>
      <c r="BW959" s="21"/>
      <c r="BX959" s="21"/>
      <c r="BY959" s="21"/>
      <c r="BZ959" s="21"/>
      <c r="CA959" s="21"/>
      <c r="CB959" s="21"/>
      <c r="CC959" s="21"/>
      <c r="CD959" s="21"/>
      <c r="CE959" s="21"/>
      <c r="CF959" s="21"/>
      <c r="CG959" s="21"/>
      <c r="CH959" s="21"/>
      <c r="CI959" s="21"/>
      <c r="CJ959" s="21"/>
      <c r="CK959" s="21"/>
      <c r="CL959" s="21"/>
      <c r="CM959" s="21"/>
      <c r="CN959" s="21"/>
      <c r="CO959" s="21"/>
      <c r="CP959" s="21"/>
      <c r="CQ959" s="21"/>
      <c r="CR959" s="21"/>
      <c r="CS959" s="21"/>
      <c r="CT959" s="21"/>
      <c r="CU959" s="21"/>
      <c r="CV959" s="21"/>
      <c r="CW959" s="21"/>
      <c r="CX959" s="21"/>
      <c r="CY959" s="21"/>
      <c r="CZ959" s="22"/>
      <c r="DA959" s="21"/>
      <c r="DB959" s="21"/>
    </row>
    <row r="960" spans="3:106" s="19" customFormat="1" ht="12"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2"/>
      <c r="BA960" s="21"/>
      <c r="BB960" s="21"/>
      <c r="BC960" s="21"/>
      <c r="BD960" s="21"/>
      <c r="BE960" s="21"/>
      <c r="BF960" s="21"/>
      <c r="BG960" s="21"/>
      <c r="BH960" s="21"/>
      <c r="BI960" s="21"/>
      <c r="BJ960" s="21"/>
      <c r="BK960" s="21"/>
      <c r="BL960" s="21"/>
      <c r="BM960" s="21"/>
      <c r="BN960" s="21"/>
      <c r="BO960" s="21"/>
      <c r="BP960" s="21"/>
      <c r="BQ960" s="21"/>
      <c r="BR960" s="21"/>
      <c r="BS960" s="21"/>
      <c r="BT960" s="21"/>
      <c r="BU960" s="21"/>
      <c r="BV960" s="21"/>
      <c r="BW960" s="21"/>
      <c r="BX960" s="21"/>
      <c r="BY960" s="21"/>
      <c r="BZ960" s="21"/>
      <c r="CA960" s="21"/>
      <c r="CB960" s="21"/>
      <c r="CC960" s="21"/>
      <c r="CD960" s="21"/>
      <c r="CE960" s="21"/>
      <c r="CF960" s="21"/>
      <c r="CG960" s="21"/>
      <c r="CH960" s="21"/>
      <c r="CI960" s="21"/>
      <c r="CJ960" s="21"/>
      <c r="CK960" s="21"/>
      <c r="CL960" s="21"/>
      <c r="CM960" s="21"/>
      <c r="CN960" s="21"/>
      <c r="CO960" s="21"/>
      <c r="CP960" s="21"/>
      <c r="CQ960" s="21"/>
      <c r="CR960" s="21"/>
      <c r="CS960" s="21"/>
      <c r="CT960" s="21"/>
      <c r="CU960" s="21"/>
      <c r="CV960" s="21"/>
      <c r="CW960" s="21"/>
      <c r="CX960" s="21"/>
      <c r="CY960" s="21"/>
      <c r="CZ960" s="22"/>
      <c r="DA960" s="21"/>
      <c r="DB960" s="21"/>
    </row>
    <row r="961" spans="3:106" s="19" customFormat="1" ht="12"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2"/>
      <c r="BA961" s="21"/>
      <c r="BB961" s="21"/>
      <c r="BC961" s="21"/>
      <c r="BD961" s="21"/>
      <c r="BE961" s="21"/>
      <c r="BF961" s="21"/>
      <c r="BG961" s="21"/>
      <c r="BH961" s="21"/>
      <c r="BI961" s="21"/>
      <c r="BJ961" s="21"/>
      <c r="BK961" s="21"/>
      <c r="BL961" s="21"/>
      <c r="BM961" s="21"/>
      <c r="BN961" s="21"/>
      <c r="BO961" s="21"/>
      <c r="BP961" s="21"/>
      <c r="BQ961" s="21"/>
      <c r="BR961" s="21"/>
      <c r="BS961" s="21"/>
      <c r="BT961" s="21"/>
      <c r="BU961" s="21"/>
      <c r="BV961" s="21"/>
      <c r="BW961" s="21"/>
      <c r="BX961" s="21"/>
      <c r="BY961" s="21"/>
      <c r="BZ961" s="21"/>
      <c r="CA961" s="21"/>
      <c r="CB961" s="21"/>
      <c r="CC961" s="21"/>
      <c r="CD961" s="21"/>
      <c r="CE961" s="21"/>
      <c r="CF961" s="21"/>
      <c r="CG961" s="21"/>
      <c r="CH961" s="21"/>
      <c r="CI961" s="21"/>
      <c r="CJ961" s="21"/>
      <c r="CK961" s="21"/>
      <c r="CL961" s="21"/>
      <c r="CM961" s="21"/>
      <c r="CN961" s="21"/>
      <c r="CO961" s="21"/>
      <c r="CP961" s="21"/>
      <c r="CQ961" s="21"/>
      <c r="CR961" s="21"/>
      <c r="CS961" s="21"/>
      <c r="CT961" s="21"/>
      <c r="CU961" s="21"/>
      <c r="CV961" s="21"/>
      <c r="CW961" s="21"/>
      <c r="CX961" s="21"/>
      <c r="CY961" s="21"/>
      <c r="CZ961" s="22"/>
      <c r="DA961" s="21"/>
      <c r="DB961" s="21"/>
    </row>
    <row r="962" spans="3:106" s="19" customFormat="1" ht="12"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2"/>
      <c r="BA962" s="21"/>
      <c r="BB962" s="21"/>
      <c r="BC962" s="21"/>
      <c r="BD962" s="21"/>
      <c r="BE962" s="21"/>
      <c r="BF962" s="21"/>
      <c r="BG962" s="21"/>
      <c r="BH962" s="21"/>
      <c r="BI962" s="21"/>
      <c r="BJ962" s="21"/>
      <c r="BK962" s="21"/>
      <c r="BL962" s="21"/>
      <c r="BM962" s="21"/>
      <c r="BN962" s="21"/>
      <c r="BO962" s="21"/>
      <c r="BP962" s="21"/>
      <c r="BQ962" s="21"/>
      <c r="BR962" s="21"/>
      <c r="BS962" s="21"/>
      <c r="BT962" s="21"/>
      <c r="BU962" s="21"/>
      <c r="BV962" s="21"/>
      <c r="BW962" s="21"/>
      <c r="BX962" s="21"/>
      <c r="BY962" s="21"/>
      <c r="BZ962" s="21"/>
      <c r="CA962" s="21"/>
      <c r="CB962" s="21"/>
      <c r="CC962" s="21"/>
      <c r="CD962" s="21"/>
      <c r="CE962" s="21"/>
      <c r="CF962" s="21"/>
      <c r="CG962" s="21"/>
      <c r="CH962" s="21"/>
      <c r="CI962" s="21"/>
      <c r="CJ962" s="21"/>
      <c r="CK962" s="21"/>
      <c r="CL962" s="21"/>
      <c r="CM962" s="21"/>
      <c r="CN962" s="21"/>
      <c r="CO962" s="21"/>
      <c r="CP962" s="21"/>
      <c r="CQ962" s="21"/>
      <c r="CR962" s="21"/>
      <c r="CS962" s="21"/>
      <c r="CT962" s="21"/>
      <c r="CU962" s="21"/>
      <c r="CV962" s="21"/>
      <c r="CW962" s="21"/>
      <c r="CX962" s="21"/>
      <c r="CY962" s="21"/>
      <c r="CZ962" s="22"/>
      <c r="DA962" s="21"/>
      <c r="DB962" s="21"/>
    </row>
    <row r="963" spans="3:106" s="19" customFormat="1" ht="12"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2"/>
      <c r="BA963" s="21"/>
      <c r="BB963" s="21"/>
      <c r="BC963" s="21"/>
      <c r="BD963" s="21"/>
      <c r="BE963" s="21"/>
      <c r="BF963" s="21"/>
      <c r="BG963" s="21"/>
      <c r="BH963" s="21"/>
      <c r="BI963" s="21"/>
      <c r="BJ963" s="21"/>
      <c r="BK963" s="21"/>
      <c r="BL963" s="21"/>
      <c r="BM963" s="21"/>
      <c r="BN963" s="21"/>
      <c r="BO963" s="21"/>
      <c r="BP963" s="21"/>
      <c r="BQ963" s="21"/>
      <c r="BR963" s="21"/>
      <c r="BS963" s="21"/>
      <c r="BT963" s="21"/>
      <c r="BU963" s="21"/>
      <c r="BV963" s="21"/>
      <c r="BW963" s="21"/>
      <c r="BX963" s="21"/>
      <c r="BY963" s="21"/>
      <c r="BZ963" s="21"/>
      <c r="CA963" s="21"/>
      <c r="CB963" s="21"/>
      <c r="CC963" s="21"/>
      <c r="CD963" s="21"/>
      <c r="CE963" s="21"/>
      <c r="CF963" s="21"/>
      <c r="CG963" s="21"/>
      <c r="CH963" s="21"/>
      <c r="CI963" s="21"/>
      <c r="CJ963" s="21"/>
      <c r="CK963" s="21"/>
      <c r="CL963" s="21"/>
      <c r="CM963" s="21"/>
      <c r="CN963" s="21"/>
      <c r="CO963" s="21"/>
      <c r="CP963" s="21"/>
      <c r="CQ963" s="21"/>
      <c r="CR963" s="21"/>
      <c r="CS963" s="21"/>
      <c r="CT963" s="21"/>
      <c r="CU963" s="21"/>
      <c r="CV963" s="21"/>
      <c r="CW963" s="21"/>
      <c r="CX963" s="21"/>
      <c r="CY963" s="21"/>
      <c r="CZ963" s="22"/>
      <c r="DA963" s="21"/>
      <c r="DB963" s="21"/>
    </row>
    <row r="964" spans="3:106" s="19" customFormat="1" ht="12"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2"/>
      <c r="BA964" s="21"/>
      <c r="BB964" s="21"/>
      <c r="BC964" s="21"/>
      <c r="BD964" s="21"/>
      <c r="BE964" s="21"/>
      <c r="BF964" s="21"/>
      <c r="BG964" s="21"/>
      <c r="BH964" s="21"/>
      <c r="BI964" s="21"/>
      <c r="BJ964" s="21"/>
      <c r="BK964" s="21"/>
      <c r="BL964" s="21"/>
      <c r="BM964" s="21"/>
      <c r="BN964" s="21"/>
      <c r="BO964" s="21"/>
      <c r="BP964" s="21"/>
      <c r="BQ964" s="21"/>
      <c r="BR964" s="21"/>
      <c r="BS964" s="21"/>
      <c r="BT964" s="21"/>
      <c r="BU964" s="21"/>
      <c r="BV964" s="21"/>
      <c r="BW964" s="21"/>
      <c r="BX964" s="21"/>
      <c r="BY964" s="21"/>
      <c r="BZ964" s="21"/>
      <c r="CA964" s="21"/>
      <c r="CB964" s="21"/>
      <c r="CC964" s="21"/>
      <c r="CD964" s="21"/>
      <c r="CE964" s="21"/>
      <c r="CF964" s="21"/>
      <c r="CG964" s="21"/>
      <c r="CH964" s="21"/>
      <c r="CI964" s="21"/>
      <c r="CJ964" s="21"/>
      <c r="CK964" s="21"/>
      <c r="CL964" s="21"/>
      <c r="CM964" s="21"/>
      <c r="CN964" s="21"/>
      <c r="CO964" s="21"/>
      <c r="CP964" s="21"/>
      <c r="CQ964" s="21"/>
      <c r="CR964" s="21"/>
      <c r="CS964" s="21"/>
      <c r="CT964" s="21"/>
      <c r="CU964" s="21"/>
      <c r="CV964" s="21"/>
      <c r="CW964" s="21"/>
      <c r="CX964" s="21"/>
      <c r="CY964" s="21"/>
      <c r="CZ964" s="22"/>
      <c r="DA964" s="21"/>
      <c r="DB964" s="21"/>
    </row>
    <row r="965" spans="3:106" s="19" customFormat="1" ht="12"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2"/>
      <c r="BA965" s="21"/>
      <c r="BB965" s="21"/>
      <c r="BC965" s="21"/>
      <c r="BD965" s="21"/>
      <c r="BE965" s="21"/>
      <c r="BF965" s="21"/>
      <c r="BG965" s="21"/>
      <c r="BH965" s="21"/>
      <c r="BI965" s="21"/>
      <c r="BJ965" s="21"/>
      <c r="BK965" s="21"/>
      <c r="BL965" s="21"/>
      <c r="BM965" s="21"/>
      <c r="BN965" s="21"/>
      <c r="BO965" s="21"/>
      <c r="BP965" s="21"/>
      <c r="BQ965" s="21"/>
      <c r="BR965" s="21"/>
      <c r="BS965" s="21"/>
      <c r="BT965" s="21"/>
      <c r="BU965" s="21"/>
      <c r="BV965" s="21"/>
      <c r="BW965" s="21"/>
      <c r="BX965" s="21"/>
      <c r="BY965" s="21"/>
      <c r="BZ965" s="21"/>
      <c r="CA965" s="21"/>
      <c r="CB965" s="21"/>
      <c r="CC965" s="21"/>
      <c r="CD965" s="21"/>
      <c r="CE965" s="21"/>
      <c r="CF965" s="21"/>
      <c r="CG965" s="21"/>
      <c r="CH965" s="21"/>
      <c r="CI965" s="21"/>
      <c r="CJ965" s="21"/>
      <c r="CK965" s="21"/>
      <c r="CL965" s="21"/>
      <c r="CM965" s="21"/>
      <c r="CN965" s="21"/>
      <c r="CO965" s="21"/>
      <c r="CP965" s="21"/>
      <c r="CQ965" s="21"/>
      <c r="CR965" s="21"/>
      <c r="CS965" s="21"/>
      <c r="CT965" s="21"/>
      <c r="CU965" s="21"/>
      <c r="CV965" s="21"/>
      <c r="CW965" s="21"/>
      <c r="CX965" s="21"/>
      <c r="CY965" s="21"/>
      <c r="CZ965" s="22"/>
      <c r="DA965" s="21"/>
      <c r="DB965" s="21"/>
    </row>
    <row r="966" spans="3:106" s="19" customFormat="1" ht="12"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2"/>
      <c r="BA966" s="21"/>
      <c r="BB966" s="21"/>
      <c r="BC966" s="21"/>
      <c r="BD966" s="21"/>
      <c r="BE966" s="21"/>
      <c r="BF966" s="21"/>
      <c r="BG966" s="21"/>
      <c r="BH966" s="21"/>
      <c r="BI966" s="21"/>
      <c r="BJ966" s="21"/>
      <c r="BK966" s="21"/>
      <c r="BL966" s="21"/>
      <c r="BM966" s="21"/>
      <c r="BN966" s="21"/>
      <c r="BO966" s="21"/>
      <c r="BP966" s="21"/>
      <c r="BQ966" s="21"/>
      <c r="BR966" s="21"/>
      <c r="BS966" s="21"/>
      <c r="BT966" s="21"/>
      <c r="BU966" s="21"/>
      <c r="BV966" s="21"/>
      <c r="BW966" s="21"/>
      <c r="BX966" s="21"/>
      <c r="BY966" s="21"/>
      <c r="BZ966" s="21"/>
      <c r="CA966" s="21"/>
      <c r="CB966" s="21"/>
      <c r="CC966" s="21"/>
      <c r="CD966" s="21"/>
      <c r="CE966" s="21"/>
      <c r="CF966" s="21"/>
      <c r="CG966" s="21"/>
      <c r="CH966" s="21"/>
      <c r="CI966" s="21"/>
      <c r="CJ966" s="21"/>
      <c r="CK966" s="21"/>
      <c r="CL966" s="21"/>
      <c r="CM966" s="21"/>
      <c r="CN966" s="21"/>
      <c r="CO966" s="21"/>
      <c r="CP966" s="21"/>
      <c r="CQ966" s="21"/>
      <c r="CR966" s="21"/>
      <c r="CS966" s="21"/>
      <c r="CT966" s="21"/>
      <c r="CU966" s="21"/>
      <c r="CV966" s="21"/>
      <c r="CW966" s="21"/>
      <c r="CX966" s="21"/>
      <c r="CY966" s="21"/>
      <c r="CZ966" s="22"/>
      <c r="DA966" s="21"/>
      <c r="DB966" s="21"/>
    </row>
    <row r="967" spans="3:106" s="19" customFormat="1" ht="12"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2"/>
      <c r="BA967" s="21"/>
      <c r="BB967" s="21"/>
      <c r="BC967" s="21"/>
      <c r="BD967" s="21"/>
      <c r="BE967" s="21"/>
      <c r="BF967" s="21"/>
      <c r="BG967" s="21"/>
      <c r="BH967" s="21"/>
      <c r="BI967" s="21"/>
      <c r="BJ967" s="21"/>
      <c r="BK967" s="21"/>
      <c r="BL967" s="21"/>
      <c r="BM967" s="21"/>
      <c r="BN967" s="21"/>
      <c r="BO967" s="21"/>
      <c r="BP967" s="21"/>
      <c r="BQ967" s="21"/>
      <c r="BR967" s="21"/>
      <c r="BS967" s="21"/>
      <c r="BT967" s="21"/>
      <c r="BU967" s="21"/>
      <c r="BV967" s="21"/>
      <c r="BW967" s="21"/>
      <c r="BX967" s="21"/>
      <c r="BY967" s="21"/>
      <c r="BZ967" s="21"/>
      <c r="CA967" s="21"/>
      <c r="CB967" s="21"/>
      <c r="CC967" s="21"/>
      <c r="CD967" s="21"/>
      <c r="CE967" s="21"/>
      <c r="CF967" s="21"/>
      <c r="CG967" s="21"/>
      <c r="CH967" s="21"/>
      <c r="CI967" s="21"/>
      <c r="CJ967" s="21"/>
      <c r="CK967" s="21"/>
      <c r="CL967" s="21"/>
      <c r="CM967" s="21"/>
      <c r="CN967" s="21"/>
      <c r="CO967" s="21"/>
      <c r="CP967" s="21"/>
      <c r="CQ967" s="21"/>
      <c r="CR967" s="21"/>
      <c r="CS967" s="21"/>
      <c r="CT967" s="21"/>
      <c r="CU967" s="21"/>
      <c r="CV967" s="21"/>
      <c r="CW967" s="21"/>
      <c r="CX967" s="21"/>
      <c r="CY967" s="21"/>
      <c r="CZ967" s="22"/>
      <c r="DA967" s="21"/>
      <c r="DB967" s="21"/>
    </row>
    <row r="968" spans="3:106" s="19" customFormat="1" ht="12"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2"/>
      <c r="BA968" s="21"/>
      <c r="BB968" s="21"/>
      <c r="BC968" s="21"/>
      <c r="BD968" s="21"/>
      <c r="BE968" s="21"/>
      <c r="BF968" s="21"/>
      <c r="BG968" s="21"/>
      <c r="BH968" s="21"/>
      <c r="BI968" s="21"/>
      <c r="BJ968" s="21"/>
      <c r="BK968" s="21"/>
      <c r="BL968" s="21"/>
      <c r="BM968" s="21"/>
      <c r="BN968" s="21"/>
      <c r="BO968" s="21"/>
      <c r="BP968" s="21"/>
      <c r="BQ968" s="21"/>
      <c r="BR968" s="21"/>
      <c r="BS968" s="21"/>
      <c r="BT968" s="21"/>
      <c r="BU968" s="21"/>
      <c r="BV968" s="21"/>
      <c r="BW968" s="21"/>
      <c r="BX968" s="21"/>
      <c r="BY968" s="21"/>
      <c r="BZ968" s="21"/>
      <c r="CA968" s="21"/>
      <c r="CB968" s="21"/>
      <c r="CC968" s="21"/>
      <c r="CD968" s="21"/>
      <c r="CE968" s="21"/>
      <c r="CF968" s="21"/>
      <c r="CG968" s="21"/>
      <c r="CH968" s="21"/>
      <c r="CI968" s="21"/>
      <c r="CJ968" s="21"/>
      <c r="CK968" s="21"/>
      <c r="CL968" s="21"/>
      <c r="CM968" s="21"/>
      <c r="CN968" s="21"/>
      <c r="CO968" s="21"/>
      <c r="CP968" s="21"/>
      <c r="CQ968" s="21"/>
      <c r="CR968" s="21"/>
      <c r="CS968" s="21"/>
      <c r="CT968" s="21"/>
      <c r="CU968" s="21"/>
      <c r="CV968" s="21"/>
      <c r="CW968" s="21"/>
      <c r="CX968" s="21"/>
      <c r="CY968" s="21"/>
      <c r="CZ968" s="22"/>
      <c r="DA968" s="21"/>
      <c r="DB968" s="21"/>
    </row>
    <row r="969" spans="3:106" s="19" customFormat="1" ht="12"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2"/>
      <c r="BA969" s="21"/>
      <c r="BB969" s="21"/>
      <c r="BC969" s="21"/>
      <c r="BD969" s="21"/>
      <c r="BE969" s="21"/>
      <c r="BF969" s="21"/>
      <c r="BG969" s="21"/>
      <c r="BH969" s="21"/>
      <c r="BI969" s="21"/>
      <c r="BJ969" s="21"/>
      <c r="BK969" s="21"/>
      <c r="BL969" s="21"/>
      <c r="BM969" s="21"/>
      <c r="BN969" s="21"/>
      <c r="BO969" s="21"/>
      <c r="BP969" s="21"/>
      <c r="BQ969" s="21"/>
      <c r="BR969" s="21"/>
      <c r="BS969" s="21"/>
      <c r="BT969" s="21"/>
      <c r="BU969" s="21"/>
      <c r="BV969" s="21"/>
      <c r="BW969" s="21"/>
      <c r="BX969" s="21"/>
      <c r="BY969" s="21"/>
      <c r="BZ969" s="21"/>
      <c r="CA969" s="21"/>
      <c r="CB969" s="21"/>
      <c r="CC969" s="21"/>
      <c r="CD969" s="21"/>
      <c r="CE969" s="21"/>
      <c r="CF969" s="21"/>
      <c r="CG969" s="21"/>
      <c r="CH969" s="21"/>
      <c r="CI969" s="21"/>
      <c r="CJ969" s="21"/>
      <c r="CK969" s="21"/>
      <c r="CL969" s="21"/>
      <c r="CM969" s="21"/>
      <c r="CN969" s="21"/>
      <c r="CO969" s="21"/>
      <c r="CP969" s="21"/>
      <c r="CQ969" s="21"/>
      <c r="CR969" s="21"/>
      <c r="CS969" s="21"/>
      <c r="CT969" s="21"/>
      <c r="CU969" s="21"/>
      <c r="CV969" s="21"/>
      <c r="CW969" s="21"/>
      <c r="CX969" s="21"/>
      <c r="CY969" s="21"/>
      <c r="CZ969" s="22"/>
      <c r="DA969" s="21"/>
      <c r="DB969" s="21"/>
    </row>
    <row r="970" spans="3:106" s="19" customFormat="1" ht="12"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2"/>
      <c r="BA970" s="21"/>
      <c r="BB970" s="21"/>
      <c r="BC970" s="21"/>
      <c r="BD970" s="21"/>
      <c r="BE970" s="21"/>
      <c r="BF970" s="21"/>
      <c r="BG970" s="21"/>
      <c r="BH970" s="21"/>
      <c r="BI970" s="21"/>
      <c r="BJ970" s="21"/>
      <c r="BK970" s="21"/>
      <c r="BL970" s="21"/>
      <c r="BM970" s="21"/>
      <c r="BN970" s="21"/>
      <c r="BO970" s="21"/>
      <c r="BP970" s="21"/>
      <c r="BQ970" s="21"/>
      <c r="BR970" s="21"/>
      <c r="BS970" s="21"/>
      <c r="BT970" s="21"/>
      <c r="BU970" s="21"/>
      <c r="BV970" s="21"/>
      <c r="BW970" s="21"/>
      <c r="BX970" s="21"/>
      <c r="BY970" s="21"/>
      <c r="BZ970" s="21"/>
      <c r="CA970" s="21"/>
      <c r="CB970" s="21"/>
      <c r="CC970" s="21"/>
      <c r="CD970" s="21"/>
      <c r="CE970" s="21"/>
      <c r="CF970" s="21"/>
      <c r="CG970" s="21"/>
      <c r="CH970" s="21"/>
      <c r="CI970" s="21"/>
      <c r="CJ970" s="21"/>
      <c r="CK970" s="21"/>
      <c r="CL970" s="21"/>
      <c r="CM970" s="21"/>
      <c r="CN970" s="21"/>
      <c r="CO970" s="21"/>
      <c r="CP970" s="21"/>
      <c r="CQ970" s="21"/>
      <c r="CR970" s="21"/>
      <c r="CS970" s="21"/>
      <c r="CT970" s="21"/>
      <c r="CU970" s="21"/>
      <c r="CV970" s="21"/>
      <c r="CW970" s="21"/>
      <c r="CX970" s="21"/>
      <c r="CY970" s="21"/>
      <c r="CZ970" s="22"/>
      <c r="DA970" s="21"/>
      <c r="DB970" s="21"/>
    </row>
    <row r="971" spans="3:106" s="19" customFormat="1" ht="12"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2"/>
      <c r="BA971" s="21"/>
      <c r="BB971" s="21"/>
      <c r="BC971" s="21"/>
      <c r="BD971" s="21"/>
      <c r="BE971" s="21"/>
      <c r="BF971" s="21"/>
      <c r="BG971" s="21"/>
      <c r="BH971" s="21"/>
      <c r="BI971" s="21"/>
      <c r="BJ971" s="21"/>
      <c r="BK971" s="21"/>
      <c r="BL971" s="21"/>
      <c r="BM971" s="21"/>
      <c r="BN971" s="21"/>
      <c r="BO971" s="21"/>
      <c r="BP971" s="21"/>
      <c r="BQ971" s="21"/>
      <c r="BR971" s="21"/>
      <c r="BS971" s="21"/>
      <c r="BT971" s="21"/>
      <c r="BU971" s="21"/>
      <c r="BV971" s="21"/>
      <c r="BW971" s="21"/>
      <c r="BX971" s="21"/>
      <c r="BY971" s="21"/>
      <c r="BZ971" s="21"/>
      <c r="CA971" s="21"/>
      <c r="CB971" s="21"/>
      <c r="CC971" s="21"/>
      <c r="CD971" s="21"/>
      <c r="CE971" s="21"/>
      <c r="CF971" s="21"/>
      <c r="CG971" s="21"/>
      <c r="CH971" s="21"/>
      <c r="CI971" s="21"/>
      <c r="CJ971" s="21"/>
      <c r="CK971" s="21"/>
      <c r="CL971" s="21"/>
      <c r="CM971" s="21"/>
      <c r="CN971" s="21"/>
      <c r="CO971" s="21"/>
      <c r="CP971" s="21"/>
      <c r="CQ971" s="21"/>
      <c r="CR971" s="21"/>
      <c r="CS971" s="21"/>
      <c r="CT971" s="21"/>
      <c r="CU971" s="21"/>
      <c r="CV971" s="21"/>
      <c r="CW971" s="21"/>
      <c r="CX971" s="21"/>
      <c r="CY971" s="21"/>
      <c r="CZ971" s="22"/>
      <c r="DA971" s="21"/>
      <c r="DB971" s="21"/>
    </row>
    <row r="972" spans="3:106" s="19" customFormat="1" ht="12"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2"/>
      <c r="BA972" s="21"/>
      <c r="BB972" s="21"/>
      <c r="BC972" s="21"/>
      <c r="BD972" s="21"/>
      <c r="BE972" s="21"/>
      <c r="BF972" s="21"/>
      <c r="BG972" s="21"/>
      <c r="BH972" s="21"/>
      <c r="BI972" s="21"/>
      <c r="BJ972" s="21"/>
      <c r="BK972" s="21"/>
      <c r="BL972" s="21"/>
      <c r="BM972" s="21"/>
      <c r="BN972" s="21"/>
      <c r="BO972" s="21"/>
      <c r="BP972" s="21"/>
      <c r="BQ972" s="21"/>
      <c r="BR972" s="21"/>
      <c r="BS972" s="21"/>
      <c r="BT972" s="21"/>
      <c r="BU972" s="21"/>
      <c r="BV972" s="21"/>
      <c r="BW972" s="21"/>
      <c r="BX972" s="21"/>
      <c r="BY972" s="21"/>
      <c r="BZ972" s="21"/>
      <c r="CA972" s="21"/>
      <c r="CB972" s="21"/>
      <c r="CC972" s="21"/>
      <c r="CD972" s="21"/>
      <c r="CE972" s="21"/>
      <c r="CF972" s="21"/>
      <c r="CG972" s="21"/>
      <c r="CH972" s="21"/>
      <c r="CI972" s="21"/>
      <c r="CJ972" s="21"/>
      <c r="CK972" s="21"/>
      <c r="CL972" s="21"/>
      <c r="CM972" s="21"/>
      <c r="CN972" s="21"/>
      <c r="CO972" s="21"/>
      <c r="CP972" s="21"/>
      <c r="CQ972" s="21"/>
      <c r="CR972" s="21"/>
      <c r="CS972" s="21"/>
      <c r="CT972" s="21"/>
      <c r="CU972" s="21"/>
      <c r="CV972" s="21"/>
      <c r="CW972" s="21"/>
      <c r="CX972" s="21"/>
      <c r="CY972" s="21"/>
      <c r="CZ972" s="22"/>
      <c r="DA972" s="21"/>
      <c r="DB972" s="21"/>
    </row>
    <row r="973" spans="3:106" s="19" customFormat="1" ht="12"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2"/>
      <c r="BA973" s="21"/>
      <c r="BB973" s="21"/>
      <c r="BC973" s="21"/>
      <c r="BD973" s="21"/>
      <c r="BE973" s="21"/>
      <c r="BF973" s="21"/>
      <c r="BG973" s="21"/>
      <c r="BH973" s="21"/>
      <c r="BI973" s="21"/>
      <c r="BJ973" s="21"/>
      <c r="BK973" s="21"/>
      <c r="BL973" s="21"/>
      <c r="BM973" s="21"/>
      <c r="BN973" s="21"/>
      <c r="BO973" s="21"/>
      <c r="BP973" s="21"/>
      <c r="BQ973" s="21"/>
      <c r="BR973" s="21"/>
      <c r="BS973" s="21"/>
      <c r="BT973" s="21"/>
      <c r="BU973" s="21"/>
      <c r="BV973" s="21"/>
      <c r="BW973" s="21"/>
      <c r="BX973" s="21"/>
      <c r="BY973" s="21"/>
      <c r="BZ973" s="21"/>
      <c r="CA973" s="21"/>
      <c r="CB973" s="21"/>
      <c r="CC973" s="21"/>
      <c r="CD973" s="21"/>
      <c r="CE973" s="21"/>
      <c r="CF973" s="21"/>
      <c r="CG973" s="21"/>
      <c r="CH973" s="21"/>
      <c r="CI973" s="21"/>
      <c r="CJ973" s="21"/>
      <c r="CK973" s="21"/>
      <c r="CL973" s="21"/>
      <c r="CM973" s="21"/>
      <c r="CN973" s="21"/>
      <c r="CO973" s="21"/>
      <c r="CP973" s="21"/>
      <c r="CQ973" s="21"/>
      <c r="CR973" s="21"/>
      <c r="CS973" s="21"/>
      <c r="CT973" s="21"/>
      <c r="CU973" s="21"/>
      <c r="CV973" s="21"/>
      <c r="CW973" s="21"/>
      <c r="CX973" s="21"/>
      <c r="CY973" s="21"/>
      <c r="CZ973" s="22"/>
      <c r="DA973" s="21"/>
      <c r="DB973" s="21"/>
    </row>
    <row r="974" spans="3:106" s="19" customFormat="1" ht="12"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2"/>
      <c r="BA974" s="21"/>
      <c r="BB974" s="21"/>
      <c r="BC974" s="21"/>
      <c r="BD974" s="21"/>
      <c r="BE974" s="21"/>
      <c r="BF974" s="21"/>
      <c r="BG974" s="21"/>
      <c r="BH974" s="21"/>
      <c r="BI974" s="21"/>
      <c r="BJ974" s="21"/>
      <c r="BK974" s="21"/>
      <c r="BL974" s="21"/>
      <c r="BM974" s="21"/>
      <c r="BN974" s="21"/>
      <c r="BO974" s="21"/>
      <c r="BP974" s="21"/>
      <c r="BQ974" s="21"/>
      <c r="BR974" s="21"/>
      <c r="BS974" s="21"/>
      <c r="BT974" s="21"/>
      <c r="BU974" s="21"/>
      <c r="BV974" s="21"/>
      <c r="BW974" s="21"/>
      <c r="BX974" s="21"/>
      <c r="BY974" s="21"/>
      <c r="BZ974" s="21"/>
      <c r="CA974" s="21"/>
      <c r="CB974" s="21"/>
      <c r="CC974" s="21"/>
      <c r="CD974" s="21"/>
      <c r="CE974" s="21"/>
      <c r="CF974" s="21"/>
      <c r="CG974" s="21"/>
      <c r="CH974" s="21"/>
      <c r="CI974" s="21"/>
      <c r="CJ974" s="21"/>
      <c r="CK974" s="21"/>
      <c r="CL974" s="21"/>
      <c r="CM974" s="21"/>
      <c r="CN974" s="21"/>
      <c r="CO974" s="21"/>
      <c r="CP974" s="21"/>
      <c r="CQ974" s="21"/>
      <c r="CR974" s="21"/>
      <c r="CS974" s="21"/>
      <c r="CT974" s="21"/>
      <c r="CU974" s="21"/>
      <c r="CV974" s="21"/>
      <c r="CW974" s="21"/>
      <c r="CX974" s="21"/>
      <c r="CY974" s="21"/>
      <c r="CZ974" s="22"/>
      <c r="DA974" s="21"/>
      <c r="DB974" s="21"/>
    </row>
    <row r="975" spans="3:106" s="19" customFormat="1" ht="12"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2"/>
      <c r="BA975" s="21"/>
      <c r="BB975" s="21"/>
      <c r="BC975" s="21"/>
      <c r="BD975" s="21"/>
      <c r="BE975" s="21"/>
      <c r="BF975" s="21"/>
      <c r="BG975" s="21"/>
      <c r="BH975" s="21"/>
      <c r="BI975" s="21"/>
      <c r="BJ975" s="21"/>
      <c r="BK975" s="21"/>
      <c r="BL975" s="21"/>
      <c r="BM975" s="21"/>
      <c r="BN975" s="21"/>
      <c r="BO975" s="21"/>
      <c r="BP975" s="21"/>
      <c r="BQ975" s="21"/>
      <c r="BR975" s="21"/>
      <c r="BS975" s="21"/>
      <c r="BT975" s="21"/>
      <c r="BU975" s="21"/>
      <c r="BV975" s="21"/>
      <c r="BW975" s="21"/>
      <c r="BX975" s="21"/>
      <c r="BY975" s="21"/>
      <c r="BZ975" s="21"/>
      <c r="CA975" s="21"/>
      <c r="CB975" s="21"/>
      <c r="CC975" s="21"/>
      <c r="CD975" s="21"/>
      <c r="CE975" s="21"/>
      <c r="CF975" s="21"/>
      <c r="CG975" s="21"/>
      <c r="CH975" s="21"/>
      <c r="CI975" s="21"/>
      <c r="CJ975" s="21"/>
      <c r="CK975" s="21"/>
      <c r="CL975" s="21"/>
      <c r="CM975" s="21"/>
      <c r="CN975" s="21"/>
      <c r="CO975" s="21"/>
      <c r="CP975" s="21"/>
      <c r="CQ975" s="21"/>
      <c r="CR975" s="21"/>
      <c r="CS975" s="21"/>
      <c r="CT975" s="21"/>
      <c r="CU975" s="21"/>
      <c r="CV975" s="21"/>
      <c r="CW975" s="21"/>
      <c r="CX975" s="21"/>
      <c r="CY975" s="21"/>
      <c r="CZ975" s="22"/>
      <c r="DA975" s="21"/>
      <c r="DB975" s="21"/>
    </row>
    <row r="976" spans="3:106" s="19" customFormat="1" ht="12"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2"/>
      <c r="BA976" s="21"/>
      <c r="BB976" s="21"/>
      <c r="BC976" s="21"/>
      <c r="BD976" s="21"/>
      <c r="BE976" s="21"/>
      <c r="BF976" s="21"/>
      <c r="BG976" s="21"/>
      <c r="BH976" s="21"/>
      <c r="BI976" s="21"/>
      <c r="BJ976" s="21"/>
      <c r="BK976" s="21"/>
      <c r="BL976" s="21"/>
      <c r="BM976" s="21"/>
      <c r="BN976" s="21"/>
      <c r="BO976" s="21"/>
      <c r="BP976" s="21"/>
      <c r="BQ976" s="21"/>
      <c r="BR976" s="21"/>
      <c r="BS976" s="21"/>
      <c r="BT976" s="21"/>
      <c r="BU976" s="21"/>
      <c r="BV976" s="21"/>
      <c r="BW976" s="21"/>
      <c r="BX976" s="21"/>
      <c r="BY976" s="21"/>
      <c r="BZ976" s="21"/>
      <c r="CA976" s="21"/>
      <c r="CB976" s="21"/>
      <c r="CC976" s="21"/>
      <c r="CD976" s="21"/>
      <c r="CE976" s="21"/>
      <c r="CF976" s="21"/>
      <c r="CG976" s="21"/>
      <c r="CH976" s="21"/>
      <c r="CI976" s="21"/>
      <c r="CJ976" s="21"/>
      <c r="CK976" s="21"/>
      <c r="CL976" s="21"/>
      <c r="CM976" s="21"/>
      <c r="CN976" s="21"/>
      <c r="CO976" s="21"/>
      <c r="CP976" s="21"/>
      <c r="CQ976" s="21"/>
      <c r="CR976" s="21"/>
      <c r="CS976" s="21"/>
      <c r="CT976" s="21"/>
      <c r="CU976" s="21"/>
      <c r="CV976" s="21"/>
      <c r="CW976" s="21"/>
      <c r="CX976" s="21"/>
      <c r="CY976" s="21"/>
      <c r="CZ976" s="22"/>
      <c r="DA976" s="21"/>
      <c r="DB976" s="21"/>
    </row>
    <row r="977" spans="3:106" s="19" customFormat="1" ht="12"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2"/>
      <c r="BA977" s="21"/>
      <c r="BB977" s="21"/>
      <c r="BC977" s="21"/>
      <c r="BD977" s="21"/>
      <c r="BE977" s="21"/>
      <c r="BF977" s="21"/>
      <c r="BG977" s="21"/>
      <c r="BH977" s="21"/>
      <c r="BI977" s="21"/>
      <c r="BJ977" s="21"/>
      <c r="BK977" s="21"/>
      <c r="BL977" s="21"/>
      <c r="BM977" s="21"/>
      <c r="BN977" s="21"/>
      <c r="BO977" s="21"/>
      <c r="BP977" s="21"/>
      <c r="BQ977" s="21"/>
      <c r="BR977" s="21"/>
      <c r="BS977" s="21"/>
      <c r="BT977" s="21"/>
      <c r="BU977" s="21"/>
      <c r="BV977" s="21"/>
      <c r="BW977" s="21"/>
      <c r="BX977" s="21"/>
      <c r="BY977" s="21"/>
      <c r="BZ977" s="21"/>
      <c r="CA977" s="21"/>
      <c r="CB977" s="21"/>
      <c r="CC977" s="21"/>
      <c r="CD977" s="21"/>
      <c r="CE977" s="21"/>
      <c r="CF977" s="21"/>
      <c r="CG977" s="21"/>
      <c r="CH977" s="21"/>
      <c r="CI977" s="21"/>
      <c r="CJ977" s="21"/>
      <c r="CK977" s="21"/>
      <c r="CL977" s="21"/>
      <c r="CM977" s="21"/>
      <c r="CN977" s="21"/>
      <c r="CO977" s="21"/>
      <c r="CP977" s="21"/>
      <c r="CQ977" s="21"/>
      <c r="CR977" s="21"/>
      <c r="CS977" s="21"/>
      <c r="CT977" s="21"/>
      <c r="CU977" s="21"/>
      <c r="CV977" s="21"/>
      <c r="CW977" s="21"/>
      <c r="CX977" s="21"/>
      <c r="CY977" s="21"/>
      <c r="CZ977" s="22"/>
      <c r="DA977" s="21"/>
      <c r="DB977" s="21"/>
    </row>
    <row r="978" spans="3:106" s="19" customFormat="1" ht="12"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2"/>
      <c r="BA978" s="21"/>
      <c r="BB978" s="21"/>
      <c r="BC978" s="21"/>
      <c r="BD978" s="21"/>
      <c r="BE978" s="21"/>
      <c r="BF978" s="21"/>
      <c r="BG978" s="21"/>
      <c r="BH978" s="21"/>
      <c r="BI978" s="21"/>
      <c r="BJ978" s="21"/>
      <c r="BK978" s="21"/>
      <c r="BL978" s="21"/>
      <c r="BM978" s="21"/>
      <c r="BN978" s="21"/>
      <c r="BO978" s="21"/>
      <c r="BP978" s="21"/>
      <c r="BQ978" s="21"/>
      <c r="BR978" s="21"/>
      <c r="BS978" s="21"/>
      <c r="BT978" s="21"/>
      <c r="BU978" s="21"/>
      <c r="BV978" s="21"/>
      <c r="BW978" s="21"/>
      <c r="BX978" s="21"/>
      <c r="BY978" s="21"/>
      <c r="BZ978" s="21"/>
      <c r="CA978" s="21"/>
      <c r="CB978" s="21"/>
      <c r="CC978" s="21"/>
      <c r="CD978" s="21"/>
      <c r="CE978" s="21"/>
      <c r="CF978" s="21"/>
      <c r="CG978" s="21"/>
      <c r="CH978" s="21"/>
      <c r="CI978" s="21"/>
      <c r="CJ978" s="21"/>
      <c r="CK978" s="21"/>
      <c r="CL978" s="21"/>
      <c r="CM978" s="21"/>
      <c r="CN978" s="21"/>
      <c r="CO978" s="21"/>
      <c r="CP978" s="21"/>
      <c r="CQ978" s="21"/>
      <c r="CR978" s="21"/>
      <c r="CS978" s="21"/>
      <c r="CT978" s="21"/>
      <c r="CU978" s="21"/>
      <c r="CV978" s="21"/>
      <c r="CW978" s="21"/>
      <c r="CX978" s="21"/>
      <c r="CY978" s="21"/>
      <c r="CZ978" s="22"/>
      <c r="DA978" s="21"/>
      <c r="DB978" s="21"/>
    </row>
    <row r="979" spans="3:106" s="19" customFormat="1" ht="12"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2"/>
      <c r="BA979" s="21"/>
      <c r="BB979" s="21"/>
      <c r="BC979" s="21"/>
      <c r="BD979" s="21"/>
      <c r="BE979" s="21"/>
      <c r="BF979" s="21"/>
      <c r="BG979" s="21"/>
      <c r="BH979" s="21"/>
      <c r="BI979" s="21"/>
      <c r="BJ979" s="21"/>
      <c r="BK979" s="21"/>
      <c r="BL979" s="21"/>
      <c r="BM979" s="21"/>
      <c r="BN979" s="21"/>
      <c r="BO979" s="21"/>
      <c r="BP979" s="21"/>
      <c r="BQ979" s="21"/>
      <c r="BR979" s="21"/>
      <c r="BS979" s="21"/>
      <c r="BT979" s="21"/>
      <c r="BU979" s="21"/>
      <c r="BV979" s="21"/>
      <c r="BW979" s="21"/>
      <c r="BX979" s="21"/>
      <c r="BY979" s="21"/>
      <c r="BZ979" s="21"/>
      <c r="CA979" s="21"/>
      <c r="CB979" s="21"/>
      <c r="CC979" s="21"/>
      <c r="CD979" s="21"/>
      <c r="CE979" s="21"/>
      <c r="CF979" s="21"/>
      <c r="CG979" s="21"/>
      <c r="CH979" s="21"/>
      <c r="CI979" s="21"/>
      <c r="CJ979" s="21"/>
      <c r="CK979" s="21"/>
      <c r="CL979" s="21"/>
      <c r="CM979" s="21"/>
      <c r="CN979" s="21"/>
      <c r="CO979" s="21"/>
      <c r="CP979" s="21"/>
      <c r="CQ979" s="21"/>
      <c r="CR979" s="21"/>
      <c r="CS979" s="21"/>
      <c r="CT979" s="21"/>
      <c r="CU979" s="21"/>
      <c r="CV979" s="21"/>
      <c r="CW979" s="21"/>
      <c r="CX979" s="21"/>
      <c r="CY979" s="21"/>
      <c r="CZ979" s="22"/>
      <c r="DA979" s="21"/>
      <c r="DB979" s="21"/>
    </row>
    <row r="980" spans="3:106" s="19" customFormat="1" ht="12"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2"/>
      <c r="BA980" s="21"/>
      <c r="BB980" s="21"/>
      <c r="BC980" s="21"/>
      <c r="BD980" s="21"/>
      <c r="BE980" s="21"/>
      <c r="BF980" s="21"/>
      <c r="BG980" s="21"/>
      <c r="BH980" s="21"/>
      <c r="BI980" s="21"/>
      <c r="BJ980" s="21"/>
      <c r="BK980" s="21"/>
      <c r="BL980" s="21"/>
      <c r="BM980" s="21"/>
      <c r="BN980" s="21"/>
      <c r="BO980" s="21"/>
      <c r="BP980" s="21"/>
      <c r="BQ980" s="21"/>
      <c r="BR980" s="21"/>
      <c r="BS980" s="21"/>
      <c r="BT980" s="21"/>
      <c r="BU980" s="21"/>
      <c r="BV980" s="21"/>
      <c r="BW980" s="21"/>
      <c r="BX980" s="21"/>
      <c r="BY980" s="21"/>
      <c r="BZ980" s="21"/>
      <c r="CA980" s="21"/>
      <c r="CB980" s="21"/>
      <c r="CC980" s="21"/>
      <c r="CD980" s="21"/>
      <c r="CE980" s="21"/>
      <c r="CF980" s="21"/>
      <c r="CG980" s="21"/>
      <c r="CH980" s="21"/>
      <c r="CI980" s="21"/>
      <c r="CJ980" s="21"/>
      <c r="CK980" s="21"/>
      <c r="CL980" s="21"/>
      <c r="CM980" s="21"/>
      <c r="CN980" s="21"/>
      <c r="CO980" s="21"/>
      <c r="CP980" s="21"/>
      <c r="CQ980" s="21"/>
      <c r="CR980" s="21"/>
      <c r="CS980" s="21"/>
      <c r="CT980" s="21"/>
      <c r="CU980" s="21"/>
      <c r="CV980" s="21"/>
      <c r="CW980" s="21"/>
      <c r="CX980" s="21"/>
      <c r="CY980" s="21"/>
      <c r="CZ980" s="22"/>
      <c r="DA980" s="21"/>
      <c r="DB980" s="21"/>
    </row>
    <row r="981" spans="3:106" s="19" customFormat="1" ht="12"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2"/>
      <c r="BA981" s="21"/>
      <c r="BB981" s="21"/>
      <c r="BC981" s="21"/>
      <c r="BD981" s="21"/>
      <c r="BE981" s="21"/>
      <c r="BF981" s="21"/>
      <c r="BG981" s="21"/>
      <c r="BH981" s="21"/>
      <c r="BI981" s="21"/>
      <c r="BJ981" s="21"/>
      <c r="BK981" s="21"/>
      <c r="BL981" s="21"/>
      <c r="BM981" s="21"/>
      <c r="BN981" s="21"/>
      <c r="BO981" s="21"/>
      <c r="BP981" s="21"/>
      <c r="BQ981" s="21"/>
      <c r="BR981" s="21"/>
      <c r="BS981" s="21"/>
      <c r="BT981" s="21"/>
      <c r="BU981" s="21"/>
      <c r="BV981" s="21"/>
      <c r="BW981" s="21"/>
      <c r="BX981" s="21"/>
      <c r="BY981" s="21"/>
      <c r="BZ981" s="21"/>
      <c r="CA981" s="21"/>
      <c r="CB981" s="21"/>
      <c r="CC981" s="21"/>
      <c r="CD981" s="21"/>
      <c r="CE981" s="21"/>
      <c r="CF981" s="21"/>
      <c r="CG981" s="21"/>
      <c r="CH981" s="21"/>
      <c r="CI981" s="21"/>
      <c r="CJ981" s="21"/>
      <c r="CK981" s="21"/>
      <c r="CL981" s="21"/>
      <c r="CM981" s="21"/>
      <c r="CN981" s="21"/>
      <c r="CO981" s="21"/>
      <c r="CP981" s="21"/>
      <c r="CQ981" s="21"/>
      <c r="CR981" s="21"/>
      <c r="CS981" s="21"/>
      <c r="CT981" s="21"/>
      <c r="CU981" s="21"/>
      <c r="CV981" s="21"/>
      <c r="CW981" s="21"/>
      <c r="CX981" s="21"/>
      <c r="CY981" s="21"/>
      <c r="CZ981" s="22"/>
      <c r="DA981" s="21"/>
      <c r="DB981" s="21"/>
    </row>
    <row r="982" spans="3:106" s="19" customFormat="1" ht="12"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2"/>
      <c r="BA982" s="21"/>
      <c r="BB982" s="21"/>
      <c r="BC982" s="21"/>
      <c r="BD982" s="21"/>
      <c r="BE982" s="21"/>
      <c r="BF982" s="21"/>
      <c r="BG982" s="21"/>
      <c r="BH982" s="21"/>
      <c r="BI982" s="21"/>
      <c r="BJ982" s="21"/>
      <c r="BK982" s="21"/>
      <c r="BL982" s="21"/>
      <c r="BM982" s="21"/>
      <c r="BN982" s="21"/>
      <c r="BO982" s="21"/>
      <c r="BP982" s="21"/>
      <c r="BQ982" s="21"/>
      <c r="BR982" s="21"/>
      <c r="BS982" s="21"/>
      <c r="BT982" s="21"/>
      <c r="BU982" s="21"/>
      <c r="BV982" s="21"/>
      <c r="BW982" s="21"/>
      <c r="BX982" s="21"/>
      <c r="BY982" s="21"/>
      <c r="BZ982" s="21"/>
      <c r="CA982" s="21"/>
      <c r="CB982" s="21"/>
      <c r="CC982" s="21"/>
      <c r="CD982" s="21"/>
      <c r="CE982" s="21"/>
      <c r="CF982" s="21"/>
      <c r="CG982" s="21"/>
      <c r="CH982" s="21"/>
      <c r="CI982" s="21"/>
      <c r="CJ982" s="21"/>
      <c r="CK982" s="21"/>
      <c r="CL982" s="21"/>
      <c r="CM982" s="21"/>
      <c r="CN982" s="21"/>
      <c r="CO982" s="21"/>
      <c r="CP982" s="21"/>
      <c r="CQ982" s="21"/>
      <c r="CR982" s="21"/>
      <c r="CS982" s="21"/>
      <c r="CT982" s="21"/>
      <c r="CU982" s="21"/>
      <c r="CV982" s="21"/>
      <c r="CW982" s="21"/>
      <c r="CX982" s="21"/>
      <c r="CY982" s="21"/>
      <c r="CZ982" s="22"/>
      <c r="DA982" s="21"/>
      <c r="DB982" s="21"/>
    </row>
    <row r="983" spans="3:106" s="19" customFormat="1" ht="12"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2"/>
      <c r="BA983" s="21"/>
      <c r="BB983" s="21"/>
      <c r="BC983" s="21"/>
      <c r="BD983" s="21"/>
      <c r="BE983" s="21"/>
      <c r="BF983" s="21"/>
      <c r="BG983" s="21"/>
      <c r="BH983" s="21"/>
      <c r="BI983" s="21"/>
      <c r="BJ983" s="21"/>
      <c r="BK983" s="21"/>
      <c r="BL983" s="21"/>
      <c r="BM983" s="21"/>
      <c r="BN983" s="21"/>
      <c r="BO983" s="21"/>
      <c r="BP983" s="21"/>
      <c r="BQ983" s="21"/>
      <c r="BR983" s="21"/>
      <c r="BS983" s="21"/>
      <c r="BT983" s="21"/>
      <c r="BU983" s="21"/>
      <c r="BV983" s="21"/>
      <c r="BW983" s="21"/>
      <c r="BX983" s="21"/>
      <c r="BY983" s="21"/>
      <c r="BZ983" s="21"/>
      <c r="CA983" s="21"/>
      <c r="CB983" s="21"/>
      <c r="CC983" s="21"/>
      <c r="CD983" s="21"/>
      <c r="CE983" s="21"/>
      <c r="CF983" s="21"/>
      <c r="CG983" s="21"/>
      <c r="CH983" s="21"/>
      <c r="CI983" s="21"/>
      <c r="CJ983" s="21"/>
      <c r="CK983" s="21"/>
      <c r="CL983" s="21"/>
      <c r="CM983" s="21"/>
      <c r="CN983" s="21"/>
      <c r="CO983" s="21"/>
      <c r="CP983" s="21"/>
      <c r="CQ983" s="21"/>
      <c r="CR983" s="21"/>
      <c r="CS983" s="21"/>
      <c r="CT983" s="21"/>
      <c r="CU983" s="21"/>
      <c r="CV983" s="21"/>
      <c r="CW983" s="21"/>
      <c r="CX983" s="21"/>
      <c r="CY983" s="21"/>
      <c r="CZ983" s="22"/>
      <c r="DA983" s="21"/>
      <c r="DB983" s="21"/>
    </row>
    <row r="984" spans="3:106" s="19" customFormat="1" ht="12"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2"/>
      <c r="BA984" s="21"/>
      <c r="BB984" s="21"/>
      <c r="BC984" s="21"/>
      <c r="BD984" s="21"/>
      <c r="BE984" s="21"/>
      <c r="BF984" s="21"/>
      <c r="BG984" s="21"/>
      <c r="BH984" s="21"/>
      <c r="BI984" s="21"/>
      <c r="BJ984" s="21"/>
      <c r="BK984" s="21"/>
      <c r="BL984" s="21"/>
      <c r="BM984" s="21"/>
      <c r="BN984" s="21"/>
      <c r="BO984" s="21"/>
      <c r="BP984" s="21"/>
      <c r="BQ984" s="21"/>
      <c r="BR984" s="21"/>
      <c r="BS984" s="21"/>
      <c r="BT984" s="21"/>
      <c r="BU984" s="21"/>
      <c r="BV984" s="21"/>
      <c r="BW984" s="21"/>
      <c r="BX984" s="21"/>
      <c r="BY984" s="21"/>
      <c r="BZ984" s="21"/>
      <c r="CA984" s="21"/>
      <c r="CB984" s="21"/>
      <c r="CC984" s="21"/>
      <c r="CD984" s="21"/>
      <c r="CE984" s="21"/>
      <c r="CF984" s="21"/>
      <c r="CG984" s="21"/>
      <c r="CH984" s="21"/>
      <c r="CI984" s="21"/>
      <c r="CJ984" s="21"/>
      <c r="CK984" s="21"/>
      <c r="CL984" s="21"/>
      <c r="CM984" s="21"/>
      <c r="CN984" s="21"/>
      <c r="CO984" s="21"/>
      <c r="CP984" s="21"/>
      <c r="CQ984" s="21"/>
      <c r="CR984" s="21"/>
      <c r="CS984" s="21"/>
      <c r="CT984" s="21"/>
      <c r="CU984" s="21"/>
      <c r="CV984" s="21"/>
      <c r="CW984" s="21"/>
      <c r="CX984" s="21"/>
      <c r="CY984" s="21"/>
      <c r="CZ984" s="22"/>
      <c r="DA984" s="21"/>
      <c r="DB984" s="21"/>
    </row>
    <row r="985" spans="3:106" s="19" customFormat="1" ht="12"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2"/>
      <c r="BA985" s="21"/>
      <c r="BB985" s="21"/>
      <c r="BC985" s="21"/>
      <c r="BD985" s="21"/>
      <c r="BE985" s="21"/>
      <c r="BF985" s="21"/>
      <c r="BG985" s="21"/>
      <c r="BH985" s="21"/>
      <c r="BI985" s="21"/>
      <c r="BJ985" s="21"/>
      <c r="BK985" s="21"/>
      <c r="BL985" s="21"/>
      <c r="BM985" s="21"/>
      <c r="BN985" s="21"/>
      <c r="BO985" s="21"/>
      <c r="BP985" s="21"/>
      <c r="BQ985" s="21"/>
      <c r="BR985" s="21"/>
      <c r="BS985" s="21"/>
      <c r="BT985" s="21"/>
      <c r="BU985" s="21"/>
      <c r="BV985" s="21"/>
      <c r="BW985" s="21"/>
      <c r="BX985" s="21"/>
      <c r="BY985" s="21"/>
      <c r="BZ985" s="21"/>
      <c r="CA985" s="21"/>
      <c r="CB985" s="21"/>
      <c r="CC985" s="21"/>
      <c r="CD985" s="21"/>
      <c r="CE985" s="21"/>
      <c r="CF985" s="21"/>
      <c r="CG985" s="21"/>
      <c r="CH985" s="21"/>
      <c r="CI985" s="21"/>
      <c r="CJ985" s="21"/>
      <c r="CK985" s="21"/>
      <c r="CL985" s="21"/>
      <c r="CM985" s="21"/>
      <c r="CN985" s="21"/>
      <c r="CO985" s="21"/>
      <c r="CP985" s="21"/>
      <c r="CQ985" s="21"/>
      <c r="CR985" s="21"/>
      <c r="CS985" s="21"/>
      <c r="CT985" s="21"/>
      <c r="CU985" s="21"/>
      <c r="CV985" s="21"/>
      <c r="CW985" s="21"/>
      <c r="CX985" s="21"/>
      <c r="CY985" s="21"/>
      <c r="CZ985" s="22"/>
      <c r="DA985" s="21"/>
      <c r="DB985" s="21"/>
    </row>
    <row r="986" spans="3:106" s="19" customFormat="1" ht="12"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2"/>
      <c r="BA986" s="21"/>
      <c r="BB986" s="21"/>
      <c r="BC986" s="21"/>
      <c r="BD986" s="21"/>
      <c r="BE986" s="21"/>
      <c r="BF986" s="21"/>
      <c r="BG986" s="21"/>
      <c r="BH986" s="21"/>
      <c r="BI986" s="21"/>
      <c r="BJ986" s="21"/>
      <c r="BK986" s="21"/>
      <c r="BL986" s="21"/>
      <c r="BM986" s="21"/>
      <c r="BN986" s="21"/>
      <c r="BO986" s="21"/>
      <c r="BP986" s="21"/>
      <c r="BQ986" s="21"/>
      <c r="BR986" s="21"/>
      <c r="BS986" s="21"/>
      <c r="BT986" s="21"/>
      <c r="BU986" s="21"/>
      <c r="BV986" s="21"/>
      <c r="BW986" s="21"/>
      <c r="BX986" s="21"/>
      <c r="BY986" s="21"/>
      <c r="BZ986" s="21"/>
      <c r="CA986" s="21"/>
      <c r="CB986" s="21"/>
      <c r="CC986" s="21"/>
      <c r="CD986" s="21"/>
      <c r="CE986" s="21"/>
      <c r="CF986" s="21"/>
      <c r="CG986" s="21"/>
      <c r="CH986" s="21"/>
      <c r="CI986" s="21"/>
      <c r="CJ986" s="21"/>
      <c r="CK986" s="21"/>
      <c r="CL986" s="21"/>
      <c r="CM986" s="21"/>
      <c r="CN986" s="21"/>
      <c r="CO986" s="21"/>
      <c r="CP986" s="21"/>
      <c r="CQ986" s="21"/>
      <c r="CR986" s="21"/>
      <c r="CS986" s="21"/>
      <c r="CT986" s="21"/>
      <c r="CU986" s="21"/>
      <c r="CV986" s="21"/>
      <c r="CW986" s="21"/>
      <c r="CX986" s="21"/>
      <c r="CY986" s="21"/>
      <c r="CZ986" s="22"/>
      <c r="DA986" s="21"/>
      <c r="DB986" s="21"/>
    </row>
    <row r="987" spans="3:106" s="19" customFormat="1" ht="12"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2"/>
      <c r="BA987" s="21"/>
      <c r="BB987" s="21"/>
      <c r="BC987" s="21"/>
      <c r="BD987" s="21"/>
      <c r="BE987" s="21"/>
      <c r="BF987" s="21"/>
      <c r="BG987" s="21"/>
      <c r="BH987" s="21"/>
      <c r="BI987" s="21"/>
      <c r="BJ987" s="21"/>
      <c r="BK987" s="21"/>
      <c r="BL987" s="21"/>
      <c r="BM987" s="21"/>
      <c r="BN987" s="21"/>
      <c r="BO987" s="21"/>
      <c r="BP987" s="21"/>
      <c r="BQ987" s="21"/>
      <c r="BR987" s="21"/>
      <c r="BS987" s="21"/>
      <c r="BT987" s="21"/>
      <c r="BU987" s="21"/>
      <c r="BV987" s="21"/>
      <c r="BW987" s="21"/>
      <c r="BX987" s="21"/>
      <c r="BY987" s="21"/>
      <c r="BZ987" s="21"/>
      <c r="CA987" s="21"/>
      <c r="CB987" s="21"/>
      <c r="CC987" s="21"/>
      <c r="CD987" s="21"/>
      <c r="CE987" s="21"/>
      <c r="CF987" s="21"/>
      <c r="CG987" s="21"/>
      <c r="CH987" s="21"/>
      <c r="CI987" s="21"/>
      <c r="CJ987" s="21"/>
      <c r="CK987" s="21"/>
      <c r="CL987" s="21"/>
      <c r="CM987" s="21"/>
      <c r="CN987" s="21"/>
      <c r="CO987" s="21"/>
      <c r="CP987" s="21"/>
      <c r="CQ987" s="21"/>
      <c r="CR987" s="21"/>
      <c r="CS987" s="21"/>
      <c r="CT987" s="21"/>
      <c r="CU987" s="21"/>
      <c r="CV987" s="21"/>
      <c r="CW987" s="21"/>
      <c r="CX987" s="21"/>
      <c r="CY987" s="21"/>
      <c r="CZ987" s="22"/>
      <c r="DA987" s="21"/>
      <c r="DB987" s="21"/>
    </row>
    <row r="988" spans="3:106" s="19" customFormat="1" ht="12"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2"/>
      <c r="BA988" s="21"/>
      <c r="BB988" s="21"/>
      <c r="BC988" s="21"/>
      <c r="BD988" s="21"/>
      <c r="BE988" s="21"/>
      <c r="BF988" s="21"/>
      <c r="BG988" s="21"/>
      <c r="BH988" s="21"/>
      <c r="BI988" s="21"/>
      <c r="BJ988" s="21"/>
      <c r="BK988" s="21"/>
      <c r="BL988" s="21"/>
      <c r="BM988" s="21"/>
      <c r="BN988" s="21"/>
      <c r="BO988" s="21"/>
      <c r="BP988" s="21"/>
      <c r="BQ988" s="21"/>
      <c r="BR988" s="21"/>
      <c r="BS988" s="21"/>
      <c r="BT988" s="21"/>
      <c r="BU988" s="21"/>
      <c r="BV988" s="21"/>
      <c r="BW988" s="21"/>
      <c r="BX988" s="21"/>
      <c r="BY988" s="21"/>
      <c r="BZ988" s="21"/>
      <c r="CA988" s="21"/>
      <c r="CB988" s="21"/>
      <c r="CC988" s="21"/>
      <c r="CD988" s="21"/>
      <c r="CE988" s="21"/>
      <c r="CF988" s="21"/>
      <c r="CG988" s="21"/>
      <c r="CH988" s="21"/>
      <c r="CI988" s="21"/>
      <c r="CJ988" s="21"/>
      <c r="CK988" s="21"/>
      <c r="CL988" s="21"/>
      <c r="CM988" s="21"/>
      <c r="CN988" s="21"/>
      <c r="CO988" s="21"/>
      <c r="CP988" s="21"/>
      <c r="CQ988" s="21"/>
      <c r="CR988" s="21"/>
      <c r="CS988" s="21"/>
      <c r="CT988" s="21"/>
      <c r="CU988" s="21"/>
      <c r="CV988" s="21"/>
      <c r="CW988" s="21"/>
      <c r="CX988" s="21"/>
      <c r="CY988" s="21"/>
      <c r="CZ988" s="22"/>
      <c r="DA988" s="21"/>
      <c r="DB988" s="21"/>
    </row>
    <row r="989" spans="3:106" s="19" customFormat="1" ht="12"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2"/>
      <c r="BA989" s="21"/>
      <c r="BB989" s="21"/>
      <c r="BC989" s="21"/>
      <c r="BD989" s="21"/>
      <c r="BE989" s="21"/>
      <c r="BF989" s="21"/>
      <c r="BG989" s="21"/>
      <c r="BH989" s="21"/>
      <c r="BI989" s="21"/>
      <c r="BJ989" s="21"/>
      <c r="BK989" s="21"/>
      <c r="BL989" s="21"/>
      <c r="BM989" s="21"/>
      <c r="BN989" s="21"/>
      <c r="BO989" s="21"/>
      <c r="BP989" s="21"/>
      <c r="BQ989" s="21"/>
      <c r="BR989" s="21"/>
      <c r="BS989" s="21"/>
      <c r="BT989" s="21"/>
      <c r="BU989" s="21"/>
      <c r="BV989" s="21"/>
      <c r="BW989" s="21"/>
      <c r="BX989" s="21"/>
      <c r="BY989" s="21"/>
      <c r="BZ989" s="21"/>
      <c r="CA989" s="21"/>
      <c r="CB989" s="21"/>
      <c r="CC989" s="21"/>
      <c r="CD989" s="21"/>
      <c r="CE989" s="21"/>
      <c r="CF989" s="21"/>
      <c r="CG989" s="21"/>
      <c r="CH989" s="21"/>
      <c r="CI989" s="21"/>
      <c r="CJ989" s="21"/>
      <c r="CK989" s="21"/>
      <c r="CL989" s="21"/>
      <c r="CM989" s="21"/>
      <c r="CN989" s="21"/>
      <c r="CO989" s="21"/>
      <c r="CP989" s="21"/>
      <c r="CQ989" s="21"/>
      <c r="CR989" s="21"/>
      <c r="CS989" s="21"/>
      <c r="CT989" s="21"/>
      <c r="CU989" s="21"/>
      <c r="CV989" s="21"/>
      <c r="CW989" s="21"/>
      <c r="CX989" s="21"/>
      <c r="CY989" s="21"/>
      <c r="CZ989" s="22"/>
      <c r="DA989" s="21"/>
      <c r="DB989" s="21"/>
    </row>
    <row r="990" spans="3:106" s="19" customFormat="1" ht="12"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2"/>
      <c r="BA990" s="21"/>
      <c r="BB990" s="21"/>
      <c r="BC990" s="21"/>
      <c r="BD990" s="21"/>
      <c r="BE990" s="21"/>
      <c r="BF990" s="21"/>
      <c r="BG990" s="21"/>
      <c r="BH990" s="21"/>
      <c r="BI990" s="21"/>
      <c r="BJ990" s="21"/>
      <c r="BK990" s="21"/>
      <c r="BL990" s="21"/>
      <c r="BM990" s="21"/>
      <c r="BN990" s="21"/>
      <c r="BO990" s="21"/>
      <c r="BP990" s="21"/>
      <c r="BQ990" s="21"/>
      <c r="BR990" s="21"/>
      <c r="BS990" s="21"/>
      <c r="BT990" s="21"/>
      <c r="BU990" s="21"/>
      <c r="BV990" s="21"/>
      <c r="BW990" s="21"/>
      <c r="BX990" s="21"/>
      <c r="BY990" s="21"/>
      <c r="BZ990" s="21"/>
      <c r="CA990" s="21"/>
      <c r="CB990" s="21"/>
      <c r="CC990" s="21"/>
      <c r="CD990" s="21"/>
      <c r="CE990" s="21"/>
      <c r="CF990" s="21"/>
      <c r="CG990" s="21"/>
      <c r="CH990" s="21"/>
      <c r="CI990" s="21"/>
      <c r="CJ990" s="21"/>
      <c r="CK990" s="21"/>
      <c r="CL990" s="21"/>
      <c r="CM990" s="21"/>
      <c r="CN990" s="21"/>
      <c r="CO990" s="21"/>
      <c r="CP990" s="21"/>
      <c r="CQ990" s="21"/>
      <c r="CR990" s="21"/>
      <c r="CS990" s="21"/>
      <c r="CT990" s="21"/>
      <c r="CU990" s="21"/>
      <c r="CV990" s="21"/>
      <c r="CW990" s="21"/>
      <c r="CX990" s="21"/>
      <c r="CY990" s="21"/>
      <c r="CZ990" s="22"/>
      <c r="DA990" s="21"/>
      <c r="DB990" s="21"/>
    </row>
    <row r="991" spans="3:106" s="19" customFormat="1" ht="12"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2"/>
      <c r="BA991" s="21"/>
      <c r="BB991" s="21"/>
      <c r="BC991" s="21"/>
      <c r="BD991" s="21"/>
      <c r="BE991" s="21"/>
      <c r="BF991" s="21"/>
      <c r="BG991" s="21"/>
      <c r="BH991" s="21"/>
      <c r="BI991" s="21"/>
      <c r="BJ991" s="21"/>
      <c r="BK991" s="21"/>
      <c r="BL991" s="21"/>
      <c r="BM991" s="21"/>
      <c r="BN991" s="21"/>
      <c r="BO991" s="21"/>
      <c r="BP991" s="21"/>
      <c r="BQ991" s="21"/>
      <c r="BR991" s="21"/>
      <c r="BS991" s="21"/>
      <c r="BT991" s="21"/>
      <c r="BU991" s="21"/>
      <c r="BV991" s="21"/>
      <c r="BW991" s="21"/>
      <c r="BX991" s="21"/>
      <c r="BY991" s="21"/>
      <c r="BZ991" s="21"/>
      <c r="CA991" s="21"/>
      <c r="CB991" s="21"/>
      <c r="CC991" s="21"/>
      <c r="CD991" s="21"/>
      <c r="CE991" s="21"/>
      <c r="CF991" s="21"/>
      <c r="CG991" s="21"/>
      <c r="CH991" s="21"/>
      <c r="CI991" s="21"/>
      <c r="CJ991" s="21"/>
      <c r="CK991" s="21"/>
      <c r="CL991" s="21"/>
      <c r="CM991" s="21"/>
      <c r="CN991" s="21"/>
      <c r="CO991" s="21"/>
      <c r="CP991" s="21"/>
      <c r="CQ991" s="21"/>
      <c r="CR991" s="21"/>
      <c r="CS991" s="21"/>
      <c r="CT991" s="21"/>
      <c r="CU991" s="21"/>
      <c r="CV991" s="21"/>
      <c r="CW991" s="21"/>
      <c r="CX991" s="21"/>
      <c r="CY991" s="21"/>
      <c r="CZ991" s="22"/>
      <c r="DA991" s="21"/>
      <c r="DB991" s="21"/>
    </row>
    <row r="992" spans="3:106" s="19" customFormat="1" ht="12"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2"/>
      <c r="BA992" s="21"/>
      <c r="BB992" s="21"/>
      <c r="BC992" s="21"/>
      <c r="BD992" s="21"/>
      <c r="BE992" s="21"/>
      <c r="BF992" s="21"/>
      <c r="BG992" s="21"/>
      <c r="BH992" s="21"/>
      <c r="BI992" s="21"/>
      <c r="BJ992" s="21"/>
      <c r="BK992" s="21"/>
      <c r="BL992" s="21"/>
      <c r="BM992" s="21"/>
      <c r="BN992" s="21"/>
      <c r="BO992" s="21"/>
      <c r="BP992" s="21"/>
      <c r="BQ992" s="21"/>
      <c r="BR992" s="21"/>
      <c r="BS992" s="21"/>
      <c r="BT992" s="21"/>
      <c r="BU992" s="21"/>
      <c r="BV992" s="21"/>
      <c r="BW992" s="21"/>
      <c r="BX992" s="21"/>
      <c r="BY992" s="21"/>
      <c r="BZ992" s="21"/>
      <c r="CA992" s="21"/>
      <c r="CB992" s="21"/>
      <c r="CC992" s="21"/>
      <c r="CD992" s="21"/>
      <c r="CE992" s="21"/>
      <c r="CF992" s="21"/>
      <c r="CG992" s="21"/>
      <c r="CH992" s="21"/>
      <c r="CI992" s="21"/>
      <c r="CJ992" s="21"/>
      <c r="CK992" s="21"/>
      <c r="CL992" s="21"/>
      <c r="CM992" s="21"/>
      <c r="CN992" s="21"/>
      <c r="CO992" s="21"/>
      <c r="CP992" s="21"/>
      <c r="CQ992" s="21"/>
      <c r="CR992" s="21"/>
      <c r="CS992" s="21"/>
      <c r="CT992" s="21"/>
      <c r="CU992" s="21"/>
      <c r="CV992" s="21"/>
      <c r="CW992" s="21"/>
      <c r="CX992" s="21"/>
      <c r="CY992" s="21"/>
      <c r="CZ992" s="22"/>
      <c r="DA992" s="21"/>
      <c r="DB992" s="21"/>
    </row>
    <row r="993" spans="3:106" s="19" customFormat="1" ht="12"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2"/>
      <c r="BA993" s="21"/>
      <c r="BB993" s="21"/>
      <c r="BC993" s="21"/>
      <c r="BD993" s="21"/>
      <c r="BE993" s="21"/>
      <c r="BF993" s="21"/>
      <c r="BG993" s="21"/>
      <c r="BH993" s="21"/>
      <c r="BI993" s="21"/>
      <c r="BJ993" s="21"/>
      <c r="BK993" s="21"/>
      <c r="BL993" s="21"/>
      <c r="BM993" s="21"/>
      <c r="BN993" s="21"/>
      <c r="BO993" s="21"/>
      <c r="BP993" s="21"/>
      <c r="BQ993" s="21"/>
      <c r="BR993" s="21"/>
      <c r="BS993" s="21"/>
      <c r="BT993" s="21"/>
      <c r="BU993" s="21"/>
      <c r="BV993" s="21"/>
      <c r="BW993" s="21"/>
      <c r="BX993" s="21"/>
      <c r="BY993" s="21"/>
      <c r="BZ993" s="21"/>
      <c r="CA993" s="21"/>
      <c r="CB993" s="21"/>
      <c r="CC993" s="21"/>
      <c r="CD993" s="21"/>
      <c r="CE993" s="21"/>
      <c r="CF993" s="21"/>
      <c r="CG993" s="21"/>
      <c r="CH993" s="21"/>
      <c r="CI993" s="21"/>
      <c r="CJ993" s="21"/>
      <c r="CK993" s="21"/>
      <c r="CL993" s="21"/>
      <c r="CM993" s="21"/>
      <c r="CN993" s="21"/>
      <c r="CO993" s="21"/>
      <c r="CP993" s="21"/>
      <c r="CQ993" s="21"/>
      <c r="CR993" s="21"/>
      <c r="CS993" s="21"/>
      <c r="CT993" s="21"/>
      <c r="CU993" s="21"/>
      <c r="CV993" s="21"/>
      <c r="CW993" s="21"/>
      <c r="CX993" s="21"/>
      <c r="CY993" s="21"/>
      <c r="CZ993" s="22"/>
      <c r="DA993" s="21"/>
      <c r="DB993" s="21"/>
    </row>
    <row r="994" spans="3:106" s="19" customFormat="1" ht="12"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2"/>
      <c r="BA994" s="21"/>
      <c r="BB994" s="21"/>
      <c r="BC994" s="21"/>
      <c r="BD994" s="21"/>
      <c r="BE994" s="21"/>
      <c r="BF994" s="21"/>
      <c r="BG994" s="21"/>
      <c r="BH994" s="21"/>
      <c r="BI994" s="21"/>
      <c r="BJ994" s="21"/>
      <c r="BK994" s="21"/>
      <c r="BL994" s="21"/>
      <c r="BM994" s="21"/>
      <c r="BN994" s="21"/>
      <c r="BO994" s="21"/>
      <c r="BP994" s="21"/>
      <c r="BQ994" s="21"/>
      <c r="BR994" s="21"/>
      <c r="BS994" s="21"/>
      <c r="BT994" s="21"/>
      <c r="BU994" s="21"/>
      <c r="BV994" s="21"/>
      <c r="BW994" s="21"/>
      <c r="BX994" s="21"/>
      <c r="BY994" s="21"/>
      <c r="BZ994" s="21"/>
      <c r="CA994" s="21"/>
      <c r="CB994" s="21"/>
      <c r="CC994" s="21"/>
      <c r="CD994" s="21"/>
      <c r="CE994" s="21"/>
      <c r="CF994" s="21"/>
      <c r="CG994" s="21"/>
      <c r="CH994" s="21"/>
      <c r="CI994" s="21"/>
      <c r="CJ994" s="21"/>
      <c r="CK994" s="21"/>
      <c r="CL994" s="21"/>
      <c r="CM994" s="21"/>
      <c r="CN994" s="21"/>
      <c r="CO994" s="21"/>
      <c r="CP994" s="21"/>
      <c r="CQ994" s="21"/>
      <c r="CR994" s="21"/>
      <c r="CS994" s="21"/>
      <c r="CT994" s="21"/>
      <c r="CU994" s="21"/>
      <c r="CV994" s="21"/>
      <c r="CW994" s="21"/>
      <c r="CX994" s="21"/>
      <c r="CY994" s="21"/>
      <c r="CZ994" s="22"/>
      <c r="DA994" s="21"/>
      <c r="DB994" s="21"/>
    </row>
    <row r="995" spans="3:106" s="19" customFormat="1" ht="12"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2"/>
      <c r="BA995" s="21"/>
      <c r="BB995" s="21"/>
      <c r="BC995" s="21"/>
      <c r="BD995" s="21"/>
      <c r="BE995" s="21"/>
      <c r="BF995" s="21"/>
      <c r="BG995" s="21"/>
      <c r="BH995" s="21"/>
      <c r="BI995" s="21"/>
      <c r="BJ995" s="21"/>
      <c r="BK995" s="21"/>
      <c r="BL995" s="21"/>
      <c r="BM995" s="21"/>
      <c r="BN995" s="21"/>
      <c r="BO995" s="21"/>
      <c r="BP995" s="21"/>
      <c r="BQ995" s="21"/>
      <c r="BR995" s="21"/>
      <c r="BS995" s="21"/>
      <c r="BT995" s="21"/>
      <c r="BU995" s="21"/>
      <c r="BV995" s="21"/>
      <c r="BW995" s="21"/>
      <c r="BX995" s="21"/>
      <c r="BY995" s="21"/>
      <c r="BZ995" s="21"/>
      <c r="CA995" s="21"/>
      <c r="CB995" s="21"/>
      <c r="CC995" s="21"/>
      <c r="CD995" s="21"/>
      <c r="CE995" s="21"/>
      <c r="CF995" s="21"/>
      <c r="CG995" s="21"/>
      <c r="CH995" s="21"/>
      <c r="CI995" s="21"/>
      <c r="CJ995" s="21"/>
      <c r="CK995" s="21"/>
      <c r="CL995" s="21"/>
      <c r="CM995" s="21"/>
      <c r="CN995" s="21"/>
      <c r="CO995" s="21"/>
      <c r="CP995" s="21"/>
      <c r="CQ995" s="21"/>
      <c r="CR995" s="21"/>
      <c r="CS995" s="21"/>
      <c r="CT995" s="21"/>
      <c r="CU995" s="21"/>
      <c r="CV995" s="21"/>
      <c r="CW995" s="21"/>
      <c r="CX995" s="21"/>
      <c r="CY995" s="21"/>
      <c r="CZ995" s="22"/>
      <c r="DA995" s="21"/>
      <c r="DB995" s="21"/>
    </row>
    <row r="996" spans="3:106" s="19" customFormat="1" ht="12"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2"/>
      <c r="BA996" s="21"/>
      <c r="BB996" s="21"/>
      <c r="BC996" s="21"/>
      <c r="BD996" s="21"/>
      <c r="BE996" s="21"/>
      <c r="BF996" s="21"/>
      <c r="BG996" s="21"/>
      <c r="BH996" s="21"/>
      <c r="BI996" s="21"/>
      <c r="BJ996" s="21"/>
      <c r="BK996" s="21"/>
      <c r="BL996" s="21"/>
      <c r="BM996" s="21"/>
      <c r="BN996" s="21"/>
      <c r="BO996" s="21"/>
      <c r="BP996" s="21"/>
      <c r="BQ996" s="21"/>
      <c r="BR996" s="21"/>
      <c r="BS996" s="21"/>
      <c r="BT996" s="21"/>
      <c r="BU996" s="21"/>
      <c r="BV996" s="21"/>
      <c r="BW996" s="21"/>
      <c r="BX996" s="21"/>
      <c r="BY996" s="21"/>
      <c r="BZ996" s="21"/>
      <c r="CA996" s="21"/>
      <c r="CB996" s="21"/>
      <c r="CC996" s="21"/>
      <c r="CD996" s="21"/>
      <c r="CE996" s="21"/>
      <c r="CF996" s="21"/>
      <c r="CG996" s="21"/>
      <c r="CH996" s="21"/>
      <c r="CI996" s="21"/>
      <c r="CJ996" s="21"/>
      <c r="CK996" s="21"/>
      <c r="CL996" s="21"/>
      <c r="CM996" s="21"/>
      <c r="CN996" s="21"/>
      <c r="CO996" s="21"/>
      <c r="CP996" s="21"/>
      <c r="CQ996" s="21"/>
      <c r="CR996" s="21"/>
      <c r="CS996" s="21"/>
      <c r="CT996" s="21"/>
      <c r="CU996" s="21"/>
      <c r="CV996" s="21"/>
      <c r="CW996" s="21"/>
      <c r="CX996" s="21"/>
      <c r="CY996" s="21"/>
      <c r="CZ996" s="22"/>
      <c r="DA996" s="21"/>
      <c r="DB996" s="21"/>
    </row>
    <row r="997" spans="3:106" s="19" customFormat="1" ht="12"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2"/>
      <c r="BA997" s="21"/>
      <c r="BB997" s="21"/>
      <c r="BC997" s="21"/>
      <c r="BD997" s="21"/>
      <c r="BE997" s="21"/>
      <c r="BF997" s="21"/>
      <c r="BG997" s="21"/>
      <c r="BH997" s="21"/>
      <c r="BI997" s="21"/>
      <c r="BJ997" s="21"/>
      <c r="BK997" s="21"/>
      <c r="BL997" s="21"/>
      <c r="BM997" s="21"/>
      <c r="BN997" s="21"/>
      <c r="BO997" s="21"/>
      <c r="BP997" s="21"/>
      <c r="BQ997" s="21"/>
      <c r="BR997" s="21"/>
      <c r="BS997" s="21"/>
      <c r="BT997" s="21"/>
      <c r="BU997" s="21"/>
      <c r="BV997" s="21"/>
      <c r="BW997" s="21"/>
      <c r="BX997" s="21"/>
      <c r="BY997" s="21"/>
      <c r="BZ997" s="21"/>
      <c r="CA997" s="21"/>
      <c r="CB997" s="21"/>
      <c r="CC997" s="21"/>
      <c r="CD997" s="21"/>
      <c r="CE997" s="21"/>
      <c r="CF997" s="21"/>
      <c r="CG997" s="21"/>
      <c r="CH997" s="21"/>
      <c r="CI997" s="21"/>
      <c r="CJ997" s="21"/>
      <c r="CK997" s="21"/>
      <c r="CL997" s="21"/>
      <c r="CM997" s="21"/>
      <c r="CN997" s="21"/>
      <c r="CO997" s="21"/>
      <c r="CP997" s="21"/>
      <c r="CQ997" s="21"/>
      <c r="CR997" s="21"/>
      <c r="CS997" s="21"/>
      <c r="CT997" s="21"/>
      <c r="CU997" s="21"/>
      <c r="CV997" s="21"/>
      <c r="CW997" s="21"/>
      <c r="CX997" s="21"/>
      <c r="CY997" s="21"/>
      <c r="CZ997" s="22"/>
      <c r="DA997" s="21"/>
      <c r="DB997" s="21"/>
    </row>
    <row r="998" spans="3:106" s="19" customFormat="1" ht="12"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2"/>
      <c r="BA998" s="21"/>
      <c r="BB998" s="21"/>
      <c r="BC998" s="21"/>
      <c r="BD998" s="21"/>
      <c r="BE998" s="21"/>
      <c r="BF998" s="21"/>
      <c r="BG998" s="21"/>
      <c r="BH998" s="21"/>
      <c r="BI998" s="21"/>
      <c r="BJ998" s="21"/>
      <c r="BK998" s="21"/>
      <c r="BL998" s="21"/>
      <c r="BM998" s="21"/>
      <c r="BN998" s="21"/>
      <c r="BO998" s="21"/>
      <c r="BP998" s="21"/>
      <c r="BQ998" s="21"/>
      <c r="BR998" s="21"/>
      <c r="BS998" s="21"/>
      <c r="BT998" s="21"/>
      <c r="BU998" s="21"/>
      <c r="BV998" s="21"/>
      <c r="BW998" s="21"/>
      <c r="BX998" s="21"/>
      <c r="BY998" s="21"/>
      <c r="BZ998" s="21"/>
      <c r="CA998" s="21"/>
      <c r="CB998" s="21"/>
      <c r="CC998" s="21"/>
      <c r="CD998" s="21"/>
      <c r="CE998" s="21"/>
      <c r="CF998" s="21"/>
      <c r="CG998" s="21"/>
      <c r="CH998" s="21"/>
      <c r="CI998" s="21"/>
      <c r="CJ998" s="21"/>
      <c r="CK998" s="21"/>
      <c r="CL998" s="21"/>
      <c r="CM998" s="21"/>
      <c r="CN998" s="21"/>
      <c r="CO998" s="21"/>
      <c r="CP998" s="21"/>
      <c r="CQ998" s="21"/>
      <c r="CR998" s="21"/>
      <c r="CS998" s="21"/>
      <c r="CT998" s="21"/>
      <c r="CU998" s="21"/>
      <c r="CV998" s="21"/>
      <c r="CW998" s="21"/>
      <c r="CX998" s="21"/>
      <c r="CY998" s="21"/>
      <c r="CZ998" s="22"/>
      <c r="DA998" s="21"/>
      <c r="DB998" s="21"/>
    </row>
    <row r="999" spans="3:106" s="19" customFormat="1" ht="12"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2"/>
      <c r="BA999" s="21"/>
      <c r="BB999" s="21"/>
      <c r="BC999" s="21"/>
      <c r="BD999" s="21"/>
      <c r="BE999" s="21"/>
      <c r="BF999" s="21"/>
      <c r="BG999" s="21"/>
      <c r="BH999" s="21"/>
      <c r="BI999" s="21"/>
      <c r="BJ999" s="21"/>
      <c r="BK999" s="21"/>
      <c r="BL999" s="21"/>
      <c r="BM999" s="21"/>
      <c r="BN999" s="21"/>
      <c r="BO999" s="21"/>
      <c r="BP999" s="21"/>
      <c r="BQ999" s="21"/>
      <c r="BR999" s="21"/>
      <c r="BS999" s="21"/>
      <c r="BT999" s="21"/>
      <c r="BU999" s="21"/>
      <c r="BV999" s="21"/>
      <c r="BW999" s="21"/>
      <c r="BX999" s="21"/>
      <c r="BY999" s="21"/>
      <c r="BZ999" s="21"/>
      <c r="CA999" s="21"/>
      <c r="CB999" s="21"/>
      <c r="CC999" s="21"/>
      <c r="CD999" s="21"/>
      <c r="CE999" s="21"/>
      <c r="CF999" s="21"/>
      <c r="CG999" s="21"/>
      <c r="CH999" s="21"/>
      <c r="CI999" s="21"/>
      <c r="CJ999" s="21"/>
      <c r="CK999" s="21"/>
      <c r="CL999" s="21"/>
      <c r="CM999" s="21"/>
      <c r="CN999" s="21"/>
      <c r="CO999" s="21"/>
      <c r="CP999" s="21"/>
      <c r="CQ999" s="21"/>
      <c r="CR999" s="21"/>
      <c r="CS999" s="21"/>
      <c r="CT999" s="21"/>
      <c r="CU999" s="21"/>
      <c r="CV999" s="21"/>
      <c r="CW999" s="21"/>
      <c r="CX999" s="21"/>
      <c r="CY999" s="21"/>
      <c r="CZ999" s="22"/>
      <c r="DA999" s="21"/>
      <c r="DB999" s="21"/>
    </row>
    <row r="1000" spans="3:106" s="19" customFormat="1" ht="12"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2"/>
      <c r="BA1000" s="21"/>
      <c r="BB1000" s="21"/>
      <c r="BC1000" s="21"/>
      <c r="BD1000" s="21"/>
      <c r="BE1000" s="21"/>
      <c r="BF1000" s="21"/>
      <c r="BG1000" s="21"/>
      <c r="BH1000" s="21"/>
      <c r="BI1000" s="21"/>
      <c r="BJ1000" s="21"/>
      <c r="BK1000" s="21"/>
      <c r="BL1000" s="21"/>
      <c r="BM1000" s="21"/>
      <c r="BN1000" s="21"/>
      <c r="BO1000" s="21"/>
      <c r="BP1000" s="21"/>
      <c r="BQ1000" s="21"/>
      <c r="BR1000" s="21"/>
      <c r="BS1000" s="21"/>
      <c r="BT1000" s="21"/>
      <c r="BU1000" s="21"/>
      <c r="BV1000" s="21"/>
      <c r="BW1000" s="21"/>
      <c r="BX1000" s="21"/>
      <c r="BY1000" s="21"/>
      <c r="BZ1000" s="21"/>
      <c r="CA1000" s="21"/>
      <c r="CB1000" s="21"/>
      <c r="CC1000" s="21"/>
      <c r="CD1000" s="21"/>
      <c r="CE1000" s="21"/>
      <c r="CF1000" s="21"/>
      <c r="CG1000" s="21"/>
      <c r="CH1000" s="21"/>
      <c r="CI1000" s="21"/>
      <c r="CJ1000" s="21"/>
      <c r="CK1000" s="21"/>
      <c r="CL1000" s="21"/>
      <c r="CM1000" s="21"/>
      <c r="CN1000" s="21"/>
      <c r="CO1000" s="21"/>
      <c r="CP1000" s="21"/>
      <c r="CQ1000" s="21"/>
      <c r="CR1000" s="21"/>
      <c r="CS1000" s="21"/>
      <c r="CT1000" s="21"/>
      <c r="CU1000" s="21"/>
      <c r="CV1000" s="21"/>
      <c r="CW1000" s="21"/>
      <c r="CX1000" s="21"/>
      <c r="CY1000" s="21"/>
      <c r="CZ1000" s="22"/>
      <c r="DA1000" s="21"/>
      <c r="DB1000" s="21"/>
    </row>
    <row r="1001" spans="3:106" s="19" customFormat="1" ht="12">
      <c r="C1001" s="21"/>
      <c r="D1001" s="21"/>
      <c r="E1001" s="2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2"/>
      <c r="BA1001" s="21"/>
      <c r="BB1001" s="21"/>
      <c r="BC1001" s="21"/>
      <c r="BD1001" s="21"/>
      <c r="BE1001" s="21"/>
      <c r="BF1001" s="21"/>
      <c r="BG1001" s="21"/>
      <c r="BH1001" s="21"/>
      <c r="BI1001" s="21"/>
      <c r="BJ1001" s="21"/>
      <c r="BK1001" s="21"/>
      <c r="BL1001" s="21"/>
      <c r="BM1001" s="21"/>
      <c r="BN1001" s="21"/>
      <c r="BO1001" s="21"/>
      <c r="BP1001" s="21"/>
      <c r="BQ1001" s="21"/>
      <c r="BR1001" s="21"/>
      <c r="BS1001" s="21"/>
      <c r="BT1001" s="21"/>
      <c r="BU1001" s="21"/>
      <c r="BV1001" s="21"/>
      <c r="BW1001" s="21"/>
      <c r="BX1001" s="21"/>
      <c r="BY1001" s="21"/>
      <c r="BZ1001" s="21"/>
      <c r="CA1001" s="21"/>
      <c r="CB1001" s="21"/>
      <c r="CC1001" s="21"/>
      <c r="CD1001" s="21"/>
      <c r="CE1001" s="21"/>
      <c r="CF1001" s="21"/>
      <c r="CG1001" s="21"/>
      <c r="CH1001" s="21"/>
      <c r="CI1001" s="21"/>
      <c r="CJ1001" s="21"/>
      <c r="CK1001" s="21"/>
      <c r="CL1001" s="21"/>
      <c r="CM1001" s="21"/>
      <c r="CN1001" s="21"/>
      <c r="CO1001" s="21"/>
      <c r="CP1001" s="21"/>
      <c r="CQ1001" s="21"/>
      <c r="CR1001" s="21"/>
      <c r="CS1001" s="21"/>
      <c r="CT1001" s="21"/>
      <c r="CU1001" s="21"/>
      <c r="CV1001" s="21"/>
      <c r="CW1001" s="21"/>
      <c r="CX1001" s="21"/>
      <c r="CY1001" s="21"/>
      <c r="CZ1001" s="22"/>
      <c r="DA1001" s="21"/>
      <c r="DB1001" s="21"/>
    </row>
    <row r="1002" spans="3:106" s="19" customFormat="1" ht="12">
      <c r="C1002" s="21"/>
      <c r="D1002" s="21"/>
      <c r="E1002" s="21"/>
      <c r="F1002" s="21"/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2"/>
      <c r="BA1002" s="21"/>
      <c r="BB1002" s="21"/>
      <c r="BC1002" s="21"/>
      <c r="BD1002" s="21"/>
      <c r="BE1002" s="21"/>
      <c r="BF1002" s="21"/>
      <c r="BG1002" s="21"/>
      <c r="BH1002" s="21"/>
      <c r="BI1002" s="21"/>
      <c r="BJ1002" s="21"/>
      <c r="BK1002" s="21"/>
      <c r="BL1002" s="21"/>
      <c r="BM1002" s="21"/>
      <c r="BN1002" s="21"/>
      <c r="BO1002" s="21"/>
      <c r="BP1002" s="21"/>
      <c r="BQ1002" s="21"/>
      <c r="BR1002" s="21"/>
      <c r="BS1002" s="21"/>
      <c r="BT1002" s="21"/>
      <c r="BU1002" s="21"/>
      <c r="BV1002" s="21"/>
      <c r="BW1002" s="21"/>
      <c r="BX1002" s="21"/>
      <c r="BY1002" s="21"/>
      <c r="BZ1002" s="21"/>
      <c r="CA1002" s="21"/>
      <c r="CB1002" s="21"/>
      <c r="CC1002" s="21"/>
      <c r="CD1002" s="21"/>
      <c r="CE1002" s="21"/>
      <c r="CF1002" s="21"/>
      <c r="CG1002" s="21"/>
      <c r="CH1002" s="21"/>
      <c r="CI1002" s="21"/>
      <c r="CJ1002" s="21"/>
      <c r="CK1002" s="21"/>
      <c r="CL1002" s="21"/>
      <c r="CM1002" s="21"/>
      <c r="CN1002" s="21"/>
      <c r="CO1002" s="21"/>
      <c r="CP1002" s="21"/>
      <c r="CQ1002" s="21"/>
      <c r="CR1002" s="21"/>
      <c r="CS1002" s="21"/>
      <c r="CT1002" s="21"/>
      <c r="CU1002" s="21"/>
      <c r="CV1002" s="21"/>
      <c r="CW1002" s="21"/>
      <c r="CX1002" s="21"/>
      <c r="CY1002" s="21"/>
      <c r="CZ1002" s="22"/>
      <c r="DA1002" s="21"/>
      <c r="DB1002" s="21"/>
    </row>
    <row r="1003" spans="3:106" s="19" customFormat="1" ht="12">
      <c r="C1003" s="21"/>
      <c r="D1003" s="21"/>
      <c r="E1003" s="2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2"/>
      <c r="BA1003" s="21"/>
      <c r="BB1003" s="21"/>
      <c r="BC1003" s="21"/>
      <c r="BD1003" s="21"/>
      <c r="BE1003" s="21"/>
      <c r="BF1003" s="21"/>
      <c r="BG1003" s="21"/>
      <c r="BH1003" s="21"/>
      <c r="BI1003" s="21"/>
      <c r="BJ1003" s="21"/>
      <c r="BK1003" s="21"/>
      <c r="BL1003" s="21"/>
      <c r="BM1003" s="21"/>
      <c r="BN1003" s="21"/>
      <c r="BO1003" s="21"/>
      <c r="BP1003" s="21"/>
      <c r="BQ1003" s="21"/>
      <c r="BR1003" s="21"/>
      <c r="BS1003" s="21"/>
      <c r="BT1003" s="21"/>
      <c r="BU1003" s="21"/>
      <c r="BV1003" s="21"/>
      <c r="BW1003" s="21"/>
      <c r="BX1003" s="21"/>
      <c r="BY1003" s="21"/>
      <c r="BZ1003" s="21"/>
      <c r="CA1003" s="21"/>
      <c r="CB1003" s="21"/>
      <c r="CC1003" s="21"/>
      <c r="CD1003" s="21"/>
      <c r="CE1003" s="21"/>
      <c r="CF1003" s="21"/>
      <c r="CG1003" s="21"/>
      <c r="CH1003" s="21"/>
      <c r="CI1003" s="21"/>
      <c r="CJ1003" s="21"/>
      <c r="CK1003" s="21"/>
      <c r="CL1003" s="21"/>
      <c r="CM1003" s="21"/>
      <c r="CN1003" s="21"/>
      <c r="CO1003" s="21"/>
      <c r="CP1003" s="21"/>
      <c r="CQ1003" s="21"/>
      <c r="CR1003" s="21"/>
      <c r="CS1003" s="21"/>
      <c r="CT1003" s="21"/>
      <c r="CU1003" s="21"/>
      <c r="CV1003" s="21"/>
      <c r="CW1003" s="21"/>
      <c r="CX1003" s="21"/>
      <c r="CY1003" s="21"/>
      <c r="CZ1003" s="22"/>
      <c r="DA1003" s="21"/>
      <c r="DB1003" s="21"/>
    </row>
    <row r="1004" spans="3:106" s="19" customFormat="1" ht="12">
      <c r="C1004" s="21"/>
      <c r="D1004" s="21"/>
      <c r="E1004" s="21"/>
      <c r="F1004" s="21"/>
      <c r="G1004" s="21"/>
      <c r="H1004" s="21"/>
      <c r="I1004" s="21"/>
      <c r="J1004" s="21"/>
      <c r="K1004" s="21"/>
      <c r="L1004" s="21"/>
      <c r="M1004" s="21"/>
      <c r="N1004" s="21"/>
      <c r="O1004" s="21"/>
      <c r="P1004" s="21"/>
      <c r="Q1004" s="21"/>
      <c r="R1004" s="21"/>
      <c r="S1004" s="21"/>
      <c r="T1004" s="21"/>
      <c r="U1004" s="21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2"/>
      <c r="BA1004" s="21"/>
      <c r="BB1004" s="21"/>
      <c r="BC1004" s="21"/>
      <c r="BD1004" s="21"/>
      <c r="BE1004" s="21"/>
      <c r="BF1004" s="21"/>
      <c r="BG1004" s="21"/>
      <c r="BH1004" s="21"/>
      <c r="BI1004" s="21"/>
      <c r="BJ1004" s="21"/>
      <c r="BK1004" s="21"/>
      <c r="BL1004" s="21"/>
      <c r="BM1004" s="21"/>
      <c r="BN1004" s="21"/>
      <c r="BO1004" s="21"/>
      <c r="BP1004" s="21"/>
      <c r="BQ1004" s="21"/>
      <c r="BR1004" s="21"/>
      <c r="BS1004" s="21"/>
      <c r="BT1004" s="21"/>
      <c r="BU1004" s="21"/>
      <c r="BV1004" s="21"/>
      <c r="BW1004" s="21"/>
      <c r="BX1004" s="21"/>
      <c r="BY1004" s="21"/>
      <c r="BZ1004" s="21"/>
      <c r="CA1004" s="21"/>
      <c r="CB1004" s="21"/>
      <c r="CC1004" s="21"/>
      <c r="CD1004" s="21"/>
      <c r="CE1004" s="21"/>
      <c r="CF1004" s="21"/>
      <c r="CG1004" s="21"/>
      <c r="CH1004" s="21"/>
      <c r="CI1004" s="21"/>
      <c r="CJ1004" s="21"/>
      <c r="CK1004" s="21"/>
      <c r="CL1004" s="21"/>
      <c r="CM1004" s="21"/>
      <c r="CN1004" s="21"/>
      <c r="CO1004" s="21"/>
      <c r="CP1004" s="21"/>
      <c r="CQ1004" s="21"/>
      <c r="CR1004" s="21"/>
      <c r="CS1004" s="21"/>
      <c r="CT1004" s="21"/>
      <c r="CU1004" s="21"/>
      <c r="CV1004" s="21"/>
      <c r="CW1004" s="21"/>
      <c r="CX1004" s="21"/>
      <c r="CY1004" s="21"/>
      <c r="CZ1004" s="22"/>
      <c r="DA1004" s="21"/>
      <c r="DB1004" s="21"/>
    </row>
    <row r="1005" spans="3:106" s="19" customFormat="1" ht="12">
      <c r="C1005" s="21"/>
      <c r="D1005" s="21"/>
      <c r="E1005" s="2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2"/>
      <c r="BA1005" s="21"/>
      <c r="BB1005" s="21"/>
      <c r="BC1005" s="21"/>
      <c r="BD1005" s="21"/>
      <c r="BE1005" s="21"/>
      <c r="BF1005" s="21"/>
      <c r="BG1005" s="21"/>
      <c r="BH1005" s="21"/>
      <c r="BI1005" s="21"/>
      <c r="BJ1005" s="21"/>
      <c r="BK1005" s="21"/>
      <c r="BL1005" s="21"/>
      <c r="BM1005" s="21"/>
      <c r="BN1005" s="21"/>
      <c r="BO1005" s="21"/>
      <c r="BP1005" s="21"/>
      <c r="BQ1005" s="21"/>
      <c r="BR1005" s="21"/>
      <c r="BS1005" s="21"/>
      <c r="BT1005" s="21"/>
      <c r="BU1005" s="21"/>
      <c r="BV1005" s="21"/>
      <c r="BW1005" s="21"/>
      <c r="BX1005" s="21"/>
      <c r="BY1005" s="21"/>
      <c r="BZ1005" s="21"/>
      <c r="CA1005" s="21"/>
      <c r="CB1005" s="21"/>
      <c r="CC1005" s="21"/>
      <c r="CD1005" s="21"/>
      <c r="CE1005" s="21"/>
      <c r="CF1005" s="21"/>
      <c r="CG1005" s="21"/>
      <c r="CH1005" s="21"/>
      <c r="CI1005" s="21"/>
      <c r="CJ1005" s="21"/>
      <c r="CK1005" s="21"/>
      <c r="CL1005" s="21"/>
      <c r="CM1005" s="21"/>
      <c r="CN1005" s="21"/>
      <c r="CO1005" s="21"/>
      <c r="CP1005" s="21"/>
      <c r="CQ1005" s="21"/>
      <c r="CR1005" s="21"/>
      <c r="CS1005" s="21"/>
      <c r="CT1005" s="21"/>
      <c r="CU1005" s="21"/>
      <c r="CV1005" s="21"/>
      <c r="CW1005" s="21"/>
      <c r="CX1005" s="21"/>
      <c r="CY1005" s="21"/>
      <c r="CZ1005" s="22"/>
      <c r="DA1005" s="21"/>
      <c r="DB1005" s="21"/>
    </row>
    <row r="1006" spans="3:106" s="19" customFormat="1" ht="12">
      <c r="C1006" s="21"/>
      <c r="D1006" s="21"/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2"/>
      <c r="BA1006" s="21"/>
      <c r="BB1006" s="21"/>
      <c r="BC1006" s="21"/>
      <c r="BD1006" s="21"/>
      <c r="BE1006" s="21"/>
      <c r="BF1006" s="21"/>
      <c r="BG1006" s="21"/>
      <c r="BH1006" s="21"/>
      <c r="BI1006" s="21"/>
      <c r="BJ1006" s="21"/>
      <c r="BK1006" s="21"/>
      <c r="BL1006" s="21"/>
      <c r="BM1006" s="21"/>
      <c r="BN1006" s="21"/>
      <c r="BO1006" s="21"/>
      <c r="BP1006" s="21"/>
      <c r="BQ1006" s="21"/>
      <c r="BR1006" s="21"/>
      <c r="BS1006" s="21"/>
      <c r="BT1006" s="21"/>
      <c r="BU1006" s="21"/>
      <c r="BV1006" s="21"/>
      <c r="BW1006" s="21"/>
      <c r="BX1006" s="21"/>
      <c r="BY1006" s="21"/>
      <c r="BZ1006" s="21"/>
      <c r="CA1006" s="21"/>
      <c r="CB1006" s="21"/>
      <c r="CC1006" s="21"/>
      <c r="CD1006" s="21"/>
      <c r="CE1006" s="21"/>
      <c r="CF1006" s="21"/>
      <c r="CG1006" s="21"/>
      <c r="CH1006" s="21"/>
      <c r="CI1006" s="21"/>
      <c r="CJ1006" s="21"/>
      <c r="CK1006" s="21"/>
      <c r="CL1006" s="21"/>
      <c r="CM1006" s="21"/>
      <c r="CN1006" s="21"/>
      <c r="CO1006" s="21"/>
      <c r="CP1006" s="21"/>
      <c r="CQ1006" s="21"/>
      <c r="CR1006" s="21"/>
      <c r="CS1006" s="21"/>
      <c r="CT1006" s="21"/>
      <c r="CU1006" s="21"/>
      <c r="CV1006" s="21"/>
      <c r="CW1006" s="21"/>
      <c r="CX1006" s="21"/>
      <c r="CY1006" s="21"/>
      <c r="CZ1006" s="22"/>
      <c r="DA1006" s="21"/>
      <c r="DB1006" s="21"/>
    </row>
    <row r="1007" spans="3:106" s="19" customFormat="1" ht="12">
      <c r="C1007" s="21"/>
      <c r="D1007" s="21"/>
      <c r="E1007" s="2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2"/>
      <c r="BA1007" s="21"/>
      <c r="BB1007" s="21"/>
      <c r="BC1007" s="21"/>
      <c r="BD1007" s="21"/>
      <c r="BE1007" s="21"/>
      <c r="BF1007" s="21"/>
      <c r="BG1007" s="21"/>
      <c r="BH1007" s="21"/>
      <c r="BI1007" s="21"/>
      <c r="BJ1007" s="21"/>
      <c r="BK1007" s="21"/>
      <c r="BL1007" s="21"/>
      <c r="BM1007" s="21"/>
      <c r="BN1007" s="21"/>
      <c r="BO1007" s="21"/>
      <c r="BP1007" s="21"/>
      <c r="BQ1007" s="21"/>
      <c r="BR1007" s="21"/>
      <c r="BS1007" s="21"/>
      <c r="BT1007" s="21"/>
      <c r="BU1007" s="21"/>
      <c r="BV1007" s="21"/>
      <c r="BW1007" s="21"/>
      <c r="BX1007" s="21"/>
      <c r="BY1007" s="21"/>
      <c r="BZ1007" s="21"/>
      <c r="CA1007" s="21"/>
      <c r="CB1007" s="21"/>
      <c r="CC1007" s="21"/>
      <c r="CD1007" s="21"/>
      <c r="CE1007" s="21"/>
      <c r="CF1007" s="21"/>
      <c r="CG1007" s="21"/>
      <c r="CH1007" s="21"/>
      <c r="CI1007" s="21"/>
      <c r="CJ1007" s="21"/>
      <c r="CK1007" s="21"/>
      <c r="CL1007" s="21"/>
      <c r="CM1007" s="21"/>
      <c r="CN1007" s="21"/>
      <c r="CO1007" s="21"/>
      <c r="CP1007" s="21"/>
      <c r="CQ1007" s="21"/>
      <c r="CR1007" s="21"/>
      <c r="CS1007" s="21"/>
      <c r="CT1007" s="21"/>
      <c r="CU1007" s="21"/>
      <c r="CV1007" s="21"/>
      <c r="CW1007" s="21"/>
      <c r="CX1007" s="21"/>
      <c r="CY1007" s="21"/>
      <c r="CZ1007" s="22"/>
      <c r="DA1007" s="21"/>
      <c r="DB1007" s="21"/>
    </row>
    <row r="1008" spans="3:106" s="19" customFormat="1" ht="12">
      <c r="C1008" s="21"/>
      <c r="D1008" s="21"/>
      <c r="E1008" s="21"/>
      <c r="F1008" s="21"/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2"/>
      <c r="BA1008" s="21"/>
      <c r="BB1008" s="21"/>
      <c r="BC1008" s="21"/>
      <c r="BD1008" s="21"/>
      <c r="BE1008" s="21"/>
      <c r="BF1008" s="21"/>
      <c r="BG1008" s="21"/>
      <c r="BH1008" s="21"/>
      <c r="BI1008" s="21"/>
      <c r="BJ1008" s="21"/>
      <c r="BK1008" s="21"/>
      <c r="BL1008" s="21"/>
      <c r="BM1008" s="21"/>
      <c r="BN1008" s="21"/>
      <c r="BO1008" s="21"/>
      <c r="BP1008" s="21"/>
      <c r="BQ1008" s="21"/>
      <c r="BR1008" s="21"/>
      <c r="BS1008" s="21"/>
      <c r="BT1008" s="21"/>
      <c r="BU1008" s="21"/>
      <c r="BV1008" s="21"/>
      <c r="BW1008" s="21"/>
      <c r="BX1008" s="21"/>
      <c r="BY1008" s="21"/>
      <c r="BZ1008" s="21"/>
      <c r="CA1008" s="21"/>
      <c r="CB1008" s="21"/>
      <c r="CC1008" s="21"/>
      <c r="CD1008" s="21"/>
      <c r="CE1008" s="21"/>
      <c r="CF1008" s="21"/>
      <c r="CG1008" s="21"/>
      <c r="CH1008" s="21"/>
      <c r="CI1008" s="21"/>
      <c r="CJ1008" s="21"/>
      <c r="CK1008" s="21"/>
      <c r="CL1008" s="21"/>
      <c r="CM1008" s="21"/>
      <c r="CN1008" s="21"/>
      <c r="CO1008" s="21"/>
      <c r="CP1008" s="21"/>
      <c r="CQ1008" s="21"/>
      <c r="CR1008" s="21"/>
      <c r="CS1008" s="21"/>
      <c r="CT1008" s="21"/>
      <c r="CU1008" s="21"/>
      <c r="CV1008" s="21"/>
      <c r="CW1008" s="21"/>
      <c r="CX1008" s="21"/>
      <c r="CY1008" s="21"/>
      <c r="CZ1008" s="22"/>
      <c r="DA1008" s="21"/>
      <c r="DB1008" s="21"/>
    </row>
    <row r="1009" spans="3:106" s="19" customFormat="1" ht="12">
      <c r="C1009" s="21"/>
      <c r="D1009" s="21"/>
      <c r="E1009" s="2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2"/>
      <c r="BA1009" s="21"/>
      <c r="BB1009" s="21"/>
      <c r="BC1009" s="21"/>
      <c r="BD1009" s="21"/>
      <c r="BE1009" s="21"/>
      <c r="BF1009" s="21"/>
      <c r="BG1009" s="21"/>
      <c r="BH1009" s="21"/>
      <c r="BI1009" s="21"/>
      <c r="BJ1009" s="21"/>
      <c r="BK1009" s="21"/>
      <c r="BL1009" s="21"/>
      <c r="BM1009" s="21"/>
      <c r="BN1009" s="21"/>
      <c r="BO1009" s="21"/>
      <c r="BP1009" s="21"/>
      <c r="BQ1009" s="21"/>
      <c r="BR1009" s="21"/>
      <c r="BS1009" s="21"/>
      <c r="BT1009" s="21"/>
      <c r="BU1009" s="21"/>
      <c r="BV1009" s="21"/>
      <c r="BW1009" s="21"/>
      <c r="BX1009" s="21"/>
      <c r="BY1009" s="21"/>
      <c r="BZ1009" s="21"/>
      <c r="CA1009" s="21"/>
      <c r="CB1009" s="21"/>
      <c r="CC1009" s="21"/>
      <c r="CD1009" s="21"/>
      <c r="CE1009" s="21"/>
      <c r="CF1009" s="21"/>
      <c r="CG1009" s="21"/>
      <c r="CH1009" s="21"/>
      <c r="CI1009" s="21"/>
      <c r="CJ1009" s="21"/>
      <c r="CK1009" s="21"/>
      <c r="CL1009" s="21"/>
      <c r="CM1009" s="21"/>
      <c r="CN1009" s="21"/>
      <c r="CO1009" s="21"/>
      <c r="CP1009" s="21"/>
      <c r="CQ1009" s="21"/>
      <c r="CR1009" s="21"/>
      <c r="CS1009" s="21"/>
      <c r="CT1009" s="21"/>
      <c r="CU1009" s="21"/>
      <c r="CV1009" s="21"/>
      <c r="CW1009" s="21"/>
      <c r="CX1009" s="21"/>
      <c r="CY1009" s="21"/>
      <c r="CZ1009" s="22"/>
      <c r="DA1009" s="21"/>
      <c r="DB1009" s="21"/>
    </row>
    <row r="1010" spans="3:106" s="19" customFormat="1" ht="12">
      <c r="C1010" s="21"/>
      <c r="D1010" s="21"/>
      <c r="E1010" s="21"/>
      <c r="F1010" s="21"/>
      <c r="G1010" s="21"/>
      <c r="H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2"/>
      <c r="BA1010" s="21"/>
      <c r="BB1010" s="21"/>
      <c r="BC1010" s="21"/>
      <c r="BD1010" s="21"/>
      <c r="BE1010" s="21"/>
      <c r="BF1010" s="21"/>
      <c r="BG1010" s="21"/>
      <c r="BH1010" s="21"/>
      <c r="BI1010" s="21"/>
      <c r="BJ1010" s="21"/>
      <c r="BK1010" s="21"/>
      <c r="BL1010" s="21"/>
      <c r="BM1010" s="21"/>
      <c r="BN1010" s="21"/>
      <c r="BO1010" s="21"/>
      <c r="BP1010" s="21"/>
      <c r="BQ1010" s="21"/>
      <c r="BR1010" s="21"/>
      <c r="BS1010" s="21"/>
      <c r="BT1010" s="21"/>
      <c r="BU1010" s="21"/>
      <c r="BV1010" s="21"/>
      <c r="BW1010" s="21"/>
      <c r="BX1010" s="21"/>
      <c r="BY1010" s="21"/>
      <c r="BZ1010" s="21"/>
      <c r="CA1010" s="21"/>
      <c r="CB1010" s="21"/>
      <c r="CC1010" s="21"/>
      <c r="CD1010" s="21"/>
      <c r="CE1010" s="21"/>
      <c r="CF1010" s="21"/>
      <c r="CG1010" s="21"/>
      <c r="CH1010" s="21"/>
      <c r="CI1010" s="21"/>
      <c r="CJ1010" s="21"/>
      <c r="CK1010" s="21"/>
      <c r="CL1010" s="21"/>
      <c r="CM1010" s="21"/>
      <c r="CN1010" s="21"/>
      <c r="CO1010" s="21"/>
      <c r="CP1010" s="21"/>
      <c r="CQ1010" s="21"/>
      <c r="CR1010" s="21"/>
      <c r="CS1010" s="21"/>
      <c r="CT1010" s="21"/>
      <c r="CU1010" s="21"/>
      <c r="CV1010" s="21"/>
      <c r="CW1010" s="21"/>
      <c r="CX1010" s="21"/>
      <c r="CY1010" s="21"/>
      <c r="CZ1010" s="22"/>
      <c r="DA1010" s="21"/>
      <c r="DB1010" s="21"/>
    </row>
    <row r="1011" spans="3:106" s="19" customFormat="1" ht="12">
      <c r="C1011" s="21"/>
      <c r="D1011" s="21"/>
      <c r="E1011" s="2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  <c r="Q1011" s="21"/>
      <c r="R1011" s="21"/>
      <c r="S1011" s="21"/>
      <c r="T1011" s="21"/>
      <c r="U1011" s="21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2"/>
      <c r="BA1011" s="21"/>
      <c r="BB1011" s="21"/>
      <c r="BC1011" s="21"/>
      <c r="BD1011" s="21"/>
      <c r="BE1011" s="21"/>
      <c r="BF1011" s="21"/>
      <c r="BG1011" s="21"/>
      <c r="BH1011" s="21"/>
      <c r="BI1011" s="21"/>
      <c r="BJ1011" s="21"/>
      <c r="BK1011" s="21"/>
      <c r="BL1011" s="21"/>
      <c r="BM1011" s="21"/>
      <c r="BN1011" s="21"/>
      <c r="BO1011" s="21"/>
      <c r="BP1011" s="21"/>
      <c r="BQ1011" s="21"/>
      <c r="BR1011" s="21"/>
      <c r="BS1011" s="21"/>
      <c r="BT1011" s="21"/>
      <c r="BU1011" s="21"/>
      <c r="BV1011" s="21"/>
      <c r="BW1011" s="21"/>
      <c r="BX1011" s="21"/>
      <c r="BY1011" s="21"/>
      <c r="BZ1011" s="21"/>
      <c r="CA1011" s="21"/>
      <c r="CB1011" s="21"/>
      <c r="CC1011" s="21"/>
      <c r="CD1011" s="21"/>
      <c r="CE1011" s="21"/>
      <c r="CF1011" s="21"/>
      <c r="CG1011" s="21"/>
      <c r="CH1011" s="21"/>
      <c r="CI1011" s="21"/>
      <c r="CJ1011" s="21"/>
      <c r="CK1011" s="21"/>
      <c r="CL1011" s="21"/>
      <c r="CM1011" s="21"/>
      <c r="CN1011" s="21"/>
      <c r="CO1011" s="21"/>
      <c r="CP1011" s="21"/>
      <c r="CQ1011" s="21"/>
      <c r="CR1011" s="21"/>
      <c r="CS1011" s="21"/>
      <c r="CT1011" s="21"/>
      <c r="CU1011" s="21"/>
      <c r="CV1011" s="21"/>
      <c r="CW1011" s="21"/>
      <c r="CX1011" s="21"/>
      <c r="CY1011" s="21"/>
      <c r="CZ1011" s="22"/>
      <c r="DA1011" s="21"/>
      <c r="DB1011" s="21"/>
    </row>
    <row r="1012" spans="3:106" s="19" customFormat="1" ht="12">
      <c r="C1012" s="21"/>
      <c r="D1012" s="21"/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2"/>
      <c r="BA1012" s="21"/>
      <c r="BB1012" s="21"/>
      <c r="BC1012" s="21"/>
      <c r="BD1012" s="21"/>
      <c r="BE1012" s="21"/>
      <c r="BF1012" s="21"/>
      <c r="BG1012" s="21"/>
      <c r="BH1012" s="21"/>
      <c r="BI1012" s="21"/>
      <c r="BJ1012" s="21"/>
      <c r="BK1012" s="21"/>
      <c r="BL1012" s="21"/>
      <c r="BM1012" s="21"/>
      <c r="BN1012" s="21"/>
      <c r="BO1012" s="21"/>
      <c r="BP1012" s="21"/>
      <c r="BQ1012" s="21"/>
      <c r="BR1012" s="21"/>
      <c r="BS1012" s="21"/>
      <c r="BT1012" s="21"/>
      <c r="BU1012" s="21"/>
      <c r="BV1012" s="21"/>
      <c r="BW1012" s="21"/>
      <c r="BX1012" s="21"/>
      <c r="BY1012" s="21"/>
      <c r="BZ1012" s="21"/>
      <c r="CA1012" s="21"/>
      <c r="CB1012" s="21"/>
      <c r="CC1012" s="21"/>
      <c r="CD1012" s="21"/>
      <c r="CE1012" s="21"/>
      <c r="CF1012" s="21"/>
      <c r="CG1012" s="21"/>
      <c r="CH1012" s="21"/>
      <c r="CI1012" s="21"/>
      <c r="CJ1012" s="21"/>
      <c r="CK1012" s="21"/>
      <c r="CL1012" s="21"/>
      <c r="CM1012" s="21"/>
      <c r="CN1012" s="21"/>
      <c r="CO1012" s="21"/>
      <c r="CP1012" s="21"/>
      <c r="CQ1012" s="21"/>
      <c r="CR1012" s="21"/>
      <c r="CS1012" s="21"/>
      <c r="CT1012" s="21"/>
      <c r="CU1012" s="21"/>
      <c r="CV1012" s="21"/>
      <c r="CW1012" s="21"/>
      <c r="CX1012" s="21"/>
      <c r="CY1012" s="21"/>
      <c r="CZ1012" s="22"/>
      <c r="DA1012" s="21"/>
      <c r="DB1012" s="21"/>
    </row>
    <row r="1013" spans="3:106" s="19" customFormat="1" ht="12">
      <c r="C1013" s="21"/>
      <c r="D1013" s="21"/>
      <c r="E1013" s="2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2"/>
      <c r="BA1013" s="21"/>
      <c r="BB1013" s="21"/>
      <c r="BC1013" s="21"/>
      <c r="BD1013" s="21"/>
      <c r="BE1013" s="21"/>
      <c r="BF1013" s="21"/>
      <c r="BG1013" s="21"/>
      <c r="BH1013" s="21"/>
      <c r="BI1013" s="21"/>
      <c r="BJ1013" s="21"/>
      <c r="BK1013" s="21"/>
      <c r="BL1013" s="21"/>
      <c r="BM1013" s="21"/>
      <c r="BN1013" s="21"/>
      <c r="BO1013" s="21"/>
      <c r="BP1013" s="21"/>
      <c r="BQ1013" s="21"/>
      <c r="BR1013" s="21"/>
      <c r="BS1013" s="21"/>
      <c r="BT1013" s="21"/>
      <c r="BU1013" s="21"/>
      <c r="BV1013" s="21"/>
      <c r="BW1013" s="21"/>
      <c r="BX1013" s="21"/>
      <c r="BY1013" s="21"/>
      <c r="BZ1013" s="21"/>
      <c r="CA1013" s="21"/>
      <c r="CB1013" s="21"/>
      <c r="CC1013" s="21"/>
      <c r="CD1013" s="21"/>
      <c r="CE1013" s="21"/>
      <c r="CF1013" s="21"/>
      <c r="CG1013" s="21"/>
      <c r="CH1013" s="21"/>
      <c r="CI1013" s="21"/>
      <c r="CJ1013" s="21"/>
      <c r="CK1013" s="21"/>
      <c r="CL1013" s="21"/>
      <c r="CM1013" s="21"/>
      <c r="CN1013" s="21"/>
      <c r="CO1013" s="21"/>
      <c r="CP1013" s="21"/>
      <c r="CQ1013" s="21"/>
      <c r="CR1013" s="21"/>
      <c r="CS1013" s="21"/>
      <c r="CT1013" s="21"/>
      <c r="CU1013" s="21"/>
      <c r="CV1013" s="21"/>
      <c r="CW1013" s="21"/>
      <c r="CX1013" s="21"/>
      <c r="CY1013" s="21"/>
      <c r="CZ1013" s="22"/>
      <c r="DA1013" s="21"/>
      <c r="DB1013" s="21"/>
    </row>
    <row r="1014" spans="3:106" s="19" customFormat="1" ht="12">
      <c r="C1014" s="21"/>
      <c r="D1014" s="21"/>
      <c r="E1014" s="2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2"/>
      <c r="BA1014" s="21"/>
      <c r="BB1014" s="21"/>
      <c r="BC1014" s="21"/>
      <c r="BD1014" s="21"/>
      <c r="BE1014" s="21"/>
      <c r="BF1014" s="21"/>
      <c r="BG1014" s="21"/>
      <c r="BH1014" s="21"/>
      <c r="BI1014" s="21"/>
      <c r="BJ1014" s="21"/>
      <c r="BK1014" s="21"/>
      <c r="BL1014" s="21"/>
      <c r="BM1014" s="21"/>
      <c r="BN1014" s="21"/>
      <c r="BO1014" s="21"/>
      <c r="BP1014" s="21"/>
      <c r="BQ1014" s="21"/>
      <c r="BR1014" s="21"/>
      <c r="BS1014" s="21"/>
      <c r="BT1014" s="21"/>
      <c r="BU1014" s="21"/>
      <c r="BV1014" s="21"/>
      <c r="BW1014" s="21"/>
      <c r="BX1014" s="21"/>
      <c r="BY1014" s="21"/>
      <c r="BZ1014" s="21"/>
      <c r="CA1014" s="21"/>
      <c r="CB1014" s="21"/>
      <c r="CC1014" s="21"/>
      <c r="CD1014" s="21"/>
      <c r="CE1014" s="21"/>
      <c r="CF1014" s="21"/>
      <c r="CG1014" s="21"/>
      <c r="CH1014" s="21"/>
      <c r="CI1014" s="21"/>
      <c r="CJ1014" s="21"/>
      <c r="CK1014" s="21"/>
      <c r="CL1014" s="21"/>
      <c r="CM1014" s="21"/>
      <c r="CN1014" s="21"/>
      <c r="CO1014" s="21"/>
      <c r="CP1014" s="21"/>
      <c r="CQ1014" s="21"/>
      <c r="CR1014" s="21"/>
      <c r="CS1014" s="21"/>
      <c r="CT1014" s="21"/>
      <c r="CU1014" s="21"/>
      <c r="CV1014" s="21"/>
      <c r="CW1014" s="21"/>
      <c r="CX1014" s="21"/>
      <c r="CY1014" s="21"/>
      <c r="CZ1014" s="22"/>
      <c r="DA1014" s="21"/>
      <c r="DB1014" s="21"/>
    </row>
    <row r="1015" spans="3:106" s="19" customFormat="1" ht="12">
      <c r="C1015" s="21"/>
      <c r="D1015" s="21"/>
      <c r="E1015" s="2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2"/>
      <c r="BA1015" s="21"/>
      <c r="BB1015" s="21"/>
      <c r="BC1015" s="21"/>
      <c r="BD1015" s="21"/>
      <c r="BE1015" s="21"/>
      <c r="BF1015" s="21"/>
      <c r="BG1015" s="21"/>
      <c r="BH1015" s="21"/>
      <c r="BI1015" s="21"/>
      <c r="BJ1015" s="21"/>
      <c r="BK1015" s="21"/>
      <c r="BL1015" s="21"/>
      <c r="BM1015" s="21"/>
      <c r="BN1015" s="21"/>
      <c r="BO1015" s="21"/>
      <c r="BP1015" s="21"/>
      <c r="BQ1015" s="21"/>
      <c r="BR1015" s="21"/>
      <c r="BS1015" s="21"/>
      <c r="BT1015" s="21"/>
      <c r="BU1015" s="21"/>
      <c r="BV1015" s="21"/>
      <c r="BW1015" s="21"/>
      <c r="BX1015" s="21"/>
      <c r="BY1015" s="21"/>
      <c r="BZ1015" s="21"/>
      <c r="CA1015" s="21"/>
      <c r="CB1015" s="21"/>
      <c r="CC1015" s="21"/>
      <c r="CD1015" s="21"/>
      <c r="CE1015" s="21"/>
      <c r="CF1015" s="21"/>
      <c r="CG1015" s="21"/>
      <c r="CH1015" s="21"/>
      <c r="CI1015" s="21"/>
      <c r="CJ1015" s="21"/>
      <c r="CK1015" s="21"/>
      <c r="CL1015" s="21"/>
      <c r="CM1015" s="21"/>
      <c r="CN1015" s="21"/>
      <c r="CO1015" s="21"/>
      <c r="CP1015" s="21"/>
      <c r="CQ1015" s="21"/>
      <c r="CR1015" s="21"/>
      <c r="CS1015" s="21"/>
      <c r="CT1015" s="21"/>
      <c r="CU1015" s="21"/>
      <c r="CV1015" s="21"/>
      <c r="CW1015" s="21"/>
      <c r="CX1015" s="21"/>
      <c r="CY1015" s="21"/>
      <c r="CZ1015" s="22"/>
      <c r="DA1015" s="21"/>
      <c r="DB1015" s="21"/>
    </row>
    <row r="1016" spans="3:106" s="19" customFormat="1" ht="12">
      <c r="C1016" s="21"/>
      <c r="D1016" s="21"/>
      <c r="E1016" s="21"/>
      <c r="F1016" s="21"/>
      <c r="G1016" s="21"/>
      <c r="H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2"/>
      <c r="BA1016" s="21"/>
      <c r="BB1016" s="21"/>
      <c r="BC1016" s="21"/>
      <c r="BD1016" s="21"/>
      <c r="BE1016" s="21"/>
      <c r="BF1016" s="21"/>
      <c r="BG1016" s="21"/>
      <c r="BH1016" s="21"/>
      <c r="BI1016" s="21"/>
      <c r="BJ1016" s="21"/>
      <c r="BK1016" s="21"/>
      <c r="BL1016" s="21"/>
      <c r="BM1016" s="21"/>
      <c r="BN1016" s="21"/>
      <c r="BO1016" s="21"/>
      <c r="BP1016" s="21"/>
      <c r="BQ1016" s="21"/>
      <c r="BR1016" s="21"/>
      <c r="BS1016" s="21"/>
      <c r="BT1016" s="21"/>
      <c r="BU1016" s="21"/>
      <c r="BV1016" s="21"/>
      <c r="BW1016" s="21"/>
      <c r="BX1016" s="21"/>
      <c r="BY1016" s="21"/>
      <c r="BZ1016" s="21"/>
      <c r="CA1016" s="21"/>
      <c r="CB1016" s="21"/>
      <c r="CC1016" s="21"/>
      <c r="CD1016" s="21"/>
      <c r="CE1016" s="21"/>
      <c r="CF1016" s="21"/>
      <c r="CG1016" s="21"/>
      <c r="CH1016" s="21"/>
      <c r="CI1016" s="21"/>
      <c r="CJ1016" s="21"/>
      <c r="CK1016" s="21"/>
      <c r="CL1016" s="21"/>
      <c r="CM1016" s="21"/>
      <c r="CN1016" s="21"/>
      <c r="CO1016" s="21"/>
      <c r="CP1016" s="21"/>
      <c r="CQ1016" s="21"/>
      <c r="CR1016" s="21"/>
      <c r="CS1016" s="21"/>
      <c r="CT1016" s="21"/>
      <c r="CU1016" s="21"/>
      <c r="CV1016" s="21"/>
      <c r="CW1016" s="21"/>
      <c r="CX1016" s="21"/>
      <c r="CY1016" s="21"/>
      <c r="CZ1016" s="22"/>
      <c r="DA1016" s="21"/>
      <c r="DB1016" s="21"/>
    </row>
    <row r="1017" spans="3:106" s="19" customFormat="1" ht="12">
      <c r="C1017" s="21"/>
      <c r="D1017" s="21"/>
      <c r="E1017" s="2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2"/>
      <c r="BA1017" s="21"/>
      <c r="BB1017" s="21"/>
      <c r="BC1017" s="21"/>
      <c r="BD1017" s="21"/>
      <c r="BE1017" s="21"/>
      <c r="BF1017" s="21"/>
      <c r="BG1017" s="21"/>
      <c r="BH1017" s="21"/>
      <c r="BI1017" s="21"/>
      <c r="BJ1017" s="21"/>
      <c r="BK1017" s="21"/>
      <c r="BL1017" s="21"/>
      <c r="BM1017" s="21"/>
      <c r="BN1017" s="21"/>
      <c r="BO1017" s="21"/>
      <c r="BP1017" s="21"/>
      <c r="BQ1017" s="21"/>
      <c r="BR1017" s="21"/>
      <c r="BS1017" s="21"/>
      <c r="BT1017" s="21"/>
      <c r="BU1017" s="21"/>
      <c r="BV1017" s="21"/>
      <c r="BW1017" s="21"/>
      <c r="BX1017" s="21"/>
      <c r="BY1017" s="21"/>
      <c r="BZ1017" s="21"/>
      <c r="CA1017" s="21"/>
      <c r="CB1017" s="21"/>
      <c r="CC1017" s="21"/>
      <c r="CD1017" s="21"/>
      <c r="CE1017" s="21"/>
      <c r="CF1017" s="21"/>
      <c r="CG1017" s="21"/>
      <c r="CH1017" s="21"/>
      <c r="CI1017" s="21"/>
      <c r="CJ1017" s="21"/>
      <c r="CK1017" s="21"/>
      <c r="CL1017" s="21"/>
      <c r="CM1017" s="21"/>
      <c r="CN1017" s="21"/>
      <c r="CO1017" s="21"/>
      <c r="CP1017" s="21"/>
      <c r="CQ1017" s="21"/>
      <c r="CR1017" s="21"/>
      <c r="CS1017" s="21"/>
      <c r="CT1017" s="21"/>
      <c r="CU1017" s="21"/>
      <c r="CV1017" s="21"/>
      <c r="CW1017" s="21"/>
      <c r="CX1017" s="21"/>
      <c r="CY1017" s="21"/>
      <c r="CZ1017" s="22"/>
      <c r="DA1017" s="21"/>
      <c r="DB1017" s="21"/>
    </row>
    <row r="1018" spans="3:106" s="19" customFormat="1" ht="12">
      <c r="C1018" s="21"/>
      <c r="D1018" s="21"/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2"/>
      <c r="BA1018" s="21"/>
      <c r="BB1018" s="21"/>
      <c r="BC1018" s="21"/>
      <c r="BD1018" s="21"/>
      <c r="BE1018" s="21"/>
      <c r="BF1018" s="21"/>
      <c r="BG1018" s="21"/>
      <c r="BH1018" s="21"/>
      <c r="BI1018" s="21"/>
      <c r="BJ1018" s="21"/>
      <c r="BK1018" s="21"/>
      <c r="BL1018" s="21"/>
      <c r="BM1018" s="21"/>
      <c r="BN1018" s="21"/>
      <c r="BO1018" s="21"/>
      <c r="BP1018" s="21"/>
      <c r="BQ1018" s="21"/>
      <c r="BR1018" s="21"/>
      <c r="BS1018" s="21"/>
      <c r="BT1018" s="21"/>
      <c r="BU1018" s="21"/>
      <c r="BV1018" s="21"/>
      <c r="BW1018" s="21"/>
      <c r="BX1018" s="21"/>
      <c r="BY1018" s="21"/>
      <c r="BZ1018" s="21"/>
      <c r="CA1018" s="21"/>
      <c r="CB1018" s="21"/>
      <c r="CC1018" s="21"/>
      <c r="CD1018" s="21"/>
      <c r="CE1018" s="21"/>
      <c r="CF1018" s="21"/>
      <c r="CG1018" s="21"/>
      <c r="CH1018" s="21"/>
      <c r="CI1018" s="21"/>
      <c r="CJ1018" s="21"/>
      <c r="CK1018" s="21"/>
      <c r="CL1018" s="21"/>
      <c r="CM1018" s="21"/>
      <c r="CN1018" s="21"/>
      <c r="CO1018" s="21"/>
      <c r="CP1018" s="21"/>
      <c r="CQ1018" s="21"/>
      <c r="CR1018" s="21"/>
      <c r="CS1018" s="21"/>
      <c r="CT1018" s="21"/>
      <c r="CU1018" s="21"/>
      <c r="CV1018" s="21"/>
      <c r="CW1018" s="21"/>
      <c r="CX1018" s="21"/>
      <c r="CY1018" s="21"/>
      <c r="CZ1018" s="22"/>
      <c r="DA1018" s="21"/>
      <c r="DB1018" s="21"/>
    </row>
    <row r="1019" spans="3:106" s="19" customFormat="1" ht="12">
      <c r="C1019" s="21"/>
      <c r="D1019" s="21"/>
      <c r="E1019" s="2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2"/>
      <c r="BA1019" s="21"/>
      <c r="BB1019" s="21"/>
      <c r="BC1019" s="21"/>
      <c r="BD1019" s="21"/>
      <c r="BE1019" s="21"/>
      <c r="BF1019" s="21"/>
      <c r="BG1019" s="21"/>
      <c r="BH1019" s="21"/>
      <c r="BI1019" s="21"/>
      <c r="BJ1019" s="21"/>
      <c r="BK1019" s="21"/>
      <c r="BL1019" s="21"/>
      <c r="BM1019" s="21"/>
      <c r="BN1019" s="21"/>
      <c r="BO1019" s="21"/>
      <c r="BP1019" s="21"/>
      <c r="BQ1019" s="21"/>
      <c r="BR1019" s="21"/>
      <c r="BS1019" s="21"/>
      <c r="BT1019" s="21"/>
      <c r="BU1019" s="21"/>
      <c r="BV1019" s="21"/>
      <c r="BW1019" s="21"/>
      <c r="BX1019" s="21"/>
      <c r="BY1019" s="21"/>
      <c r="BZ1019" s="21"/>
      <c r="CA1019" s="21"/>
      <c r="CB1019" s="21"/>
      <c r="CC1019" s="21"/>
      <c r="CD1019" s="21"/>
      <c r="CE1019" s="21"/>
      <c r="CF1019" s="21"/>
      <c r="CG1019" s="21"/>
      <c r="CH1019" s="21"/>
      <c r="CI1019" s="21"/>
      <c r="CJ1019" s="21"/>
      <c r="CK1019" s="21"/>
      <c r="CL1019" s="21"/>
      <c r="CM1019" s="21"/>
      <c r="CN1019" s="21"/>
      <c r="CO1019" s="21"/>
      <c r="CP1019" s="21"/>
      <c r="CQ1019" s="21"/>
      <c r="CR1019" s="21"/>
      <c r="CS1019" s="21"/>
      <c r="CT1019" s="21"/>
      <c r="CU1019" s="21"/>
      <c r="CV1019" s="21"/>
      <c r="CW1019" s="21"/>
      <c r="CX1019" s="21"/>
      <c r="CY1019" s="21"/>
      <c r="CZ1019" s="22"/>
      <c r="DA1019" s="21"/>
      <c r="DB1019" s="21"/>
    </row>
    <row r="1020" spans="3:106" s="19" customFormat="1" ht="12">
      <c r="C1020" s="21"/>
      <c r="D1020" s="21"/>
      <c r="E1020" s="21"/>
      <c r="F1020" s="21"/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2"/>
      <c r="BA1020" s="21"/>
      <c r="BB1020" s="21"/>
      <c r="BC1020" s="21"/>
      <c r="BD1020" s="21"/>
      <c r="BE1020" s="21"/>
      <c r="BF1020" s="21"/>
      <c r="BG1020" s="21"/>
      <c r="BH1020" s="21"/>
      <c r="BI1020" s="21"/>
      <c r="BJ1020" s="21"/>
      <c r="BK1020" s="21"/>
      <c r="BL1020" s="21"/>
      <c r="BM1020" s="21"/>
      <c r="BN1020" s="21"/>
      <c r="BO1020" s="21"/>
      <c r="BP1020" s="21"/>
      <c r="BQ1020" s="21"/>
      <c r="BR1020" s="21"/>
      <c r="BS1020" s="21"/>
      <c r="BT1020" s="21"/>
      <c r="BU1020" s="21"/>
      <c r="BV1020" s="21"/>
      <c r="BW1020" s="21"/>
      <c r="BX1020" s="21"/>
      <c r="BY1020" s="21"/>
      <c r="BZ1020" s="21"/>
      <c r="CA1020" s="21"/>
      <c r="CB1020" s="21"/>
      <c r="CC1020" s="21"/>
      <c r="CD1020" s="21"/>
      <c r="CE1020" s="21"/>
      <c r="CF1020" s="21"/>
      <c r="CG1020" s="21"/>
      <c r="CH1020" s="21"/>
      <c r="CI1020" s="21"/>
      <c r="CJ1020" s="21"/>
      <c r="CK1020" s="21"/>
      <c r="CL1020" s="21"/>
      <c r="CM1020" s="21"/>
      <c r="CN1020" s="21"/>
      <c r="CO1020" s="21"/>
      <c r="CP1020" s="21"/>
      <c r="CQ1020" s="21"/>
      <c r="CR1020" s="21"/>
      <c r="CS1020" s="21"/>
      <c r="CT1020" s="21"/>
      <c r="CU1020" s="21"/>
      <c r="CV1020" s="21"/>
      <c r="CW1020" s="21"/>
      <c r="CX1020" s="21"/>
      <c r="CY1020" s="21"/>
      <c r="CZ1020" s="22"/>
      <c r="DA1020" s="21"/>
      <c r="DB1020" s="21"/>
    </row>
    <row r="1021" spans="3:106" s="19" customFormat="1" ht="12">
      <c r="C1021" s="21"/>
      <c r="D1021" s="21"/>
      <c r="E1021" s="2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2"/>
      <c r="BA1021" s="21"/>
      <c r="BB1021" s="21"/>
      <c r="BC1021" s="21"/>
      <c r="BD1021" s="21"/>
      <c r="BE1021" s="21"/>
      <c r="BF1021" s="21"/>
      <c r="BG1021" s="21"/>
      <c r="BH1021" s="21"/>
      <c r="BI1021" s="21"/>
      <c r="BJ1021" s="21"/>
      <c r="BK1021" s="21"/>
      <c r="BL1021" s="21"/>
      <c r="BM1021" s="21"/>
      <c r="BN1021" s="21"/>
      <c r="BO1021" s="21"/>
      <c r="BP1021" s="21"/>
      <c r="BQ1021" s="21"/>
      <c r="BR1021" s="21"/>
      <c r="BS1021" s="21"/>
      <c r="BT1021" s="21"/>
      <c r="BU1021" s="21"/>
      <c r="BV1021" s="21"/>
      <c r="BW1021" s="21"/>
      <c r="BX1021" s="21"/>
      <c r="BY1021" s="21"/>
      <c r="BZ1021" s="21"/>
      <c r="CA1021" s="21"/>
      <c r="CB1021" s="21"/>
      <c r="CC1021" s="21"/>
      <c r="CD1021" s="21"/>
      <c r="CE1021" s="21"/>
      <c r="CF1021" s="21"/>
      <c r="CG1021" s="21"/>
      <c r="CH1021" s="21"/>
      <c r="CI1021" s="21"/>
      <c r="CJ1021" s="21"/>
      <c r="CK1021" s="21"/>
      <c r="CL1021" s="21"/>
      <c r="CM1021" s="21"/>
      <c r="CN1021" s="21"/>
      <c r="CO1021" s="21"/>
      <c r="CP1021" s="21"/>
      <c r="CQ1021" s="21"/>
      <c r="CR1021" s="21"/>
      <c r="CS1021" s="21"/>
      <c r="CT1021" s="21"/>
      <c r="CU1021" s="21"/>
      <c r="CV1021" s="21"/>
      <c r="CW1021" s="21"/>
      <c r="CX1021" s="21"/>
      <c r="CY1021" s="21"/>
      <c r="CZ1021" s="22"/>
      <c r="DA1021" s="21"/>
      <c r="DB1021" s="21"/>
    </row>
    <row r="1022" spans="3:106" s="19" customFormat="1" ht="12">
      <c r="C1022" s="21"/>
      <c r="D1022" s="21"/>
      <c r="E1022" s="21"/>
      <c r="F1022" s="21"/>
      <c r="G1022" s="21"/>
      <c r="H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2"/>
      <c r="BA1022" s="21"/>
      <c r="BB1022" s="21"/>
      <c r="BC1022" s="21"/>
      <c r="BD1022" s="21"/>
      <c r="BE1022" s="21"/>
      <c r="BF1022" s="21"/>
      <c r="BG1022" s="21"/>
      <c r="BH1022" s="21"/>
      <c r="BI1022" s="21"/>
      <c r="BJ1022" s="21"/>
      <c r="BK1022" s="21"/>
      <c r="BL1022" s="21"/>
      <c r="BM1022" s="21"/>
      <c r="BN1022" s="21"/>
      <c r="BO1022" s="21"/>
      <c r="BP1022" s="21"/>
      <c r="BQ1022" s="21"/>
      <c r="BR1022" s="21"/>
      <c r="BS1022" s="21"/>
      <c r="BT1022" s="21"/>
      <c r="BU1022" s="21"/>
      <c r="BV1022" s="21"/>
      <c r="BW1022" s="21"/>
      <c r="BX1022" s="21"/>
      <c r="BY1022" s="21"/>
      <c r="BZ1022" s="21"/>
      <c r="CA1022" s="21"/>
      <c r="CB1022" s="21"/>
      <c r="CC1022" s="21"/>
      <c r="CD1022" s="21"/>
      <c r="CE1022" s="21"/>
      <c r="CF1022" s="21"/>
      <c r="CG1022" s="21"/>
      <c r="CH1022" s="21"/>
      <c r="CI1022" s="21"/>
      <c r="CJ1022" s="21"/>
      <c r="CK1022" s="21"/>
      <c r="CL1022" s="21"/>
      <c r="CM1022" s="21"/>
      <c r="CN1022" s="21"/>
      <c r="CO1022" s="21"/>
      <c r="CP1022" s="21"/>
      <c r="CQ1022" s="21"/>
      <c r="CR1022" s="21"/>
      <c r="CS1022" s="21"/>
      <c r="CT1022" s="21"/>
      <c r="CU1022" s="21"/>
      <c r="CV1022" s="21"/>
      <c r="CW1022" s="21"/>
      <c r="CX1022" s="21"/>
      <c r="CY1022" s="21"/>
      <c r="CZ1022" s="22"/>
      <c r="DA1022" s="21"/>
      <c r="DB1022" s="21"/>
    </row>
    <row r="1023" spans="3:106" s="19" customFormat="1" ht="12">
      <c r="C1023" s="21"/>
      <c r="D1023" s="21"/>
      <c r="E1023" s="2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2"/>
      <c r="BA1023" s="21"/>
      <c r="BB1023" s="21"/>
      <c r="BC1023" s="21"/>
      <c r="BD1023" s="21"/>
      <c r="BE1023" s="21"/>
      <c r="BF1023" s="21"/>
      <c r="BG1023" s="21"/>
      <c r="BH1023" s="21"/>
      <c r="BI1023" s="21"/>
      <c r="BJ1023" s="21"/>
      <c r="BK1023" s="21"/>
      <c r="BL1023" s="21"/>
      <c r="BM1023" s="21"/>
      <c r="BN1023" s="21"/>
      <c r="BO1023" s="21"/>
      <c r="BP1023" s="21"/>
      <c r="BQ1023" s="21"/>
      <c r="BR1023" s="21"/>
      <c r="BS1023" s="21"/>
      <c r="BT1023" s="21"/>
      <c r="BU1023" s="21"/>
      <c r="BV1023" s="21"/>
      <c r="BW1023" s="21"/>
      <c r="BX1023" s="21"/>
      <c r="BY1023" s="21"/>
      <c r="BZ1023" s="21"/>
      <c r="CA1023" s="21"/>
      <c r="CB1023" s="21"/>
      <c r="CC1023" s="21"/>
      <c r="CD1023" s="21"/>
      <c r="CE1023" s="21"/>
      <c r="CF1023" s="21"/>
      <c r="CG1023" s="21"/>
      <c r="CH1023" s="21"/>
      <c r="CI1023" s="21"/>
      <c r="CJ1023" s="21"/>
      <c r="CK1023" s="21"/>
      <c r="CL1023" s="21"/>
      <c r="CM1023" s="21"/>
      <c r="CN1023" s="21"/>
      <c r="CO1023" s="21"/>
      <c r="CP1023" s="21"/>
      <c r="CQ1023" s="21"/>
      <c r="CR1023" s="21"/>
      <c r="CS1023" s="21"/>
      <c r="CT1023" s="21"/>
      <c r="CU1023" s="21"/>
      <c r="CV1023" s="21"/>
      <c r="CW1023" s="21"/>
      <c r="CX1023" s="21"/>
      <c r="CY1023" s="21"/>
      <c r="CZ1023" s="22"/>
      <c r="DA1023" s="21"/>
      <c r="DB1023" s="21"/>
    </row>
    <row r="1024" spans="3:106" s="19" customFormat="1" ht="12">
      <c r="C1024" s="21"/>
      <c r="D1024" s="21"/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2"/>
      <c r="BA1024" s="21"/>
      <c r="BB1024" s="21"/>
      <c r="BC1024" s="21"/>
      <c r="BD1024" s="21"/>
      <c r="BE1024" s="21"/>
      <c r="BF1024" s="21"/>
      <c r="BG1024" s="21"/>
      <c r="BH1024" s="21"/>
      <c r="BI1024" s="21"/>
      <c r="BJ1024" s="21"/>
      <c r="BK1024" s="21"/>
      <c r="BL1024" s="21"/>
      <c r="BM1024" s="21"/>
      <c r="BN1024" s="21"/>
      <c r="BO1024" s="21"/>
      <c r="BP1024" s="21"/>
      <c r="BQ1024" s="21"/>
      <c r="BR1024" s="21"/>
      <c r="BS1024" s="21"/>
      <c r="BT1024" s="21"/>
      <c r="BU1024" s="21"/>
      <c r="BV1024" s="21"/>
      <c r="BW1024" s="21"/>
      <c r="BX1024" s="21"/>
      <c r="BY1024" s="21"/>
      <c r="BZ1024" s="21"/>
      <c r="CA1024" s="21"/>
      <c r="CB1024" s="21"/>
      <c r="CC1024" s="21"/>
      <c r="CD1024" s="21"/>
      <c r="CE1024" s="21"/>
      <c r="CF1024" s="21"/>
      <c r="CG1024" s="21"/>
      <c r="CH1024" s="21"/>
      <c r="CI1024" s="21"/>
      <c r="CJ1024" s="21"/>
      <c r="CK1024" s="21"/>
      <c r="CL1024" s="21"/>
      <c r="CM1024" s="21"/>
      <c r="CN1024" s="21"/>
      <c r="CO1024" s="21"/>
      <c r="CP1024" s="21"/>
      <c r="CQ1024" s="21"/>
      <c r="CR1024" s="21"/>
      <c r="CS1024" s="21"/>
      <c r="CT1024" s="21"/>
      <c r="CU1024" s="21"/>
      <c r="CV1024" s="21"/>
      <c r="CW1024" s="21"/>
      <c r="CX1024" s="21"/>
      <c r="CY1024" s="21"/>
      <c r="CZ1024" s="22"/>
      <c r="DA1024" s="21"/>
      <c r="DB1024" s="21"/>
    </row>
    <row r="1025" spans="3:106" s="19" customFormat="1" ht="12">
      <c r="C1025" s="21"/>
      <c r="D1025" s="21"/>
      <c r="E1025" s="2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2"/>
      <c r="BA1025" s="21"/>
      <c r="BB1025" s="21"/>
      <c r="BC1025" s="21"/>
      <c r="BD1025" s="21"/>
      <c r="BE1025" s="21"/>
      <c r="BF1025" s="21"/>
      <c r="BG1025" s="21"/>
      <c r="BH1025" s="21"/>
      <c r="BI1025" s="21"/>
      <c r="BJ1025" s="21"/>
      <c r="BK1025" s="21"/>
      <c r="BL1025" s="21"/>
      <c r="BM1025" s="21"/>
      <c r="BN1025" s="21"/>
      <c r="BO1025" s="21"/>
      <c r="BP1025" s="21"/>
      <c r="BQ1025" s="21"/>
      <c r="BR1025" s="21"/>
      <c r="BS1025" s="21"/>
      <c r="BT1025" s="21"/>
      <c r="BU1025" s="21"/>
      <c r="BV1025" s="21"/>
      <c r="BW1025" s="21"/>
      <c r="BX1025" s="21"/>
      <c r="BY1025" s="21"/>
      <c r="BZ1025" s="21"/>
      <c r="CA1025" s="21"/>
      <c r="CB1025" s="21"/>
      <c r="CC1025" s="21"/>
      <c r="CD1025" s="21"/>
      <c r="CE1025" s="21"/>
      <c r="CF1025" s="21"/>
      <c r="CG1025" s="21"/>
      <c r="CH1025" s="21"/>
      <c r="CI1025" s="21"/>
      <c r="CJ1025" s="21"/>
      <c r="CK1025" s="21"/>
      <c r="CL1025" s="21"/>
      <c r="CM1025" s="21"/>
      <c r="CN1025" s="21"/>
      <c r="CO1025" s="21"/>
      <c r="CP1025" s="21"/>
      <c r="CQ1025" s="21"/>
      <c r="CR1025" s="21"/>
      <c r="CS1025" s="21"/>
      <c r="CT1025" s="21"/>
      <c r="CU1025" s="21"/>
      <c r="CV1025" s="21"/>
      <c r="CW1025" s="21"/>
      <c r="CX1025" s="21"/>
      <c r="CY1025" s="21"/>
      <c r="CZ1025" s="22"/>
      <c r="DA1025" s="21"/>
      <c r="DB1025" s="21"/>
    </row>
    <row r="1026" spans="3:106" s="19" customFormat="1" ht="12">
      <c r="C1026" s="21"/>
      <c r="D1026" s="21"/>
      <c r="E1026" s="21"/>
      <c r="F1026" s="21"/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2"/>
      <c r="BA1026" s="21"/>
      <c r="BB1026" s="21"/>
      <c r="BC1026" s="21"/>
      <c r="BD1026" s="21"/>
      <c r="BE1026" s="21"/>
      <c r="BF1026" s="21"/>
      <c r="BG1026" s="21"/>
      <c r="BH1026" s="21"/>
      <c r="BI1026" s="21"/>
      <c r="BJ1026" s="21"/>
      <c r="BK1026" s="21"/>
      <c r="BL1026" s="21"/>
      <c r="BM1026" s="21"/>
      <c r="BN1026" s="21"/>
      <c r="BO1026" s="21"/>
      <c r="BP1026" s="21"/>
      <c r="BQ1026" s="21"/>
      <c r="BR1026" s="21"/>
      <c r="BS1026" s="21"/>
      <c r="BT1026" s="21"/>
      <c r="BU1026" s="21"/>
      <c r="BV1026" s="21"/>
      <c r="BW1026" s="21"/>
      <c r="BX1026" s="21"/>
      <c r="BY1026" s="21"/>
      <c r="BZ1026" s="21"/>
      <c r="CA1026" s="21"/>
      <c r="CB1026" s="21"/>
      <c r="CC1026" s="21"/>
      <c r="CD1026" s="21"/>
      <c r="CE1026" s="21"/>
      <c r="CF1026" s="21"/>
      <c r="CG1026" s="21"/>
      <c r="CH1026" s="21"/>
      <c r="CI1026" s="21"/>
      <c r="CJ1026" s="21"/>
      <c r="CK1026" s="21"/>
      <c r="CL1026" s="21"/>
      <c r="CM1026" s="21"/>
      <c r="CN1026" s="21"/>
      <c r="CO1026" s="21"/>
      <c r="CP1026" s="21"/>
      <c r="CQ1026" s="21"/>
      <c r="CR1026" s="21"/>
      <c r="CS1026" s="21"/>
      <c r="CT1026" s="21"/>
      <c r="CU1026" s="21"/>
      <c r="CV1026" s="21"/>
      <c r="CW1026" s="21"/>
      <c r="CX1026" s="21"/>
      <c r="CY1026" s="21"/>
      <c r="CZ1026" s="22"/>
      <c r="DA1026" s="21"/>
      <c r="DB1026" s="21"/>
    </row>
    <row r="1027" spans="3:106" s="19" customFormat="1" ht="12">
      <c r="C1027" s="21"/>
      <c r="D1027" s="21"/>
      <c r="E1027" s="2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  <c r="Q1027" s="21"/>
      <c r="R1027" s="21"/>
      <c r="S1027" s="21"/>
      <c r="T1027" s="21"/>
      <c r="U1027" s="21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2"/>
      <c r="BA1027" s="21"/>
      <c r="BB1027" s="21"/>
      <c r="BC1027" s="21"/>
      <c r="BD1027" s="21"/>
      <c r="BE1027" s="21"/>
      <c r="BF1027" s="21"/>
      <c r="BG1027" s="21"/>
      <c r="BH1027" s="21"/>
      <c r="BI1027" s="21"/>
      <c r="BJ1027" s="21"/>
      <c r="BK1027" s="21"/>
      <c r="BL1027" s="21"/>
      <c r="BM1027" s="21"/>
      <c r="BN1027" s="21"/>
      <c r="BO1027" s="21"/>
      <c r="BP1027" s="21"/>
      <c r="BQ1027" s="21"/>
      <c r="BR1027" s="21"/>
      <c r="BS1027" s="21"/>
      <c r="BT1027" s="21"/>
      <c r="BU1027" s="21"/>
      <c r="BV1027" s="21"/>
      <c r="BW1027" s="21"/>
      <c r="BX1027" s="21"/>
      <c r="BY1027" s="21"/>
      <c r="BZ1027" s="21"/>
      <c r="CA1027" s="21"/>
      <c r="CB1027" s="21"/>
      <c r="CC1027" s="21"/>
      <c r="CD1027" s="21"/>
      <c r="CE1027" s="21"/>
      <c r="CF1027" s="21"/>
      <c r="CG1027" s="21"/>
      <c r="CH1027" s="21"/>
      <c r="CI1027" s="21"/>
      <c r="CJ1027" s="21"/>
      <c r="CK1027" s="21"/>
      <c r="CL1027" s="21"/>
      <c r="CM1027" s="21"/>
      <c r="CN1027" s="21"/>
      <c r="CO1027" s="21"/>
      <c r="CP1027" s="21"/>
      <c r="CQ1027" s="21"/>
      <c r="CR1027" s="21"/>
      <c r="CS1027" s="21"/>
      <c r="CT1027" s="21"/>
      <c r="CU1027" s="21"/>
      <c r="CV1027" s="21"/>
      <c r="CW1027" s="21"/>
      <c r="CX1027" s="21"/>
      <c r="CY1027" s="21"/>
      <c r="CZ1027" s="22"/>
      <c r="DA1027" s="21"/>
      <c r="DB1027" s="21"/>
    </row>
    <row r="1028" spans="3:106" s="19" customFormat="1" ht="12">
      <c r="C1028" s="21"/>
      <c r="D1028" s="21"/>
      <c r="E1028" s="21"/>
      <c r="F1028" s="21"/>
      <c r="G1028" s="21"/>
      <c r="H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2"/>
      <c r="BA1028" s="21"/>
      <c r="BB1028" s="21"/>
      <c r="BC1028" s="21"/>
      <c r="BD1028" s="21"/>
      <c r="BE1028" s="21"/>
      <c r="BF1028" s="21"/>
      <c r="BG1028" s="21"/>
      <c r="BH1028" s="21"/>
      <c r="BI1028" s="21"/>
      <c r="BJ1028" s="21"/>
      <c r="BK1028" s="21"/>
      <c r="BL1028" s="21"/>
      <c r="BM1028" s="21"/>
      <c r="BN1028" s="21"/>
      <c r="BO1028" s="21"/>
      <c r="BP1028" s="21"/>
      <c r="BQ1028" s="21"/>
      <c r="BR1028" s="21"/>
      <c r="BS1028" s="21"/>
      <c r="BT1028" s="21"/>
      <c r="BU1028" s="21"/>
      <c r="BV1028" s="21"/>
      <c r="BW1028" s="21"/>
      <c r="BX1028" s="21"/>
      <c r="BY1028" s="21"/>
      <c r="BZ1028" s="21"/>
      <c r="CA1028" s="21"/>
      <c r="CB1028" s="21"/>
      <c r="CC1028" s="21"/>
      <c r="CD1028" s="21"/>
      <c r="CE1028" s="21"/>
      <c r="CF1028" s="21"/>
      <c r="CG1028" s="21"/>
      <c r="CH1028" s="21"/>
      <c r="CI1028" s="21"/>
      <c r="CJ1028" s="21"/>
      <c r="CK1028" s="21"/>
      <c r="CL1028" s="21"/>
      <c r="CM1028" s="21"/>
      <c r="CN1028" s="21"/>
      <c r="CO1028" s="21"/>
      <c r="CP1028" s="21"/>
      <c r="CQ1028" s="21"/>
      <c r="CR1028" s="21"/>
      <c r="CS1028" s="21"/>
      <c r="CT1028" s="21"/>
      <c r="CU1028" s="21"/>
      <c r="CV1028" s="21"/>
      <c r="CW1028" s="21"/>
      <c r="CX1028" s="21"/>
      <c r="CY1028" s="21"/>
      <c r="CZ1028" s="22"/>
      <c r="DA1028" s="21"/>
      <c r="DB1028" s="21"/>
    </row>
    <row r="1029" spans="3:106" s="19" customFormat="1" ht="12">
      <c r="C1029" s="21"/>
      <c r="D1029" s="21"/>
      <c r="E1029" s="2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2"/>
      <c r="BA1029" s="21"/>
      <c r="BB1029" s="21"/>
      <c r="BC1029" s="21"/>
      <c r="BD1029" s="21"/>
      <c r="BE1029" s="21"/>
      <c r="BF1029" s="21"/>
      <c r="BG1029" s="21"/>
      <c r="BH1029" s="21"/>
      <c r="BI1029" s="21"/>
      <c r="BJ1029" s="21"/>
      <c r="BK1029" s="21"/>
      <c r="BL1029" s="21"/>
      <c r="BM1029" s="21"/>
      <c r="BN1029" s="21"/>
      <c r="BO1029" s="21"/>
      <c r="BP1029" s="21"/>
      <c r="BQ1029" s="21"/>
      <c r="BR1029" s="21"/>
      <c r="BS1029" s="21"/>
      <c r="BT1029" s="21"/>
      <c r="BU1029" s="21"/>
      <c r="BV1029" s="21"/>
      <c r="BW1029" s="21"/>
      <c r="BX1029" s="21"/>
      <c r="BY1029" s="21"/>
      <c r="BZ1029" s="21"/>
      <c r="CA1029" s="21"/>
      <c r="CB1029" s="21"/>
      <c r="CC1029" s="21"/>
      <c r="CD1029" s="21"/>
      <c r="CE1029" s="21"/>
      <c r="CF1029" s="21"/>
      <c r="CG1029" s="21"/>
      <c r="CH1029" s="21"/>
      <c r="CI1029" s="21"/>
      <c r="CJ1029" s="21"/>
      <c r="CK1029" s="21"/>
      <c r="CL1029" s="21"/>
      <c r="CM1029" s="21"/>
      <c r="CN1029" s="21"/>
      <c r="CO1029" s="21"/>
      <c r="CP1029" s="21"/>
      <c r="CQ1029" s="21"/>
      <c r="CR1029" s="21"/>
      <c r="CS1029" s="21"/>
      <c r="CT1029" s="21"/>
      <c r="CU1029" s="21"/>
      <c r="CV1029" s="21"/>
      <c r="CW1029" s="21"/>
      <c r="CX1029" s="21"/>
      <c r="CY1029" s="21"/>
      <c r="CZ1029" s="22"/>
      <c r="DA1029" s="21"/>
      <c r="DB1029" s="21"/>
    </row>
    <row r="1030" spans="3:106" s="19" customFormat="1" ht="12">
      <c r="C1030" s="21"/>
      <c r="D1030" s="21"/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2"/>
      <c r="BA1030" s="21"/>
      <c r="BB1030" s="21"/>
      <c r="BC1030" s="21"/>
      <c r="BD1030" s="21"/>
      <c r="BE1030" s="21"/>
      <c r="BF1030" s="21"/>
      <c r="BG1030" s="21"/>
      <c r="BH1030" s="21"/>
      <c r="BI1030" s="21"/>
      <c r="BJ1030" s="21"/>
      <c r="BK1030" s="21"/>
      <c r="BL1030" s="21"/>
      <c r="BM1030" s="21"/>
      <c r="BN1030" s="21"/>
      <c r="BO1030" s="21"/>
      <c r="BP1030" s="21"/>
      <c r="BQ1030" s="21"/>
      <c r="BR1030" s="21"/>
      <c r="BS1030" s="21"/>
      <c r="BT1030" s="21"/>
      <c r="BU1030" s="21"/>
      <c r="BV1030" s="21"/>
      <c r="BW1030" s="21"/>
      <c r="BX1030" s="21"/>
      <c r="BY1030" s="21"/>
      <c r="BZ1030" s="21"/>
      <c r="CA1030" s="21"/>
      <c r="CB1030" s="21"/>
      <c r="CC1030" s="21"/>
      <c r="CD1030" s="21"/>
      <c r="CE1030" s="21"/>
      <c r="CF1030" s="21"/>
      <c r="CG1030" s="21"/>
      <c r="CH1030" s="21"/>
      <c r="CI1030" s="21"/>
      <c r="CJ1030" s="21"/>
      <c r="CK1030" s="21"/>
      <c r="CL1030" s="21"/>
      <c r="CM1030" s="21"/>
      <c r="CN1030" s="21"/>
      <c r="CO1030" s="21"/>
      <c r="CP1030" s="21"/>
      <c r="CQ1030" s="21"/>
      <c r="CR1030" s="21"/>
      <c r="CS1030" s="21"/>
      <c r="CT1030" s="21"/>
      <c r="CU1030" s="21"/>
      <c r="CV1030" s="21"/>
      <c r="CW1030" s="21"/>
      <c r="CX1030" s="21"/>
      <c r="CY1030" s="21"/>
      <c r="CZ1030" s="22"/>
      <c r="DA1030" s="21"/>
      <c r="DB1030" s="21"/>
    </row>
    <row r="1031" spans="3:106" s="19" customFormat="1" ht="12">
      <c r="C1031" s="21"/>
      <c r="D1031" s="21"/>
      <c r="E1031" s="2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2"/>
      <c r="BA1031" s="21"/>
      <c r="BB1031" s="21"/>
      <c r="BC1031" s="21"/>
      <c r="BD1031" s="21"/>
      <c r="BE1031" s="21"/>
      <c r="BF1031" s="21"/>
      <c r="BG1031" s="21"/>
      <c r="BH1031" s="21"/>
      <c r="BI1031" s="21"/>
      <c r="BJ1031" s="21"/>
      <c r="BK1031" s="21"/>
      <c r="BL1031" s="21"/>
      <c r="BM1031" s="21"/>
      <c r="BN1031" s="21"/>
      <c r="BO1031" s="21"/>
      <c r="BP1031" s="21"/>
      <c r="BQ1031" s="21"/>
      <c r="BR1031" s="21"/>
      <c r="BS1031" s="21"/>
      <c r="BT1031" s="21"/>
      <c r="BU1031" s="21"/>
      <c r="BV1031" s="21"/>
      <c r="BW1031" s="21"/>
      <c r="BX1031" s="21"/>
      <c r="BY1031" s="21"/>
      <c r="BZ1031" s="21"/>
      <c r="CA1031" s="21"/>
      <c r="CB1031" s="21"/>
      <c r="CC1031" s="21"/>
      <c r="CD1031" s="21"/>
      <c r="CE1031" s="21"/>
      <c r="CF1031" s="21"/>
      <c r="CG1031" s="21"/>
      <c r="CH1031" s="21"/>
      <c r="CI1031" s="21"/>
      <c r="CJ1031" s="21"/>
      <c r="CK1031" s="21"/>
      <c r="CL1031" s="21"/>
      <c r="CM1031" s="21"/>
      <c r="CN1031" s="21"/>
      <c r="CO1031" s="21"/>
      <c r="CP1031" s="21"/>
      <c r="CQ1031" s="21"/>
      <c r="CR1031" s="21"/>
      <c r="CS1031" s="21"/>
      <c r="CT1031" s="21"/>
      <c r="CU1031" s="21"/>
      <c r="CV1031" s="21"/>
      <c r="CW1031" s="21"/>
      <c r="CX1031" s="21"/>
      <c r="CY1031" s="21"/>
      <c r="CZ1031" s="22"/>
      <c r="DA1031" s="21"/>
      <c r="DB1031" s="21"/>
    </row>
    <row r="1032" spans="3:106" s="19" customFormat="1" ht="12">
      <c r="C1032" s="21"/>
      <c r="D1032" s="21"/>
      <c r="E1032" s="21"/>
      <c r="F1032" s="21"/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2"/>
      <c r="BA1032" s="21"/>
      <c r="BB1032" s="21"/>
      <c r="BC1032" s="21"/>
      <c r="BD1032" s="21"/>
      <c r="BE1032" s="21"/>
      <c r="BF1032" s="21"/>
      <c r="BG1032" s="21"/>
      <c r="BH1032" s="21"/>
      <c r="BI1032" s="21"/>
      <c r="BJ1032" s="21"/>
      <c r="BK1032" s="21"/>
      <c r="BL1032" s="21"/>
      <c r="BM1032" s="21"/>
      <c r="BN1032" s="21"/>
      <c r="BO1032" s="21"/>
      <c r="BP1032" s="21"/>
      <c r="BQ1032" s="21"/>
      <c r="BR1032" s="21"/>
      <c r="BS1032" s="21"/>
      <c r="BT1032" s="21"/>
      <c r="BU1032" s="21"/>
      <c r="BV1032" s="21"/>
      <c r="BW1032" s="21"/>
      <c r="BX1032" s="21"/>
      <c r="BY1032" s="21"/>
      <c r="BZ1032" s="21"/>
      <c r="CA1032" s="21"/>
      <c r="CB1032" s="21"/>
      <c r="CC1032" s="21"/>
      <c r="CD1032" s="21"/>
      <c r="CE1032" s="21"/>
      <c r="CF1032" s="21"/>
      <c r="CG1032" s="21"/>
      <c r="CH1032" s="21"/>
      <c r="CI1032" s="21"/>
      <c r="CJ1032" s="21"/>
      <c r="CK1032" s="21"/>
      <c r="CL1032" s="21"/>
      <c r="CM1032" s="21"/>
      <c r="CN1032" s="21"/>
      <c r="CO1032" s="21"/>
      <c r="CP1032" s="21"/>
      <c r="CQ1032" s="21"/>
      <c r="CR1032" s="21"/>
      <c r="CS1032" s="21"/>
      <c r="CT1032" s="21"/>
      <c r="CU1032" s="21"/>
      <c r="CV1032" s="21"/>
      <c r="CW1032" s="21"/>
      <c r="CX1032" s="21"/>
      <c r="CY1032" s="21"/>
      <c r="CZ1032" s="22"/>
      <c r="DA1032" s="21"/>
      <c r="DB1032" s="21"/>
    </row>
    <row r="1033" spans="3:106" s="19" customFormat="1" ht="12">
      <c r="C1033" s="21"/>
      <c r="D1033" s="21"/>
      <c r="E1033" s="2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  <c r="Q1033" s="21"/>
      <c r="R1033" s="21"/>
      <c r="S1033" s="21"/>
      <c r="T1033" s="21"/>
      <c r="U1033" s="21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2"/>
      <c r="BA1033" s="21"/>
      <c r="BB1033" s="21"/>
      <c r="BC1033" s="21"/>
      <c r="BD1033" s="21"/>
      <c r="BE1033" s="21"/>
      <c r="BF1033" s="21"/>
      <c r="BG1033" s="21"/>
      <c r="BH1033" s="21"/>
      <c r="BI1033" s="21"/>
      <c r="BJ1033" s="21"/>
      <c r="BK1033" s="21"/>
      <c r="BL1033" s="21"/>
      <c r="BM1033" s="21"/>
      <c r="BN1033" s="21"/>
      <c r="BO1033" s="21"/>
      <c r="BP1033" s="21"/>
      <c r="BQ1033" s="21"/>
      <c r="BR1033" s="21"/>
      <c r="BS1033" s="21"/>
      <c r="BT1033" s="21"/>
      <c r="BU1033" s="21"/>
      <c r="BV1033" s="21"/>
      <c r="BW1033" s="21"/>
      <c r="BX1033" s="21"/>
      <c r="BY1033" s="21"/>
      <c r="BZ1033" s="21"/>
      <c r="CA1033" s="21"/>
      <c r="CB1033" s="21"/>
      <c r="CC1033" s="21"/>
      <c r="CD1033" s="21"/>
      <c r="CE1033" s="21"/>
      <c r="CF1033" s="21"/>
      <c r="CG1033" s="21"/>
      <c r="CH1033" s="21"/>
      <c r="CI1033" s="21"/>
      <c r="CJ1033" s="21"/>
      <c r="CK1033" s="21"/>
      <c r="CL1033" s="21"/>
      <c r="CM1033" s="21"/>
      <c r="CN1033" s="21"/>
      <c r="CO1033" s="21"/>
      <c r="CP1033" s="21"/>
      <c r="CQ1033" s="21"/>
      <c r="CR1033" s="21"/>
      <c r="CS1033" s="21"/>
      <c r="CT1033" s="21"/>
      <c r="CU1033" s="21"/>
      <c r="CV1033" s="21"/>
      <c r="CW1033" s="21"/>
      <c r="CX1033" s="21"/>
      <c r="CY1033" s="21"/>
      <c r="CZ1033" s="22"/>
      <c r="DA1033" s="21"/>
      <c r="DB1033" s="21"/>
    </row>
    <row r="1034" spans="3:106" s="19" customFormat="1" ht="12">
      <c r="C1034" s="21"/>
      <c r="D1034" s="21"/>
      <c r="E1034" s="21"/>
      <c r="F1034" s="21"/>
      <c r="G1034" s="21"/>
      <c r="H1034" s="21"/>
      <c r="I1034" s="21"/>
      <c r="J1034" s="21"/>
      <c r="K1034" s="21"/>
      <c r="L1034" s="21"/>
      <c r="M1034" s="21"/>
      <c r="N1034" s="21"/>
      <c r="O1034" s="21"/>
      <c r="P1034" s="21"/>
      <c r="Q1034" s="21"/>
      <c r="R1034" s="21"/>
      <c r="S1034" s="21"/>
      <c r="T1034" s="21"/>
      <c r="U1034" s="21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2"/>
      <c r="BA1034" s="21"/>
      <c r="BB1034" s="21"/>
      <c r="BC1034" s="21"/>
      <c r="BD1034" s="21"/>
      <c r="BE1034" s="21"/>
      <c r="BF1034" s="21"/>
      <c r="BG1034" s="21"/>
      <c r="BH1034" s="21"/>
      <c r="BI1034" s="21"/>
      <c r="BJ1034" s="21"/>
      <c r="BK1034" s="21"/>
      <c r="BL1034" s="21"/>
      <c r="BM1034" s="21"/>
      <c r="BN1034" s="21"/>
      <c r="BO1034" s="21"/>
      <c r="BP1034" s="21"/>
      <c r="BQ1034" s="21"/>
      <c r="BR1034" s="21"/>
      <c r="BS1034" s="21"/>
      <c r="BT1034" s="21"/>
      <c r="BU1034" s="21"/>
      <c r="BV1034" s="21"/>
      <c r="BW1034" s="21"/>
      <c r="BX1034" s="21"/>
      <c r="BY1034" s="21"/>
      <c r="BZ1034" s="21"/>
      <c r="CA1034" s="21"/>
      <c r="CB1034" s="21"/>
      <c r="CC1034" s="21"/>
      <c r="CD1034" s="21"/>
      <c r="CE1034" s="21"/>
      <c r="CF1034" s="21"/>
      <c r="CG1034" s="21"/>
      <c r="CH1034" s="21"/>
      <c r="CI1034" s="21"/>
      <c r="CJ1034" s="21"/>
      <c r="CK1034" s="21"/>
      <c r="CL1034" s="21"/>
      <c r="CM1034" s="21"/>
      <c r="CN1034" s="21"/>
      <c r="CO1034" s="21"/>
      <c r="CP1034" s="21"/>
      <c r="CQ1034" s="21"/>
      <c r="CR1034" s="21"/>
      <c r="CS1034" s="21"/>
      <c r="CT1034" s="21"/>
      <c r="CU1034" s="21"/>
      <c r="CV1034" s="21"/>
      <c r="CW1034" s="21"/>
      <c r="CX1034" s="21"/>
      <c r="CY1034" s="21"/>
      <c r="CZ1034" s="22"/>
      <c r="DA1034" s="21"/>
      <c r="DB1034" s="21"/>
    </row>
    <row r="1035" spans="3:106" s="19" customFormat="1" ht="12">
      <c r="C1035" s="21"/>
      <c r="D1035" s="21"/>
      <c r="E1035" s="2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2"/>
      <c r="BA1035" s="21"/>
      <c r="BB1035" s="21"/>
      <c r="BC1035" s="21"/>
      <c r="BD1035" s="21"/>
      <c r="BE1035" s="21"/>
      <c r="BF1035" s="21"/>
      <c r="BG1035" s="21"/>
      <c r="BH1035" s="21"/>
      <c r="BI1035" s="21"/>
      <c r="BJ1035" s="21"/>
      <c r="BK1035" s="21"/>
      <c r="BL1035" s="21"/>
      <c r="BM1035" s="21"/>
      <c r="BN1035" s="21"/>
      <c r="BO1035" s="21"/>
      <c r="BP1035" s="21"/>
      <c r="BQ1035" s="21"/>
      <c r="BR1035" s="21"/>
      <c r="BS1035" s="21"/>
      <c r="BT1035" s="21"/>
      <c r="BU1035" s="21"/>
      <c r="BV1035" s="21"/>
      <c r="BW1035" s="21"/>
      <c r="BX1035" s="21"/>
      <c r="BY1035" s="21"/>
      <c r="BZ1035" s="21"/>
      <c r="CA1035" s="21"/>
      <c r="CB1035" s="21"/>
      <c r="CC1035" s="21"/>
      <c r="CD1035" s="21"/>
      <c r="CE1035" s="21"/>
      <c r="CF1035" s="21"/>
      <c r="CG1035" s="21"/>
      <c r="CH1035" s="21"/>
      <c r="CI1035" s="21"/>
      <c r="CJ1035" s="21"/>
      <c r="CK1035" s="21"/>
      <c r="CL1035" s="21"/>
      <c r="CM1035" s="21"/>
      <c r="CN1035" s="21"/>
      <c r="CO1035" s="21"/>
      <c r="CP1035" s="21"/>
      <c r="CQ1035" s="21"/>
      <c r="CR1035" s="21"/>
      <c r="CS1035" s="21"/>
      <c r="CT1035" s="21"/>
      <c r="CU1035" s="21"/>
      <c r="CV1035" s="21"/>
      <c r="CW1035" s="21"/>
      <c r="CX1035" s="21"/>
      <c r="CY1035" s="21"/>
      <c r="CZ1035" s="22"/>
      <c r="DA1035" s="21"/>
      <c r="DB1035" s="21"/>
    </row>
    <row r="1036" spans="3:106" s="19" customFormat="1" ht="12">
      <c r="C1036" s="21"/>
      <c r="D1036" s="21"/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2"/>
      <c r="BA1036" s="21"/>
      <c r="BB1036" s="21"/>
      <c r="BC1036" s="21"/>
      <c r="BD1036" s="21"/>
      <c r="BE1036" s="21"/>
      <c r="BF1036" s="21"/>
      <c r="BG1036" s="21"/>
      <c r="BH1036" s="21"/>
      <c r="BI1036" s="21"/>
      <c r="BJ1036" s="21"/>
      <c r="BK1036" s="21"/>
      <c r="BL1036" s="21"/>
      <c r="BM1036" s="21"/>
      <c r="BN1036" s="21"/>
      <c r="BO1036" s="21"/>
      <c r="BP1036" s="21"/>
      <c r="BQ1036" s="21"/>
      <c r="BR1036" s="21"/>
      <c r="BS1036" s="21"/>
      <c r="BT1036" s="21"/>
      <c r="BU1036" s="21"/>
      <c r="BV1036" s="21"/>
      <c r="BW1036" s="21"/>
      <c r="BX1036" s="21"/>
      <c r="BY1036" s="21"/>
      <c r="BZ1036" s="21"/>
      <c r="CA1036" s="21"/>
      <c r="CB1036" s="21"/>
      <c r="CC1036" s="21"/>
      <c r="CD1036" s="21"/>
      <c r="CE1036" s="21"/>
      <c r="CF1036" s="21"/>
      <c r="CG1036" s="21"/>
      <c r="CH1036" s="21"/>
      <c r="CI1036" s="21"/>
      <c r="CJ1036" s="21"/>
      <c r="CK1036" s="21"/>
      <c r="CL1036" s="21"/>
      <c r="CM1036" s="21"/>
      <c r="CN1036" s="21"/>
      <c r="CO1036" s="21"/>
      <c r="CP1036" s="21"/>
      <c r="CQ1036" s="21"/>
      <c r="CR1036" s="21"/>
      <c r="CS1036" s="21"/>
      <c r="CT1036" s="21"/>
      <c r="CU1036" s="21"/>
      <c r="CV1036" s="21"/>
      <c r="CW1036" s="21"/>
      <c r="CX1036" s="21"/>
      <c r="CY1036" s="21"/>
      <c r="CZ1036" s="22"/>
      <c r="DA1036" s="21"/>
      <c r="DB1036" s="21"/>
    </row>
    <row r="1037" spans="3:106" s="19" customFormat="1" ht="12">
      <c r="C1037" s="21"/>
      <c r="D1037" s="21"/>
      <c r="E1037" s="2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2"/>
      <c r="BA1037" s="21"/>
      <c r="BB1037" s="21"/>
      <c r="BC1037" s="21"/>
      <c r="BD1037" s="21"/>
      <c r="BE1037" s="21"/>
      <c r="BF1037" s="21"/>
      <c r="BG1037" s="21"/>
      <c r="BH1037" s="21"/>
      <c r="BI1037" s="21"/>
      <c r="BJ1037" s="21"/>
      <c r="BK1037" s="21"/>
      <c r="BL1037" s="21"/>
      <c r="BM1037" s="21"/>
      <c r="BN1037" s="21"/>
      <c r="BO1037" s="21"/>
      <c r="BP1037" s="21"/>
      <c r="BQ1037" s="21"/>
      <c r="BR1037" s="21"/>
      <c r="BS1037" s="21"/>
      <c r="BT1037" s="21"/>
      <c r="BU1037" s="21"/>
      <c r="BV1037" s="21"/>
      <c r="BW1037" s="21"/>
      <c r="BX1037" s="21"/>
      <c r="BY1037" s="21"/>
      <c r="BZ1037" s="21"/>
      <c r="CA1037" s="21"/>
      <c r="CB1037" s="21"/>
      <c r="CC1037" s="21"/>
      <c r="CD1037" s="21"/>
      <c r="CE1037" s="21"/>
      <c r="CF1037" s="21"/>
      <c r="CG1037" s="21"/>
      <c r="CH1037" s="21"/>
      <c r="CI1037" s="21"/>
      <c r="CJ1037" s="21"/>
      <c r="CK1037" s="21"/>
      <c r="CL1037" s="21"/>
      <c r="CM1037" s="21"/>
      <c r="CN1037" s="21"/>
      <c r="CO1037" s="21"/>
      <c r="CP1037" s="21"/>
      <c r="CQ1037" s="21"/>
      <c r="CR1037" s="21"/>
      <c r="CS1037" s="21"/>
      <c r="CT1037" s="21"/>
      <c r="CU1037" s="21"/>
      <c r="CV1037" s="21"/>
      <c r="CW1037" s="21"/>
      <c r="CX1037" s="21"/>
      <c r="CY1037" s="21"/>
      <c r="CZ1037" s="22"/>
      <c r="DA1037" s="21"/>
      <c r="DB1037" s="21"/>
    </row>
    <row r="1038" spans="3:106" s="19" customFormat="1" ht="12">
      <c r="C1038" s="21"/>
      <c r="D1038" s="21"/>
      <c r="E1038" s="21"/>
      <c r="F1038" s="21"/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2"/>
      <c r="BA1038" s="21"/>
      <c r="BB1038" s="21"/>
      <c r="BC1038" s="21"/>
      <c r="BD1038" s="21"/>
      <c r="BE1038" s="21"/>
      <c r="BF1038" s="21"/>
      <c r="BG1038" s="21"/>
      <c r="BH1038" s="21"/>
      <c r="BI1038" s="21"/>
      <c r="BJ1038" s="21"/>
      <c r="BK1038" s="21"/>
      <c r="BL1038" s="21"/>
      <c r="BM1038" s="21"/>
      <c r="BN1038" s="21"/>
      <c r="BO1038" s="21"/>
      <c r="BP1038" s="21"/>
      <c r="BQ1038" s="21"/>
      <c r="BR1038" s="21"/>
      <c r="BS1038" s="21"/>
      <c r="BT1038" s="21"/>
      <c r="BU1038" s="21"/>
      <c r="BV1038" s="21"/>
      <c r="BW1038" s="21"/>
      <c r="BX1038" s="21"/>
      <c r="BY1038" s="21"/>
      <c r="BZ1038" s="21"/>
      <c r="CA1038" s="21"/>
      <c r="CB1038" s="21"/>
      <c r="CC1038" s="21"/>
      <c r="CD1038" s="21"/>
      <c r="CE1038" s="21"/>
      <c r="CF1038" s="21"/>
      <c r="CG1038" s="21"/>
      <c r="CH1038" s="21"/>
      <c r="CI1038" s="21"/>
      <c r="CJ1038" s="21"/>
      <c r="CK1038" s="21"/>
      <c r="CL1038" s="21"/>
      <c r="CM1038" s="21"/>
      <c r="CN1038" s="21"/>
      <c r="CO1038" s="21"/>
      <c r="CP1038" s="21"/>
      <c r="CQ1038" s="21"/>
      <c r="CR1038" s="21"/>
      <c r="CS1038" s="21"/>
      <c r="CT1038" s="21"/>
      <c r="CU1038" s="21"/>
      <c r="CV1038" s="21"/>
      <c r="CW1038" s="21"/>
      <c r="CX1038" s="21"/>
      <c r="CY1038" s="21"/>
      <c r="CZ1038" s="22"/>
      <c r="DA1038" s="21"/>
      <c r="DB1038" s="21"/>
    </row>
    <row r="1039" spans="3:106" s="19" customFormat="1" ht="12">
      <c r="C1039" s="21"/>
      <c r="D1039" s="21"/>
      <c r="E1039" s="2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  <c r="Q1039" s="21"/>
      <c r="R1039" s="21"/>
      <c r="S1039" s="21"/>
      <c r="T1039" s="21"/>
      <c r="U1039" s="21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2"/>
      <c r="BA1039" s="21"/>
      <c r="BB1039" s="21"/>
      <c r="BC1039" s="21"/>
      <c r="BD1039" s="21"/>
      <c r="BE1039" s="21"/>
      <c r="BF1039" s="21"/>
      <c r="BG1039" s="21"/>
      <c r="BH1039" s="21"/>
      <c r="BI1039" s="21"/>
      <c r="BJ1039" s="21"/>
      <c r="BK1039" s="21"/>
      <c r="BL1039" s="21"/>
      <c r="BM1039" s="21"/>
      <c r="BN1039" s="21"/>
      <c r="BO1039" s="21"/>
      <c r="BP1039" s="21"/>
      <c r="BQ1039" s="21"/>
      <c r="BR1039" s="21"/>
      <c r="BS1039" s="21"/>
      <c r="BT1039" s="21"/>
      <c r="BU1039" s="21"/>
      <c r="BV1039" s="21"/>
      <c r="BW1039" s="21"/>
      <c r="BX1039" s="21"/>
      <c r="BY1039" s="21"/>
      <c r="BZ1039" s="21"/>
      <c r="CA1039" s="21"/>
      <c r="CB1039" s="21"/>
      <c r="CC1039" s="21"/>
      <c r="CD1039" s="21"/>
      <c r="CE1039" s="21"/>
      <c r="CF1039" s="21"/>
      <c r="CG1039" s="21"/>
      <c r="CH1039" s="21"/>
      <c r="CI1039" s="21"/>
      <c r="CJ1039" s="21"/>
      <c r="CK1039" s="21"/>
      <c r="CL1039" s="21"/>
      <c r="CM1039" s="21"/>
      <c r="CN1039" s="21"/>
      <c r="CO1039" s="21"/>
      <c r="CP1039" s="21"/>
      <c r="CQ1039" s="21"/>
      <c r="CR1039" s="21"/>
      <c r="CS1039" s="21"/>
      <c r="CT1039" s="21"/>
      <c r="CU1039" s="21"/>
      <c r="CV1039" s="21"/>
      <c r="CW1039" s="21"/>
      <c r="CX1039" s="21"/>
      <c r="CY1039" s="21"/>
      <c r="CZ1039" s="22"/>
      <c r="DA1039" s="21"/>
      <c r="DB1039" s="21"/>
    </row>
    <row r="1040" spans="3:106" s="19" customFormat="1" ht="12">
      <c r="C1040" s="21"/>
      <c r="D1040" s="21"/>
      <c r="E1040" s="21"/>
      <c r="F1040" s="21"/>
      <c r="G1040" s="21"/>
      <c r="H1040" s="21"/>
      <c r="I1040" s="21"/>
      <c r="J1040" s="21"/>
      <c r="K1040" s="21"/>
      <c r="L1040" s="21"/>
      <c r="M1040" s="21"/>
      <c r="N1040" s="21"/>
      <c r="O1040" s="21"/>
      <c r="P1040" s="21"/>
      <c r="Q1040" s="21"/>
      <c r="R1040" s="21"/>
      <c r="S1040" s="21"/>
      <c r="T1040" s="21"/>
      <c r="U1040" s="21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2"/>
      <c r="BA1040" s="21"/>
      <c r="BB1040" s="21"/>
      <c r="BC1040" s="21"/>
      <c r="BD1040" s="21"/>
      <c r="BE1040" s="21"/>
      <c r="BF1040" s="21"/>
      <c r="BG1040" s="21"/>
      <c r="BH1040" s="21"/>
      <c r="BI1040" s="21"/>
      <c r="BJ1040" s="21"/>
      <c r="BK1040" s="21"/>
      <c r="BL1040" s="21"/>
      <c r="BM1040" s="21"/>
      <c r="BN1040" s="21"/>
      <c r="BO1040" s="21"/>
      <c r="BP1040" s="21"/>
      <c r="BQ1040" s="21"/>
      <c r="BR1040" s="21"/>
      <c r="BS1040" s="21"/>
      <c r="BT1040" s="21"/>
      <c r="BU1040" s="21"/>
      <c r="BV1040" s="21"/>
      <c r="BW1040" s="21"/>
      <c r="BX1040" s="21"/>
      <c r="BY1040" s="21"/>
      <c r="BZ1040" s="21"/>
      <c r="CA1040" s="21"/>
      <c r="CB1040" s="21"/>
      <c r="CC1040" s="21"/>
      <c r="CD1040" s="21"/>
      <c r="CE1040" s="21"/>
      <c r="CF1040" s="21"/>
      <c r="CG1040" s="21"/>
      <c r="CH1040" s="21"/>
      <c r="CI1040" s="21"/>
      <c r="CJ1040" s="21"/>
      <c r="CK1040" s="21"/>
      <c r="CL1040" s="21"/>
      <c r="CM1040" s="21"/>
      <c r="CN1040" s="21"/>
      <c r="CO1040" s="21"/>
      <c r="CP1040" s="21"/>
      <c r="CQ1040" s="21"/>
      <c r="CR1040" s="21"/>
      <c r="CS1040" s="21"/>
      <c r="CT1040" s="21"/>
      <c r="CU1040" s="21"/>
      <c r="CV1040" s="21"/>
      <c r="CW1040" s="21"/>
      <c r="CX1040" s="21"/>
      <c r="CY1040" s="21"/>
      <c r="CZ1040" s="22"/>
      <c r="DA1040" s="21"/>
      <c r="DB1040" s="21"/>
    </row>
    <row r="1041" spans="3:106" s="19" customFormat="1" ht="12">
      <c r="C1041" s="21"/>
      <c r="D1041" s="21"/>
      <c r="E1041" s="2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  <c r="Q1041" s="21"/>
      <c r="R1041" s="21"/>
      <c r="S1041" s="21"/>
      <c r="T1041" s="21"/>
      <c r="U1041" s="21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2"/>
      <c r="BA1041" s="21"/>
      <c r="BB1041" s="21"/>
      <c r="BC1041" s="21"/>
      <c r="BD1041" s="21"/>
      <c r="BE1041" s="21"/>
      <c r="BF1041" s="21"/>
      <c r="BG1041" s="21"/>
      <c r="BH1041" s="21"/>
      <c r="BI1041" s="21"/>
      <c r="BJ1041" s="21"/>
      <c r="BK1041" s="21"/>
      <c r="BL1041" s="21"/>
      <c r="BM1041" s="21"/>
      <c r="BN1041" s="21"/>
      <c r="BO1041" s="21"/>
      <c r="BP1041" s="21"/>
      <c r="BQ1041" s="21"/>
      <c r="BR1041" s="21"/>
      <c r="BS1041" s="21"/>
      <c r="BT1041" s="21"/>
      <c r="BU1041" s="21"/>
      <c r="BV1041" s="21"/>
      <c r="BW1041" s="21"/>
      <c r="BX1041" s="21"/>
      <c r="BY1041" s="21"/>
      <c r="BZ1041" s="21"/>
      <c r="CA1041" s="21"/>
      <c r="CB1041" s="21"/>
      <c r="CC1041" s="21"/>
      <c r="CD1041" s="21"/>
      <c r="CE1041" s="21"/>
      <c r="CF1041" s="21"/>
      <c r="CG1041" s="21"/>
      <c r="CH1041" s="21"/>
      <c r="CI1041" s="21"/>
      <c r="CJ1041" s="21"/>
      <c r="CK1041" s="21"/>
      <c r="CL1041" s="21"/>
      <c r="CM1041" s="21"/>
      <c r="CN1041" s="21"/>
      <c r="CO1041" s="21"/>
      <c r="CP1041" s="21"/>
      <c r="CQ1041" s="21"/>
      <c r="CR1041" s="21"/>
      <c r="CS1041" s="21"/>
      <c r="CT1041" s="21"/>
      <c r="CU1041" s="21"/>
      <c r="CV1041" s="21"/>
      <c r="CW1041" s="21"/>
      <c r="CX1041" s="21"/>
      <c r="CY1041" s="21"/>
      <c r="CZ1041" s="22"/>
      <c r="DA1041" s="21"/>
      <c r="DB1041" s="21"/>
    </row>
    <row r="1042" spans="3:106" s="19" customFormat="1" ht="12">
      <c r="C1042" s="21"/>
      <c r="D1042" s="21"/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2"/>
      <c r="BA1042" s="21"/>
      <c r="BB1042" s="21"/>
      <c r="BC1042" s="21"/>
      <c r="BD1042" s="21"/>
      <c r="BE1042" s="21"/>
      <c r="BF1042" s="21"/>
      <c r="BG1042" s="21"/>
      <c r="BH1042" s="21"/>
      <c r="BI1042" s="21"/>
      <c r="BJ1042" s="21"/>
      <c r="BK1042" s="21"/>
      <c r="BL1042" s="21"/>
      <c r="BM1042" s="21"/>
      <c r="BN1042" s="21"/>
      <c r="BO1042" s="21"/>
      <c r="BP1042" s="21"/>
      <c r="BQ1042" s="21"/>
      <c r="BR1042" s="21"/>
      <c r="BS1042" s="21"/>
      <c r="BT1042" s="21"/>
      <c r="BU1042" s="21"/>
      <c r="BV1042" s="21"/>
      <c r="BW1042" s="21"/>
      <c r="BX1042" s="21"/>
      <c r="BY1042" s="21"/>
      <c r="BZ1042" s="21"/>
      <c r="CA1042" s="21"/>
      <c r="CB1042" s="21"/>
      <c r="CC1042" s="21"/>
      <c r="CD1042" s="21"/>
      <c r="CE1042" s="21"/>
      <c r="CF1042" s="21"/>
      <c r="CG1042" s="21"/>
      <c r="CH1042" s="21"/>
      <c r="CI1042" s="21"/>
      <c r="CJ1042" s="21"/>
      <c r="CK1042" s="21"/>
      <c r="CL1042" s="21"/>
      <c r="CM1042" s="21"/>
      <c r="CN1042" s="21"/>
      <c r="CO1042" s="21"/>
      <c r="CP1042" s="21"/>
      <c r="CQ1042" s="21"/>
      <c r="CR1042" s="21"/>
      <c r="CS1042" s="21"/>
      <c r="CT1042" s="21"/>
      <c r="CU1042" s="21"/>
      <c r="CV1042" s="21"/>
      <c r="CW1042" s="21"/>
      <c r="CX1042" s="21"/>
      <c r="CY1042" s="21"/>
      <c r="CZ1042" s="22"/>
      <c r="DA1042" s="21"/>
      <c r="DB1042" s="21"/>
    </row>
    <row r="1043" spans="3:106" s="19" customFormat="1" ht="12">
      <c r="C1043" s="21"/>
      <c r="D1043" s="21"/>
      <c r="E1043" s="2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2"/>
      <c r="BA1043" s="21"/>
      <c r="BB1043" s="21"/>
      <c r="BC1043" s="21"/>
      <c r="BD1043" s="21"/>
      <c r="BE1043" s="21"/>
      <c r="BF1043" s="21"/>
      <c r="BG1043" s="21"/>
      <c r="BH1043" s="21"/>
      <c r="BI1043" s="21"/>
      <c r="BJ1043" s="21"/>
      <c r="BK1043" s="21"/>
      <c r="BL1043" s="21"/>
      <c r="BM1043" s="21"/>
      <c r="BN1043" s="21"/>
      <c r="BO1043" s="21"/>
      <c r="BP1043" s="21"/>
      <c r="BQ1043" s="21"/>
      <c r="BR1043" s="21"/>
      <c r="BS1043" s="21"/>
      <c r="BT1043" s="21"/>
      <c r="BU1043" s="21"/>
      <c r="BV1043" s="21"/>
      <c r="BW1043" s="21"/>
      <c r="BX1043" s="21"/>
      <c r="BY1043" s="21"/>
      <c r="BZ1043" s="21"/>
      <c r="CA1043" s="21"/>
      <c r="CB1043" s="21"/>
      <c r="CC1043" s="21"/>
      <c r="CD1043" s="21"/>
      <c r="CE1043" s="21"/>
      <c r="CF1043" s="21"/>
      <c r="CG1043" s="21"/>
      <c r="CH1043" s="21"/>
      <c r="CI1043" s="21"/>
      <c r="CJ1043" s="21"/>
      <c r="CK1043" s="21"/>
      <c r="CL1043" s="21"/>
      <c r="CM1043" s="21"/>
      <c r="CN1043" s="21"/>
      <c r="CO1043" s="21"/>
      <c r="CP1043" s="21"/>
      <c r="CQ1043" s="21"/>
      <c r="CR1043" s="21"/>
      <c r="CS1043" s="21"/>
      <c r="CT1043" s="21"/>
      <c r="CU1043" s="21"/>
      <c r="CV1043" s="21"/>
      <c r="CW1043" s="21"/>
      <c r="CX1043" s="21"/>
      <c r="CY1043" s="21"/>
      <c r="CZ1043" s="22"/>
      <c r="DA1043" s="21"/>
      <c r="DB1043" s="21"/>
    </row>
    <row r="1044" spans="3:106" s="19" customFormat="1" ht="12">
      <c r="C1044" s="21"/>
      <c r="D1044" s="21"/>
      <c r="E1044" s="21"/>
      <c r="F1044" s="21"/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2"/>
      <c r="BA1044" s="21"/>
      <c r="BB1044" s="21"/>
      <c r="BC1044" s="21"/>
      <c r="BD1044" s="21"/>
      <c r="BE1044" s="21"/>
      <c r="BF1044" s="21"/>
      <c r="BG1044" s="21"/>
      <c r="BH1044" s="21"/>
      <c r="BI1044" s="21"/>
      <c r="BJ1044" s="21"/>
      <c r="BK1044" s="21"/>
      <c r="BL1044" s="21"/>
      <c r="BM1044" s="21"/>
      <c r="BN1044" s="21"/>
      <c r="BO1044" s="21"/>
      <c r="BP1044" s="21"/>
      <c r="BQ1044" s="21"/>
      <c r="BR1044" s="21"/>
      <c r="BS1044" s="21"/>
      <c r="BT1044" s="21"/>
      <c r="BU1044" s="21"/>
      <c r="BV1044" s="21"/>
      <c r="BW1044" s="21"/>
      <c r="BX1044" s="21"/>
      <c r="BY1044" s="21"/>
      <c r="BZ1044" s="21"/>
      <c r="CA1044" s="21"/>
      <c r="CB1044" s="21"/>
      <c r="CC1044" s="21"/>
      <c r="CD1044" s="21"/>
      <c r="CE1044" s="21"/>
      <c r="CF1044" s="21"/>
      <c r="CG1044" s="21"/>
      <c r="CH1044" s="21"/>
      <c r="CI1044" s="21"/>
      <c r="CJ1044" s="21"/>
      <c r="CK1044" s="21"/>
      <c r="CL1044" s="21"/>
      <c r="CM1044" s="21"/>
      <c r="CN1044" s="21"/>
      <c r="CO1044" s="21"/>
      <c r="CP1044" s="21"/>
      <c r="CQ1044" s="21"/>
      <c r="CR1044" s="21"/>
      <c r="CS1044" s="21"/>
      <c r="CT1044" s="21"/>
      <c r="CU1044" s="21"/>
      <c r="CV1044" s="21"/>
      <c r="CW1044" s="21"/>
      <c r="CX1044" s="21"/>
      <c r="CY1044" s="21"/>
      <c r="CZ1044" s="22"/>
      <c r="DA1044" s="21"/>
      <c r="DB1044" s="21"/>
    </row>
    <row r="1045" spans="3:106" s="19" customFormat="1" ht="12">
      <c r="C1045" s="21"/>
      <c r="D1045" s="21"/>
      <c r="E1045" s="2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2"/>
      <c r="BA1045" s="21"/>
      <c r="BB1045" s="21"/>
      <c r="BC1045" s="21"/>
      <c r="BD1045" s="21"/>
      <c r="BE1045" s="21"/>
      <c r="BF1045" s="21"/>
      <c r="BG1045" s="21"/>
      <c r="BH1045" s="21"/>
      <c r="BI1045" s="21"/>
      <c r="BJ1045" s="21"/>
      <c r="BK1045" s="21"/>
      <c r="BL1045" s="21"/>
      <c r="BM1045" s="21"/>
      <c r="BN1045" s="21"/>
      <c r="BO1045" s="21"/>
      <c r="BP1045" s="21"/>
      <c r="BQ1045" s="21"/>
      <c r="BR1045" s="21"/>
      <c r="BS1045" s="21"/>
      <c r="BT1045" s="21"/>
      <c r="BU1045" s="21"/>
      <c r="BV1045" s="21"/>
      <c r="BW1045" s="21"/>
      <c r="BX1045" s="21"/>
      <c r="BY1045" s="21"/>
      <c r="BZ1045" s="21"/>
      <c r="CA1045" s="21"/>
      <c r="CB1045" s="21"/>
      <c r="CC1045" s="21"/>
      <c r="CD1045" s="21"/>
      <c r="CE1045" s="21"/>
      <c r="CF1045" s="21"/>
      <c r="CG1045" s="21"/>
      <c r="CH1045" s="21"/>
      <c r="CI1045" s="21"/>
      <c r="CJ1045" s="21"/>
      <c r="CK1045" s="21"/>
      <c r="CL1045" s="21"/>
      <c r="CM1045" s="21"/>
      <c r="CN1045" s="21"/>
      <c r="CO1045" s="21"/>
      <c r="CP1045" s="21"/>
      <c r="CQ1045" s="21"/>
      <c r="CR1045" s="21"/>
      <c r="CS1045" s="21"/>
      <c r="CT1045" s="21"/>
      <c r="CU1045" s="21"/>
      <c r="CV1045" s="21"/>
      <c r="CW1045" s="21"/>
      <c r="CX1045" s="21"/>
      <c r="CY1045" s="21"/>
      <c r="CZ1045" s="22"/>
      <c r="DA1045" s="21"/>
      <c r="DB1045" s="21"/>
    </row>
    <row r="1046" spans="3:106" s="19" customFormat="1" ht="12">
      <c r="C1046" s="21"/>
      <c r="D1046" s="21"/>
      <c r="E1046" s="21"/>
      <c r="F1046" s="21"/>
      <c r="G1046" s="21"/>
      <c r="H1046" s="21"/>
      <c r="I1046" s="21"/>
      <c r="J1046" s="21"/>
      <c r="K1046" s="21"/>
      <c r="L1046" s="21"/>
      <c r="M1046" s="21"/>
      <c r="N1046" s="21"/>
      <c r="O1046" s="21"/>
      <c r="P1046" s="21"/>
      <c r="Q1046" s="21"/>
      <c r="R1046" s="21"/>
      <c r="S1046" s="21"/>
      <c r="T1046" s="21"/>
      <c r="U1046" s="21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2"/>
      <c r="BA1046" s="21"/>
      <c r="BB1046" s="21"/>
      <c r="BC1046" s="21"/>
      <c r="BD1046" s="21"/>
      <c r="BE1046" s="21"/>
      <c r="BF1046" s="21"/>
      <c r="BG1046" s="21"/>
      <c r="BH1046" s="21"/>
      <c r="BI1046" s="21"/>
      <c r="BJ1046" s="21"/>
      <c r="BK1046" s="21"/>
      <c r="BL1046" s="21"/>
      <c r="BM1046" s="21"/>
      <c r="BN1046" s="21"/>
      <c r="BO1046" s="21"/>
      <c r="BP1046" s="21"/>
      <c r="BQ1046" s="21"/>
      <c r="BR1046" s="21"/>
      <c r="BS1046" s="21"/>
      <c r="BT1046" s="21"/>
      <c r="BU1046" s="21"/>
      <c r="BV1046" s="21"/>
      <c r="BW1046" s="21"/>
      <c r="BX1046" s="21"/>
      <c r="BY1046" s="21"/>
      <c r="BZ1046" s="21"/>
      <c r="CA1046" s="21"/>
      <c r="CB1046" s="21"/>
      <c r="CC1046" s="21"/>
      <c r="CD1046" s="21"/>
      <c r="CE1046" s="21"/>
      <c r="CF1046" s="21"/>
      <c r="CG1046" s="21"/>
      <c r="CH1046" s="21"/>
      <c r="CI1046" s="21"/>
      <c r="CJ1046" s="21"/>
      <c r="CK1046" s="21"/>
      <c r="CL1046" s="21"/>
      <c r="CM1046" s="21"/>
      <c r="CN1046" s="21"/>
      <c r="CO1046" s="21"/>
      <c r="CP1046" s="21"/>
      <c r="CQ1046" s="21"/>
      <c r="CR1046" s="21"/>
      <c r="CS1046" s="21"/>
      <c r="CT1046" s="21"/>
      <c r="CU1046" s="21"/>
      <c r="CV1046" s="21"/>
      <c r="CW1046" s="21"/>
      <c r="CX1046" s="21"/>
      <c r="CY1046" s="21"/>
      <c r="CZ1046" s="22"/>
      <c r="DA1046" s="21"/>
      <c r="DB1046" s="21"/>
    </row>
    <row r="1047" spans="3:106" s="19" customFormat="1" ht="12">
      <c r="C1047" s="21"/>
      <c r="D1047" s="21"/>
      <c r="E1047" s="2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  <c r="Q1047" s="21"/>
      <c r="R1047" s="21"/>
      <c r="S1047" s="21"/>
      <c r="T1047" s="21"/>
      <c r="U1047" s="21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2"/>
      <c r="BA1047" s="21"/>
      <c r="BB1047" s="21"/>
      <c r="BC1047" s="21"/>
      <c r="BD1047" s="21"/>
      <c r="BE1047" s="21"/>
      <c r="BF1047" s="21"/>
      <c r="BG1047" s="21"/>
      <c r="BH1047" s="21"/>
      <c r="BI1047" s="21"/>
      <c r="BJ1047" s="21"/>
      <c r="BK1047" s="21"/>
      <c r="BL1047" s="21"/>
      <c r="BM1047" s="21"/>
      <c r="BN1047" s="21"/>
      <c r="BO1047" s="21"/>
      <c r="BP1047" s="21"/>
      <c r="BQ1047" s="21"/>
      <c r="BR1047" s="21"/>
      <c r="BS1047" s="21"/>
      <c r="BT1047" s="21"/>
      <c r="BU1047" s="21"/>
      <c r="BV1047" s="21"/>
      <c r="BW1047" s="21"/>
      <c r="BX1047" s="21"/>
      <c r="BY1047" s="21"/>
      <c r="BZ1047" s="21"/>
      <c r="CA1047" s="21"/>
      <c r="CB1047" s="21"/>
      <c r="CC1047" s="21"/>
      <c r="CD1047" s="21"/>
      <c r="CE1047" s="21"/>
      <c r="CF1047" s="21"/>
      <c r="CG1047" s="21"/>
      <c r="CH1047" s="21"/>
      <c r="CI1047" s="21"/>
      <c r="CJ1047" s="21"/>
      <c r="CK1047" s="21"/>
      <c r="CL1047" s="21"/>
      <c r="CM1047" s="21"/>
      <c r="CN1047" s="21"/>
      <c r="CO1047" s="21"/>
      <c r="CP1047" s="21"/>
      <c r="CQ1047" s="21"/>
      <c r="CR1047" s="21"/>
      <c r="CS1047" s="21"/>
      <c r="CT1047" s="21"/>
      <c r="CU1047" s="21"/>
      <c r="CV1047" s="21"/>
      <c r="CW1047" s="21"/>
      <c r="CX1047" s="21"/>
      <c r="CY1047" s="21"/>
      <c r="CZ1047" s="22"/>
      <c r="DA1047" s="21"/>
      <c r="DB1047" s="21"/>
    </row>
    <row r="1048" spans="3:106" s="19" customFormat="1" ht="12">
      <c r="C1048" s="21"/>
      <c r="D1048" s="21"/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2"/>
      <c r="BA1048" s="21"/>
      <c r="BB1048" s="21"/>
      <c r="BC1048" s="21"/>
      <c r="BD1048" s="21"/>
      <c r="BE1048" s="21"/>
      <c r="BF1048" s="21"/>
      <c r="BG1048" s="21"/>
      <c r="BH1048" s="21"/>
      <c r="BI1048" s="21"/>
      <c r="BJ1048" s="21"/>
      <c r="BK1048" s="21"/>
      <c r="BL1048" s="21"/>
      <c r="BM1048" s="21"/>
      <c r="BN1048" s="21"/>
      <c r="BO1048" s="21"/>
      <c r="BP1048" s="21"/>
      <c r="BQ1048" s="21"/>
      <c r="BR1048" s="21"/>
      <c r="BS1048" s="21"/>
      <c r="BT1048" s="21"/>
      <c r="BU1048" s="21"/>
      <c r="BV1048" s="21"/>
      <c r="BW1048" s="21"/>
      <c r="BX1048" s="21"/>
      <c r="BY1048" s="21"/>
      <c r="BZ1048" s="21"/>
      <c r="CA1048" s="21"/>
      <c r="CB1048" s="21"/>
      <c r="CC1048" s="21"/>
      <c r="CD1048" s="21"/>
      <c r="CE1048" s="21"/>
      <c r="CF1048" s="21"/>
      <c r="CG1048" s="21"/>
      <c r="CH1048" s="21"/>
      <c r="CI1048" s="21"/>
      <c r="CJ1048" s="21"/>
      <c r="CK1048" s="21"/>
      <c r="CL1048" s="21"/>
      <c r="CM1048" s="21"/>
      <c r="CN1048" s="21"/>
      <c r="CO1048" s="21"/>
      <c r="CP1048" s="21"/>
      <c r="CQ1048" s="21"/>
      <c r="CR1048" s="21"/>
      <c r="CS1048" s="21"/>
      <c r="CT1048" s="21"/>
      <c r="CU1048" s="21"/>
      <c r="CV1048" s="21"/>
      <c r="CW1048" s="21"/>
      <c r="CX1048" s="21"/>
      <c r="CY1048" s="21"/>
      <c r="CZ1048" s="22"/>
      <c r="DA1048" s="21"/>
      <c r="DB1048" s="21"/>
    </row>
    <row r="1049" spans="3:106" s="19" customFormat="1" ht="12">
      <c r="C1049" s="21"/>
      <c r="D1049" s="21"/>
      <c r="E1049" s="2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2"/>
      <c r="BA1049" s="21"/>
      <c r="BB1049" s="21"/>
      <c r="BC1049" s="21"/>
      <c r="BD1049" s="21"/>
      <c r="BE1049" s="21"/>
      <c r="BF1049" s="21"/>
      <c r="BG1049" s="21"/>
      <c r="BH1049" s="21"/>
      <c r="BI1049" s="21"/>
      <c r="BJ1049" s="21"/>
      <c r="BK1049" s="21"/>
      <c r="BL1049" s="21"/>
      <c r="BM1049" s="21"/>
      <c r="BN1049" s="21"/>
      <c r="BO1049" s="21"/>
      <c r="BP1049" s="21"/>
      <c r="BQ1049" s="21"/>
      <c r="BR1049" s="21"/>
      <c r="BS1049" s="21"/>
      <c r="BT1049" s="21"/>
      <c r="BU1049" s="21"/>
      <c r="BV1049" s="21"/>
      <c r="BW1049" s="21"/>
      <c r="BX1049" s="21"/>
      <c r="BY1049" s="21"/>
      <c r="BZ1049" s="21"/>
      <c r="CA1049" s="21"/>
      <c r="CB1049" s="21"/>
      <c r="CC1049" s="21"/>
      <c r="CD1049" s="21"/>
      <c r="CE1049" s="21"/>
      <c r="CF1049" s="21"/>
      <c r="CG1049" s="21"/>
      <c r="CH1049" s="21"/>
      <c r="CI1049" s="21"/>
      <c r="CJ1049" s="21"/>
      <c r="CK1049" s="21"/>
      <c r="CL1049" s="21"/>
      <c r="CM1049" s="21"/>
      <c r="CN1049" s="21"/>
      <c r="CO1049" s="21"/>
      <c r="CP1049" s="21"/>
      <c r="CQ1049" s="21"/>
      <c r="CR1049" s="21"/>
      <c r="CS1049" s="21"/>
      <c r="CT1049" s="21"/>
      <c r="CU1049" s="21"/>
      <c r="CV1049" s="21"/>
      <c r="CW1049" s="21"/>
      <c r="CX1049" s="21"/>
      <c r="CY1049" s="21"/>
      <c r="CZ1049" s="22"/>
      <c r="DA1049" s="21"/>
      <c r="DB1049" s="21"/>
    </row>
    <row r="1050" spans="3:106" s="19" customFormat="1" ht="12">
      <c r="C1050" s="21"/>
      <c r="D1050" s="21"/>
      <c r="E1050" s="21"/>
      <c r="F1050" s="21"/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2"/>
      <c r="BA1050" s="21"/>
      <c r="BB1050" s="21"/>
      <c r="BC1050" s="21"/>
      <c r="BD1050" s="21"/>
      <c r="BE1050" s="21"/>
      <c r="BF1050" s="21"/>
      <c r="BG1050" s="21"/>
      <c r="BH1050" s="21"/>
      <c r="BI1050" s="21"/>
      <c r="BJ1050" s="21"/>
      <c r="BK1050" s="21"/>
      <c r="BL1050" s="21"/>
      <c r="BM1050" s="21"/>
      <c r="BN1050" s="21"/>
      <c r="BO1050" s="21"/>
      <c r="BP1050" s="21"/>
      <c r="BQ1050" s="21"/>
      <c r="BR1050" s="21"/>
      <c r="BS1050" s="21"/>
      <c r="BT1050" s="21"/>
      <c r="BU1050" s="21"/>
      <c r="BV1050" s="21"/>
      <c r="BW1050" s="21"/>
      <c r="BX1050" s="21"/>
      <c r="BY1050" s="21"/>
      <c r="BZ1050" s="21"/>
      <c r="CA1050" s="21"/>
      <c r="CB1050" s="21"/>
      <c r="CC1050" s="21"/>
      <c r="CD1050" s="21"/>
      <c r="CE1050" s="21"/>
      <c r="CF1050" s="21"/>
      <c r="CG1050" s="21"/>
      <c r="CH1050" s="21"/>
      <c r="CI1050" s="21"/>
      <c r="CJ1050" s="21"/>
      <c r="CK1050" s="21"/>
      <c r="CL1050" s="21"/>
      <c r="CM1050" s="21"/>
      <c r="CN1050" s="21"/>
      <c r="CO1050" s="21"/>
      <c r="CP1050" s="21"/>
      <c r="CQ1050" s="21"/>
      <c r="CR1050" s="21"/>
      <c r="CS1050" s="21"/>
      <c r="CT1050" s="21"/>
      <c r="CU1050" s="21"/>
      <c r="CV1050" s="21"/>
      <c r="CW1050" s="21"/>
      <c r="CX1050" s="21"/>
      <c r="CY1050" s="21"/>
      <c r="CZ1050" s="22"/>
      <c r="DA1050" s="21"/>
      <c r="DB1050" s="21"/>
    </row>
    <row r="1051" spans="3:106" s="19" customFormat="1" ht="12">
      <c r="C1051" s="21"/>
      <c r="D1051" s="21"/>
      <c r="E1051" s="2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2"/>
      <c r="BA1051" s="21"/>
      <c r="BB1051" s="21"/>
      <c r="BC1051" s="21"/>
      <c r="BD1051" s="21"/>
      <c r="BE1051" s="21"/>
      <c r="BF1051" s="21"/>
      <c r="BG1051" s="21"/>
      <c r="BH1051" s="21"/>
      <c r="BI1051" s="21"/>
      <c r="BJ1051" s="21"/>
      <c r="BK1051" s="21"/>
      <c r="BL1051" s="21"/>
      <c r="BM1051" s="21"/>
      <c r="BN1051" s="21"/>
      <c r="BO1051" s="21"/>
      <c r="BP1051" s="21"/>
      <c r="BQ1051" s="21"/>
      <c r="BR1051" s="21"/>
      <c r="BS1051" s="21"/>
      <c r="BT1051" s="21"/>
      <c r="BU1051" s="21"/>
      <c r="BV1051" s="21"/>
      <c r="BW1051" s="21"/>
      <c r="BX1051" s="21"/>
      <c r="BY1051" s="21"/>
      <c r="BZ1051" s="21"/>
      <c r="CA1051" s="21"/>
      <c r="CB1051" s="21"/>
      <c r="CC1051" s="21"/>
      <c r="CD1051" s="21"/>
      <c r="CE1051" s="21"/>
      <c r="CF1051" s="21"/>
      <c r="CG1051" s="21"/>
      <c r="CH1051" s="21"/>
      <c r="CI1051" s="21"/>
      <c r="CJ1051" s="21"/>
      <c r="CK1051" s="21"/>
      <c r="CL1051" s="21"/>
      <c r="CM1051" s="21"/>
      <c r="CN1051" s="21"/>
      <c r="CO1051" s="21"/>
      <c r="CP1051" s="21"/>
      <c r="CQ1051" s="21"/>
      <c r="CR1051" s="21"/>
      <c r="CS1051" s="21"/>
      <c r="CT1051" s="21"/>
      <c r="CU1051" s="21"/>
      <c r="CV1051" s="21"/>
      <c r="CW1051" s="21"/>
      <c r="CX1051" s="21"/>
      <c r="CY1051" s="21"/>
      <c r="CZ1051" s="22"/>
      <c r="DA1051" s="21"/>
      <c r="DB1051" s="21"/>
    </row>
    <row r="1052" spans="3:106" s="19" customFormat="1" ht="12">
      <c r="C1052" s="21"/>
      <c r="D1052" s="21"/>
      <c r="E1052" s="21"/>
      <c r="F1052" s="21"/>
      <c r="G1052" s="21"/>
      <c r="H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2"/>
      <c r="BA1052" s="21"/>
      <c r="BB1052" s="21"/>
      <c r="BC1052" s="21"/>
      <c r="BD1052" s="21"/>
      <c r="BE1052" s="21"/>
      <c r="BF1052" s="21"/>
      <c r="BG1052" s="21"/>
      <c r="BH1052" s="21"/>
      <c r="BI1052" s="21"/>
      <c r="BJ1052" s="21"/>
      <c r="BK1052" s="21"/>
      <c r="BL1052" s="21"/>
      <c r="BM1052" s="21"/>
      <c r="BN1052" s="21"/>
      <c r="BO1052" s="21"/>
      <c r="BP1052" s="21"/>
      <c r="BQ1052" s="21"/>
      <c r="BR1052" s="21"/>
      <c r="BS1052" s="21"/>
      <c r="BT1052" s="21"/>
      <c r="BU1052" s="21"/>
      <c r="BV1052" s="21"/>
      <c r="BW1052" s="21"/>
      <c r="BX1052" s="21"/>
      <c r="BY1052" s="21"/>
      <c r="BZ1052" s="21"/>
      <c r="CA1052" s="21"/>
      <c r="CB1052" s="21"/>
      <c r="CC1052" s="21"/>
      <c r="CD1052" s="21"/>
      <c r="CE1052" s="21"/>
      <c r="CF1052" s="21"/>
      <c r="CG1052" s="21"/>
      <c r="CH1052" s="21"/>
      <c r="CI1052" s="21"/>
      <c r="CJ1052" s="21"/>
      <c r="CK1052" s="21"/>
      <c r="CL1052" s="21"/>
      <c r="CM1052" s="21"/>
      <c r="CN1052" s="21"/>
      <c r="CO1052" s="21"/>
      <c r="CP1052" s="21"/>
      <c r="CQ1052" s="21"/>
      <c r="CR1052" s="21"/>
      <c r="CS1052" s="21"/>
      <c r="CT1052" s="21"/>
      <c r="CU1052" s="21"/>
      <c r="CV1052" s="21"/>
      <c r="CW1052" s="21"/>
      <c r="CX1052" s="21"/>
      <c r="CY1052" s="21"/>
      <c r="CZ1052" s="22"/>
      <c r="DA1052" s="21"/>
      <c r="DB1052" s="21"/>
    </row>
    <row r="1053" spans="3:106" s="19" customFormat="1" ht="12">
      <c r="C1053" s="21"/>
      <c r="D1053" s="21"/>
      <c r="E1053" s="2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  <c r="Q1053" s="21"/>
      <c r="R1053" s="21"/>
      <c r="S1053" s="21"/>
      <c r="T1053" s="21"/>
      <c r="U1053" s="21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2"/>
      <c r="BA1053" s="21"/>
      <c r="BB1053" s="21"/>
      <c r="BC1053" s="21"/>
      <c r="BD1053" s="21"/>
      <c r="BE1053" s="21"/>
      <c r="BF1053" s="21"/>
      <c r="BG1053" s="21"/>
      <c r="BH1053" s="21"/>
      <c r="BI1053" s="21"/>
      <c r="BJ1053" s="21"/>
      <c r="BK1053" s="21"/>
      <c r="BL1053" s="21"/>
      <c r="BM1053" s="21"/>
      <c r="BN1053" s="21"/>
      <c r="BO1053" s="21"/>
      <c r="BP1053" s="21"/>
      <c r="BQ1053" s="21"/>
      <c r="BR1053" s="21"/>
      <c r="BS1053" s="21"/>
      <c r="BT1053" s="21"/>
      <c r="BU1053" s="21"/>
      <c r="BV1053" s="21"/>
      <c r="BW1053" s="21"/>
      <c r="BX1053" s="21"/>
      <c r="BY1053" s="21"/>
      <c r="BZ1053" s="21"/>
      <c r="CA1053" s="21"/>
      <c r="CB1053" s="21"/>
      <c r="CC1053" s="21"/>
      <c r="CD1053" s="21"/>
      <c r="CE1053" s="21"/>
      <c r="CF1053" s="21"/>
      <c r="CG1053" s="21"/>
      <c r="CH1053" s="21"/>
      <c r="CI1053" s="21"/>
      <c r="CJ1053" s="21"/>
      <c r="CK1053" s="21"/>
      <c r="CL1053" s="21"/>
      <c r="CM1053" s="21"/>
      <c r="CN1053" s="21"/>
      <c r="CO1053" s="21"/>
      <c r="CP1053" s="21"/>
      <c r="CQ1053" s="21"/>
      <c r="CR1053" s="21"/>
      <c r="CS1053" s="21"/>
      <c r="CT1053" s="21"/>
      <c r="CU1053" s="21"/>
      <c r="CV1053" s="21"/>
      <c r="CW1053" s="21"/>
      <c r="CX1053" s="21"/>
      <c r="CY1053" s="21"/>
      <c r="CZ1053" s="22"/>
      <c r="DA1053" s="21"/>
      <c r="DB1053" s="21"/>
    </row>
    <row r="1054" spans="3:106" s="19" customFormat="1" ht="12">
      <c r="C1054" s="21"/>
      <c r="D1054" s="21"/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2"/>
      <c r="BA1054" s="21"/>
      <c r="BB1054" s="21"/>
      <c r="BC1054" s="21"/>
      <c r="BD1054" s="21"/>
      <c r="BE1054" s="21"/>
      <c r="BF1054" s="21"/>
      <c r="BG1054" s="21"/>
      <c r="BH1054" s="21"/>
      <c r="BI1054" s="21"/>
      <c r="BJ1054" s="21"/>
      <c r="BK1054" s="21"/>
      <c r="BL1054" s="21"/>
      <c r="BM1054" s="21"/>
      <c r="BN1054" s="21"/>
      <c r="BO1054" s="21"/>
      <c r="BP1054" s="21"/>
      <c r="BQ1054" s="21"/>
      <c r="BR1054" s="21"/>
      <c r="BS1054" s="21"/>
      <c r="BT1054" s="21"/>
      <c r="BU1054" s="21"/>
      <c r="BV1054" s="21"/>
      <c r="BW1054" s="21"/>
      <c r="BX1054" s="21"/>
      <c r="BY1054" s="21"/>
      <c r="BZ1054" s="21"/>
      <c r="CA1054" s="21"/>
      <c r="CB1054" s="21"/>
      <c r="CC1054" s="21"/>
      <c r="CD1054" s="21"/>
      <c r="CE1054" s="21"/>
      <c r="CF1054" s="21"/>
      <c r="CG1054" s="21"/>
      <c r="CH1054" s="21"/>
      <c r="CI1054" s="21"/>
      <c r="CJ1054" s="21"/>
      <c r="CK1054" s="21"/>
      <c r="CL1054" s="21"/>
      <c r="CM1054" s="21"/>
      <c r="CN1054" s="21"/>
      <c r="CO1054" s="21"/>
      <c r="CP1054" s="21"/>
      <c r="CQ1054" s="21"/>
      <c r="CR1054" s="21"/>
      <c r="CS1054" s="21"/>
      <c r="CT1054" s="21"/>
      <c r="CU1054" s="21"/>
      <c r="CV1054" s="21"/>
      <c r="CW1054" s="21"/>
      <c r="CX1054" s="21"/>
      <c r="CY1054" s="21"/>
      <c r="CZ1054" s="22"/>
      <c r="DA1054" s="21"/>
      <c r="DB1054" s="21"/>
    </row>
    <row r="1055" spans="3:106" s="19" customFormat="1" ht="12">
      <c r="C1055" s="21"/>
      <c r="D1055" s="21"/>
      <c r="E1055" s="2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2"/>
      <c r="BA1055" s="21"/>
      <c r="BB1055" s="21"/>
      <c r="BC1055" s="21"/>
      <c r="BD1055" s="21"/>
      <c r="BE1055" s="21"/>
      <c r="BF1055" s="21"/>
      <c r="BG1055" s="21"/>
      <c r="BH1055" s="21"/>
      <c r="BI1055" s="21"/>
      <c r="BJ1055" s="21"/>
      <c r="BK1055" s="21"/>
      <c r="BL1055" s="21"/>
      <c r="BM1055" s="21"/>
      <c r="BN1055" s="21"/>
      <c r="BO1055" s="21"/>
      <c r="BP1055" s="21"/>
      <c r="BQ1055" s="21"/>
      <c r="BR1055" s="21"/>
      <c r="BS1055" s="21"/>
      <c r="BT1055" s="21"/>
      <c r="BU1055" s="21"/>
      <c r="BV1055" s="21"/>
      <c r="BW1055" s="21"/>
      <c r="BX1055" s="21"/>
      <c r="BY1055" s="21"/>
      <c r="BZ1055" s="21"/>
      <c r="CA1055" s="21"/>
      <c r="CB1055" s="21"/>
      <c r="CC1055" s="21"/>
      <c r="CD1055" s="21"/>
      <c r="CE1055" s="21"/>
      <c r="CF1055" s="21"/>
      <c r="CG1055" s="21"/>
      <c r="CH1055" s="21"/>
      <c r="CI1055" s="21"/>
      <c r="CJ1055" s="21"/>
      <c r="CK1055" s="21"/>
      <c r="CL1055" s="21"/>
      <c r="CM1055" s="21"/>
      <c r="CN1055" s="21"/>
      <c r="CO1055" s="21"/>
      <c r="CP1055" s="21"/>
      <c r="CQ1055" s="21"/>
      <c r="CR1055" s="21"/>
      <c r="CS1055" s="21"/>
      <c r="CT1055" s="21"/>
      <c r="CU1055" s="21"/>
      <c r="CV1055" s="21"/>
      <c r="CW1055" s="21"/>
      <c r="CX1055" s="21"/>
      <c r="CY1055" s="21"/>
      <c r="CZ1055" s="22"/>
      <c r="DA1055" s="21"/>
      <c r="DB1055" s="21"/>
    </row>
    <row r="1056" spans="3:106" s="19" customFormat="1" ht="12">
      <c r="C1056" s="21"/>
      <c r="D1056" s="21"/>
      <c r="E1056" s="21"/>
      <c r="F1056" s="21"/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2"/>
      <c r="BA1056" s="21"/>
      <c r="BB1056" s="21"/>
      <c r="BC1056" s="21"/>
      <c r="BD1056" s="21"/>
      <c r="BE1056" s="21"/>
      <c r="BF1056" s="21"/>
      <c r="BG1056" s="21"/>
      <c r="BH1056" s="21"/>
      <c r="BI1056" s="21"/>
      <c r="BJ1056" s="21"/>
      <c r="BK1056" s="21"/>
      <c r="BL1056" s="21"/>
      <c r="BM1056" s="21"/>
      <c r="BN1056" s="21"/>
      <c r="BO1056" s="21"/>
      <c r="BP1056" s="21"/>
      <c r="BQ1056" s="21"/>
      <c r="BR1056" s="21"/>
      <c r="BS1056" s="21"/>
      <c r="BT1056" s="21"/>
      <c r="BU1056" s="21"/>
      <c r="BV1056" s="21"/>
      <c r="BW1056" s="21"/>
      <c r="BX1056" s="21"/>
      <c r="BY1056" s="21"/>
      <c r="BZ1056" s="21"/>
      <c r="CA1056" s="21"/>
      <c r="CB1056" s="21"/>
      <c r="CC1056" s="21"/>
      <c r="CD1056" s="21"/>
      <c r="CE1056" s="21"/>
      <c r="CF1056" s="21"/>
      <c r="CG1056" s="21"/>
      <c r="CH1056" s="21"/>
      <c r="CI1056" s="21"/>
      <c r="CJ1056" s="21"/>
      <c r="CK1056" s="21"/>
      <c r="CL1056" s="21"/>
      <c r="CM1056" s="21"/>
      <c r="CN1056" s="21"/>
      <c r="CO1056" s="21"/>
      <c r="CP1056" s="21"/>
      <c r="CQ1056" s="21"/>
      <c r="CR1056" s="21"/>
      <c r="CS1056" s="21"/>
      <c r="CT1056" s="21"/>
      <c r="CU1056" s="21"/>
      <c r="CV1056" s="21"/>
      <c r="CW1056" s="21"/>
      <c r="CX1056" s="21"/>
      <c r="CY1056" s="21"/>
      <c r="CZ1056" s="22"/>
      <c r="DA1056" s="21"/>
      <c r="DB1056" s="21"/>
    </row>
    <row r="1057" spans="3:106" s="19" customFormat="1" ht="12">
      <c r="C1057" s="21"/>
      <c r="D1057" s="21"/>
      <c r="E1057" s="2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2"/>
      <c r="BA1057" s="21"/>
      <c r="BB1057" s="21"/>
      <c r="BC1057" s="21"/>
      <c r="BD1057" s="21"/>
      <c r="BE1057" s="21"/>
      <c r="BF1057" s="21"/>
      <c r="BG1057" s="21"/>
      <c r="BH1057" s="21"/>
      <c r="BI1057" s="21"/>
      <c r="BJ1057" s="21"/>
      <c r="BK1057" s="21"/>
      <c r="BL1057" s="21"/>
      <c r="BM1057" s="21"/>
      <c r="BN1057" s="21"/>
      <c r="BO1057" s="21"/>
      <c r="BP1057" s="21"/>
      <c r="BQ1057" s="21"/>
      <c r="BR1057" s="21"/>
      <c r="BS1057" s="21"/>
      <c r="BT1057" s="21"/>
      <c r="BU1057" s="21"/>
      <c r="BV1057" s="21"/>
      <c r="BW1057" s="21"/>
      <c r="BX1057" s="21"/>
      <c r="BY1057" s="21"/>
      <c r="BZ1057" s="21"/>
      <c r="CA1057" s="21"/>
      <c r="CB1057" s="21"/>
      <c r="CC1057" s="21"/>
      <c r="CD1057" s="21"/>
      <c r="CE1057" s="21"/>
      <c r="CF1057" s="21"/>
      <c r="CG1057" s="21"/>
      <c r="CH1057" s="21"/>
      <c r="CI1057" s="21"/>
      <c r="CJ1057" s="21"/>
      <c r="CK1057" s="21"/>
      <c r="CL1057" s="21"/>
      <c r="CM1057" s="21"/>
      <c r="CN1057" s="21"/>
      <c r="CO1057" s="21"/>
      <c r="CP1057" s="21"/>
      <c r="CQ1057" s="21"/>
      <c r="CR1057" s="21"/>
      <c r="CS1057" s="21"/>
      <c r="CT1057" s="21"/>
      <c r="CU1057" s="21"/>
      <c r="CV1057" s="21"/>
      <c r="CW1057" s="21"/>
      <c r="CX1057" s="21"/>
      <c r="CY1057" s="21"/>
      <c r="CZ1057" s="22"/>
      <c r="DA1057" s="21"/>
      <c r="DB1057" s="21"/>
    </row>
    <row r="1058" spans="3:106" s="19" customFormat="1" ht="12">
      <c r="C1058" s="21"/>
      <c r="D1058" s="21"/>
      <c r="E1058" s="2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2"/>
      <c r="BA1058" s="21"/>
      <c r="BB1058" s="21"/>
      <c r="BC1058" s="21"/>
      <c r="BD1058" s="21"/>
      <c r="BE1058" s="21"/>
      <c r="BF1058" s="21"/>
      <c r="BG1058" s="21"/>
      <c r="BH1058" s="21"/>
      <c r="BI1058" s="21"/>
      <c r="BJ1058" s="21"/>
      <c r="BK1058" s="21"/>
      <c r="BL1058" s="21"/>
      <c r="BM1058" s="21"/>
      <c r="BN1058" s="21"/>
      <c r="BO1058" s="21"/>
      <c r="BP1058" s="21"/>
      <c r="BQ1058" s="21"/>
      <c r="BR1058" s="21"/>
      <c r="BS1058" s="21"/>
      <c r="BT1058" s="21"/>
      <c r="BU1058" s="21"/>
      <c r="BV1058" s="21"/>
      <c r="BW1058" s="21"/>
      <c r="BX1058" s="21"/>
      <c r="BY1058" s="21"/>
      <c r="BZ1058" s="21"/>
      <c r="CA1058" s="21"/>
      <c r="CB1058" s="21"/>
      <c r="CC1058" s="21"/>
      <c r="CD1058" s="21"/>
      <c r="CE1058" s="21"/>
      <c r="CF1058" s="21"/>
      <c r="CG1058" s="21"/>
      <c r="CH1058" s="21"/>
      <c r="CI1058" s="21"/>
      <c r="CJ1058" s="21"/>
      <c r="CK1058" s="21"/>
      <c r="CL1058" s="21"/>
      <c r="CM1058" s="21"/>
      <c r="CN1058" s="21"/>
      <c r="CO1058" s="21"/>
      <c r="CP1058" s="21"/>
      <c r="CQ1058" s="21"/>
      <c r="CR1058" s="21"/>
      <c r="CS1058" s="21"/>
      <c r="CT1058" s="21"/>
      <c r="CU1058" s="21"/>
      <c r="CV1058" s="21"/>
      <c r="CW1058" s="21"/>
      <c r="CX1058" s="21"/>
      <c r="CY1058" s="21"/>
      <c r="CZ1058" s="22"/>
      <c r="DA1058" s="21"/>
      <c r="DB1058" s="21"/>
    </row>
    <row r="1059" spans="3:106" s="19" customFormat="1" ht="12">
      <c r="C1059" s="21"/>
      <c r="D1059" s="21"/>
      <c r="E1059" s="2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2"/>
      <c r="BA1059" s="21"/>
      <c r="BB1059" s="21"/>
      <c r="BC1059" s="21"/>
      <c r="BD1059" s="21"/>
      <c r="BE1059" s="21"/>
      <c r="BF1059" s="21"/>
      <c r="BG1059" s="21"/>
      <c r="BH1059" s="21"/>
      <c r="BI1059" s="21"/>
      <c r="BJ1059" s="21"/>
      <c r="BK1059" s="21"/>
      <c r="BL1059" s="21"/>
      <c r="BM1059" s="21"/>
      <c r="BN1059" s="21"/>
      <c r="BO1059" s="21"/>
      <c r="BP1059" s="21"/>
      <c r="BQ1059" s="21"/>
      <c r="BR1059" s="21"/>
      <c r="BS1059" s="21"/>
      <c r="BT1059" s="21"/>
      <c r="BU1059" s="21"/>
      <c r="BV1059" s="21"/>
      <c r="BW1059" s="21"/>
      <c r="BX1059" s="21"/>
      <c r="BY1059" s="21"/>
      <c r="BZ1059" s="21"/>
      <c r="CA1059" s="21"/>
      <c r="CB1059" s="21"/>
      <c r="CC1059" s="21"/>
      <c r="CD1059" s="21"/>
      <c r="CE1059" s="21"/>
      <c r="CF1059" s="21"/>
      <c r="CG1059" s="21"/>
      <c r="CH1059" s="21"/>
      <c r="CI1059" s="21"/>
      <c r="CJ1059" s="21"/>
      <c r="CK1059" s="21"/>
      <c r="CL1059" s="21"/>
      <c r="CM1059" s="21"/>
      <c r="CN1059" s="21"/>
      <c r="CO1059" s="21"/>
      <c r="CP1059" s="21"/>
      <c r="CQ1059" s="21"/>
      <c r="CR1059" s="21"/>
      <c r="CS1059" s="21"/>
      <c r="CT1059" s="21"/>
      <c r="CU1059" s="21"/>
      <c r="CV1059" s="21"/>
      <c r="CW1059" s="21"/>
      <c r="CX1059" s="21"/>
      <c r="CY1059" s="21"/>
      <c r="CZ1059" s="22"/>
      <c r="DA1059" s="21"/>
      <c r="DB1059" s="21"/>
    </row>
    <row r="1060" spans="3:106" s="19" customFormat="1" ht="12">
      <c r="C1060" s="21"/>
      <c r="D1060" s="21"/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2"/>
      <c r="BA1060" s="21"/>
      <c r="BB1060" s="21"/>
      <c r="BC1060" s="21"/>
      <c r="BD1060" s="21"/>
      <c r="BE1060" s="21"/>
      <c r="BF1060" s="21"/>
      <c r="BG1060" s="21"/>
      <c r="BH1060" s="21"/>
      <c r="BI1060" s="21"/>
      <c r="BJ1060" s="21"/>
      <c r="BK1060" s="21"/>
      <c r="BL1060" s="21"/>
      <c r="BM1060" s="21"/>
      <c r="BN1060" s="21"/>
      <c r="BO1060" s="21"/>
      <c r="BP1060" s="21"/>
      <c r="BQ1060" s="21"/>
      <c r="BR1060" s="21"/>
      <c r="BS1060" s="21"/>
      <c r="BT1060" s="21"/>
      <c r="BU1060" s="21"/>
      <c r="BV1060" s="21"/>
      <c r="BW1060" s="21"/>
      <c r="BX1060" s="21"/>
      <c r="BY1060" s="21"/>
      <c r="BZ1060" s="21"/>
      <c r="CA1060" s="21"/>
      <c r="CB1060" s="21"/>
      <c r="CC1060" s="21"/>
      <c r="CD1060" s="21"/>
      <c r="CE1060" s="21"/>
      <c r="CF1060" s="21"/>
      <c r="CG1060" s="21"/>
      <c r="CH1060" s="21"/>
      <c r="CI1060" s="21"/>
      <c r="CJ1060" s="21"/>
      <c r="CK1060" s="21"/>
      <c r="CL1060" s="21"/>
      <c r="CM1060" s="21"/>
      <c r="CN1060" s="21"/>
      <c r="CO1060" s="21"/>
      <c r="CP1060" s="21"/>
      <c r="CQ1060" s="21"/>
      <c r="CR1060" s="21"/>
      <c r="CS1060" s="21"/>
      <c r="CT1060" s="21"/>
      <c r="CU1060" s="21"/>
      <c r="CV1060" s="21"/>
      <c r="CW1060" s="21"/>
      <c r="CX1060" s="21"/>
      <c r="CY1060" s="21"/>
      <c r="CZ1060" s="22"/>
      <c r="DA1060" s="21"/>
      <c r="DB1060" s="21"/>
    </row>
    <row r="1061" spans="3:106" s="19" customFormat="1" ht="12">
      <c r="C1061" s="21"/>
      <c r="D1061" s="21"/>
      <c r="E1061" s="2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2"/>
      <c r="BA1061" s="21"/>
      <c r="BB1061" s="21"/>
      <c r="BC1061" s="21"/>
      <c r="BD1061" s="21"/>
      <c r="BE1061" s="21"/>
      <c r="BF1061" s="21"/>
      <c r="BG1061" s="21"/>
      <c r="BH1061" s="21"/>
      <c r="BI1061" s="21"/>
      <c r="BJ1061" s="21"/>
      <c r="BK1061" s="21"/>
      <c r="BL1061" s="21"/>
      <c r="BM1061" s="21"/>
      <c r="BN1061" s="21"/>
      <c r="BO1061" s="21"/>
      <c r="BP1061" s="21"/>
      <c r="BQ1061" s="21"/>
      <c r="BR1061" s="21"/>
      <c r="BS1061" s="21"/>
      <c r="BT1061" s="21"/>
      <c r="BU1061" s="21"/>
      <c r="BV1061" s="21"/>
      <c r="BW1061" s="21"/>
      <c r="BX1061" s="21"/>
      <c r="BY1061" s="21"/>
      <c r="BZ1061" s="21"/>
      <c r="CA1061" s="21"/>
      <c r="CB1061" s="21"/>
      <c r="CC1061" s="21"/>
      <c r="CD1061" s="21"/>
      <c r="CE1061" s="21"/>
      <c r="CF1061" s="21"/>
      <c r="CG1061" s="21"/>
      <c r="CH1061" s="21"/>
      <c r="CI1061" s="21"/>
      <c r="CJ1061" s="21"/>
      <c r="CK1061" s="21"/>
      <c r="CL1061" s="21"/>
      <c r="CM1061" s="21"/>
      <c r="CN1061" s="21"/>
      <c r="CO1061" s="21"/>
      <c r="CP1061" s="21"/>
      <c r="CQ1061" s="21"/>
      <c r="CR1061" s="21"/>
      <c r="CS1061" s="21"/>
      <c r="CT1061" s="21"/>
      <c r="CU1061" s="21"/>
      <c r="CV1061" s="21"/>
      <c r="CW1061" s="21"/>
      <c r="CX1061" s="21"/>
      <c r="CY1061" s="21"/>
      <c r="CZ1061" s="22"/>
      <c r="DA1061" s="21"/>
      <c r="DB1061" s="21"/>
    </row>
    <row r="1062" spans="3:106" s="19" customFormat="1" ht="12">
      <c r="C1062" s="21"/>
      <c r="D1062" s="21"/>
      <c r="E1062" s="21"/>
      <c r="F1062" s="21"/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2"/>
      <c r="BA1062" s="21"/>
      <c r="BB1062" s="21"/>
      <c r="BC1062" s="21"/>
      <c r="BD1062" s="21"/>
      <c r="BE1062" s="21"/>
      <c r="BF1062" s="21"/>
      <c r="BG1062" s="21"/>
      <c r="BH1062" s="21"/>
      <c r="BI1062" s="21"/>
      <c r="BJ1062" s="21"/>
      <c r="BK1062" s="21"/>
      <c r="BL1062" s="21"/>
      <c r="BM1062" s="21"/>
      <c r="BN1062" s="21"/>
      <c r="BO1062" s="21"/>
      <c r="BP1062" s="21"/>
      <c r="BQ1062" s="21"/>
      <c r="BR1062" s="21"/>
      <c r="BS1062" s="21"/>
      <c r="BT1062" s="21"/>
      <c r="BU1062" s="21"/>
      <c r="BV1062" s="21"/>
      <c r="BW1062" s="21"/>
      <c r="BX1062" s="21"/>
      <c r="BY1062" s="21"/>
      <c r="BZ1062" s="21"/>
      <c r="CA1062" s="21"/>
      <c r="CB1062" s="21"/>
      <c r="CC1062" s="21"/>
      <c r="CD1062" s="21"/>
      <c r="CE1062" s="21"/>
      <c r="CF1062" s="21"/>
      <c r="CG1062" s="21"/>
      <c r="CH1062" s="21"/>
      <c r="CI1062" s="21"/>
      <c r="CJ1062" s="21"/>
      <c r="CK1062" s="21"/>
      <c r="CL1062" s="21"/>
      <c r="CM1062" s="21"/>
      <c r="CN1062" s="21"/>
      <c r="CO1062" s="21"/>
      <c r="CP1062" s="21"/>
      <c r="CQ1062" s="21"/>
      <c r="CR1062" s="21"/>
      <c r="CS1062" s="21"/>
      <c r="CT1062" s="21"/>
      <c r="CU1062" s="21"/>
      <c r="CV1062" s="21"/>
      <c r="CW1062" s="21"/>
      <c r="CX1062" s="21"/>
      <c r="CY1062" s="21"/>
      <c r="CZ1062" s="22"/>
      <c r="DA1062" s="21"/>
      <c r="DB1062" s="21"/>
    </row>
    <row r="1063" spans="3:106" s="19" customFormat="1" ht="12">
      <c r="C1063" s="21"/>
      <c r="D1063" s="21"/>
      <c r="E1063" s="2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2"/>
      <c r="BA1063" s="21"/>
      <c r="BB1063" s="21"/>
      <c r="BC1063" s="21"/>
      <c r="BD1063" s="21"/>
      <c r="BE1063" s="21"/>
      <c r="BF1063" s="21"/>
      <c r="BG1063" s="21"/>
      <c r="BH1063" s="21"/>
      <c r="BI1063" s="21"/>
      <c r="BJ1063" s="21"/>
      <c r="BK1063" s="21"/>
      <c r="BL1063" s="21"/>
      <c r="BM1063" s="21"/>
      <c r="BN1063" s="21"/>
      <c r="BO1063" s="21"/>
      <c r="BP1063" s="21"/>
      <c r="BQ1063" s="21"/>
      <c r="BR1063" s="21"/>
      <c r="BS1063" s="21"/>
      <c r="BT1063" s="21"/>
      <c r="BU1063" s="21"/>
      <c r="BV1063" s="21"/>
      <c r="BW1063" s="21"/>
      <c r="BX1063" s="21"/>
      <c r="BY1063" s="21"/>
      <c r="BZ1063" s="21"/>
      <c r="CA1063" s="21"/>
      <c r="CB1063" s="21"/>
      <c r="CC1063" s="21"/>
      <c r="CD1063" s="21"/>
      <c r="CE1063" s="21"/>
      <c r="CF1063" s="21"/>
      <c r="CG1063" s="21"/>
      <c r="CH1063" s="21"/>
      <c r="CI1063" s="21"/>
      <c r="CJ1063" s="21"/>
      <c r="CK1063" s="21"/>
      <c r="CL1063" s="21"/>
      <c r="CM1063" s="21"/>
      <c r="CN1063" s="21"/>
      <c r="CO1063" s="21"/>
      <c r="CP1063" s="21"/>
      <c r="CQ1063" s="21"/>
      <c r="CR1063" s="21"/>
      <c r="CS1063" s="21"/>
      <c r="CT1063" s="21"/>
      <c r="CU1063" s="21"/>
      <c r="CV1063" s="21"/>
      <c r="CW1063" s="21"/>
      <c r="CX1063" s="21"/>
      <c r="CY1063" s="21"/>
      <c r="CZ1063" s="22"/>
      <c r="DA1063" s="21"/>
      <c r="DB1063" s="21"/>
    </row>
    <row r="1064" spans="3:106" s="19" customFormat="1" ht="12">
      <c r="C1064" s="21"/>
      <c r="D1064" s="21"/>
      <c r="E1064" s="21"/>
      <c r="F1064" s="21"/>
      <c r="G1064" s="21"/>
      <c r="H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2"/>
      <c r="BA1064" s="21"/>
      <c r="BB1064" s="21"/>
      <c r="BC1064" s="21"/>
      <c r="BD1064" s="21"/>
      <c r="BE1064" s="21"/>
      <c r="BF1064" s="21"/>
      <c r="BG1064" s="21"/>
      <c r="BH1064" s="21"/>
      <c r="BI1064" s="21"/>
      <c r="BJ1064" s="21"/>
      <c r="BK1064" s="21"/>
      <c r="BL1064" s="21"/>
      <c r="BM1064" s="21"/>
      <c r="BN1064" s="21"/>
      <c r="BO1064" s="21"/>
      <c r="BP1064" s="21"/>
      <c r="BQ1064" s="21"/>
      <c r="BR1064" s="21"/>
      <c r="BS1064" s="21"/>
      <c r="BT1064" s="21"/>
      <c r="BU1064" s="21"/>
      <c r="BV1064" s="21"/>
      <c r="BW1064" s="21"/>
      <c r="BX1064" s="21"/>
      <c r="BY1064" s="21"/>
      <c r="BZ1064" s="21"/>
      <c r="CA1064" s="21"/>
      <c r="CB1064" s="21"/>
      <c r="CC1064" s="21"/>
      <c r="CD1064" s="21"/>
      <c r="CE1064" s="21"/>
      <c r="CF1064" s="21"/>
      <c r="CG1064" s="21"/>
      <c r="CH1064" s="21"/>
      <c r="CI1064" s="21"/>
      <c r="CJ1064" s="21"/>
      <c r="CK1064" s="21"/>
      <c r="CL1064" s="21"/>
      <c r="CM1064" s="21"/>
      <c r="CN1064" s="21"/>
      <c r="CO1064" s="21"/>
      <c r="CP1064" s="21"/>
      <c r="CQ1064" s="21"/>
      <c r="CR1064" s="21"/>
      <c r="CS1064" s="21"/>
      <c r="CT1064" s="21"/>
      <c r="CU1064" s="21"/>
      <c r="CV1064" s="21"/>
      <c r="CW1064" s="21"/>
      <c r="CX1064" s="21"/>
      <c r="CY1064" s="21"/>
      <c r="CZ1064" s="22"/>
      <c r="DA1064" s="21"/>
      <c r="DB1064" s="21"/>
    </row>
    <row r="1065" spans="3:106" s="19" customFormat="1" ht="12">
      <c r="C1065" s="21"/>
      <c r="D1065" s="21"/>
      <c r="E1065" s="2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2"/>
      <c r="BA1065" s="21"/>
      <c r="BB1065" s="21"/>
      <c r="BC1065" s="21"/>
      <c r="BD1065" s="21"/>
      <c r="BE1065" s="21"/>
      <c r="BF1065" s="21"/>
      <c r="BG1065" s="21"/>
      <c r="BH1065" s="21"/>
      <c r="BI1065" s="21"/>
      <c r="BJ1065" s="21"/>
      <c r="BK1065" s="21"/>
      <c r="BL1065" s="21"/>
      <c r="BM1065" s="21"/>
      <c r="BN1065" s="21"/>
      <c r="BO1065" s="21"/>
      <c r="BP1065" s="21"/>
      <c r="BQ1065" s="21"/>
      <c r="BR1065" s="21"/>
      <c r="BS1065" s="21"/>
      <c r="BT1065" s="21"/>
      <c r="BU1065" s="21"/>
      <c r="BV1065" s="21"/>
      <c r="BW1065" s="21"/>
      <c r="BX1065" s="21"/>
      <c r="BY1065" s="21"/>
      <c r="BZ1065" s="21"/>
      <c r="CA1065" s="21"/>
      <c r="CB1065" s="21"/>
      <c r="CC1065" s="21"/>
      <c r="CD1065" s="21"/>
      <c r="CE1065" s="21"/>
      <c r="CF1065" s="21"/>
      <c r="CG1065" s="21"/>
      <c r="CH1065" s="21"/>
      <c r="CI1065" s="21"/>
      <c r="CJ1065" s="21"/>
      <c r="CK1065" s="21"/>
      <c r="CL1065" s="21"/>
      <c r="CM1065" s="21"/>
      <c r="CN1065" s="21"/>
      <c r="CO1065" s="21"/>
      <c r="CP1065" s="21"/>
      <c r="CQ1065" s="21"/>
      <c r="CR1065" s="21"/>
      <c r="CS1065" s="21"/>
      <c r="CT1065" s="21"/>
      <c r="CU1065" s="21"/>
      <c r="CV1065" s="21"/>
      <c r="CW1065" s="21"/>
      <c r="CX1065" s="21"/>
      <c r="CY1065" s="21"/>
      <c r="CZ1065" s="22"/>
      <c r="DA1065" s="21"/>
      <c r="DB1065" s="21"/>
    </row>
    <row r="1066" spans="3:106" s="19" customFormat="1" ht="12">
      <c r="C1066" s="21"/>
      <c r="D1066" s="21"/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2"/>
      <c r="BA1066" s="21"/>
      <c r="BB1066" s="21"/>
      <c r="BC1066" s="21"/>
      <c r="BD1066" s="21"/>
      <c r="BE1066" s="21"/>
      <c r="BF1066" s="21"/>
      <c r="BG1066" s="21"/>
      <c r="BH1066" s="21"/>
      <c r="BI1066" s="21"/>
      <c r="BJ1066" s="21"/>
      <c r="BK1066" s="21"/>
      <c r="BL1066" s="21"/>
      <c r="BM1066" s="21"/>
      <c r="BN1066" s="21"/>
      <c r="BO1066" s="21"/>
      <c r="BP1066" s="21"/>
      <c r="BQ1066" s="21"/>
      <c r="BR1066" s="21"/>
      <c r="BS1066" s="21"/>
      <c r="BT1066" s="21"/>
      <c r="BU1066" s="21"/>
      <c r="BV1066" s="21"/>
      <c r="BW1066" s="21"/>
      <c r="BX1066" s="21"/>
      <c r="BY1066" s="21"/>
      <c r="BZ1066" s="21"/>
      <c r="CA1066" s="21"/>
      <c r="CB1066" s="21"/>
      <c r="CC1066" s="21"/>
      <c r="CD1066" s="21"/>
      <c r="CE1066" s="21"/>
      <c r="CF1066" s="21"/>
      <c r="CG1066" s="21"/>
      <c r="CH1066" s="21"/>
      <c r="CI1066" s="21"/>
      <c r="CJ1066" s="21"/>
      <c r="CK1066" s="21"/>
      <c r="CL1066" s="21"/>
      <c r="CM1066" s="21"/>
      <c r="CN1066" s="21"/>
      <c r="CO1066" s="21"/>
      <c r="CP1066" s="21"/>
      <c r="CQ1066" s="21"/>
      <c r="CR1066" s="21"/>
      <c r="CS1066" s="21"/>
      <c r="CT1066" s="21"/>
      <c r="CU1066" s="21"/>
      <c r="CV1066" s="21"/>
      <c r="CW1066" s="21"/>
      <c r="CX1066" s="21"/>
      <c r="CY1066" s="21"/>
      <c r="CZ1066" s="22"/>
      <c r="DA1066" s="21"/>
      <c r="DB1066" s="21"/>
    </row>
    <row r="1067" spans="3:106" s="19" customFormat="1" ht="12">
      <c r="C1067" s="21"/>
      <c r="D1067" s="21"/>
      <c r="E1067" s="2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2"/>
      <c r="BA1067" s="21"/>
      <c r="BB1067" s="21"/>
      <c r="BC1067" s="21"/>
      <c r="BD1067" s="21"/>
      <c r="BE1067" s="21"/>
      <c r="BF1067" s="21"/>
      <c r="BG1067" s="21"/>
      <c r="BH1067" s="21"/>
      <c r="BI1067" s="21"/>
      <c r="BJ1067" s="21"/>
      <c r="BK1067" s="21"/>
      <c r="BL1067" s="21"/>
      <c r="BM1067" s="21"/>
      <c r="BN1067" s="21"/>
      <c r="BO1067" s="21"/>
      <c r="BP1067" s="21"/>
      <c r="BQ1067" s="21"/>
      <c r="BR1067" s="21"/>
      <c r="BS1067" s="21"/>
      <c r="BT1067" s="21"/>
      <c r="BU1067" s="21"/>
      <c r="BV1067" s="21"/>
      <c r="BW1067" s="21"/>
      <c r="BX1067" s="21"/>
      <c r="BY1067" s="21"/>
      <c r="BZ1067" s="21"/>
      <c r="CA1067" s="21"/>
      <c r="CB1067" s="21"/>
      <c r="CC1067" s="21"/>
      <c r="CD1067" s="21"/>
      <c r="CE1067" s="21"/>
      <c r="CF1067" s="21"/>
      <c r="CG1067" s="21"/>
      <c r="CH1067" s="21"/>
      <c r="CI1067" s="21"/>
      <c r="CJ1067" s="21"/>
      <c r="CK1067" s="21"/>
      <c r="CL1067" s="21"/>
      <c r="CM1067" s="21"/>
      <c r="CN1067" s="21"/>
      <c r="CO1067" s="21"/>
      <c r="CP1067" s="21"/>
      <c r="CQ1067" s="21"/>
      <c r="CR1067" s="21"/>
      <c r="CS1067" s="21"/>
      <c r="CT1067" s="21"/>
      <c r="CU1067" s="21"/>
      <c r="CV1067" s="21"/>
      <c r="CW1067" s="21"/>
      <c r="CX1067" s="21"/>
      <c r="CY1067" s="21"/>
      <c r="CZ1067" s="22"/>
      <c r="DA1067" s="21"/>
      <c r="DB1067" s="21"/>
    </row>
    <row r="1068" spans="3:106" s="19" customFormat="1" ht="12">
      <c r="C1068" s="21"/>
      <c r="D1068" s="21"/>
      <c r="E1068" s="21"/>
      <c r="F1068" s="21"/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2"/>
      <c r="BA1068" s="21"/>
      <c r="BB1068" s="21"/>
      <c r="BC1068" s="21"/>
      <c r="BD1068" s="21"/>
      <c r="BE1068" s="21"/>
      <c r="BF1068" s="21"/>
      <c r="BG1068" s="21"/>
      <c r="BH1068" s="21"/>
      <c r="BI1068" s="21"/>
      <c r="BJ1068" s="21"/>
      <c r="BK1068" s="21"/>
      <c r="BL1068" s="21"/>
      <c r="BM1068" s="21"/>
      <c r="BN1068" s="21"/>
      <c r="BO1068" s="21"/>
      <c r="BP1068" s="21"/>
      <c r="BQ1068" s="21"/>
      <c r="BR1068" s="21"/>
      <c r="BS1068" s="21"/>
      <c r="BT1068" s="21"/>
      <c r="BU1068" s="21"/>
      <c r="BV1068" s="21"/>
      <c r="BW1068" s="21"/>
      <c r="BX1068" s="21"/>
      <c r="BY1068" s="21"/>
      <c r="BZ1068" s="21"/>
      <c r="CA1068" s="21"/>
      <c r="CB1068" s="21"/>
      <c r="CC1068" s="21"/>
      <c r="CD1068" s="21"/>
      <c r="CE1068" s="21"/>
      <c r="CF1068" s="21"/>
      <c r="CG1068" s="21"/>
      <c r="CH1068" s="21"/>
      <c r="CI1068" s="21"/>
      <c r="CJ1068" s="21"/>
      <c r="CK1068" s="21"/>
      <c r="CL1068" s="21"/>
      <c r="CM1068" s="21"/>
      <c r="CN1068" s="21"/>
      <c r="CO1068" s="21"/>
      <c r="CP1068" s="21"/>
      <c r="CQ1068" s="21"/>
      <c r="CR1068" s="21"/>
      <c r="CS1068" s="21"/>
      <c r="CT1068" s="21"/>
      <c r="CU1068" s="21"/>
      <c r="CV1068" s="21"/>
      <c r="CW1068" s="21"/>
      <c r="CX1068" s="21"/>
      <c r="CY1068" s="21"/>
      <c r="CZ1068" s="22"/>
      <c r="DA1068" s="21"/>
      <c r="DB1068" s="21"/>
    </row>
    <row r="1069" spans="3:106" s="19" customFormat="1" ht="12">
      <c r="C1069" s="21"/>
      <c r="D1069" s="21"/>
      <c r="E1069" s="2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  <c r="Q1069" s="21"/>
      <c r="R1069" s="21"/>
      <c r="S1069" s="21"/>
      <c r="T1069" s="21"/>
      <c r="U1069" s="21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2"/>
      <c r="BA1069" s="21"/>
      <c r="BB1069" s="21"/>
      <c r="BC1069" s="21"/>
      <c r="BD1069" s="21"/>
      <c r="BE1069" s="21"/>
      <c r="BF1069" s="21"/>
      <c r="BG1069" s="21"/>
      <c r="BH1069" s="21"/>
      <c r="BI1069" s="21"/>
      <c r="BJ1069" s="21"/>
      <c r="BK1069" s="21"/>
      <c r="BL1069" s="21"/>
      <c r="BM1069" s="21"/>
      <c r="BN1069" s="21"/>
      <c r="BO1069" s="21"/>
      <c r="BP1069" s="21"/>
      <c r="BQ1069" s="21"/>
      <c r="BR1069" s="21"/>
      <c r="BS1069" s="21"/>
      <c r="BT1069" s="21"/>
      <c r="BU1069" s="21"/>
      <c r="BV1069" s="21"/>
      <c r="BW1069" s="21"/>
      <c r="BX1069" s="21"/>
      <c r="BY1069" s="21"/>
      <c r="BZ1069" s="21"/>
      <c r="CA1069" s="21"/>
      <c r="CB1069" s="21"/>
      <c r="CC1069" s="21"/>
      <c r="CD1069" s="21"/>
      <c r="CE1069" s="21"/>
      <c r="CF1069" s="21"/>
      <c r="CG1069" s="21"/>
      <c r="CH1069" s="21"/>
      <c r="CI1069" s="21"/>
      <c r="CJ1069" s="21"/>
      <c r="CK1069" s="21"/>
      <c r="CL1069" s="21"/>
      <c r="CM1069" s="21"/>
      <c r="CN1069" s="21"/>
      <c r="CO1069" s="21"/>
      <c r="CP1069" s="21"/>
      <c r="CQ1069" s="21"/>
      <c r="CR1069" s="21"/>
      <c r="CS1069" s="21"/>
      <c r="CT1069" s="21"/>
      <c r="CU1069" s="21"/>
      <c r="CV1069" s="21"/>
      <c r="CW1069" s="21"/>
      <c r="CX1069" s="21"/>
      <c r="CY1069" s="21"/>
      <c r="CZ1069" s="22"/>
      <c r="DA1069" s="21"/>
      <c r="DB1069" s="21"/>
    </row>
    <row r="1070" spans="3:106" s="19" customFormat="1" ht="12">
      <c r="C1070" s="21"/>
      <c r="D1070" s="21"/>
      <c r="E1070" s="21"/>
      <c r="F1070" s="21"/>
      <c r="G1070" s="21"/>
      <c r="H1070" s="21"/>
      <c r="I1070" s="21"/>
      <c r="J1070" s="21"/>
      <c r="K1070" s="21"/>
      <c r="L1070" s="21"/>
      <c r="M1070" s="21"/>
      <c r="N1070" s="21"/>
      <c r="O1070" s="21"/>
      <c r="P1070" s="21"/>
      <c r="Q1070" s="21"/>
      <c r="R1070" s="21"/>
      <c r="S1070" s="21"/>
      <c r="T1070" s="21"/>
      <c r="U1070" s="21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2"/>
      <c r="BA1070" s="21"/>
      <c r="BB1070" s="21"/>
      <c r="BC1070" s="21"/>
      <c r="BD1070" s="21"/>
      <c r="BE1070" s="21"/>
      <c r="BF1070" s="21"/>
      <c r="BG1070" s="21"/>
      <c r="BH1070" s="21"/>
      <c r="BI1070" s="21"/>
      <c r="BJ1070" s="21"/>
      <c r="BK1070" s="21"/>
      <c r="BL1070" s="21"/>
      <c r="BM1070" s="21"/>
      <c r="BN1070" s="21"/>
      <c r="BO1070" s="21"/>
      <c r="BP1070" s="21"/>
      <c r="BQ1070" s="21"/>
      <c r="BR1070" s="21"/>
      <c r="BS1070" s="21"/>
      <c r="BT1070" s="21"/>
      <c r="BU1070" s="21"/>
      <c r="BV1070" s="21"/>
      <c r="BW1070" s="21"/>
      <c r="BX1070" s="21"/>
      <c r="BY1070" s="21"/>
      <c r="BZ1070" s="21"/>
      <c r="CA1070" s="21"/>
      <c r="CB1070" s="21"/>
      <c r="CC1070" s="21"/>
      <c r="CD1070" s="21"/>
      <c r="CE1070" s="21"/>
      <c r="CF1070" s="21"/>
      <c r="CG1070" s="21"/>
      <c r="CH1070" s="21"/>
      <c r="CI1070" s="21"/>
      <c r="CJ1070" s="21"/>
      <c r="CK1070" s="21"/>
      <c r="CL1070" s="21"/>
      <c r="CM1070" s="21"/>
      <c r="CN1070" s="21"/>
      <c r="CO1070" s="21"/>
      <c r="CP1070" s="21"/>
      <c r="CQ1070" s="21"/>
      <c r="CR1070" s="21"/>
      <c r="CS1070" s="21"/>
      <c r="CT1070" s="21"/>
      <c r="CU1070" s="21"/>
      <c r="CV1070" s="21"/>
      <c r="CW1070" s="21"/>
      <c r="CX1070" s="21"/>
      <c r="CY1070" s="21"/>
      <c r="CZ1070" s="22"/>
      <c r="DA1070" s="21"/>
      <c r="DB1070" s="21"/>
    </row>
    <row r="1071" spans="3:106" s="19" customFormat="1" ht="12">
      <c r="C1071" s="21"/>
      <c r="D1071" s="21"/>
      <c r="E1071" s="2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2"/>
      <c r="BA1071" s="21"/>
      <c r="BB1071" s="21"/>
      <c r="BC1071" s="21"/>
      <c r="BD1071" s="21"/>
      <c r="BE1071" s="21"/>
      <c r="BF1071" s="21"/>
      <c r="BG1071" s="21"/>
      <c r="BH1071" s="21"/>
      <c r="BI1071" s="21"/>
      <c r="BJ1071" s="21"/>
      <c r="BK1071" s="21"/>
      <c r="BL1071" s="21"/>
      <c r="BM1071" s="21"/>
      <c r="BN1071" s="21"/>
      <c r="BO1071" s="21"/>
      <c r="BP1071" s="21"/>
      <c r="BQ1071" s="21"/>
      <c r="BR1071" s="21"/>
      <c r="BS1071" s="21"/>
      <c r="BT1071" s="21"/>
      <c r="BU1071" s="21"/>
      <c r="BV1071" s="21"/>
      <c r="BW1071" s="21"/>
      <c r="BX1071" s="21"/>
      <c r="BY1071" s="21"/>
      <c r="BZ1071" s="21"/>
      <c r="CA1071" s="21"/>
      <c r="CB1071" s="21"/>
      <c r="CC1071" s="21"/>
      <c r="CD1071" s="21"/>
      <c r="CE1071" s="21"/>
      <c r="CF1071" s="21"/>
      <c r="CG1071" s="21"/>
      <c r="CH1071" s="21"/>
      <c r="CI1071" s="21"/>
      <c r="CJ1071" s="21"/>
      <c r="CK1071" s="21"/>
      <c r="CL1071" s="21"/>
      <c r="CM1071" s="21"/>
      <c r="CN1071" s="21"/>
      <c r="CO1071" s="21"/>
      <c r="CP1071" s="21"/>
      <c r="CQ1071" s="21"/>
      <c r="CR1071" s="21"/>
      <c r="CS1071" s="21"/>
      <c r="CT1071" s="21"/>
      <c r="CU1071" s="21"/>
      <c r="CV1071" s="21"/>
      <c r="CW1071" s="21"/>
      <c r="CX1071" s="21"/>
      <c r="CY1071" s="21"/>
      <c r="CZ1071" s="22"/>
      <c r="DA1071" s="21"/>
      <c r="DB1071" s="21"/>
    </row>
    <row r="1072" spans="3:106" s="19" customFormat="1" ht="12">
      <c r="C1072" s="21"/>
      <c r="D1072" s="21"/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2"/>
      <c r="BA1072" s="21"/>
      <c r="BB1072" s="21"/>
      <c r="BC1072" s="21"/>
      <c r="BD1072" s="21"/>
      <c r="BE1072" s="21"/>
      <c r="BF1072" s="21"/>
      <c r="BG1072" s="21"/>
      <c r="BH1072" s="21"/>
      <c r="BI1072" s="21"/>
      <c r="BJ1072" s="21"/>
      <c r="BK1072" s="21"/>
      <c r="BL1072" s="21"/>
      <c r="BM1072" s="21"/>
      <c r="BN1072" s="21"/>
      <c r="BO1072" s="21"/>
      <c r="BP1072" s="21"/>
      <c r="BQ1072" s="21"/>
      <c r="BR1072" s="21"/>
      <c r="BS1072" s="21"/>
      <c r="BT1072" s="21"/>
      <c r="BU1072" s="21"/>
      <c r="BV1072" s="21"/>
      <c r="BW1072" s="21"/>
      <c r="BX1072" s="21"/>
      <c r="BY1072" s="21"/>
      <c r="BZ1072" s="21"/>
      <c r="CA1072" s="21"/>
      <c r="CB1072" s="21"/>
      <c r="CC1072" s="21"/>
      <c r="CD1072" s="21"/>
      <c r="CE1072" s="21"/>
      <c r="CF1072" s="21"/>
      <c r="CG1072" s="21"/>
      <c r="CH1072" s="21"/>
      <c r="CI1072" s="21"/>
      <c r="CJ1072" s="21"/>
      <c r="CK1072" s="21"/>
      <c r="CL1072" s="21"/>
      <c r="CM1072" s="21"/>
      <c r="CN1072" s="21"/>
      <c r="CO1072" s="21"/>
      <c r="CP1072" s="21"/>
      <c r="CQ1072" s="21"/>
      <c r="CR1072" s="21"/>
      <c r="CS1072" s="21"/>
      <c r="CT1072" s="21"/>
      <c r="CU1072" s="21"/>
      <c r="CV1072" s="21"/>
      <c r="CW1072" s="21"/>
      <c r="CX1072" s="21"/>
      <c r="CY1072" s="21"/>
      <c r="CZ1072" s="22"/>
      <c r="DA1072" s="21"/>
      <c r="DB1072" s="21"/>
    </row>
    <row r="1073" spans="3:106" s="19" customFormat="1" ht="12">
      <c r="C1073" s="21"/>
      <c r="D1073" s="21"/>
      <c r="E1073" s="2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2"/>
      <c r="BA1073" s="21"/>
      <c r="BB1073" s="21"/>
      <c r="BC1073" s="21"/>
      <c r="BD1073" s="21"/>
      <c r="BE1073" s="21"/>
      <c r="BF1073" s="21"/>
      <c r="BG1073" s="21"/>
      <c r="BH1073" s="21"/>
      <c r="BI1073" s="21"/>
      <c r="BJ1073" s="21"/>
      <c r="BK1073" s="21"/>
      <c r="BL1073" s="21"/>
      <c r="BM1073" s="21"/>
      <c r="BN1073" s="21"/>
      <c r="BO1073" s="21"/>
      <c r="BP1073" s="21"/>
      <c r="BQ1073" s="21"/>
      <c r="BR1073" s="21"/>
      <c r="BS1073" s="21"/>
      <c r="BT1073" s="21"/>
      <c r="BU1073" s="21"/>
      <c r="BV1073" s="21"/>
      <c r="BW1073" s="21"/>
      <c r="BX1073" s="21"/>
      <c r="BY1073" s="21"/>
      <c r="BZ1073" s="21"/>
      <c r="CA1073" s="21"/>
      <c r="CB1073" s="21"/>
      <c r="CC1073" s="21"/>
      <c r="CD1073" s="21"/>
      <c r="CE1073" s="21"/>
      <c r="CF1073" s="21"/>
      <c r="CG1073" s="21"/>
      <c r="CH1073" s="21"/>
      <c r="CI1073" s="21"/>
      <c r="CJ1073" s="21"/>
      <c r="CK1073" s="21"/>
      <c r="CL1073" s="21"/>
      <c r="CM1073" s="21"/>
      <c r="CN1073" s="21"/>
      <c r="CO1073" s="21"/>
      <c r="CP1073" s="21"/>
      <c r="CQ1073" s="21"/>
      <c r="CR1073" s="21"/>
      <c r="CS1073" s="21"/>
      <c r="CT1073" s="21"/>
      <c r="CU1073" s="21"/>
      <c r="CV1073" s="21"/>
      <c r="CW1073" s="21"/>
      <c r="CX1073" s="21"/>
      <c r="CY1073" s="21"/>
      <c r="CZ1073" s="22"/>
      <c r="DA1073" s="21"/>
      <c r="DB1073" s="21"/>
    </row>
    <row r="1074" spans="3:106" s="19" customFormat="1" ht="12">
      <c r="C1074" s="21"/>
      <c r="D1074" s="21"/>
      <c r="E1074" s="21"/>
      <c r="F1074" s="21"/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2"/>
      <c r="BA1074" s="21"/>
      <c r="BB1074" s="21"/>
      <c r="BC1074" s="21"/>
      <c r="BD1074" s="21"/>
      <c r="BE1074" s="21"/>
      <c r="BF1074" s="21"/>
      <c r="BG1074" s="21"/>
      <c r="BH1074" s="21"/>
      <c r="BI1074" s="21"/>
      <c r="BJ1074" s="21"/>
      <c r="BK1074" s="21"/>
      <c r="BL1074" s="21"/>
      <c r="BM1074" s="21"/>
      <c r="BN1074" s="21"/>
      <c r="BO1074" s="21"/>
      <c r="BP1074" s="21"/>
      <c r="BQ1074" s="21"/>
      <c r="BR1074" s="21"/>
      <c r="BS1074" s="21"/>
      <c r="BT1074" s="21"/>
      <c r="BU1074" s="21"/>
      <c r="BV1074" s="21"/>
      <c r="BW1074" s="21"/>
      <c r="BX1074" s="21"/>
      <c r="BY1074" s="21"/>
      <c r="BZ1074" s="21"/>
      <c r="CA1074" s="21"/>
      <c r="CB1074" s="21"/>
      <c r="CC1074" s="21"/>
      <c r="CD1074" s="21"/>
      <c r="CE1074" s="21"/>
      <c r="CF1074" s="21"/>
      <c r="CG1074" s="21"/>
      <c r="CH1074" s="21"/>
      <c r="CI1074" s="21"/>
      <c r="CJ1074" s="21"/>
      <c r="CK1074" s="21"/>
      <c r="CL1074" s="21"/>
      <c r="CM1074" s="21"/>
      <c r="CN1074" s="21"/>
      <c r="CO1074" s="21"/>
      <c r="CP1074" s="21"/>
      <c r="CQ1074" s="21"/>
      <c r="CR1074" s="21"/>
      <c r="CS1074" s="21"/>
      <c r="CT1074" s="21"/>
      <c r="CU1074" s="21"/>
      <c r="CV1074" s="21"/>
      <c r="CW1074" s="21"/>
      <c r="CX1074" s="21"/>
      <c r="CY1074" s="21"/>
      <c r="CZ1074" s="22"/>
      <c r="DA1074" s="21"/>
      <c r="DB1074" s="21"/>
    </row>
    <row r="1075" spans="3:106" s="19" customFormat="1" ht="12">
      <c r="C1075" s="21"/>
      <c r="D1075" s="21"/>
      <c r="E1075" s="2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  <c r="Q1075" s="21"/>
      <c r="R1075" s="21"/>
      <c r="S1075" s="21"/>
      <c r="T1075" s="21"/>
      <c r="U1075" s="21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2"/>
      <c r="BA1075" s="21"/>
      <c r="BB1075" s="21"/>
      <c r="BC1075" s="21"/>
      <c r="BD1075" s="21"/>
      <c r="BE1075" s="21"/>
      <c r="BF1075" s="21"/>
      <c r="BG1075" s="21"/>
      <c r="BH1075" s="21"/>
      <c r="BI1075" s="21"/>
      <c r="BJ1075" s="21"/>
      <c r="BK1075" s="21"/>
      <c r="BL1075" s="21"/>
      <c r="BM1075" s="21"/>
      <c r="BN1075" s="21"/>
      <c r="BO1075" s="21"/>
      <c r="BP1075" s="21"/>
      <c r="BQ1075" s="21"/>
      <c r="BR1075" s="21"/>
      <c r="BS1075" s="21"/>
      <c r="BT1075" s="21"/>
      <c r="BU1075" s="21"/>
      <c r="BV1075" s="21"/>
      <c r="BW1075" s="21"/>
      <c r="BX1075" s="21"/>
      <c r="BY1075" s="21"/>
      <c r="BZ1075" s="21"/>
      <c r="CA1075" s="21"/>
      <c r="CB1075" s="21"/>
      <c r="CC1075" s="21"/>
      <c r="CD1075" s="21"/>
      <c r="CE1075" s="21"/>
      <c r="CF1075" s="21"/>
      <c r="CG1075" s="21"/>
      <c r="CH1075" s="21"/>
      <c r="CI1075" s="21"/>
      <c r="CJ1075" s="21"/>
      <c r="CK1075" s="21"/>
      <c r="CL1075" s="21"/>
      <c r="CM1075" s="21"/>
      <c r="CN1075" s="21"/>
      <c r="CO1075" s="21"/>
      <c r="CP1075" s="21"/>
      <c r="CQ1075" s="21"/>
      <c r="CR1075" s="21"/>
      <c r="CS1075" s="21"/>
      <c r="CT1075" s="21"/>
      <c r="CU1075" s="21"/>
      <c r="CV1075" s="21"/>
      <c r="CW1075" s="21"/>
      <c r="CX1075" s="21"/>
      <c r="CY1075" s="21"/>
      <c r="CZ1075" s="22"/>
      <c r="DA1075" s="21"/>
      <c r="DB1075" s="21"/>
    </row>
    <row r="1076" spans="3:106" s="19" customFormat="1" ht="12">
      <c r="C1076" s="21"/>
      <c r="D1076" s="21"/>
      <c r="E1076" s="21"/>
      <c r="F1076" s="21"/>
      <c r="G1076" s="21"/>
      <c r="H1076" s="21"/>
      <c r="I1076" s="21"/>
      <c r="J1076" s="21"/>
      <c r="K1076" s="21"/>
      <c r="L1076" s="21"/>
      <c r="M1076" s="21"/>
      <c r="N1076" s="21"/>
      <c r="O1076" s="21"/>
      <c r="P1076" s="21"/>
      <c r="Q1076" s="21"/>
      <c r="R1076" s="21"/>
      <c r="S1076" s="21"/>
      <c r="T1076" s="21"/>
      <c r="U1076" s="21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2"/>
      <c r="BA1076" s="21"/>
      <c r="BB1076" s="21"/>
      <c r="BC1076" s="21"/>
      <c r="BD1076" s="21"/>
      <c r="BE1076" s="21"/>
      <c r="BF1076" s="21"/>
      <c r="BG1076" s="21"/>
      <c r="BH1076" s="21"/>
      <c r="BI1076" s="21"/>
      <c r="BJ1076" s="21"/>
      <c r="BK1076" s="21"/>
      <c r="BL1076" s="21"/>
      <c r="BM1076" s="21"/>
      <c r="BN1076" s="21"/>
      <c r="BO1076" s="21"/>
      <c r="BP1076" s="21"/>
      <c r="BQ1076" s="21"/>
      <c r="BR1076" s="21"/>
      <c r="BS1076" s="21"/>
      <c r="BT1076" s="21"/>
      <c r="BU1076" s="21"/>
      <c r="BV1076" s="21"/>
      <c r="BW1076" s="21"/>
      <c r="BX1076" s="21"/>
      <c r="BY1076" s="21"/>
      <c r="BZ1076" s="21"/>
      <c r="CA1076" s="21"/>
      <c r="CB1076" s="21"/>
      <c r="CC1076" s="21"/>
      <c r="CD1076" s="21"/>
      <c r="CE1076" s="21"/>
      <c r="CF1076" s="21"/>
      <c r="CG1076" s="21"/>
      <c r="CH1076" s="21"/>
      <c r="CI1076" s="21"/>
      <c r="CJ1076" s="21"/>
      <c r="CK1076" s="21"/>
      <c r="CL1076" s="21"/>
      <c r="CM1076" s="21"/>
      <c r="CN1076" s="21"/>
      <c r="CO1076" s="21"/>
      <c r="CP1076" s="21"/>
      <c r="CQ1076" s="21"/>
      <c r="CR1076" s="21"/>
      <c r="CS1076" s="21"/>
      <c r="CT1076" s="21"/>
      <c r="CU1076" s="21"/>
      <c r="CV1076" s="21"/>
      <c r="CW1076" s="21"/>
      <c r="CX1076" s="21"/>
      <c r="CY1076" s="21"/>
      <c r="CZ1076" s="22"/>
      <c r="DA1076" s="21"/>
      <c r="DB1076" s="21"/>
    </row>
    <row r="1077" spans="3:106" s="19" customFormat="1" ht="12">
      <c r="C1077" s="21"/>
      <c r="D1077" s="21"/>
      <c r="E1077" s="2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2"/>
      <c r="BA1077" s="21"/>
      <c r="BB1077" s="21"/>
      <c r="BC1077" s="21"/>
      <c r="BD1077" s="21"/>
      <c r="BE1077" s="21"/>
      <c r="BF1077" s="21"/>
      <c r="BG1077" s="21"/>
      <c r="BH1077" s="21"/>
      <c r="BI1077" s="21"/>
      <c r="BJ1077" s="21"/>
      <c r="BK1077" s="21"/>
      <c r="BL1077" s="21"/>
      <c r="BM1077" s="21"/>
      <c r="BN1077" s="21"/>
      <c r="BO1077" s="21"/>
      <c r="BP1077" s="21"/>
      <c r="BQ1077" s="21"/>
      <c r="BR1077" s="21"/>
      <c r="BS1077" s="21"/>
      <c r="BT1077" s="21"/>
      <c r="BU1077" s="21"/>
      <c r="BV1077" s="21"/>
      <c r="BW1077" s="21"/>
      <c r="BX1077" s="21"/>
      <c r="BY1077" s="21"/>
      <c r="BZ1077" s="21"/>
      <c r="CA1077" s="21"/>
      <c r="CB1077" s="21"/>
      <c r="CC1077" s="21"/>
      <c r="CD1077" s="21"/>
      <c r="CE1077" s="21"/>
      <c r="CF1077" s="21"/>
      <c r="CG1077" s="21"/>
      <c r="CH1077" s="21"/>
      <c r="CI1077" s="21"/>
      <c r="CJ1077" s="21"/>
      <c r="CK1077" s="21"/>
      <c r="CL1077" s="21"/>
      <c r="CM1077" s="21"/>
      <c r="CN1077" s="21"/>
      <c r="CO1077" s="21"/>
      <c r="CP1077" s="21"/>
      <c r="CQ1077" s="21"/>
      <c r="CR1077" s="21"/>
      <c r="CS1077" s="21"/>
      <c r="CT1077" s="21"/>
      <c r="CU1077" s="21"/>
      <c r="CV1077" s="21"/>
      <c r="CW1077" s="21"/>
      <c r="CX1077" s="21"/>
      <c r="CY1077" s="21"/>
      <c r="CZ1077" s="22"/>
      <c r="DA1077" s="21"/>
      <c r="DB1077" s="21"/>
    </row>
    <row r="1078" spans="3:106" s="19" customFormat="1" ht="12">
      <c r="C1078" s="21"/>
      <c r="D1078" s="21"/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2"/>
      <c r="BA1078" s="21"/>
      <c r="BB1078" s="21"/>
      <c r="BC1078" s="21"/>
      <c r="BD1078" s="21"/>
      <c r="BE1078" s="21"/>
      <c r="BF1078" s="21"/>
      <c r="BG1078" s="21"/>
      <c r="BH1078" s="21"/>
      <c r="BI1078" s="21"/>
      <c r="BJ1078" s="21"/>
      <c r="BK1078" s="21"/>
      <c r="BL1078" s="21"/>
      <c r="BM1078" s="21"/>
      <c r="BN1078" s="21"/>
      <c r="BO1078" s="21"/>
      <c r="BP1078" s="21"/>
      <c r="BQ1078" s="21"/>
      <c r="BR1078" s="21"/>
      <c r="BS1078" s="21"/>
      <c r="BT1078" s="21"/>
      <c r="BU1078" s="21"/>
      <c r="BV1078" s="21"/>
      <c r="BW1078" s="21"/>
      <c r="BX1078" s="21"/>
      <c r="BY1078" s="21"/>
      <c r="BZ1078" s="21"/>
      <c r="CA1078" s="21"/>
      <c r="CB1078" s="21"/>
      <c r="CC1078" s="21"/>
      <c r="CD1078" s="21"/>
      <c r="CE1078" s="21"/>
      <c r="CF1078" s="21"/>
      <c r="CG1078" s="21"/>
      <c r="CH1078" s="21"/>
      <c r="CI1078" s="21"/>
      <c r="CJ1078" s="21"/>
      <c r="CK1078" s="21"/>
      <c r="CL1078" s="21"/>
      <c r="CM1078" s="21"/>
      <c r="CN1078" s="21"/>
      <c r="CO1078" s="21"/>
      <c r="CP1078" s="21"/>
      <c r="CQ1078" s="21"/>
      <c r="CR1078" s="21"/>
      <c r="CS1078" s="21"/>
      <c r="CT1078" s="21"/>
      <c r="CU1078" s="21"/>
      <c r="CV1078" s="21"/>
      <c r="CW1078" s="21"/>
      <c r="CX1078" s="21"/>
      <c r="CY1078" s="21"/>
      <c r="CZ1078" s="22"/>
      <c r="DA1078" s="21"/>
      <c r="DB1078" s="21"/>
    </row>
    <row r="1079" spans="3:106" s="19" customFormat="1" ht="12">
      <c r="C1079" s="21"/>
      <c r="D1079" s="21"/>
      <c r="E1079" s="2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2"/>
      <c r="BA1079" s="21"/>
      <c r="BB1079" s="21"/>
      <c r="BC1079" s="21"/>
      <c r="BD1079" s="21"/>
      <c r="BE1079" s="21"/>
      <c r="BF1079" s="21"/>
      <c r="BG1079" s="21"/>
      <c r="BH1079" s="21"/>
      <c r="BI1079" s="21"/>
      <c r="BJ1079" s="21"/>
      <c r="BK1079" s="21"/>
      <c r="BL1079" s="21"/>
      <c r="BM1079" s="21"/>
      <c r="BN1079" s="21"/>
      <c r="BO1079" s="21"/>
      <c r="BP1079" s="21"/>
      <c r="BQ1079" s="21"/>
      <c r="BR1079" s="21"/>
      <c r="BS1079" s="21"/>
      <c r="BT1079" s="21"/>
      <c r="BU1079" s="21"/>
      <c r="BV1079" s="21"/>
      <c r="BW1079" s="21"/>
      <c r="BX1079" s="21"/>
      <c r="BY1079" s="21"/>
      <c r="BZ1079" s="21"/>
      <c r="CA1079" s="21"/>
      <c r="CB1079" s="21"/>
      <c r="CC1079" s="21"/>
      <c r="CD1079" s="21"/>
      <c r="CE1079" s="21"/>
      <c r="CF1079" s="21"/>
      <c r="CG1079" s="21"/>
      <c r="CH1079" s="21"/>
      <c r="CI1079" s="21"/>
      <c r="CJ1079" s="21"/>
      <c r="CK1079" s="21"/>
      <c r="CL1079" s="21"/>
      <c r="CM1079" s="21"/>
      <c r="CN1079" s="21"/>
      <c r="CO1079" s="21"/>
      <c r="CP1079" s="21"/>
      <c r="CQ1079" s="21"/>
      <c r="CR1079" s="21"/>
      <c r="CS1079" s="21"/>
      <c r="CT1079" s="21"/>
      <c r="CU1079" s="21"/>
      <c r="CV1079" s="21"/>
      <c r="CW1079" s="21"/>
      <c r="CX1079" s="21"/>
      <c r="CY1079" s="21"/>
      <c r="CZ1079" s="22"/>
      <c r="DA1079" s="21"/>
      <c r="DB1079" s="21"/>
    </row>
    <row r="1080" spans="3:106" s="19" customFormat="1" ht="12">
      <c r="C1080" s="21"/>
      <c r="D1080" s="21"/>
      <c r="E1080" s="2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2"/>
      <c r="BA1080" s="21"/>
      <c r="BB1080" s="21"/>
      <c r="BC1080" s="21"/>
      <c r="BD1080" s="21"/>
      <c r="BE1080" s="21"/>
      <c r="BF1080" s="21"/>
      <c r="BG1080" s="21"/>
      <c r="BH1080" s="21"/>
      <c r="BI1080" s="21"/>
      <c r="BJ1080" s="21"/>
      <c r="BK1080" s="21"/>
      <c r="BL1080" s="21"/>
      <c r="BM1080" s="21"/>
      <c r="BN1080" s="21"/>
      <c r="BO1080" s="21"/>
      <c r="BP1080" s="21"/>
      <c r="BQ1080" s="21"/>
      <c r="BR1080" s="21"/>
      <c r="BS1080" s="21"/>
      <c r="BT1080" s="21"/>
      <c r="BU1080" s="21"/>
      <c r="BV1080" s="21"/>
      <c r="BW1080" s="21"/>
      <c r="BX1080" s="21"/>
      <c r="BY1080" s="21"/>
      <c r="BZ1080" s="21"/>
      <c r="CA1080" s="21"/>
      <c r="CB1080" s="21"/>
      <c r="CC1080" s="21"/>
      <c r="CD1080" s="21"/>
      <c r="CE1080" s="21"/>
      <c r="CF1080" s="21"/>
      <c r="CG1080" s="21"/>
      <c r="CH1080" s="21"/>
      <c r="CI1080" s="21"/>
      <c r="CJ1080" s="21"/>
      <c r="CK1080" s="21"/>
      <c r="CL1080" s="21"/>
      <c r="CM1080" s="21"/>
      <c r="CN1080" s="21"/>
      <c r="CO1080" s="21"/>
      <c r="CP1080" s="21"/>
      <c r="CQ1080" s="21"/>
      <c r="CR1080" s="21"/>
      <c r="CS1080" s="21"/>
      <c r="CT1080" s="21"/>
      <c r="CU1080" s="21"/>
      <c r="CV1080" s="21"/>
      <c r="CW1080" s="21"/>
      <c r="CX1080" s="21"/>
      <c r="CY1080" s="21"/>
      <c r="CZ1080" s="22"/>
      <c r="DA1080" s="21"/>
      <c r="DB1080" s="21"/>
    </row>
    <row r="1081" spans="3:106" s="19" customFormat="1" ht="12">
      <c r="C1081" s="21"/>
      <c r="D1081" s="21"/>
      <c r="E1081" s="2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  <c r="Q1081" s="21"/>
      <c r="R1081" s="21"/>
      <c r="S1081" s="21"/>
      <c r="T1081" s="21"/>
      <c r="U1081" s="21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2"/>
      <c r="BA1081" s="21"/>
      <c r="BB1081" s="21"/>
      <c r="BC1081" s="21"/>
      <c r="BD1081" s="21"/>
      <c r="BE1081" s="21"/>
      <c r="BF1081" s="21"/>
      <c r="BG1081" s="21"/>
      <c r="BH1081" s="21"/>
      <c r="BI1081" s="21"/>
      <c r="BJ1081" s="21"/>
      <c r="BK1081" s="21"/>
      <c r="BL1081" s="21"/>
      <c r="BM1081" s="21"/>
      <c r="BN1081" s="21"/>
      <c r="BO1081" s="21"/>
      <c r="BP1081" s="21"/>
      <c r="BQ1081" s="21"/>
      <c r="BR1081" s="21"/>
      <c r="BS1081" s="21"/>
      <c r="BT1081" s="21"/>
      <c r="BU1081" s="21"/>
      <c r="BV1081" s="21"/>
      <c r="BW1081" s="21"/>
      <c r="BX1081" s="21"/>
      <c r="BY1081" s="21"/>
      <c r="BZ1081" s="21"/>
      <c r="CA1081" s="21"/>
      <c r="CB1081" s="21"/>
      <c r="CC1081" s="21"/>
      <c r="CD1081" s="21"/>
      <c r="CE1081" s="21"/>
      <c r="CF1081" s="21"/>
      <c r="CG1081" s="21"/>
      <c r="CH1081" s="21"/>
      <c r="CI1081" s="21"/>
      <c r="CJ1081" s="21"/>
      <c r="CK1081" s="21"/>
      <c r="CL1081" s="21"/>
      <c r="CM1081" s="21"/>
      <c r="CN1081" s="21"/>
      <c r="CO1081" s="21"/>
      <c r="CP1081" s="21"/>
      <c r="CQ1081" s="21"/>
      <c r="CR1081" s="21"/>
      <c r="CS1081" s="21"/>
      <c r="CT1081" s="21"/>
      <c r="CU1081" s="21"/>
      <c r="CV1081" s="21"/>
      <c r="CW1081" s="21"/>
      <c r="CX1081" s="21"/>
      <c r="CY1081" s="21"/>
      <c r="CZ1081" s="22"/>
      <c r="DA1081" s="21"/>
      <c r="DB1081" s="21"/>
    </row>
    <row r="1082" spans="3:106" s="19" customFormat="1" ht="12">
      <c r="C1082" s="21"/>
      <c r="D1082" s="21"/>
      <c r="E1082" s="21"/>
      <c r="F1082" s="21"/>
      <c r="G1082" s="21"/>
      <c r="H1082" s="21"/>
      <c r="I1082" s="21"/>
      <c r="J1082" s="21"/>
      <c r="K1082" s="21"/>
      <c r="L1082" s="21"/>
      <c r="M1082" s="21"/>
      <c r="N1082" s="21"/>
      <c r="O1082" s="21"/>
      <c r="P1082" s="21"/>
      <c r="Q1082" s="21"/>
      <c r="R1082" s="21"/>
      <c r="S1082" s="21"/>
      <c r="T1082" s="21"/>
      <c r="U1082" s="21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2"/>
      <c r="BA1082" s="21"/>
      <c r="BB1082" s="21"/>
      <c r="BC1082" s="21"/>
      <c r="BD1082" s="21"/>
      <c r="BE1082" s="21"/>
      <c r="BF1082" s="21"/>
      <c r="BG1082" s="21"/>
      <c r="BH1082" s="21"/>
      <c r="BI1082" s="21"/>
      <c r="BJ1082" s="21"/>
      <c r="BK1082" s="21"/>
      <c r="BL1082" s="21"/>
      <c r="BM1082" s="21"/>
      <c r="BN1082" s="21"/>
      <c r="BO1082" s="21"/>
      <c r="BP1082" s="21"/>
      <c r="BQ1082" s="21"/>
      <c r="BR1082" s="21"/>
      <c r="BS1082" s="21"/>
      <c r="BT1082" s="21"/>
      <c r="BU1082" s="21"/>
      <c r="BV1082" s="21"/>
      <c r="BW1082" s="21"/>
      <c r="BX1082" s="21"/>
      <c r="BY1082" s="21"/>
      <c r="BZ1082" s="21"/>
      <c r="CA1082" s="21"/>
      <c r="CB1082" s="21"/>
      <c r="CC1082" s="21"/>
      <c r="CD1082" s="21"/>
      <c r="CE1082" s="21"/>
      <c r="CF1082" s="21"/>
      <c r="CG1082" s="21"/>
      <c r="CH1082" s="21"/>
      <c r="CI1082" s="21"/>
      <c r="CJ1082" s="21"/>
      <c r="CK1082" s="21"/>
      <c r="CL1082" s="21"/>
      <c r="CM1082" s="21"/>
      <c r="CN1082" s="21"/>
      <c r="CO1082" s="21"/>
      <c r="CP1082" s="21"/>
      <c r="CQ1082" s="21"/>
      <c r="CR1082" s="21"/>
      <c r="CS1082" s="21"/>
      <c r="CT1082" s="21"/>
      <c r="CU1082" s="21"/>
      <c r="CV1082" s="21"/>
      <c r="CW1082" s="21"/>
      <c r="CX1082" s="21"/>
      <c r="CY1082" s="21"/>
      <c r="CZ1082" s="22"/>
      <c r="DA1082" s="21"/>
      <c r="DB1082" s="21"/>
    </row>
    <row r="1083" spans="3:106" s="19" customFormat="1" ht="12">
      <c r="C1083" s="21"/>
      <c r="D1083" s="21"/>
      <c r="E1083" s="2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  <c r="Q1083" s="21"/>
      <c r="R1083" s="21"/>
      <c r="S1083" s="21"/>
      <c r="T1083" s="21"/>
      <c r="U1083" s="21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2"/>
      <c r="BA1083" s="21"/>
      <c r="BB1083" s="21"/>
      <c r="BC1083" s="21"/>
      <c r="BD1083" s="21"/>
      <c r="BE1083" s="21"/>
      <c r="BF1083" s="21"/>
      <c r="BG1083" s="21"/>
      <c r="BH1083" s="21"/>
      <c r="BI1083" s="21"/>
      <c r="BJ1083" s="21"/>
      <c r="BK1083" s="21"/>
      <c r="BL1083" s="21"/>
      <c r="BM1083" s="21"/>
      <c r="BN1083" s="21"/>
      <c r="BO1083" s="21"/>
      <c r="BP1083" s="21"/>
      <c r="BQ1083" s="21"/>
      <c r="BR1083" s="21"/>
      <c r="BS1083" s="21"/>
      <c r="BT1083" s="21"/>
      <c r="BU1083" s="21"/>
      <c r="BV1083" s="21"/>
      <c r="BW1083" s="21"/>
      <c r="BX1083" s="21"/>
      <c r="BY1083" s="21"/>
      <c r="BZ1083" s="21"/>
      <c r="CA1083" s="21"/>
      <c r="CB1083" s="21"/>
      <c r="CC1083" s="21"/>
      <c r="CD1083" s="21"/>
      <c r="CE1083" s="21"/>
      <c r="CF1083" s="21"/>
      <c r="CG1083" s="21"/>
      <c r="CH1083" s="21"/>
      <c r="CI1083" s="21"/>
      <c r="CJ1083" s="21"/>
      <c r="CK1083" s="21"/>
      <c r="CL1083" s="21"/>
      <c r="CM1083" s="21"/>
      <c r="CN1083" s="21"/>
      <c r="CO1083" s="21"/>
      <c r="CP1083" s="21"/>
      <c r="CQ1083" s="21"/>
      <c r="CR1083" s="21"/>
      <c r="CS1083" s="21"/>
      <c r="CT1083" s="21"/>
      <c r="CU1083" s="21"/>
      <c r="CV1083" s="21"/>
      <c r="CW1083" s="21"/>
      <c r="CX1083" s="21"/>
      <c r="CY1083" s="21"/>
      <c r="CZ1083" s="22"/>
      <c r="DA1083" s="21"/>
      <c r="DB1083" s="21"/>
    </row>
    <row r="1084" spans="3:106" s="19" customFormat="1" ht="12">
      <c r="C1084" s="21"/>
      <c r="D1084" s="21"/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2"/>
      <c r="BA1084" s="21"/>
      <c r="BB1084" s="21"/>
      <c r="BC1084" s="21"/>
      <c r="BD1084" s="21"/>
      <c r="BE1084" s="21"/>
      <c r="BF1084" s="21"/>
      <c r="BG1084" s="21"/>
      <c r="BH1084" s="21"/>
      <c r="BI1084" s="21"/>
      <c r="BJ1084" s="21"/>
      <c r="BK1084" s="21"/>
      <c r="BL1084" s="21"/>
      <c r="BM1084" s="21"/>
      <c r="BN1084" s="21"/>
      <c r="BO1084" s="21"/>
      <c r="BP1084" s="21"/>
      <c r="BQ1084" s="21"/>
      <c r="BR1084" s="21"/>
      <c r="BS1084" s="21"/>
      <c r="BT1084" s="21"/>
      <c r="BU1084" s="21"/>
      <c r="BV1084" s="21"/>
      <c r="BW1084" s="21"/>
      <c r="BX1084" s="21"/>
      <c r="BY1084" s="21"/>
      <c r="BZ1084" s="21"/>
      <c r="CA1084" s="21"/>
      <c r="CB1084" s="21"/>
      <c r="CC1084" s="21"/>
      <c r="CD1084" s="21"/>
      <c r="CE1084" s="21"/>
      <c r="CF1084" s="21"/>
      <c r="CG1084" s="21"/>
      <c r="CH1084" s="21"/>
      <c r="CI1084" s="21"/>
      <c r="CJ1084" s="21"/>
      <c r="CK1084" s="21"/>
      <c r="CL1084" s="21"/>
      <c r="CM1084" s="21"/>
      <c r="CN1084" s="21"/>
      <c r="CO1084" s="21"/>
      <c r="CP1084" s="21"/>
      <c r="CQ1084" s="21"/>
      <c r="CR1084" s="21"/>
      <c r="CS1084" s="21"/>
      <c r="CT1084" s="21"/>
      <c r="CU1084" s="21"/>
      <c r="CV1084" s="21"/>
      <c r="CW1084" s="21"/>
      <c r="CX1084" s="21"/>
      <c r="CY1084" s="21"/>
      <c r="CZ1084" s="22"/>
      <c r="DA1084" s="21"/>
      <c r="DB1084" s="21"/>
    </row>
    <row r="1085" spans="3:106" s="19" customFormat="1" ht="12">
      <c r="C1085" s="21"/>
      <c r="D1085" s="21"/>
      <c r="E1085" s="2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2"/>
      <c r="BA1085" s="21"/>
      <c r="BB1085" s="21"/>
      <c r="BC1085" s="21"/>
      <c r="BD1085" s="21"/>
      <c r="BE1085" s="21"/>
      <c r="BF1085" s="21"/>
      <c r="BG1085" s="21"/>
      <c r="BH1085" s="21"/>
      <c r="BI1085" s="21"/>
      <c r="BJ1085" s="21"/>
      <c r="BK1085" s="21"/>
      <c r="BL1085" s="21"/>
      <c r="BM1085" s="21"/>
      <c r="BN1085" s="21"/>
      <c r="BO1085" s="21"/>
      <c r="BP1085" s="21"/>
      <c r="BQ1085" s="21"/>
      <c r="BR1085" s="21"/>
      <c r="BS1085" s="21"/>
      <c r="BT1085" s="21"/>
      <c r="BU1085" s="21"/>
      <c r="BV1085" s="21"/>
      <c r="BW1085" s="21"/>
      <c r="BX1085" s="21"/>
      <c r="BY1085" s="21"/>
      <c r="BZ1085" s="21"/>
      <c r="CA1085" s="21"/>
      <c r="CB1085" s="21"/>
      <c r="CC1085" s="21"/>
      <c r="CD1085" s="21"/>
      <c r="CE1085" s="21"/>
      <c r="CF1085" s="21"/>
      <c r="CG1085" s="21"/>
      <c r="CH1085" s="21"/>
      <c r="CI1085" s="21"/>
      <c r="CJ1085" s="21"/>
      <c r="CK1085" s="21"/>
      <c r="CL1085" s="21"/>
      <c r="CM1085" s="21"/>
      <c r="CN1085" s="21"/>
      <c r="CO1085" s="21"/>
      <c r="CP1085" s="21"/>
      <c r="CQ1085" s="21"/>
      <c r="CR1085" s="21"/>
      <c r="CS1085" s="21"/>
      <c r="CT1085" s="21"/>
      <c r="CU1085" s="21"/>
      <c r="CV1085" s="21"/>
      <c r="CW1085" s="21"/>
      <c r="CX1085" s="21"/>
      <c r="CY1085" s="21"/>
      <c r="CZ1085" s="22"/>
      <c r="DA1085" s="21"/>
      <c r="DB1085" s="21"/>
    </row>
    <row r="1086" spans="3:106" s="19" customFormat="1" ht="12">
      <c r="C1086" s="21"/>
      <c r="D1086" s="21"/>
      <c r="E1086" s="21"/>
      <c r="F1086" s="21"/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2"/>
      <c r="BA1086" s="21"/>
      <c r="BB1086" s="21"/>
      <c r="BC1086" s="21"/>
      <c r="BD1086" s="21"/>
      <c r="BE1086" s="21"/>
      <c r="BF1086" s="21"/>
      <c r="BG1086" s="21"/>
      <c r="BH1086" s="21"/>
      <c r="BI1086" s="21"/>
      <c r="BJ1086" s="21"/>
      <c r="BK1086" s="21"/>
      <c r="BL1086" s="21"/>
      <c r="BM1086" s="21"/>
      <c r="BN1086" s="21"/>
      <c r="BO1086" s="21"/>
      <c r="BP1086" s="21"/>
      <c r="BQ1086" s="21"/>
      <c r="BR1086" s="21"/>
      <c r="BS1086" s="21"/>
      <c r="BT1086" s="21"/>
      <c r="BU1086" s="21"/>
      <c r="BV1086" s="21"/>
      <c r="BW1086" s="21"/>
      <c r="BX1086" s="21"/>
      <c r="BY1086" s="21"/>
      <c r="BZ1086" s="21"/>
      <c r="CA1086" s="21"/>
      <c r="CB1086" s="21"/>
      <c r="CC1086" s="21"/>
      <c r="CD1086" s="21"/>
      <c r="CE1086" s="21"/>
      <c r="CF1086" s="21"/>
      <c r="CG1086" s="21"/>
      <c r="CH1086" s="21"/>
      <c r="CI1086" s="21"/>
      <c r="CJ1086" s="21"/>
      <c r="CK1086" s="21"/>
      <c r="CL1086" s="21"/>
      <c r="CM1086" s="21"/>
      <c r="CN1086" s="21"/>
      <c r="CO1086" s="21"/>
      <c r="CP1086" s="21"/>
      <c r="CQ1086" s="21"/>
      <c r="CR1086" s="21"/>
      <c r="CS1086" s="21"/>
      <c r="CT1086" s="21"/>
      <c r="CU1086" s="21"/>
      <c r="CV1086" s="21"/>
      <c r="CW1086" s="21"/>
      <c r="CX1086" s="21"/>
      <c r="CY1086" s="21"/>
      <c r="CZ1086" s="22"/>
      <c r="DA1086" s="21"/>
      <c r="DB1086" s="21"/>
    </row>
    <row r="1087" spans="3:106" s="19" customFormat="1" ht="12">
      <c r="C1087" s="21"/>
      <c r="D1087" s="21"/>
      <c r="E1087" s="2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2"/>
      <c r="BA1087" s="21"/>
      <c r="BB1087" s="21"/>
      <c r="BC1087" s="21"/>
      <c r="BD1087" s="21"/>
      <c r="BE1087" s="21"/>
      <c r="BF1087" s="21"/>
      <c r="BG1087" s="21"/>
      <c r="BH1087" s="21"/>
      <c r="BI1087" s="21"/>
      <c r="BJ1087" s="21"/>
      <c r="BK1087" s="21"/>
      <c r="BL1087" s="21"/>
      <c r="BM1087" s="21"/>
      <c r="BN1087" s="21"/>
      <c r="BO1087" s="21"/>
      <c r="BP1087" s="21"/>
      <c r="BQ1087" s="21"/>
      <c r="BR1087" s="21"/>
      <c r="BS1087" s="21"/>
      <c r="BT1087" s="21"/>
      <c r="BU1087" s="21"/>
      <c r="BV1087" s="21"/>
      <c r="BW1087" s="21"/>
      <c r="BX1087" s="21"/>
      <c r="BY1087" s="21"/>
      <c r="BZ1087" s="21"/>
      <c r="CA1087" s="21"/>
      <c r="CB1087" s="21"/>
      <c r="CC1087" s="21"/>
      <c r="CD1087" s="21"/>
      <c r="CE1087" s="21"/>
      <c r="CF1087" s="21"/>
      <c r="CG1087" s="21"/>
      <c r="CH1087" s="21"/>
      <c r="CI1087" s="21"/>
      <c r="CJ1087" s="21"/>
      <c r="CK1087" s="21"/>
      <c r="CL1087" s="21"/>
      <c r="CM1087" s="21"/>
      <c r="CN1087" s="21"/>
      <c r="CO1087" s="21"/>
      <c r="CP1087" s="21"/>
      <c r="CQ1087" s="21"/>
      <c r="CR1087" s="21"/>
      <c r="CS1087" s="21"/>
      <c r="CT1087" s="21"/>
      <c r="CU1087" s="21"/>
      <c r="CV1087" s="21"/>
      <c r="CW1087" s="21"/>
      <c r="CX1087" s="21"/>
      <c r="CY1087" s="21"/>
      <c r="CZ1087" s="22"/>
      <c r="DA1087" s="21"/>
      <c r="DB1087" s="21"/>
    </row>
    <row r="1088" spans="3:106" s="19" customFormat="1" ht="12">
      <c r="C1088" s="21"/>
      <c r="D1088" s="21"/>
      <c r="E1088" s="21"/>
      <c r="F1088" s="21"/>
      <c r="G1088" s="21"/>
      <c r="H1088" s="21"/>
      <c r="I1088" s="21"/>
      <c r="J1088" s="21"/>
      <c r="K1088" s="21"/>
      <c r="L1088" s="21"/>
      <c r="M1088" s="21"/>
      <c r="N1088" s="21"/>
      <c r="O1088" s="21"/>
      <c r="P1088" s="21"/>
      <c r="Q1088" s="21"/>
      <c r="R1088" s="21"/>
      <c r="S1088" s="21"/>
      <c r="T1088" s="21"/>
      <c r="U1088" s="21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2"/>
      <c r="BA1088" s="21"/>
      <c r="BB1088" s="21"/>
      <c r="BC1088" s="21"/>
      <c r="BD1088" s="21"/>
      <c r="BE1088" s="21"/>
      <c r="BF1088" s="21"/>
      <c r="BG1088" s="21"/>
      <c r="BH1088" s="21"/>
      <c r="BI1088" s="21"/>
      <c r="BJ1088" s="21"/>
      <c r="BK1088" s="21"/>
      <c r="BL1088" s="21"/>
      <c r="BM1088" s="21"/>
      <c r="BN1088" s="21"/>
      <c r="BO1088" s="21"/>
      <c r="BP1088" s="21"/>
      <c r="BQ1088" s="21"/>
      <c r="BR1088" s="21"/>
      <c r="BS1088" s="21"/>
      <c r="BT1088" s="21"/>
      <c r="BU1088" s="21"/>
      <c r="BV1088" s="21"/>
      <c r="BW1088" s="21"/>
      <c r="BX1088" s="21"/>
      <c r="BY1088" s="21"/>
      <c r="BZ1088" s="21"/>
      <c r="CA1088" s="21"/>
      <c r="CB1088" s="21"/>
      <c r="CC1088" s="21"/>
      <c r="CD1088" s="21"/>
      <c r="CE1088" s="21"/>
      <c r="CF1088" s="21"/>
      <c r="CG1088" s="21"/>
      <c r="CH1088" s="21"/>
      <c r="CI1088" s="21"/>
      <c r="CJ1088" s="21"/>
      <c r="CK1088" s="21"/>
      <c r="CL1088" s="21"/>
      <c r="CM1088" s="21"/>
      <c r="CN1088" s="21"/>
      <c r="CO1088" s="21"/>
      <c r="CP1088" s="21"/>
      <c r="CQ1088" s="21"/>
      <c r="CR1088" s="21"/>
      <c r="CS1088" s="21"/>
      <c r="CT1088" s="21"/>
      <c r="CU1088" s="21"/>
      <c r="CV1088" s="21"/>
      <c r="CW1088" s="21"/>
      <c r="CX1088" s="21"/>
      <c r="CY1088" s="21"/>
      <c r="CZ1088" s="22"/>
      <c r="DA1088" s="21"/>
      <c r="DB1088" s="21"/>
    </row>
    <row r="1089" spans="3:106" s="19" customFormat="1" ht="12">
      <c r="C1089" s="21"/>
      <c r="D1089" s="21"/>
      <c r="E1089" s="2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  <c r="Q1089" s="21"/>
      <c r="R1089" s="21"/>
      <c r="S1089" s="21"/>
      <c r="T1089" s="21"/>
      <c r="U1089" s="21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2"/>
      <c r="BA1089" s="21"/>
      <c r="BB1089" s="21"/>
      <c r="BC1089" s="21"/>
      <c r="BD1089" s="21"/>
      <c r="BE1089" s="21"/>
      <c r="BF1089" s="21"/>
      <c r="BG1089" s="21"/>
      <c r="BH1089" s="21"/>
      <c r="BI1089" s="21"/>
      <c r="BJ1089" s="21"/>
      <c r="BK1089" s="21"/>
      <c r="BL1089" s="21"/>
      <c r="BM1089" s="21"/>
      <c r="BN1089" s="21"/>
      <c r="BO1089" s="21"/>
      <c r="BP1089" s="21"/>
      <c r="BQ1089" s="21"/>
      <c r="BR1089" s="21"/>
      <c r="BS1089" s="21"/>
      <c r="BT1089" s="21"/>
      <c r="BU1089" s="21"/>
      <c r="BV1089" s="21"/>
      <c r="BW1089" s="21"/>
      <c r="BX1089" s="21"/>
      <c r="BY1089" s="21"/>
      <c r="BZ1089" s="21"/>
      <c r="CA1089" s="21"/>
      <c r="CB1089" s="21"/>
      <c r="CC1089" s="21"/>
      <c r="CD1089" s="21"/>
      <c r="CE1089" s="21"/>
      <c r="CF1089" s="21"/>
      <c r="CG1089" s="21"/>
      <c r="CH1089" s="21"/>
      <c r="CI1089" s="21"/>
      <c r="CJ1089" s="21"/>
      <c r="CK1089" s="21"/>
      <c r="CL1089" s="21"/>
      <c r="CM1089" s="21"/>
      <c r="CN1089" s="21"/>
      <c r="CO1089" s="21"/>
      <c r="CP1089" s="21"/>
      <c r="CQ1089" s="21"/>
      <c r="CR1089" s="21"/>
      <c r="CS1089" s="21"/>
      <c r="CT1089" s="21"/>
      <c r="CU1089" s="21"/>
      <c r="CV1089" s="21"/>
      <c r="CW1089" s="21"/>
      <c r="CX1089" s="21"/>
      <c r="CY1089" s="21"/>
      <c r="CZ1089" s="22"/>
      <c r="DA1089" s="21"/>
      <c r="DB1089" s="21"/>
    </row>
    <row r="1090" spans="3:106" s="19" customFormat="1" ht="12">
      <c r="C1090" s="21"/>
      <c r="D1090" s="21"/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2"/>
      <c r="BA1090" s="21"/>
      <c r="BB1090" s="21"/>
      <c r="BC1090" s="21"/>
      <c r="BD1090" s="21"/>
      <c r="BE1090" s="21"/>
      <c r="BF1090" s="21"/>
      <c r="BG1090" s="21"/>
      <c r="BH1090" s="21"/>
      <c r="BI1090" s="21"/>
      <c r="BJ1090" s="21"/>
      <c r="BK1090" s="21"/>
      <c r="BL1090" s="21"/>
      <c r="BM1090" s="21"/>
      <c r="BN1090" s="21"/>
      <c r="BO1090" s="21"/>
      <c r="BP1090" s="21"/>
      <c r="BQ1090" s="21"/>
      <c r="BR1090" s="21"/>
      <c r="BS1090" s="21"/>
      <c r="BT1090" s="21"/>
      <c r="BU1090" s="21"/>
      <c r="BV1090" s="21"/>
      <c r="BW1090" s="21"/>
      <c r="BX1090" s="21"/>
      <c r="BY1090" s="21"/>
      <c r="BZ1090" s="21"/>
      <c r="CA1090" s="21"/>
      <c r="CB1090" s="21"/>
      <c r="CC1090" s="21"/>
      <c r="CD1090" s="21"/>
      <c r="CE1090" s="21"/>
      <c r="CF1090" s="21"/>
      <c r="CG1090" s="21"/>
      <c r="CH1090" s="21"/>
      <c r="CI1090" s="21"/>
      <c r="CJ1090" s="21"/>
      <c r="CK1090" s="21"/>
      <c r="CL1090" s="21"/>
      <c r="CM1090" s="21"/>
      <c r="CN1090" s="21"/>
      <c r="CO1090" s="21"/>
      <c r="CP1090" s="21"/>
      <c r="CQ1090" s="21"/>
      <c r="CR1090" s="21"/>
      <c r="CS1090" s="21"/>
      <c r="CT1090" s="21"/>
      <c r="CU1090" s="21"/>
      <c r="CV1090" s="21"/>
      <c r="CW1090" s="21"/>
      <c r="CX1090" s="21"/>
      <c r="CY1090" s="21"/>
      <c r="CZ1090" s="22"/>
      <c r="DA1090" s="21"/>
      <c r="DB1090" s="21"/>
    </row>
    <row r="1091" spans="3:106" s="19" customFormat="1" ht="12">
      <c r="C1091" s="21"/>
      <c r="D1091" s="21"/>
      <c r="E1091" s="2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2"/>
      <c r="BA1091" s="21"/>
      <c r="BB1091" s="21"/>
      <c r="BC1091" s="21"/>
      <c r="BD1091" s="21"/>
      <c r="BE1091" s="21"/>
      <c r="BF1091" s="21"/>
      <c r="BG1091" s="21"/>
      <c r="BH1091" s="21"/>
      <c r="BI1091" s="21"/>
      <c r="BJ1091" s="21"/>
      <c r="BK1091" s="21"/>
      <c r="BL1091" s="21"/>
      <c r="BM1091" s="21"/>
      <c r="BN1091" s="21"/>
      <c r="BO1091" s="21"/>
      <c r="BP1091" s="21"/>
      <c r="BQ1091" s="21"/>
      <c r="BR1091" s="21"/>
      <c r="BS1091" s="21"/>
      <c r="BT1091" s="21"/>
      <c r="BU1091" s="21"/>
      <c r="BV1091" s="21"/>
      <c r="BW1091" s="21"/>
      <c r="BX1091" s="21"/>
      <c r="BY1091" s="21"/>
      <c r="BZ1091" s="21"/>
      <c r="CA1091" s="21"/>
      <c r="CB1091" s="21"/>
      <c r="CC1091" s="21"/>
      <c r="CD1091" s="21"/>
      <c r="CE1091" s="21"/>
      <c r="CF1091" s="21"/>
      <c r="CG1091" s="21"/>
      <c r="CH1091" s="21"/>
      <c r="CI1091" s="21"/>
      <c r="CJ1091" s="21"/>
      <c r="CK1091" s="21"/>
      <c r="CL1091" s="21"/>
      <c r="CM1091" s="21"/>
      <c r="CN1091" s="21"/>
      <c r="CO1091" s="21"/>
      <c r="CP1091" s="21"/>
      <c r="CQ1091" s="21"/>
      <c r="CR1091" s="21"/>
      <c r="CS1091" s="21"/>
      <c r="CT1091" s="21"/>
      <c r="CU1091" s="21"/>
      <c r="CV1091" s="21"/>
      <c r="CW1091" s="21"/>
      <c r="CX1091" s="21"/>
      <c r="CY1091" s="21"/>
      <c r="CZ1091" s="22"/>
      <c r="DA1091" s="21"/>
      <c r="DB1091" s="21"/>
    </row>
    <row r="1092" spans="3:106" s="19" customFormat="1" ht="12">
      <c r="C1092" s="21"/>
      <c r="D1092" s="21"/>
      <c r="E1092" s="21"/>
      <c r="F1092" s="21"/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2"/>
      <c r="BA1092" s="21"/>
      <c r="BB1092" s="21"/>
      <c r="BC1092" s="21"/>
      <c r="BD1092" s="21"/>
      <c r="BE1092" s="21"/>
      <c r="BF1092" s="21"/>
      <c r="BG1092" s="21"/>
      <c r="BH1092" s="21"/>
      <c r="BI1092" s="21"/>
      <c r="BJ1092" s="21"/>
      <c r="BK1092" s="21"/>
      <c r="BL1092" s="21"/>
      <c r="BM1092" s="21"/>
      <c r="BN1092" s="21"/>
      <c r="BO1092" s="21"/>
      <c r="BP1092" s="21"/>
      <c r="BQ1092" s="21"/>
      <c r="BR1092" s="21"/>
      <c r="BS1092" s="21"/>
      <c r="BT1092" s="21"/>
      <c r="BU1092" s="21"/>
      <c r="BV1092" s="21"/>
      <c r="BW1092" s="21"/>
      <c r="BX1092" s="21"/>
      <c r="BY1092" s="21"/>
      <c r="BZ1092" s="21"/>
      <c r="CA1092" s="21"/>
      <c r="CB1092" s="21"/>
      <c r="CC1092" s="21"/>
      <c r="CD1092" s="21"/>
      <c r="CE1092" s="21"/>
      <c r="CF1092" s="21"/>
      <c r="CG1092" s="21"/>
      <c r="CH1092" s="21"/>
      <c r="CI1092" s="21"/>
      <c r="CJ1092" s="21"/>
      <c r="CK1092" s="21"/>
      <c r="CL1092" s="21"/>
      <c r="CM1092" s="21"/>
      <c r="CN1092" s="21"/>
      <c r="CO1092" s="21"/>
      <c r="CP1092" s="21"/>
      <c r="CQ1092" s="21"/>
      <c r="CR1092" s="21"/>
      <c r="CS1092" s="21"/>
      <c r="CT1092" s="21"/>
      <c r="CU1092" s="21"/>
      <c r="CV1092" s="21"/>
      <c r="CW1092" s="21"/>
      <c r="CX1092" s="21"/>
      <c r="CY1092" s="21"/>
      <c r="CZ1092" s="22"/>
      <c r="DA1092" s="21"/>
      <c r="DB1092" s="21"/>
    </row>
    <row r="1093" spans="3:106" s="19" customFormat="1" ht="12">
      <c r="C1093" s="21"/>
      <c r="D1093" s="21"/>
      <c r="E1093" s="2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2"/>
      <c r="BA1093" s="21"/>
      <c r="BB1093" s="21"/>
      <c r="BC1093" s="21"/>
      <c r="BD1093" s="21"/>
      <c r="BE1093" s="21"/>
      <c r="BF1093" s="21"/>
      <c r="BG1093" s="21"/>
      <c r="BH1093" s="21"/>
      <c r="BI1093" s="21"/>
      <c r="BJ1093" s="21"/>
      <c r="BK1093" s="21"/>
      <c r="BL1093" s="21"/>
      <c r="BM1093" s="21"/>
      <c r="BN1093" s="21"/>
      <c r="BO1093" s="21"/>
      <c r="BP1093" s="21"/>
      <c r="BQ1093" s="21"/>
      <c r="BR1093" s="21"/>
      <c r="BS1093" s="21"/>
      <c r="BT1093" s="21"/>
      <c r="BU1093" s="21"/>
      <c r="BV1093" s="21"/>
      <c r="BW1093" s="21"/>
      <c r="BX1093" s="21"/>
      <c r="BY1093" s="21"/>
      <c r="BZ1093" s="21"/>
      <c r="CA1093" s="21"/>
      <c r="CB1093" s="21"/>
      <c r="CC1093" s="21"/>
      <c r="CD1093" s="21"/>
      <c r="CE1093" s="21"/>
      <c r="CF1093" s="21"/>
      <c r="CG1093" s="21"/>
      <c r="CH1093" s="21"/>
      <c r="CI1093" s="21"/>
      <c r="CJ1093" s="21"/>
      <c r="CK1093" s="21"/>
      <c r="CL1093" s="21"/>
      <c r="CM1093" s="21"/>
      <c r="CN1093" s="21"/>
      <c r="CO1093" s="21"/>
      <c r="CP1093" s="21"/>
      <c r="CQ1093" s="21"/>
      <c r="CR1093" s="21"/>
      <c r="CS1093" s="21"/>
      <c r="CT1093" s="21"/>
      <c r="CU1093" s="21"/>
      <c r="CV1093" s="21"/>
      <c r="CW1093" s="21"/>
      <c r="CX1093" s="21"/>
      <c r="CY1093" s="21"/>
      <c r="CZ1093" s="22"/>
      <c r="DA1093" s="21"/>
      <c r="DB1093" s="21"/>
    </row>
    <row r="1094" spans="3:106" s="19" customFormat="1" ht="12">
      <c r="C1094" s="21"/>
      <c r="D1094" s="21"/>
      <c r="E1094" s="21"/>
      <c r="F1094" s="21"/>
      <c r="G1094" s="21"/>
      <c r="H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2"/>
      <c r="BA1094" s="21"/>
      <c r="BB1094" s="21"/>
      <c r="BC1094" s="21"/>
      <c r="BD1094" s="21"/>
      <c r="BE1094" s="21"/>
      <c r="BF1094" s="21"/>
      <c r="BG1094" s="21"/>
      <c r="BH1094" s="21"/>
      <c r="BI1094" s="21"/>
      <c r="BJ1094" s="21"/>
      <c r="BK1094" s="21"/>
      <c r="BL1094" s="21"/>
      <c r="BM1094" s="21"/>
      <c r="BN1094" s="21"/>
      <c r="BO1094" s="21"/>
      <c r="BP1094" s="21"/>
      <c r="BQ1094" s="21"/>
      <c r="BR1094" s="21"/>
      <c r="BS1094" s="21"/>
      <c r="BT1094" s="21"/>
      <c r="BU1094" s="21"/>
      <c r="BV1094" s="21"/>
      <c r="BW1094" s="21"/>
      <c r="BX1094" s="21"/>
      <c r="BY1094" s="21"/>
      <c r="BZ1094" s="21"/>
      <c r="CA1094" s="21"/>
      <c r="CB1094" s="21"/>
      <c r="CC1094" s="21"/>
      <c r="CD1094" s="21"/>
      <c r="CE1094" s="21"/>
      <c r="CF1094" s="21"/>
      <c r="CG1094" s="21"/>
      <c r="CH1094" s="21"/>
      <c r="CI1094" s="21"/>
      <c r="CJ1094" s="21"/>
      <c r="CK1094" s="21"/>
      <c r="CL1094" s="21"/>
      <c r="CM1094" s="21"/>
      <c r="CN1094" s="21"/>
      <c r="CO1094" s="21"/>
      <c r="CP1094" s="21"/>
      <c r="CQ1094" s="21"/>
      <c r="CR1094" s="21"/>
      <c r="CS1094" s="21"/>
      <c r="CT1094" s="21"/>
      <c r="CU1094" s="21"/>
      <c r="CV1094" s="21"/>
      <c r="CW1094" s="21"/>
      <c r="CX1094" s="21"/>
      <c r="CY1094" s="21"/>
      <c r="CZ1094" s="22"/>
      <c r="DA1094" s="21"/>
      <c r="DB1094" s="21"/>
    </row>
    <row r="1095" spans="3:106" s="19" customFormat="1" ht="12">
      <c r="C1095" s="21"/>
      <c r="D1095" s="21"/>
      <c r="E1095" s="2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  <c r="Q1095" s="21"/>
      <c r="R1095" s="21"/>
      <c r="S1095" s="21"/>
      <c r="T1095" s="21"/>
      <c r="U1095" s="21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2"/>
      <c r="BA1095" s="21"/>
      <c r="BB1095" s="21"/>
      <c r="BC1095" s="21"/>
      <c r="BD1095" s="21"/>
      <c r="BE1095" s="21"/>
      <c r="BF1095" s="21"/>
      <c r="BG1095" s="21"/>
      <c r="BH1095" s="21"/>
      <c r="BI1095" s="21"/>
      <c r="BJ1095" s="21"/>
      <c r="BK1095" s="21"/>
      <c r="BL1095" s="21"/>
      <c r="BM1095" s="21"/>
      <c r="BN1095" s="21"/>
      <c r="BO1095" s="21"/>
      <c r="BP1095" s="21"/>
      <c r="BQ1095" s="21"/>
      <c r="BR1095" s="21"/>
      <c r="BS1095" s="21"/>
      <c r="BT1095" s="21"/>
      <c r="BU1095" s="21"/>
      <c r="BV1095" s="21"/>
      <c r="BW1095" s="21"/>
      <c r="BX1095" s="21"/>
      <c r="BY1095" s="21"/>
      <c r="BZ1095" s="21"/>
      <c r="CA1095" s="21"/>
      <c r="CB1095" s="21"/>
      <c r="CC1095" s="21"/>
      <c r="CD1095" s="21"/>
      <c r="CE1095" s="21"/>
      <c r="CF1095" s="21"/>
      <c r="CG1095" s="21"/>
      <c r="CH1095" s="21"/>
      <c r="CI1095" s="21"/>
      <c r="CJ1095" s="21"/>
      <c r="CK1095" s="21"/>
      <c r="CL1095" s="21"/>
      <c r="CM1095" s="21"/>
      <c r="CN1095" s="21"/>
      <c r="CO1095" s="21"/>
      <c r="CP1095" s="21"/>
      <c r="CQ1095" s="21"/>
      <c r="CR1095" s="21"/>
      <c r="CS1095" s="21"/>
      <c r="CT1095" s="21"/>
      <c r="CU1095" s="21"/>
      <c r="CV1095" s="21"/>
      <c r="CW1095" s="21"/>
      <c r="CX1095" s="21"/>
      <c r="CY1095" s="21"/>
      <c r="CZ1095" s="22"/>
      <c r="DA1095" s="21"/>
      <c r="DB1095" s="21"/>
    </row>
    <row r="1096" spans="3:106" s="19" customFormat="1" ht="12">
      <c r="C1096" s="21"/>
      <c r="D1096" s="21"/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2"/>
      <c r="BA1096" s="21"/>
      <c r="BB1096" s="21"/>
      <c r="BC1096" s="21"/>
      <c r="BD1096" s="21"/>
      <c r="BE1096" s="21"/>
      <c r="BF1096" s="21"/>
      <c r="BG1096" s="21"/>
      <c r="BH1096" s="21"/>
      <c r="BI1096" s="21"/>
      <c r="BJ1096" s="21"/>
      <c r="BK1096" s="21"/>
      <c r="BL1096" s="21"/>
      <c r="BM1096" s="21"/>
      <c r="BN1096" s="21"/>
      <c r="BO1096" s="21"/>
      <c r="BP1096" s="21"/>
      <c r="BQ1096" s="21"/>
      <c r="BR1096" s="21"/>
      <c r="BS1096" s="21"/>
      <c r="BT1096" s="21"/>
      <c r="BU1096" s="21"/>
      <c r="BV1096" s="21"/>
      <c r="BW1096" s="21"/>
      <c r="BX1096" s="21"/>
      <c r="BY1096" s="21"/>
      <c r="BZ1096" s="21"/>
      <c r="CA1096" s="21"/>
      <c r="CB1096" s="21"/>
      <c r="CC1096" s="21"/>
      <c r="CD1096" s="21"/>
      <c r="CE1096" s="21"/>
      <c r="CF1096" s="21"/>
      <c r="CG1096" s="21"/>
      <c r="CH1096" s="21"/>
      <c r="CI1096" s="21"/>
      <c r="CJ1096" s="21"/>
      <c r="CK1096" s="21"/>
      <c r="CL1096" s="21"/>
      <c r="CM1096" s="21"/>
      <c r="CN1096" s="21"/>
      <c r="CO1096" s="21"/>
      <c r="CP1096" s="21"/>
      <c r="CQ1096" s="21"/>
      <c r="CR1096" s="21"/>
      <c r="CS1096" s="21"/>
      <c r="CT1096" s="21"/>
      <c r="CU1096" s="21"/>
      <c r="CV1096" s="21"/>
      <c r="CW1096" s="21"/>
      <c r="CX1096" s="21"/>
      <c r="CY1096" s="21"/>
      <c r="CZ1096" s="22"/>
      <c r="DA1096" s="21"/>
      <c r="DB1096" s="21"/>
    </row>
    <row r="1097" spans="3:106" s="19" customFormat="1" ht="12">
      <c r="C1097" s="21"/>
      <c r="D1097" s="21"/>
      <c r="E1097" s="2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2"/>
      <c r="BA1097" s="21"/>
      <c r="BB1097" s="21"/>
      <c r="BC1097" s="21"/>
      <c r="BD1097" s="21"/>
      <c r="BE1097" s="21"/>
      <c r="BF1097" s="21"/>
      <c r="BG1097" s="21"/>
      <c r="BH1097" s="21"/>
      <c r="BI1097" s="21"/>
      <c r="BJ1097" s="21"/>
      <c r="BK1097" s="21"/>
      <c r="BL1097" s="21"/>
      <c r="BM1097" s="21"/>
      <c r="BN1097" s="21"/>
      <c r="BO1097" s="21"/>
      <c r="BP1097" s="21"/>
      <c r="BQ1097" s="21"/>
      <c r="BR1097" s="21"/>
      <c r="BS1097" s="21"/>
      <c r="BT1097" s="21"/>
      <c r="BU1097" s="21"/>
      <c r="BV1097" s="21"/>
      <c r="BW1097" s="21"/>
      <c r="BX1097" s="21"/>
      <c r="BY1097" s="21"/>
      <c r="BZ1097" s="21"/>
      <c r="CA1097" s="21"/>
      <c r="CB1097" s="21"/>
      <c r="CC1097" s="21"/>
      <c r="CD1097" s="21"/>
      <c r="CE1097" s="21"/>
      <c r="CF1097" s="21"/>
      <c r="CG1097" s="21"/>
      <c r="CH1097" s="21"/>
      <c r="CI1097" s="21"/>
      <c r="CJ1097" s="21"/>
      <c r="CK1097" s="21"/>
      <c r="CL1097" s="21"/>
      <c r="CM1097" s="21"/>
      <c r="CN1097" s="21"/>
      <c r="CO1097" s="21"/>
      <c r="CP1097" s="21"/>
      <c r="CQ1097" s="21"/>
      <c r="CR1097" s="21"/>
      <c r="CS1097" s="21"/>
      <c r="CT1097" s="21"/>
      <c r="CU1097" s="21"/>
      <c r="CV1097" s="21"/>
      <c r="CW1097" s="21"/>
      <c r="CX1097" s="21"/>
      <c r="CY1097" s="21"/>
      <c r="CZ1097" s="22"/>
      <c r="DA1097" s="21"/>
      <c r="DB1097" s="21"/>
    </row>
    <row r="1098" spans="3:106" s="19" customFormat="1" ht="12">
      <c r="C1098" s="21"/>
      <c r="D1098" s="21"/>
      <c r="E1098" s="21"/>
      <c r="F1098" s="21"/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2"/>
      <c r="BA1098" s="21"/>
      <c r="BB1098" s="21"/>
      <c r="BC1098" s="21"/>
      <c r="BD1098" s="21"/>
      <c r="BE1098" s="21"/>
      <c r="BF1098" s="21"/>
      <c r="BG1098" s="21"/>
      <c r="BH1098" s="21"/>
      <c r="BI1098" s="21"/>
      <c r="BJ1098" s="21"/>
      <c r="BK1098" s="21"/>
      <c r="BL1098" s="21"/>
      <c r="BM1098" s="21"/>
      <c r="BN1098" s="21"/>
      <c r="BO1098" s="21"/>
      <c r="BP1098" s="21"/>
      <c r="BQ1098" s="21"/>
      <c r="BR1098" s="21"/>
      <c r="BS1098" s="21"/>
      <c r="BT1098" s="21"/>
      <c r="BU1098" s="21"/>
      <c r="BV1098" s="21"/>
      <c r="BW1098" s="21"/>
      <c r="BX1098" s="21"/>
      <c r="BY1098" s="21"/>
      <c r="BZ1098" s="21"/>
      <c r="CA1098" s="21"/>
      <c r="CB1098" s="21"/>
      <c r="CC1098" s="21"/>
      <c r="CD1098" s="21"/>
      <c r="CE1098" s="21"/>
      <c r="CF1098" s="21"/>
      <c r="CG1098" s="21"/>
      <c r="CH1098" s="21"/>
      <c r="CI1098" s="21"/>
      <c r="CJ1098" s="21"/>
      <c r="CK1098" s="21"/>
      <c r="CL1098" s="21"/>
      <c r="CM1098" s="21"/>
      <c r="CN1098" s="21"/>
      <c r="CO1098" s="21"/>
      <c r="CP1098" s="21"/>
      <c r="CQ1098" s="21"/>
      <c r="CR1098" s="21"/>
      <c r="CS1098" s="21"/>
      <c r="CT1098" s="21"/>
      <c r="CU1098" s="21"/>
      <c r="CV1098" s="21"/>
      <c r="CW1098" s="21"/>
      <c r="CX1098" s="21"/>
      <c r="CY1098" s="21"/>
      <c r="CZ1098" s="22"/>
      <c r="DA1098" s="21"/>
      <c r="DB1098" s="21"/>
    </row>
    <row r="1099" spans="3:106" s="19" customFormat="1" ht="12">
      <c r="C1099" s="21"/>
      <c r="D1099" s="21"/>
      <c r="E1099" s="2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2"/>
      <c r="BA1099" s="21"/>
      <c r="BB1099" s="21"/>
      <c r="BC1099" s="21"/>
      <c r="BD1099" s="21"/>
      <c r="BE1099" s="21"/>
      <c r="BF1099" s="21"/>
      <c r="BG1099" s="21"/>
      <c r="BH1099" s="21"/>
      <c r="BI1099" s="21"/>
      <c r="BJ1099" s="21"/>
      <c r="BK1099" s="21"/>
      <c r="BL1099" s="21"/>
      <c r="BM1099" s="21"/>
      <c r="BN1099" s="21"/>
      <c r="BO1099" s="21"/>
      <c r="BP1099" s="21"/>
      <c r="BQ1099" s="21"/>
      <c r="BR1099" s="21"/>
      <c r="BS1099" s="21"/>
      <c r="BT1099" s="21"/>
      <c r="BU1099" s="21"/>
      <c r="BV1099" s="21"/>
      <c r="BW1099" s="21"/>
      <c r="BX1099" s="21"/>
      <c r="BY1099" s="21"/>
      <c r="BZ1099" s="21"/>
      <c r="CA1099" s="21"/>
      <c r="CB1099" s="21"/>
      <c r="CC1099" s="21"/>
      <c r="CD1099" s="21"/>
      <c r="CE1099" s="21"/>
      <c r="CF1099" s="21"/>
      <c r="CG1099" s="21"/>
      <c r="CH1099" s="21"/>
      <c r="CI1099" s="21"/>
      <c r="CJ1099" s="21"/>
      <c r="CK1099" s="21"/>
      <c r="CL1099" s="21"/>
      <c r="CM1099" s="21"/>
      <c r="CN1099" s="21"/>
      <c r="CO1099" s="21"/>
      <c r="CP1099" s="21"/>
      <c r="CQ1099" s="21"/>
      <c r="CR1099" s="21"/>
      <c r="CS1099" s="21"/>
      <c r="CT1099" s="21"/>
      <c r="CU1099" s="21"/>
      <c r="CV1099" s="21"/>
      <c r="CW1099" s="21"/>
      <c r="CX1099" s="21"/>
      <c r="CY1099" s="21"/>
      <c r="CZ1099" s="22"/>
      <c r="DA1099" s="21"/>
      <c r="DB1099" s="21"/>
    </row>
    <row r="1100" spans="3:106" s="19" customFormat="1" ht="12">
      <c r="C1100" s="21"/>
      <c r="D1100" s="21"/>
      <c r="E1100" s="21"/>
      <c r="F1100" s="21"/>
      <c r="G1100" s="21"/>
      <c r="H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2"/>
      <c r="BA1100" s="21"/>
      <c r="BB1100" s="21"/>
      <c r="BC1100" s="21"/>
      <c r="BD1100" s="21"/>
      <c r="BE1100" s="21"/>
      <c r="BF1100" s="21"/>
      <c r="BG1100" s="21"/>
      <c r="BH1100" s="21"/>
      <c r="BI1100" s="21"/>
      <c r="BJ1100" s="21"/>
      <c r="BK1100" s="21"/>
      <c r="BL1100" s="21"/>
      <c r="BM1100" s="21"/>
      <c r="BN1100" s="21"/>
      <c r="BO1100" s="21"/>
      <c r="BP1100" s="21"/>
      <c r="BQ1100" s="21"/>
      <c r="BR1100" s="21"/>
      <c r="BS1100" s="21"/>
      <c r="BT1100" s="21"/>
      <c r="BU1100" s="21"/>
      <c r="BV1100" s="21"/>
      <c r="BW1100" s="21"/>
      <c r="BX1100" s="21"/>
      <c r="BY1100" s="21"/>
      <c r="BZ1100" s="21"/>
      <c r="CA1100" s="21"/>
      <c r="CB1100" s="21"/>
      <c r="CC1100" s="21"/>
      <c r="CD1100" s="21"/>
      <c r="CE1100" s="21"/>
      <c r="CF1100" s="21"/>
      <c r="CG1100" s="21"/>
      <c r="CH1100" s="21"/>
      <c r="CI1100" s="21"/>
      <c r="CJ1100" s="21"/>
      <c r="CK1100" s="21"/>
      <c r="CL1100" s="21"/>
      <c r="CM1100" s="21"/>
      <c r="CN1100" s="21"/>
      <c r="CO1100" s="21"/>
      <c r="CP1100" s="21"/>
      <c r="CQ1100" s="21"/>
      <c r="CR1100" s="21"/>
      <c r="CS1100" s="21"/>
      <c r="CT1100" s="21"/>
      <c r="CU1100" s="21"/>
      <c r="CV1100" s="21"/>
      <c r="CW1100" s="21"/>
      <c r="CX1100" s="21"/>
      <c r="CY1100" s="21"/>
      <c r="CZ1100" s="22"/>
      <c r="DA1100" s="21"/>
      <c r="DB1100" s="21"/>
    </row>
    <row r="1101" spans="3:106" s="19" customFormat="1" ht="12">
      <c r="C1101" s="21"/>
      <c r="D1101" s="21"/>
      <c r="E1101" s="2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2"/>
      <c r="BA1101" s="21"/>
      <c r="BB1101" s="21"/>
      <c r="BC1101" s="21"/>
      <c r="BD1101" s="21"/>
      <c r="BE1101" s="21"/>
      <c r="BF1101" s="21"/>
      <c r="BG1101" s="21"/>
      <c r="BH1101" s="21"/>
      <c r="BI1101" s="21"/>
      <c r="BJ1101" s="21"/>
      <c r="BK1101" s="21"/>
      <c r="BL1101" s="21"/>
      <c r="BM1101" s="21"/>
      <c r="BN1101" s="21"/>
      <c r="BO1101" s="21"/>
      <c r="BP1101" s="21"/>
      <c r="BQ1101" s="21"/>
      <c r="BR1101" s="21"/>
      <c r="BS1101" s="21"/>
      <c r="BT1101" s="21"/>
      <c r="BU1101" s="21"/>
      <c r="BV1101" s="21"/>
      <c r="BW1101" s="21"/>
      <c r="BX1101" s="21"/>
      <c r="BY1101" s="21"/>
      <c r="BZ1101" s="21"/>
      <c r="CA1101" s="21"/>
      <c r="CB1101" s="21"/>
      <c r="CC1101" s="21"/>
      <c r="CD1101" s="21"/>
      <c r="CE1101" s="21"/>
      <c r="CF1101" s="21"/>
      <c r="CG1101" s="21"/>
      <c r="CH1101" s="21"/>
      <c r="CI1101" s="21"/>
      <c r="CJ1101" s="21"/>
      <c r="CK1101" s="21"/>
      <c r="CL1101" s="21"/>
      <c r="CM1101" s="21"/>
      <c r="CN1101" s="21"/>
      <c r="CO1101" s="21"/>
      <c r="CP1101" s="21"/>
      <c r="CQ1101" s="21"/>
      <c r="CR1101" s="21"/>
      <c r="CS1101" s="21"/>
      <c r="CT1101" s="21"/>
      <c r="CU1101" s="21"/>
      <c r="CV1101" s="21"/>
      <c r="CW1101" s="21"/>
      <c r="CX1101" s="21"/>
      <c r="CY1101" s="21"/>
      <c r="CZ1101" s="22"/>
      <c r="DA1101" s="21"/>
      <c r="DB1101" s="21"/>
    </row>
    <row r="1102" spans="3:106" s="19" customFormat="1" ht="12">
      <c r="C1102" s="21"/>
      <c r="D1102" s="21"/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2"/>
      <c r="BA1102" s="21"/>
      <c r="BB1102" s="21"/>
      <c r="BC1102" s="21"/>
      <c r="BD1102" s="21"/>
      <c r="BE1102" s="21"/>
      <c r="BF1102" s="21"/>
      <c r="BG1102" s="21"/>
      <c r="BH1102" s="21"/>
      <c r="BI1102" s="21"/>
      <c r="BJ1102" s="21"/>
      <c r="BK1102" s="21"/>
      <c r="BL1102" s="21"/>
      <c r="BM1102" s="21"/>
      <c r="BN1102" s="21"/>
      <c r="BO1102" s="21"/>
      <c r="BP1102" s="21"/>
      <c r="BQ1102" s="21"/>
      <c r="BR1102" s="21"/>
      <c r="BS1102" s="21"/>
      <c r="BT1102" s="21"/>
      <c r="BU1102" s="21"/>
      <c r="BV1102" s="21"/>
      <c r="BW1102" s="21"/>
      <c r="BX1102" s="21"/>
      <c r="BY1102" s="21"/>
      <c r="BZ1102" s="21"/>
      <c r="CA1102" s="21"/>
      <c r="CB1102" s="21"/>
      <c r="CC1102" s="21"/>
      <c r="CD1102" s="21"/>
      <c r="CE1102" s="21"/>
      <c r="CF1102" s="21"/>
      <c r="CG1102" s="21"/>
      <c r="CH1102" s="21"/>
      <c r="CI1102" s="21"/>
      <c r="CJ1102" s="21"/>
      <c r="CK1102" s="21"/>
      <c r="CL1102" s="21"/>
      <c r="CM1102" s="21"/>
      <c r="CN1102" s="21"/>
      <c r="CO1102" s="21"/>
      <c r="CP1102" s="21"/>
      <c r="CQ1102" s="21"/>
      <c r="CR1102" s="21"/>
      <c r="CS1102" s="21"/>
      <c r="CT1102" s="21"/>
      <c r="CU1102" s="21"/>
      <c r="CV1102" s="21"/>
      <c r="CW1102" s="21"/>
      <c r="CX1102" s="21"/>
      <c r="CY1102" s="21"/>
      <c r="CZ1102" s="22"/>
      <c r="DA1102" s="21"/>
      <c r="DB1102" s="21"/>
    </row>
    <row r="1103" spans="3:106" s="19" customFormat="1" ht="12">
      <c r="C1103" s="21"/>
      <c r="D1103" s="21"/>
      <c r="E1103" s="2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2"/>
      <c r="BA1103" s="21"/>
      <c r="BB1103" s="21"/>
      <c r="BC1103" s="21"/>
      <c r="BD1103" s="21"/>
      <c r="BE1103" s="21"/>
      <c r="BF1103" s="21"/>
      <c r="BG1103" s="21"/>
      <c r="BH1103" s="21"/>
      <c r="BI1103" s="21"/>
      <c r="BJ1103" s="21"/>
      <c r="BK1103" s="21"/>
      <c r="BL1103" s="21"/>
      <c r="BM1103" s="21"/>
      <c r="BN1103" s="21"/>
      <c r="BO1103" s="21"/>
      <c r="BP1103" s="21"/>
      <c r="BQ1103" s="21"/>
      <c r="BR1103" s="21"/>
      <c r="BS1103" s="21"/>
      <c r="BT1103" s="21"/>
      <c r="BU1103" s="21"/>
      <c r="BV1103" s="21"/>
      <c r="BW1103" s="21"/>
      <c r="BX1103" s="21"/>
      <c r="BY1103" s="21"/>
      <c r="BZ1103" s="21"/>
      <c r="CA1103" s="21"/>
      <c r="CB1103" s="21"/>
      <c r="CC1103" s="21"/>
      <c r="CD1103" s="21"/>
      <c r="CE1103" s="21"/>
      <c r="CF1103" s="21"/>
      <c r="CG1103" s="21"/>
      <c r="CH1103" s="21"/>
      <c r="CI1103" s="21"/>
      <c r="CJ1103" s="21"/>
      <c r="CK1103" s="21"/>
      <c r="CL1103" s="21"/>
      <c r="CM1103" s="21"/>
      <c r="CN1103" s="21"/>
      <c r="CO1103" s="21"/>
      <c r="CP1103" s="21"/>
      <c r="CQ1103" s="21"/>
      <c r="CR1103" s="21"/>
      <c r="CS1103" s="21"/>
      <c r="CT1103" s="21"/>
      <c r="CU1103" s="21"/>
      <c r="CV1103" s="21"/>
      <c r="CW1103" s="21"/>
      <c r="CX1103" s="21"/>
      <c r="CY1103" s="21"/>
      <c r="CZ1103" s="22"/>
      <c r="DA1103" s="21"/>
      <c r="DB1103" s="21"/>
    </row>
    <row r="1104" spans="3:106" s="19" customFormat="1" ht="12">
      <c r="C1104" s="21"/>
      <c r="D1104" s="21"/>
      <c r="E1104" s="21"/>
      <c r="F1104" s="21"/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2"/>
      <c r="BA1104" s="21"/>
      <c r="BB1104" s="21"/>
      <c r="BC1104" s="21"/>
      <c r="BD1104" s="21"/>
      <c r="BE1104" s="21"/>
      <c r="BF1104" s="21"/>
      <c r="BG1104" s="21"/>
      <c r="BH1104" s="21"/>
      <c r="BI1104" s="21"/>
      <c r="BJ1104" s="21"/>
      <c r="BK1104" s="21"/>
      <c r="BL1104" s="21"/>
      <c r="BM1104" s="21"/>
      <c r="BN1104" s="21"/>
      <c r="BO1104" s="21"/>
      <c r="BP1104" s="21"/>
      <c r="BQ1104" s="21"/>
      <c r="BR1104" s="21"/>
      <c r="BS1104" s="21"/>
      <c r="BT1104" s="21"/>
      <c r="BU1104" s="21"/>
      <c r="BV1104" s="21"/>
      <c r="BW1104" s="21"/>
      <c r="BX1104" s="21"/>
      <c r="BY1104" s="21"/>
      <c r="BZ1104" s="21"/>
      <c r="CA1104" s="21"/>
      <c r="CB1104" s="21"/>
      <c r="CC1104" s="21"/>
      <c r="CD1104" s="21"/>
      <c r="CE1104" s="21"/>
      <c r="CF1104" s="21"/>
      <c r="CG1104" s="21"/>
      <c r="CH1104" s="21"/>
      <c r="CI1104" s="21"/>
      <c r="CJ1104" s="21"/>
      <c r="CK1104" s="21"/>
      <c r="CL1104" s="21"/>
      <c r="CM1104" s="21"/>
      <c r="CN1104" s="21"/>
      <c r="CO1104" s="21"/>
      <c r="CP1104" s="21"/>
      <c r="CQ1104" s="21"/>
      <c r="CR1104" s="21"/>
      <c r="CS1104" s="21"/>
      <c r="CT1104" s="21"/>
      <c r="CU1104" s="21"/>
      <c r="CV1104" s="21"/>
      <c r="CW1104" s="21"/>
      <c r="CX1104" s="21"/>
      <c r="CY1104" s="21"/>
      <c r="CZ1104" s="22"/>
      <c r="DA1104" s="21"/>
      <c r="DB1104" s="21"/>
    </row>
    <row r="1105" spans="3:106" s="19" customFormat="1" ht="12">
      <c r="C1105" s="21"/>
      <c r="D1105" s="21"/>
      <c r="E1105" s="2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  <c r="Q1105" s="21"/>
      <c r="R1105" s="21"/>
      <c r="S1105" s="21"/>
      <c r="T1105" s="21"/>
      <c r="U1105" s="21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2"/>
      <c r="BA1105" s="21"/>
      <c r="BB1105" s="21"/>
      <c r="BC1105" s="21"/>
      <c r="BD1105" s="21"/>
      <c r="BE1105" s="21"/>
      <c r="BF1105" s="21"/>
      <c r="BG1105" s="21"/>
      <c r="BH1105" s="21"/>
      <c r="BI1105" s="21"/>
      <c r="BJ1105" s="21"/>
      <c r="BK1105" s="21"/>
      <c r="BL1105" s="21"/>
      <c r="BM1105" s="21"/>
      <c r="BN1105" s="21"/>
      <c r="BO1105" s="21"/>
      <c r="BP1105" s="21"/>
      <c r="BQ1105" s="21"/>
      <c r="BR1105" s="21"/>
      <c r="BS1105" s="21"/>
      <c r="BT1105" s="21"/>
      <c r="BU1105" s="21"/>
      <c r="BV1105" s="21"/>
      <c r="BW1105" s="21"/>
      <c r="BX1105" s="21"/>
      <c r="BY1105" s="21"/>
      <c r="BZ1105" s="21"/>
      <c r="CA1105" s="21"/>
      <c r="CB1105" s="21"/>
      <c r="CC1105" s="21"/>
      <c r="CD1105" s="21"/>
      <c r="CE1105" s="21"/>
      <c r="CF1105" s="21"/>
      <c r="CG1105" s="21"/>
      <c r="CH1105" s="21"/>
      <c r="CI1105" s="21"/>
      <c r="CJ1105" s="21"/>
      <c r="CK1105" s="21"/>
      <c r="CL1105" s="21"/>
      <c r="CM1105" s="21"/>
      <c r="CN1105" s="21"/>
      <c r="CO1105" s="21"/>
      <c r="CP1105" s="21"/>
      <c r="CQ1105" s="21"/>
      <c r="CR1105" s="21"/>
      <c r="CS1105" s="21"/>
      <c r="CT1105" s="21"/>
      <c r="CU1105" s="21"/>
      <c r="CV1105" s="21"/>
      <c r="CW1105" s="21"/>
      <c r="CX1105" s="21"/>
      <c r="CY1105" s="21"/>
      <c r="CZ1105" s="22"/>
      <c r="DA1105" s="21"/>
      <c r="DB1105" s="21"/>
    </row>
    <row r="1106" spans="3:106" s="19" customFormat="1" ht="12">
      <c r="C1106" s="21"/>
      <c r="D1106" s="21"/>
      <c r="E1106" s="21"/>
      <c r="F1106" s="21"/>
      <c r="G1106" s="21"/>
      <c r="H1106" s="21"/>
      <c r="I1106" s="21"/>
      <c r="J1106" s="21"/>
      <c r="K1106" s="21"/>
      <c r="L1106" s="21"/>
      <c r="M1106" s="21"/>
      <c r="N1106" s="21"/>
      <c r="O1106" s="21"/>
      <c r="P1106" s="21"/>
      <c r="Q1106" s="21"/>
      <c r="R1106" s="21"/>
      <c r="S1106" s="21"/>
      <c r="T1106" s="21"/>
      <c r="U1106" s="21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2"/>
      <c r="BA1106" s="21"/>
      <c r="BB1106" s="21"/>
      <c r="BC1106" s="21"/>
      <c r="BD1106" s="21"/>
      <c r="BE1106" s="21"/>
      <c r="BF1106" s="21"/>
      <c r="BG1106" s="21"/>
      <c r="BH1106" s="21"/>
      <c r="BI1106" s="21"/>
      <c r="BJ1106" s="21"/>
      <c r="BK1106" s="21"/>
      <c r="BL1106" s="21"/>
      <c r="BM1106" s="21"/>
      <c r="BN1106" s="21"/>
      <c r="BO1106" s="21"/>
      <c r="BP1106" s="21"/>
      <c r="BQ1106" s="21"/>
      <c r="BR1106" s="21"/>
      <c r="BS1106" s="21"/>
      <c r="BT1106" s="21"/>
      <c r="BU1106" s="21"/>
      <c r="BV1106" s="21"/>
      <c r="BW1106" s="21"/>
      <c r="BX1106" s="21"/>
      <c r="BY1106" s="21"/>
      <c r="BZ1106" s="21"/>
      <c r="CA1106" s="21"/>
      <c r="CB1106" s="21"/>
      <c r="CC1106" s="21"/>
      <c r="CD1106" s="21"/>
      <c r="CE1106" s="21"/>
      <c r="CF1106" s="21"/>
      <c r="CG1106" s="21"/>
      <c r="CH1106" s="21"/>
      <c r="CI1106" s="21"/>
      <c r="CJ1106" s="21"/>
      <c r="CK1106" s="21"/>
      <c r="CL1106" s="21"/>
      <c r="CM1106" s="21"/>
      <c r="CN1106" s="21"/>
      <c r="CO1106" s="21"/>
      <c r="CP1106" s="21"/>
      <c r="CQ1106" s="21"/>
      <c r="CR1106" s="21"/>
      <c r="CS1106" s="21"/>
      <c r="CT1106" s="21"/>
      <c r="CU1106" s="21"/>
      <c r="CV1106" s="21"/>
      <c r="CW1106" s="21"/>
      <c r="CX1106" s="21"/>
      <c r="CY1106" s="21"/>
      <c r="CZ1106" s="22"/>
      <c r="DA1106" s="21"/>
      <c r="DB1106" s="21"/>
    </row>
    <row r="1107" spans="3:106" s="19" customFormat="1" ht="12">
      <c r="C1107" s="21"/>
      <c r="D1107" s="21"/>
      <c r="E1107" s="2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  <c r="Q1107" s="21"/>
      <c r="R1107" s="21"/>
      <c r="S1107" s="21"/>
      <c r="T1107" s="21"/>
      <c r="U1107" s="21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2"/>
      <c r="BA1107" s="21"/>
      <c r="BB1107" s="21"/>
      <c r="BC1107" s="21"/>
      <c r="BD1107" s="21"/>
      <c r="BE1107" s="21"/>
      <c r="BF1107" s="21"/>
      <c r="BG1107" s="21"/>
      <c r="BH1107" s="21"/>
      <c r="BI1107" s="21"/>
      <c r="BJ1107" s="21"/>
      <c r="BK1107" s="21"/>
      <c r="BL1107" s="21"/>
      <c r="BM1107" s="21"/>
      <c r="BN1107" s="21"/>
      <c r="BO1107" s="21"/>
      <c r="BP1107" s="21"/>
      <c r="BQ1107" s="21"/>
      <c r="BR1107" s="21"/>
      <c r="BS1107" s="21"/>
      <c r="BT1107" s="21"/>
      <c r="BU1107" s="21"/>
      <c r="BV1107" s="21"/>
      <c r="BW1107" s="21"/>
      <c r="BX1107" s="21"/>
      <c r="BY1107" s="21"/>
      <c r="BZ1107" s="21"/>
      <c r="CA1107" s="21"/>
      <c r="CB1107" s="21"/>
      <c r="CC1107" s="21"/>
      <c r="CD1107" s="21"/>
      <c r="CE1107" s="21"/>
      <c r="CF1107" s="21"/>
      <c r="CG1107" s="21"/>
      <c r="CH1107" s="21"/>
      <c r="CI1107" s="21"/>
      <c r="CJ1107" s="21"/>
      <c r="CK1107" s="21"/>
      <c r="CL1107" s="21"/>
      <c r="CM1107" s="21"/>
      <c r="CN1107" s="21"/>
      <c r="CO1107" s="21"/>
      <c r="CP1107" s="21"/>
      <c r="CQ1107" s="21"/>
      <c r="CR1107" s="21"/>
      <c r="CS1107" s="21"/>
      <c r="CT1107" s="21"/>
      <c r="CU1107" s="21"/>
      <c r="CV1107" s="21"/>
      <c r="CW1107" s="21"/>
      <c r="CX1107" s="21"/>
      <c r="CY1107" s="21"/>
      <c r="CZ1107" s="22"/>
      <c r="DA1107" s="21"/>
      <c r="DB1107" s="21"/>
    </row>
    <row r="1108" spans="3:106" s="19" customFormat="1" ht="12">
      <c r="C1108" s="21"/>
      <c r="D1108" s="21"/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2"/>
      <c r="BA1108" s="21"/>
      <c r="BB1108" s="21"/>
      <c r="BC1108" s="21"/>
      <c r="BD1108" s="21"/>
      <c r="BE1108" s="21"/>
      <c r="BF1108" s="21"/>
      <c r="BG1108" s="21"/>
      <c r="BH1108" s="21"/>
      <c r="BI1108" s="21"/>
      <c r="BJ1108" s="21"/>
      <c r="BK1108" s="21"/>
      <c r="BL1108" s="21"/>
      <c r="BM1108" s="21"/>
      <c r="BN1108" s="21"/>
      <c r="BO1108" s="21"/>
      <c r="BP1108" s="21"/>
      <c r="BQ1108" s="21"/>
      <c r="BR1108" s="21"/>
      <c r="BS1108" s="21"/>
      <c r="BT1108" s="21"/>
      <c r="BU1108" s="21"/>
      <c r="BV1108" s="21"/>
      <c r="BW1108" s="21"/>
      <c r="BX1108" s="21"/>
      <c r="BY1108" s="21"/>
      <c r="BZ1108" s="21"/>
      <c r="CA1108" s="21"/>
      <c r="CB1108" s="21"/>
      <c r="CC1108" s="21"/>
      <c r="CD1108" s="21"/>
      <c r="CE1108" s="21"/>
      <c r="CF1108" s="21"/>
      <c r="CG1108" s="21"/>
      <c r="CH1108" s="21"/>
      <c r="CI1108" s="21"/>
      <c r="CJ1108" s="21"/>
      <c r="CK1108" s="21"/>
      <c r="CL1108" s="21"/>
      <c r="CM1108" s="21"/>
      <c r="CN1108" s="21"/>
      <c r="CO1108" s="21"/>
      <c r="CP1108" s="21"/>
      <c r="CQ1108" s="21"/>
      <c r="CR1108" s="21"/>
      <c r="CS1108" s="21"/>
      <c r="CT1108" s="21"/>
      <c r="CU1108" s="21"/>
      <c r="CV1108" s="21"/>
      <c r="CW1108" s="21"/>
      <c r="CX1108" s="21"/>
      <c r="CY1108" s="21"/>
      <c r="CZ1108" s="22"/>
      <c r="DA1108" s="21"/>
      <c r="DB1108" s="21"/>
    </row>
    <row r="1109" spans="3:106" s="19" customFormat="1" ht="12">
      <c r="C1109" s="21"/>
      <c r="D1109" s="21"/>
      <c r="E1109" s="2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2"/>
      <c r="BA1109" s="21"/>
      <c r="BB1109" s="21"/>
      <c r="BC1109" s="21"/>
      <c r="BD1109" s="21"/>
      <c r="BE1109" s="21"/>
      <c r="BF1109" s="21"/>
      <c r="BG1109" s="21"/>
      <c r="BH1109" s="21"/>
      <c r="BI1109" s="21"/>
      <c r="BJ1109" s="21"/>
      <c r="BK1109" s="21"/>
      <c r="BL1109" s="21"/>
      <c r="BM1109" s="21"/>
      <c r="BN1109" s="21"/>
      <c r="BO1109" s="21"/>
      <c r="BP1109" s="21"/>
      <c r="BQ1109" s="21"/>
      <c r="BR1109" s="21"/>
      <c r="BS1109" s="21"/>
      <c r="BT1109" s="21"/>
      <c r="BU1109" s="21"/>
      <c r="BV1109" s="21"/>
      <c r="BW1109" s="21"/>
      <c r="BX1109" s="21"/>
      <c r="BY1109" s="21"/>
      <c r="BZ1109" s="21"/>
      <c r="CA1109" s="21"/>
      <c r="CB1109" s="21"/>
      <c r="CC1109" s="21"/>
      <c r="CD1109" s="21"/>
      <c r="CE1109" s="21"/>
      <c r="CF1109" s="21"/>
      <c r="CG1109" s="21"/>
      <c r="CH1109" s="21"/>
      <c r="CI1109" s="21"/>
      <c r="CJ1109" s="21"/>
      <c r="CK1109" s="21"/>
      <c r="CL1109" s="21"/>
      <c r="CM1109" s="21"/>
      <c r="CN1109" s="21"/>
      <c r="CO1109" s="21"/>
      <c r="CP1109" s="21"/>
      <c r="CQ1109" s="21"/>
      <c r="CR1109" s="21"/>
      <c r="CS1109" s="21"/>
      <c r="CT1109" s="21"/>
      <c r="CU1109" s="21"/>
      <c r="CV1109" s="21"/>
      <c r="CW1109" s="21"/>
      <c r="CX1109" s="21"/>
      <c r="CY1109" s="21"/>
      <c r="CZ1109" s="22"/>
      <c r="DA1109" s="21"/>
      <c r="DB1109" s="21"/>
    </row>
    <row r="1110" spans="3:106" s="19" customFormat="1" ht="12">
      <c r="C1110" s="21"/>
      <c r="D1110" s="21"/>
      <c r="E1110" s="21"/>
      <c r="F1110" s="21"/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2"/>
      <c r="BA1110" s="21"/>
      <c r="BB1110" s="21"/>
      <c r="BC1110" s="21"/>
      <c r="BD1110" s="21"/>
      <c r="BE1110" s="21"/>
      <c r="BF1110" s="21"/>
      <c r="BG1110" s="21"/>
      <c r="BH1110" s="21"/>
      <c r="BI1110" s="21"/>
      <c r="BJ1110" s="21"/>
      <c r="BK1110" s="21"/>
      <c r="BL1110" s="21"/>
      <c r="BM1110" s="21"/>
      <c r="BN1110" s="21"/>
      <c r="BO1110" s="21"/>
      <c r="BP1110" s="21"/>
      <c r="BQ1110" s="21"/>
      <c r="BR1110" s="21"/>
      <c r="BS1110" s="21"/>
      <c r="BT1110" s="21"/>
      <c r="BU1110" s="21"/>
      <c r="BV1110" s="21"/>
      <c r="BW1110" s="21"/>
      <c r="BX1110" s="21"/>
      <c r="BY1110" s="21"/>
      <c r="BZ1110" s="21"/>
      <c r="CA1110" s="21"/>
      <c r="CB1110" s="21"/>
      <c r="CC1110" s="21"/>
      <c r="CD1110" s="21"/>
      <c r="CE1110" s="21"/>
      <c r="CF1110" s="21"/>
      <c r="CG1110" s="21"/>
      <c r="CH1110" s="21"/>
      <c r="CI1110" s="21"/>
      <c r="CJ1110" s="21"/>
      <c r="CK1110" s="21"/>
      <c r="CL1110" s="21"/>
      <c r="CM1110" s="21"/>
      <c r="CN1110" s="21"/>
      <c r="CO1110" s="21"/>
      <c r="CP1110" s="21"/>
      <c r="CQ1110" s="21"/>
      <c r="CR1110" s="21"/>
      <c r="CS1110" s="21"/>
      <c r="CT1110" s="21"/>
      <c r="CU1110" s="21"/>
      <c r="CV1110" s="21"/>
      <c r="CW1110" s="21"/>
      <c r="CX1110" s="21"/>
      <c r="CY1110" s="21"/>
      <c r="CZ1110" s="22"/>
      <c r="DA1110" s="21"/>
      <c r="DB1110" s="21"/>
    </row>
    <row r="1111" spans="3:106" s="19" customFormat="1" ht="12">
      <c r="C1111" s="21"/>
      <c r="D1111" s="21"/>
      <c r="E1111" s="2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2"/>
      <c r="BA1111" s="21"/>
      <c r="BB1111" s="21"/>
      <c r="BC1111" s="21"/>
      <c r="BD1111" s="21"/>
      <c r="BE1111" s="21"/>
      <c r="BF1111" s="21"/>
      <c r="BG1111" s="21"/>
      <c r="BH1111" s="21"/>
      <c r="BI1111" s="21"/>
      <c r="BJ1111" s="21"/>
      <c r="BK1111" s="21"/>
      <c r="BL1111" s="21"/>
      <c r="BM1111" s="21"/>
      <c r="BN1111" s="21"/>
      <c r="BO1111" s="21"/>
      <c r="BP1111" s="21"/>
      <c r="BQ1111" s="21"/>
      <c r="BR1111" s="21"/>
      <c r="BS1111" s="21"/>
      <c r="BT1111" s="21"/>
      <c r="BU1111" s="21"/>
      <c r="BV1111" s="21"/>
      <c r="BW1111" s="21"/>
      <c r="BX1111" s="21"/>
      <c r="BY1111" s="21"/>
      <c r="BZ1111" s="21"/>
      <c r="CA1111" s="21"/>
      <c r="CB1111" s="21"/>
      <c r="CC1111" s="21"/>
      <c r="CD1111" s="21"/>
      <c r="CE1111" s="21"/>
      <c r="CF1111" s="21"/>
      <c r="CG1111" s="21"/>
      <c r="CH1111" s="21"/>
      <c r="CI1111" s="21"/>
      <c r="CJ1111" s="21"/>
      <c r="CK1111" s="21"/>
      <c r="CL1111" s="21"/>
      <c r="CM1111" s="21"/>
      <c r="CN1111" s="21"/>
      <c r="CO1111" s="21"/>
      <c r="CP1111" s="21"/>
      <c r="CQ1111" s="21"/>
      <c r="CR1111" s="21"/>
      <c r="CS1111" s="21"/>
      <c r="CT1111" s="21"/>
      <c r="CU1111" s="21"/>
      <c r="CV1111" s="21"/>
      <c r="CW1111" s="21"/>
      <c r="CX1111" s="21"/>
      <c r="CY1111" s="21"/>
      <c r="CZ1111" s="22"/>
      <c r="DA1111" s="21"/>
      <c r="DB1111" s="21"/>
    </row>
    <row r="1112" spans="3:106" s="19" customFormat="1" ht="12">
      <c r="C1112" s="21"/>
      <c r="D1112" s="21"/>
      <c r="E1112" s="21"/>
      <c r="F1112" s="21"/>
      <c r="G1112" s="21"/>
      <c r="H1112" s="21"/>
      <c r="I1112" s="21"/>
      <c r="J1112" s="21"/>
      <c r="K1112" s="21"/>
      <c r="L1112" s="21"/>
      <c r="M1112" s="21"/>
      <c r="N1112" s="21"/>
      <c r="O1112" s="21"/>
      <c r="P1112" s="21"/>
      <c r="Q1112" s="21"/>
      <c r="R1112" s="21"/>
      <c r="S1112" s="21"/>
      <c r="T1112" s="21"/>
      <c r="U1112" s="21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2"/>
      <c r="BA1112" s="21"/>
      <c r="BB1112" s="21"/>
      <c r="BC1112" s="21"/>
      <c r="BD1112" s="21"/>
      <c r="BE1112" s="21"/>
      <c r="BF1112" s="21"/>
      <c r="BG1112" s="21"/>
      <c r="BH1112" s="21"/>
      <c r="BI1112" s="21"/>
      <c r="BJ1112" s="21"/>
      <c r="BK1112" s="21"/>
      <c r="BL1112" s="21"/>
      <c r="BM1112" s="21"/>
      <c r="BN1112" s="21"/>
      <c r="BO1112" s="21"/>
      <c r="BP1112" s="21"/>
      <c r="BQ1112" s="21"/>
      <c r="BR1112" s="21"/>
      <c r="BS1112" s="21"/>
      <c r="BT1112" s="21"/>
      <c r="BU1112" s="21"/>
      <c r="BV1112" s="21"/>
      <c r="BW1112" s="21"/>
      <c r="BX1112" s="21"/>
      <c r="BY1112" s="21"/>
      <c r="BZ1112" s="21"/>
      <c r="CA1112" s="21"/>
      <c r="CB1112" s="21"/>
      <c r="CC1112" s="21"/>
      <c r="CD1112" s="21"/>
      <c r="CE1112" s="21"/>
      <c r="CF1112" s="21"/>
      <c r="CG1112" s="21"/>
      <c r="CH1112" s="21"/>
      <c r="CI1112" s="21"/>
      <c r="CJ1112" s="21"/>
      <c r="CK1112" s="21"/>
      <c r="CL1112" s="21"/>
      <c r="CM1112" s="21"/>
      <c r="CN1112" s="21"/>
      <c r="CO1112" s="21"/>
      <c r="CP1112" s="21"/>
      <c r="CQ1112" s="21"/>
      <c r="CR1112" s="21"/>
      <c r="CS1112" s="21"/>
      <c r="CT1112" s="21"/>
      <c r="CU1112" s="21"/>
      <c r="CV1112" s="21"/>
      <c r="CW1112" s="21"/>
      <c r="CX1112" s="21"/>
      <c r="CY1112" s="21"/>
      <c r="CZ1112" s="22"/>
      <c r="DA1112" s="21"/>
      <c r="DB1112" s="21"/>
    </row>
    <row r="1113" spans="3:106" s="19" customFormat="1" ht="12">
      <c r="C1113" s="21"/>
      <c r="D1113" s="21"/>
      <c r="E1113" s="2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  <c r="Q1113" s="21"/>
      <c r="R1113" s="21"/>
      <c r="S1113" s="21"/>
      <c r="T1113" s="21"/>
      <c r="U1113" s="21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2"/>
      <c r="BA1113" s="21"/>
      <c r="BB1113" s="21"/>
      <c r="BC1113" s="21"/>
      <c r="BD1113" s="21"/>
      <c r="BE1113" s="21"/>
      <c r="BF1113" s="21"/>
      <c r="BG1113" s="21"/>
      <c r="BH1113" s="21"/>
      <c r="BI1113" s="21"/>
      <c r="BJ1113" s="21"/>
      <c r="BK1113" s="21"/>
      <c r="BL1113" s="21"/>
      <c r="BM1113" s="21"/>
      <c r="BN1113" s="21"/>
      <c r="BO1113" s="21"/>
      <c r="BP1113" s="21"/>
      <c r="BQ1113" s="21"/>
      <c r="BR1113" s="21"/>
      <c r="BS1113" s="21"/>
      <c r="BT1113" s="21"/>
      <c r="BU1113" s="21"/>
      <c r="BV1113" s="21"/>
      <c r="BW1113" s="21"/>
      <c r="BX1113" s="21"/>
      <c r="BY1113" s="21"/>
      <c r="BZ1113" s="21"/>
      <c r="CA1113" s="21"/>
      <c r="CB1113" s="21"/>
      <c r="CC1113" s="21"/>
      <c r="CD1113" s="21"/>
      <c r="CE1113" s="21"/>
      <c r="CF1113" s="21"/>
      <c r="CG1113" s="21"/>
      <c r="CH1113" s="21"/>
      <c r="CI1113" s="21"/>
      <c r="CJ1113" s="21"/>
      <c r="CK1113" s="21"/>
      <c r="CL1113" s="21"/>
      <c r="CM1113" s="21"/>
      <c r="CN1113" s="21"/>
      <c r="CO1113" s="21"/>
      <c r="CP1113" s="21"/>
      <c r="CQ1113" s="21"/>
      <c r="CR1113" s="21"/>
      <c r="CS1113" s="21"/>
      <c r="CT1113" s="21"/>
      <c r="CU1113" s="21"/>
      <c r="CV1113" s="21"/>
      <c r="CW1113" s="21"/>
      <c r="CX1113" s="21"/>
      <c r="CY1113" s="21"/>
      <c r="CZ1113" s="22"/>
      <c r="DA1113" s="21"/>
      <c r="DB1113" s="21"/>
    </row>
    <row r="1114" spans="3:106" s="19" customFormat="1" ht="12">
      <c r="C1114" s="21"/>
      <c r="D1114" s="21"/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2"/>
      <c r="BA1114" s="21"/>
      <c r="BB1114" s="21"/>
      <c r="BC1114" s="21"/>
      <c r="BD1114" s="21"/>
      <c r="BE1114" s="21"/>
      <c r="BF1114" s="21"/>
      <c r="BG1114" s="21"/>
      <c r="BH1114" s="21"/>
      <c r="BI1114" s="21"/>
      <c r="BJ1114" s="21"/>
      <c r="BK1114" s="21"/>
      <c r="BL1114" s="21"/>
      <c r="BM1114" s="21"/>
      <c r="BN1114" s="21"/>
      <c r="BO1114" s="21"/>
      <c r="BP1114" s="21"/>
      <c r="BQ1114" s="21"/>
      <c r="BR1114" s="21"/>
      <c r="BS1114" s="21"/>
      <c r="BT1114" s="21"/>
      <c r="BU1114" s="21"/>
      <c r="BV1114" s="21"/>
      <c r="BW1114" s="21"/>
      <c r="BX1114" s="21"/>
      <c r="BY1114" s="21"/>
      <c r="BZ1114" s="21"/>
      <c r="CA1114" s="21"/>
      <c r="CB1114" s="21"/>
      <c r="CC1114" s="21"/>
      <c r="CD1114" s="21"/>
      <c r="CE1114" s="21"/>
      <c r="CF1114" s="21"/>
      <c r="CG1114" s="21"/>
      <c r="CH1114" s="21"/>
      <c r="CI1114" s="21"/>
      <c r="CJ1114" s="21"/>
      <c r="CK1114" s="21"/>
      <c r="CL1114" s="21"/>
      <c r="CM1114" s="21"/>
      <c r="CN1114" s="21"/>
      <c r="CO1114" s="21"/>
      <c r="CP1114" s="21"/>
      <c r="CQ1114" s="21"/>
      <c r="CR1114" s="21"/>
      <c r="CS1114" s="21"/>
      <c r="CT1114" s="21"/>
      <c r="CU1114" s="21"/>
      <c r="CV1114" s="21"/>
      <c r="CW1114" s="21"/>
      <c r="CX1114" s="21"/>
      <c r="CY1114" s="21"/>
      <c r="CZ1114" s="22"/>
      <c r="DA1114" s="21"/>
      <c r="DB1114" s="21"/>
    </row>
    <row r="1115" spans="3:106" s="19" customFormat="1" ht="12">
      <c r="C1115" s="21"/>
      <c r="D1115" s="21"/>
      <c r="E1115" s="2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2"/>
      <c r="BA1115" s="21"/>
      <c r="BB1115" s="21"/>
      <c r="BC1115" s="21"/>
      <c r="BD1115" s="21"/>
      <c r="BE1115" s="21"/>
      <c r="BF1115" s="21"/>
      <c r="BG1115" s="21"/>
      <c r="BH1115" s="21"/>
      <c r="BI1115" s="21"/>
      <c r="BJ1115" s="21"/>
      <c r="BK1115" s="21"/>
      <c r="BL1115" s="21"/>
      <c r="BM1115" s="21"/>
      <c r="BN1115" s="21"/>
      <c r="BO1115" s="21"/>
      <c r="BP1115" s="21"/>
      <c r="BQ1115" s="21"/>
      <c r="BR1115" s="21"/>
      <c r="BS1115" s="21"/>
      <c r="BT1115" s="21"/>
      <c r="BU1115" s="21"/>
      <c r="BV1115" s="21"/>
      <c r="BW1115" s="21"/>
      <c r="BX1115" s="21"/>
      <c r="BY1115" s="21"/>
      <c r="BZ1115" s="21"/>
      <c r="CA1115" s="21"/>
      <c r="CB1115" s="21"/>
      <c r="CC1115" s="21"/>
      <c r="CD1115" s="21"/>
      <c r="CE1115" s="21"/>
      <c r="CF1115" s="21"/>
      <c r="CG1115" s="21"/>
      <c r="CH1115" s="21"/>
      <c r="CI1115" s="21"/>
      <c r="CJ1115" s="21"/>
      <c r="CK1115" s="21"/>
      <c r="CL1115" s="21"/>
      <c r="CM1115" s="21"/>
      <c r="CN1115" s="21"/>
      <c r="CO1115" s="21"/>
      <c r="CP1115" s="21"/>
      <c r="CQ1115" s="21"/>
      <c r="CR1115" s="21"/>
      <c r="CS1115" s="21"/>
      <c r="CT1115" s="21"/>
      <c r="CU1115" s="21"/>
      <c r="CV1115" s="21"/>
      <c r="CW1115" s="21"/>
      <c r="CX1115" s="21"/>
      <c r="CY1115" s="21"/>
      <c r="CZ1115" s="22"/>
      <c r="DA1115" s="21"/>
      <c r="DB1115" s="21"/>
    </row>
    <row r="1116" spans="3:106" s="19" customFormat="1" ht="12">
      <c r="C1116" s="21"/>
      <c r="D1116" s="21"/>
      <c r="E1116" s="21"/>
      <c r="F1116" s="21"/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2"/>
      <c r="BA1116" s="21"/>
      <c r="BB1116" s="21"/>
      <c r="BC1116" s="21"/>
      <c r="BD1116" s="21"/>
      <c r="BE1116" s="21"/>
      <c r="BF1116" s="21"/>
      <c r="BG1116" s="21"/>
      <c r="BH1116" s="21"/>
      <c r="BI1116" s="21"/>
      <c r="BJ1116" s="21"/>
      <c r="BK1116" s="21"/>
      <c r="BL1116" s="21"/>
      <c r="BM1116" s="21"/>
      <c r="BN1116" s="21"/>
      <c r="BO1116" s="21"/>
      <c r="BP1116" s="21"/>
      <c r="BQ1116" s="21"/>
      <c r="BR1116" s="21"/>
      <c r="BS1116" s="21"/>
      <c r="BT1116" s="21"/>
      <c r="BU1116" s="21"/>
      <c r="BV1116" s="21"/>
      <c r="BW1116" s="21"/>
      <c r="BX1116" s="21"/>
      <c r="BY1116" s="21"/>
      <c r="BZ1116" s="21"/>
      <c r="CA1116" s="21"/>
      <c r="CB1116" s="21"/>
      <c r="CC1116" s="21"/>
      <c r="CD1116" s="21"/>
      <c r="CE1116" s="21"/>
      <c r="CF1116" s="21"/>
      <c r="CG1116" s="21"/>
      <c r="CH1116" s="21"/>
      <c r="CI1116" s="21"/>
      <c r="CJ1116" s="21"/>
      <c r="CK1116" s="21"/>
      <c r="CL1116" s="21"/>
      <c r="CM1116" s="21"/>
      <c r="CN1116" s="21"/>
      <c r="CO1116" s="21"/>
      <c r="CP1116" s="21"/>
      <c r="CQ1116" s="21"/>
      <c r="CR1116" s="21"/>
      <c r="CS1116" s="21"/>
      <c r="CT1116" s="21"/>
      <c r="CU1116" s="21"/>
      <c r="CV1116" s="21"/>
      <c r="CW1116" s="21"/>
      <c r="CX1116" s="21"/>
      <c r="CY1116" s="21"/>
      <c r="CZ1116" s="22"/>
      <c r="DA1116" s="21"/>
      <c r="DB1116" s="21"/>
    </row>
    <row r="1117" spans="3:106" s="19" customFormat="1" ht="12">
      <c r="C1117" s="21"/>
      <c r="D1117" s="21"/>
      <c r="E1117" s="2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2"/>
      <c r="BA1117" s="21"/>
      <c r="BB1117" s="21"/>
      <c r="BC1117" s="21"/>
      <c r="BD1117" s="21"/>
      <c r="BE1117" s="21"/>
      <c r="BF1117" s="21"/>
      <c r="BG1117" s="21"/>
      <c r="BH1117" s="21"/>
      <c r="BI1117" s="21"/>
      <c r="BJ1117" s="21"/>
      <c r="BK1117" s="21"/>
      <c r="BL1117" s="21"/>
      <c r="BM1117" s="21"/>
      <c r="BN1117" s="21"/>
      <c r="BO1117" s="21"/>
      <c r="BP1117" s="21"/>
      <c r="BQ1117" s="21"/>
      <c r="BR1117" s="21"/>
      <c r="BS1117" s="21"/>
      <c r="BT1117" s="21"/>
      <c r="BU1117" s="21"/>
      <c r="BV1117" s="21"/>
      <c r="BW1117" s="21"/>
      <c r="BX1117" s="21"/>
      <c r="BY1117" s="21"/>
      <c r="BZ1117" s="21"/>
      <c r="CA1117" s="21"/>
      <c r="CB1117" s="21"/>
      <c r="CC1117" s="21"/>
      <c r="CD1117" s="21"/>
      <c r="CE1117" s="21"/>
      <c r="CF1117" s="21"/>
      <c r="CG1117" s="21"/>
      <c r="CH1117" s="21"/>
      <c r="CI1117" s="21"/>
      <c r="CJ1117" s="21"/>
      <c r="CK1117" s="21"/>
      <c r="CL1117" s="21"/>
      <c r="CM1117" s="21"/>
      <c r="CN1117" s="21"/>
      <c r="CO1117" s="21"/>
      <c r="CP1117" s="21"/>
      <c r="CQ1117" s="21"/>
      <c r="CR1117" s="21"/>
      <c r="CS1117" s="21"/>
      <c r="CT1117" s="21"/>
      <c r="CU1117" s="21"/>
      <c r="CV1117" s="21"/>
      <c r="CW1117" s="21"/>
      <c r="CX1117" s="21"/>
      <c r="CY1117" s="21"/>
      <c r="CZ1117" s="22"/>
      <c r="DA1117" s="21"/>
      <c r="DB1117" s="21"/>
    </row>
    <row r="1118" spans="3:106" s="19" customFormat="1" ht="12">
      <c r="C1118" s="21"/>
      <c r="D1118" s="21"/>
      <c r="E1118" s="21"/>
      <c r="F1118" s="21"/>
      <c r="G1118" s="21"/>
      <c r="H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2"/>
      <c r="BA1118" s="21"/>
      <c r="BB1118" s="21"/>
      <c r="BC1118" s="21"/>
      <c r="BD1118" s="21"/>
      <c r="BE1118" s="21"/>
      <c r="BF1118" s="21"/>
      <c r="BG1118" s="21"/>
      <c r="BH1118" s="21"/>
      <c r="BI1118" s="21"/>
      <c r="BJ1118" s="21"/>
      <c r="BK1118" s="21"/>
      <c r="BL1118" s="21"/>
      <c r="BM1118" s="21"/>
      <c r="BN1118" s="21"/>
      <c r="BO1118" s="21"/>
      <c r="BP1118" s="21"/>
      <c r="BQ1118" s="21"/>
      <c r="BR1118" s="21"/>
      <c r="BS1118" s="21"/>
      <c r="BT1118" s="21"/>
      <c r="BU1118" s="21"/>
      <c r="BV1118" s="21"/>
      <c r="BW1118" s="21"/>
      <c r="BX1118" s="21"/>
      <c r="BY1118" s="21"/>
      <c r="BZ1118" s="21"/>
      <c r="CA1118" s="21"/>
      <c r="CB1118" s="21"/>
      <c r="CC1118" s="21"/>
      <c r="CD1118" s="21"/>
      <c r="CE1118" s="21"/>
      <c r="CF1118" s="21"/>
      <c r="CG1118" s="21"/>
      <c r="CH1118" s="21"/>
      <c r="CI1118" s="21"/>
      <c r="CJ1118" s="21"/>
      <c r="CK1118" s="21"/>
      <c r="CL1118" s="21"/>
      <c r="CM1118" s="21"/>
      <c r="CN1118" s="21"/>
      <c r="CO1118" s="21"/>
      <c r="CP1118" s="21"/>
      <c r="CQ1118" s="21"/>
      <c r="CR1118" s="21"/>
      <c r="CS1118" s="21"/>
      <c r="CT1118" s="21"/>
      <c r="CU1118" s="21"/>
      <c r="CV1118" s="21"/>
      <c r="CW1118" s="21"/>
      <c r="CX1118" s="21"/>
      <c r="CY1118" s="21"/>
      <c r="CZ1118" s="22"/>
      <c r="DA1118" s="21"/>
      <c r="DB1118" s="21"/>
    </row>
    <row r="1119" spans="3:106" s="19" customFormat="1" ht="12">
      <c r="C1119" s="21"/>
      <c r="D1119" s="21"/>
      <c r="E1119" s="2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  <c r="Q1119" s="21"/>
      <c r="R1119" s="21"/>
      <c r="S1119" s="21"/>
      <c r="T1119" s="21"/>
      <c r="U1119" s="21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2"/>
      <c r="BA1119" s="21"/>
      <c r="BB1119" s="21"/>
      <c r="BC1119" s="21"/>
      <c r="BD1119" s="21"/>
      <c r="BE1119" s="21"/>
      <c r="BF1119" s="21"/>
      <c r="BG1119" s="21"/>
      <c r="BH1119" s="21"/>
      <c r="BI1119" s="21"/>
      <c r="BJ1119" s="21"/>
      <c r="BK1119" s="21"/>
      <c r="BL1119" s="21"/>
      <c r="BM1119" s="21"/>
      <c r="BN1119" s="21"/>
      <c r="BO1119" s="21"/>
      <c r="BP1119" s="21"/>
      <c r="BQ1119" s="21"/>
      <c r="BR1119" s="21"/>
      <c r="BS1119" s="21"/>
      <c r="BT1119" s="21"/>
      <c r="BU1119" s="21"/>
      <c r="BV1119" s="21"/>
      <c r="BW1119" s="21"/>
      <c r="BX1119" s="21"/>
      <c r="BY1119" s="21"/>
      <c r="BZ1119" s="21"/>
      <c r="CA1119" s="21"/>
      <c r="CB1119" s="21"/>
      <c r="CC1119" s="21"/>
      <c r="CD1119" s="21"/>
      <c r="CE1119" s="21"/>
      <c r="CF1119" s="21"/>
      <c r="CG1119" s="21"/>
      <c r="CH1119" s="21"/>
      <c r="CI1119" s="21"/>
      <c r="CJ1119" s="21"/>
      <c r="CK1119" s="21"/>
      <c r="CL1119" s="21"/>
      <c r="CM1119" s="21"/>
      <c r="CN1119" s="21"/>
      <c r="CO1119" s="21"/>
      <c r="CP1119" s="21"/>
      <c r="CQ1119" s="21"/>
      <c r="CR1119" s="21"/>
      <c r="CS1119" s="21"/>
      <c r="CT1119" s="21"/>
      <c r="CU1119" s="21"/>
      <c r="CV1119" s="21"/>
      <c r="CW1119" s="21"/>
      <c r="CX1119" s="21"/>
      <c r="CY1119" s="21"/>
      <c r="CZ1119" s="22"/>
      <c r="DA1119" s="21"/>
      <c r="DB1119" s="21"/>
    </row>
    <row r="1120" spans="3:106" s="19" customFormat="1" ht="12">
      <c r="C1120" s="21"/>
      <c r="D1120" s="21"/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2"/>
      <c r="BA1120" s="21"/>
      <c r="BB1120" s="21"/>
      <c r="BC1120" s="21"/>
      <c r="BD1120" s="21"/>
      <c r="BE1120" s="21"/>
      <c r="BF1120" s="21"/>
      <c r="BG1120" s="21"/>
      <c r="BH1120" s="21"/>
      <c r="BI1120" s="21"/>
      <c r="BJ1120" s="21"/>
      <c r="BK1120" s="21"/>
      <c r="BL1120" s="21"/>
      <c r="BM1120" s="21"/>
      <c r="BN1120" s="21"/>
      <c r="BO1120" s="21"/>
      <c r="BP1120" s="21"/>
      <c r="BQ1120" s="21"/>
      <c r="BR1120" s="21"/>
      <c r="BS1120" s="21"/>
      <c r="BT1120" s="21"/>
      <c r="BU1120" s="21"/>
      <c r="BV1120" s="21"/>
      <c r="BW1120" s="21"/>
      <c r="BX1120" s="21"/>
      <c r="BY1120" s="21"/>
      <c r="BZ1120" s="21"/>
      <c r="CA1120" s="21"/>
      <c r="CB1120" s="21"/>
      <c r="CC1120" s="21"/>
      <c r="CD1120" s="21"/>
      <c r="CE1120" s="21"/>
      <c r="CF1120" s="21"/>
      <c r="CG1120" s="21"/>
      <c r="CH1120" s="21"/>
      <c r="CI1120" s="21"/>
      <c r="CJ1120" s="21"/>
      <c r="CK1120" s="21"/>
      <c r="CL1120" s="21"/>
      <c r="CM1120" s="21"/>
      <c r="CN1120" s="21"/>
      <c r="CO1120" s="21"/>
      <c r="CP1120" s="21"/>
      <c r="CQ1120" s="21"/>
      <c r="CR1120" s="21"/>
      <c r="CS1120" s="21"/>
      <c r="CT1120" s="21"/>
      <c r="CU1120" s="21"/>
      <c r="CV1120" s="21"/>
      <c r="CW1120" s="21"/>
      <c r="CX1120" s="21"/>
      <c r="CY1120" s="21"/>
      <c r="CZ1120" s="22"/>
      <c r="DA1120" s="21"/>
      <c r="DB1120" s="21"/>
    </row>
    <row r="1121" spans="3:106" s="19" customFormat="1" ht="12">
      <c r="C1121" s="21"/>
      <c r="D1121" s="21"/>
      <c r="E1121" s="2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2"/>
      <c r="BA1121" s="21"/>
      <c r="BB1121" s="21"/>
      <c r="BC1121" s="21"/>
      <c r="BD1121" s="21"/>
      <c r="BE1121" s="21"/>
      <c r="BF1121" s="21"/>
      <c r="BG1121" s="21"/>
      <c r="BH1121" s="21"/>
      <c r="BI1121" s="21"/>
      <c r="BJ1121" s="21"/>
      <c r="BK1121" s="21"/>
      <c r="BL1121" s="21"/>
      <c r="BM1121" s="21"/>
      <c r="BN1121" s="21"/>
      <c r="BO1121" s="21"/>
      <c r="BP1121" s="21"/>
      <c r="BQ1121" s="21"/>
      <c r="BR1121" s="21"/>
      <c r="BS1121" s="21"/>
      <c r="BT1121" s="21"/>
      <c r="BU1121" s="21"/>
      <c r="BV1121" s="21"/>
      <c r="BW1121" s="21"/>
      <c r="BX1121" s="21"/>
      <c r="BY1121" s="21"/>
      <c r="BZ1121" s="21"/>
      <c r="CA1121" s="21"/>
      <c r="CB1121" s="21"/>
      <c r="CC1121" s="21"/>
      <c r="CD1121" s="21"/>
      <c r="CE1121" s="21"/>
      <c r="CF1121" s="21"/>
      <c r="CG1121" s="21"/>
      <c r="CH1121" s="21"/>
      <c r="CI1121" s="21"/>
      <c r="CJ1121" s="21"/>
      <c r="CK1121" s="21"/>
      <c r="CL1121" s="21"/>
      <c r="CM1121" s="21"/>
      <c r="CN1121" s="21"/>
      <c r="CO1121" s="21"/>
      <c r="CP1121" s="21"/>
      <c r="CQ1121" s="21"/>
      <c r="CR1121" s="21"/>
      <c r="CS1121" s="21"/>
      <c r="CT1121" s="21"/>
      <c r="CU1121" s="21"/>
      <c r="CV1121" s="21"/>
      <c r="CW1121" s="21"/>
      <c r="CX1121" s="21"/>
      <c r="CY1121" s="21"/>
      <c r="CZ1121" s="22"/>
      <c r="DA1121" s="21"/>
      <c r="DB1121" s="21"/>
    </row>
    <row r="1122" spans="3:106" s="19" customFormat="1" ht="12">
      <c r="C1122" s="21"/>
      <c r="D1122" s="21"/>
      <c r="E1122" s="21"/>
      <c r="F1122" s="21"/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2"/>
      <c r="BA1122" s="21"/>
      <c r="BB1122" s="21"/>
      <c r="BC1122" s="21"/>
      <c r="BD1122" s="21"/>
      <c r="BE1122" s="21"/>
      <c r="BF1122" s="21"/>
      <c r="BG1122" s="21"/>
      <c r="BH1122" s="21"/>
      <c r="BI1122" s="21"/>
      <c r="BJ1122" s="21"/>
      <c r="BK1122" s="21"/>
      <c r="BL1122" s="21"/>
      <c r="BM1122" s="21"/>
      <c r="BN1122" s="21"/>
      <c r="BO1122" s="21"/>
      <c r="BP1122" s="21"/>
      <c r="BQ1122" s="21"/>
      <c r="BR1122" s="21"/>
      <c r="BS1122" s="21"/>
      <c r="BT1122" s="21"/>
      <c r="BU1122" s="21"/>
      <c r="BV1122" s="21"/>
      <c r="BW1122" s="21"/>
      <c r="BX1122" s="21"/>
      <c r="BY1122" s="21"/>
      <c r="BZ1122" s="21"/>
      <c r="CA1122" s="21"/>
      <c r="CB1122" s="21"/>
      <c r="CC1122" s="21"/>
      <c r="CD1122" s="21"/>
      <c r="CE1122" s="21"/>
      <c r="CF1122" s="21"/>
      <c r="CG1122" s="21"/>
      <c r="CH1122" s="21"/>
      <c r="CI1122" s="21"/>
      <c r="CJ1122" s="21"/>
      <c r="CK1122" s="21"/>
      <c r="CL1122" s="21"/>
      <c r="CM1122" s="21"/>
      <c r="CN1122" s="21"/>
      <c r="CO1122" s="21"/>
      <c r="CP1122" s="21"/>
      <c r="CQ1122" s="21"/>
      <c r="CR1122" s="21"/>
      <c r="CS1122" s="21"/>
      <c r="CT1122" s="21"/>
      <c r="CU1122" s="21"/>
      <c r="CV1122" s="21"/>
      <c r="CW1122" s="21"/>
      <c r="CX1122" s="21"/>
      <c r="CY1122" s="21"/>
      <c r="CZ1122" s="22"/>
      <c r="DA1122" s="21"/>
      <c r="DB1122" s="21"/>
    </row>
    <row r="1123" spans="3:106" s="19" customFormat="1" ht="12">
      <c r="C1123" s="21"/>
      <c r="D1123" s="21"/>
      <c r="E1123" s="2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2"/>
      <c r="BA1123" s="21"/>
      <c r="BB1123" s="21"/>
      <c r="BC1123" s="21"/>
      <c r="BD1123" s="21"/>
      <c r="BE1123" s="21"/>
      <c r="BF1123" s="21"/>
      <c r="BG1123" s="21"/>
      <c r="BH1123" s="21"/>
      <c r="BI1123" s="21"/>
      <c r="BJ1123" s="21"/>
      <c r="BK1123" s="21"/>
      <c r="BL1123" s="21"/>
      <c r="BM1123" s="21"/>
      <c r="BN1123" s="21"/>
      <c r="BO1123" s="21"/>
      <c r="BP1123" s="21"/>
      <c r="BQ1123" s="21"/>
      <c r="BR1123" s="21"/>
      <c r="BS1123" s="21"/>
      <c r="BT1123" s="21"/>
      <c r="BU1123" s="21"/>
      <c r="BV1123" s="21"/>
      <c r="BW1123" s="21"/>
      <c r="BX1123" s="21"/>
      <c r="BY1123" s="21"/>
      <c r="BZ1123" s="21"/>
      <c r="CA1123" s="21"/>
      <c r="CB1123" s="21"/>
      <c r="CC1123" s="21"/>
      <c r="CD1123" s="21"/>
      <c r="CE1123" s="21"/>
      <c r="CF1123" s="21"/>
      <c r="CG1123" s="21"/>
      <c r="CH1123" s="21"/>
      <c r="CI1123" s="21"/>
      <c r="CJ1123" s="21"/>
      <c r="CK1123" s="21"/>
      <c r="CL1123" s="21"/>
      <c r="CM1123" s="21"/>
      <c r="CN1123" s="21"/>
      <c r="CO1123" s="21"/>
      <c r="CP1123" s="21"/>
      <c r="CQ1123" s="21"/>
      <c r="CR1123" s="21"/>
      <c r="CS1123" s="21"/>
      <c r="CT1123" s="21"/>
      <c r="CU1123" s="21"/>
      <c r="CV1123" s="21"/>
      <c r="CW1123" s="21"/>
      <c r="CX1123" s="21"/>
      <c r="CY1123" s="21"/>
      <c r="CZ1123" s="22"/>
      <c r="DA1123" s="21"/>
      <c r="DB1123" s="21"/>
    </row>
    <row r="1124" spans="3:106" s="19" customFormat="1" ht="12">
      <c r="C1124" s="21"/>
      <c r="D1124" s="21"/>
      <c r="E1124" s="2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2"/>
      <c r="BA1124" s="21"/>
      <c r="BB1124" s="21"/>
      <c r="BC1124" s="21"/>
      <c r="BD1124" s="21"/>
      <c r="BE1124" s="21"/>
      <c r="BF1124" s="21"/>
      <c r="BG1124" s="21"/>
      <c r="BH1124" s="21"/>
      <c r="BI1124" s="21"/>
      <c r="BJ1124" s="21"/>
      <c r="BK1124" s="21"/>
      <c r="BL1124" s="21"/>
      <c r="BM1124" s="21"/>
      <c r="BN1124" s="21"/>
      <c r="BO1124" s="21"/>
      <c r="BP1124" s="21"/>
      <c r="BQ1124" s="21"/>
      <c r="BR1124" s="21"/>
      <c r="BS1124" s="21"/>
      <c r="BT1124" s="21"/>
      <c r="BU1124" s="21"/>
      <c r="BV1124" s="21"/>
      <c r="BW1124" s="21"/>
      <c r="BX1124" s="21"/>
      <c r="BY1124" s="21"/>
      <c r="BZ1124" s="21"/>
      <c r="CA1124" s="21"/>
      <c r="CB1124" s="21"/>
      <c r="CC1124" s="21"/>
      <c r="CD1124" s="21"/>
      <c r="CE1124" s="21"/>
      <c r="CF1124" s="21"/>
      <c r="CG1124" s="21"/>
      <c r="CH1124" s="21"/>
      <c r="CI1124" s="21"/>
      <c r="CJ1124" s="21"/>
      <c r="CK1124" s="21"/>
      <c r="CL1124" s="21"/>
      <c r="CM1124" s="21"/>
      <c r="CN1124" s="21"/>
      <c r="CO1124" s="21"/>
      <c r="CP1124" s="21"/>
      <c r="CQ1124" s="21"/>
      <c r="CR1124" s="21"/>
      <c r="CS1124" s="21"/>
      <c r="CT1124" s="21"/>
      <c r="CU1124" s="21"/>
      <c r="CV1124" s="21"/>
      <c r="CW1124" s="21"/>
      <c r="CX1124" s="21"/>
      <c r="CY1124" s="21"/>
      <c r="CZ1124" s="22"/>
      <c r="DA1124" s="21"/>
      <c r="DB1124" s="21"/>
    </row>
    <row r="1125" spans="3:106" s="19" customFormat="1" ht="12">
      <c r="C1125" s="21"/>
      <c r="D1125" s="21"/>
      <c r="E1125" s="2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2"/>
      <c r="BA1125" s="21"/>
      <c r="BB1125" s="21"/>
      <c r="BC1125" s="21"/>
      <c r="BD1125" s="21"/>
      <c r="BE1125" s="21"/>
      <c r="BF1125" s="21"/>
      <c r="BG1125" s="21"/>
      <c r="BH1125" s="21"/>
      <c r="BI1125" s="21"/>
      <c r="BJ1125" s="21"/>
      <c r="BK1125" s="21"/>
      <c r="BL1125" s="21"/>
      <c r="BM1125" s="21"/>
      <c r="BN1125" s="21"/>
      <c r="BO1125" s="21"/>
      <c r="BP1125" s="21"/>
      <c r="BQ1125" s="21"/>
      <c r="BR1125" s="21"/>
      <c r="BS1125" s="21"/>
      <c r="BT1125" s="21"/>
      <c r="BU1125" s="21"/>
      <c r="BV1125" s="21"/>
      <c r="BW1125" s="21"/>
      <c r="BX1125" s="21"/>
      <c r="BY1125" s="21"/>
      <c r="BZ1125" s="21"/>
      <c r="CA1125" s="21"/>
      <c r="CB1125" s="21"/>
      <c r="CC1125" s="21"/>
      <c r="CD1125" s="21"/>
      <c r="CE1125" s="21"/>
      <c r="CF1125" s="21"/>
      <c r="CG1125" s="21"/>
      <c r="CH1125" s="21"/>
      <c r="CI1125" s="21"/>
      <c r="CJ1125" s="21"/>
      <c r="CK1125" s="21"/>
      <c r="CL1125" s="21"/>
      <c r="CM1125" s="21"/>
      <c r="CN1125" s="21"/>
      <c r="CO1125" s="21"/>
      <c r="CP1125" s="21"/>
      <c r="CQ1125" s="21"/>
      <c r="CR1125" s="21"/>
      <c r="CS1125" s="21"/>
      <c r="CT1125" s="21"/>
      <c r="CU1125" s="21"/>
      <c r="CV1125" s="21"/>
      <c r="CW1125" s="21"/>
      <c r="CX1125" s="21"/>
      <c r="CY1125" s="21"/>
      <c r="CZ1125" s="22"/>
      <c r="DA1125" s="21"/>
      <c r="DB1125" s="21"/>
    </row>
    <row r="1126" spans="3:106" s="19" customFormat="1" ht="12">
      <c r="C1126" s="21"/>
      <c r="D1126" s="21"/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2"/>
      <c r="BA1126" s="21"/>
      <c r="BB1126" s="21"/>
      <c r="BC1126" s="21"/>
      <c r="BD1126" s="21"/>
      <c r="BE1126" s="21"/>
      <c r="BF1126" s="21"/>
      <c r="BG1126" s="21"/>
      <c r="BH1126" s="21"/>
      <c r="BI1126" s="21"/>
      <c r="BJ1126" s="21"/>
      <c r="BK1126" s="21"/>
      <c r="BL1126" s="21"/>
      <c r="BM1126" s="21"/>
      <c r="BN1126" s="21"/>
      <c r="BO1126" s="21"/>
      <c r="BP1126" s="21"/>
      <c r="BQ1126" s="21"/>
      <c r="BR1126" s="21"/>
      <c r="BS1126" s="21"/>
      <c r="BT1126" s="21"/>
      <c r="BU1126" s="21"/>
      <c r="BV1126" s="21"/>
      <c r="BW1126" s="21"/>
      <c r="BX1126" s="21"/>
      <c r="BY1126" s="21"/>
      <c r="BZ1126" s="21"/>
      <c r="CA1126" s="21"/>
      <c r="CB1126" s="21"/>
      <c r="CC1126" s="21"/>
      <c r="CD1126" s="21"/>
      <c r="CE1126" s="21"/>
      <c r="CF1126" s="21"/>
      <c r="CG1126" s="21"/>
      <c r="CH1126" s="21"/>
      <c r="CI1126" s="21"/>
      <c r="CJ1126" s="21"/>
      <c r="CK1126" s="21"/>
      <c r="CL1126" s="21"/>
      <c r="CM1126" s="21"/>
      <c r="CN1126" s="21"/>
      <c r="CO1126" s="21"/>
      <c r="CP1126" s="21"/>
      <c r="CQ1126" s="21"/>
      <c r="CR1126" s="21"/>
      <c r="CS1126" s="21"/>
      <c r="CT1126" s="21"/>
      <c r="CU1126" s="21"/>
      <c r="CV1126" s="21"/>
      <c r="CW1126" s="21"/>
      <c r="CX1126" s="21"/>
      <c r="CY1126" s="21"/>
      <c r="CZ1126" s="22"/>
      <c r="DA1126" s="21"/>
      <c r="DB1126" s="21"/>
    </row>
    <row r="1127" spans="3:106" s="19" customFormat="1" ht="12">
      <c r="C1127" s="21"/>
      <c r="D1127" s="21"/>
      <c r="E1127" s="2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2"/>
      <c r="BA1127" s="21"/>
      <c r="BB1127" s="21"/>
      <c r="BC1127" s="21"/>
      <c r="BD1127" s="21"/>
      <c r="BE1127" s="21"/>
      <c r="BF1127" s="21"/>
      <c r="BG1127" s="21"/>
      <c r="BH1127" s="21"/>
      <c r="BI1127" s="21"/>
      <c r="BJ1127" s="21"/>
      <c r="BK1127" s="21"/>
      <c r="BL1127" s="21"/>
      <c r="BM1127" s="21"/>
      <c r="BN1127" s="21"/>
      <c r="BO1127" s="21"/>
      <c r="BP1127" s="21"/>
      <c r="BQ1127" s="21"/>
      <c r="BR1127" s="21"/>
      <c r="BS1127" s="21"/>
      <c r="BT1127" s="21"/>
      <c r="BU1127" s="21"/>
      <c r="BV1127" s="21"/>
      <c r="BW1127" s="21"/>
      <c r="BX1127" s="21"/>
      <c r="BY1127" s="21"/>
      <c r="BZ1127" s="21"/>
      <c r="CA1127" s="21"/>
      <c r="CB1127" s="21"/>
      <c r="CC1127" s="21"/>
      <c r="CD1127" s="21"/>
      <c r="CE1127" s="21"/>
      <c r="CF1127" s="21"/>
      <c r="CG1127" s="21"/>
      <c r="CH1127" s="21"/>
      <c r="CI1127" s="21"/>
      <c r="CJ1127" s="21"/>
      <c r="CK1127" s="21"/>
      <c r="CL1127" s="21"/>
      <c r="CM1127" s="21"/>
      <c r="CN1127" s="21"/>
      <c r="CO1127" s="21"/>
      <c r="CP1127" s="21"/>
      <c r="CQ1127" s="21"/>
      <c r="CR1127" s="21"/>
      <c r="CS1127" s="21"/>
      <c r="CT1127" s="21"/>
      <c r="CU1127" s="21"/>
      <c r="CV1127" s="21"/>
      <c r="CW1127" s="21"/>
      <c r="CX1127" s="21"/>
      <c r="CY1127" s="21"/>
      <c r="CZ1127" s="22"/>
      <c r="DA1127" s="21"/>
      <c r="DB1127" s="21"/>
    </row>
    <row r="1128" spans="3:106" s="19" customFormat="1" ht="12">
      <c r="C1128" s="21"/>
      <c r="D1128" s="21"/>
      <c r="E1128" s="21"/>
      <c r="F1128" s="21"/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2"/>
      <c r="BA1128" s="21"/>
      <c r="BB1128" s="21"/>
      <c r="BC1128" s="21"/>
      <c r="BD1128" s="21"/>
      <c r="BE1128" s="21"/>
      <c r="BF1128" s="21"/>
      <c r="BG1128" s="21"/>
      <c r="BH1128" s="21"/>
      <c r="BI1128" s="21"/>
      <c r="BJ1128" s="21"/>
      <c r="BK1128" s="21"/>
      <c r="BL1128" s="21"/>
      <c r="BM1128" s="21"/>
      <c r="BN1128" s="21"/>
      <c r="BO1128" s="21"/>
      <c r="BP1128" s="21"/>
      <c r="BQ1128" s="21"/>
      <c r="BR1128" s="21"/>
      <c r="BS1128" s="21"/>
      <c r="BT1128" s="21"/>
      <c r="BU1128" s="21"/>
      <c r="BV1128" s="21"/>
      <c r="BW1128" s="21"/>
      <c r="BX1128" s="21"/>
      <c r="BY1128" s="21"/>
      <c r="BZ1128" s="21"/>
      <c r="CA1128" s="21"/>
      <c r="CB1128" s="21"/>
      <c r="CC1128" s="21"/>
      <c r="CD1128" s="21"/>
      <c r="CE1128" s="21"/>
      <c r="CF1128" s="21"/>
      <c r="CG1128" s="21"/>
      <c r="CH1128" s="21"/>
      <c r="CI1128" s="21"/>
      <c r="CJ1128" s="21"/>
      <c r="CK1128" s="21"/>
      <c r="CL1128" s="21"/>
      <c r="CM1128" s="21"/>
      <c r="CN1128" s="21"/>
      <c r="CO1128" s="21"/>
      <c r="CP1128" s="21"/>
      <c r="CQ1128" s="21"/>
      <c r="CR1128" s="21"/>
      <c r="CS1128" s="21"/>
      <c r="CT1128" s="21"/>
      <c r="CU1128" s="21"/>
      <c r="CV1128" s="21"/>
      <c r="CW1128" s="21"/>
      <c r="CX1128" s="21"/>
      <c r="CY1128" s="21"/>
      <c r="CZ1128" s="22"/>
      <c r="DA1128" s="21"/>
      <c r="DB1128" s="21"/>
    </row>
    <row r="1129" spans="3:106" s="19" customFormat="1" ht="12">
      <c r="C1129" s="21"/>
      <c r="D1129" s="21"/>
      <c r="E1129" s="2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2"/>
      <c r="BA1129" s="21"/>
      <c r="BB1129" s="21"/>
      <c r="BC1129" s="21"/>
      <c r="BD1129" s="21"/>
      <c r="BE1129" s="21"/>
      <c r="BF1129" s="21"/>
      <c r="BG1129" s="21"/>
      <c r="BH1129" s="21"/>
      <c r="BI1129" s="21"/>
      <c r="BJ1129" s="21"/>
      <c r="BK1129" s="21"/>
      <c r="BL1129" s="21"/>
      <c r="BM1129" s="21"/>
      <c r="BN1129" s="21"/>
      <c r="BO1129" s="21"/>
      <c r="BP1129" s="21"/>
      <c r="BQ1129" s="21"/>
      <c r="BR1129" s="21"/>
      <c r="BS1129" s="21"/>
      <c r="BT1129" s="21"/>
      <c r="BU1129" s="21"/>
      <c r="BV1129" s="21"/>
      <c r="BW1129" s="21"/>
      <c r="BX1129" s="21"/>
      <c r="BY1129" s="21"/>
      <c r="BZ1129" s="21"/>
      <c r="CA1129" s="21"/>
      <c r="CB1129" s="21"/>
      <c r="CC1129" s="21"/>
      <c r="CD1129" s="21"/>
      <c r="CE1129" s="21"/>
      <c r="CF1129" s="21"/>
      <c r="CG1129" s="21"/>
      <c r="CH1129" s="21"/>
      <c r="CI1129" s="21"/>
      <c r="CJ1129" s="21"/>
      <c r="CK1129" s="21"/>
      <c r="CL1129" s="21"/>
      <c r="CM1129" s="21"/>
      <c r="CN1129" s="21"/>
      <c r="CO1129" s="21"/>
      <c r="CP1129" s="21"/>
      <c r="CQ1129" s="21"/>
      <c r="CR1129" s="21"/>
      <c r="CS1129" s="21"/>
      <c r="CT1129" s="21"/>
      <c r="CU1129" s="21"/>
      <c r="CV1129" s="21"/>
      <c r="CW1129" s="21"/>
      <c r="CX1129" s="21"/>
      <c r="CY1129" s="21"/>
      <c r="CZ1129" s="22"/>
      <c r="DA1129" s="21"/>
      <c r="DB1129" s="21"/>
    </row>
    <row r="1130" spans="3:106" s="19" customFormat="1" ht="12">
      <c r="C1130" s="21"/>
      <c r="D1130" s="21"/>
      <c r="E1130" s="21"/>
      <c r="F1130" s="21"/>
      <c r="G1130" s="21"/>
      <c r="H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2"/>
      <c r="BA1130" s="21"/>
      <c r="BB1130" s="21"/>
      <c r="BC1130" s="21"/>
      <c r="BD1130" s="21"/>
      <c r="BE1130" s="21"/>
      <c r="BF1130" s="21"/>
      <c r="BG1130" s="21"/>
      <c r="BH1130" s="21"/>
      <c r="BI1130" s="21"/>
      <c r="BJ1130" s="21"/>
      <c r="BK1130" s="21"/>
      <c r="BL1130" s="21"/>
      <c r="BM1130" s="21"/>
      <c r="BN1130" s="21"/>
      <c r="BO1130" s="21"/>
      <c r="BP1130" s="21"/>
      <c r="BQ1130" s="21"/>
      <c r="BR1130" s="21"/>
      <c r="BS1130" s="21"/>
      <c r="BT1130" s="21"/>
      <c r="BU1130" s="21"/>
      <c r="BV1130" s="21"/>
      <c r="BW1130" s="21"/>
      <c r="BX1130" s="21"/>
      <c r="BY1130" s="21"/>
      <c r="BZ1130" s="21"/>
      <c r="CA1130" s="21"/>
      <c r="CB1130" s="21"/>
      <c r="CC1130" s="21"/>
      <c r="CD1130" s="21"/>
      <c r="CE1130" s="21"/>
      <c r="CF1130" s="21"/>
      <c r="CG1130" s="21"/>
      <c r="CH1130" s="21"/>
      <c r="CI1130" s="21"/>
      <c r="CJ1130" s="21"/>
      <c r="CK1130" s="21"/>
      <c r="CL1130" s="21"/>
      <c r="CM1130" s="21"/>
      <c r="CN1130" s="21"/>
      <c r="CO1130" s="21"/>
      <c r="CP1130" s="21"/>
      <c r="CQ1130" s="21"/>
      <c r="CR1130" s="21"/>
      <c r="CS1130" s="21"/>
      <c r="CT1130" s="21"/>
      <c r="CU1130" s="21"/>
      <c r="CV1130" s="21"/>
      <c r="CW1130" s="21"/>
      <c r="CX1130" s="21"/>
      <c r="CY1130" s="21"/>
      <c r="CZ1130" s="22"/>
      <c r="DA1130" s="21"/>
      <c r="DB1130" s="21"/>
    </row>
    <row r="1131" spans="3:106" s="19" customFormat="1" ht="12">
      <c r="C1131" s="21"/>
      <c r="D1131" s="21"/>
      <c r="E1131" s="2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2"/>
      <c r="BA1131" s="21"/>
      <c r="BB1131" s="21"/>
      <c r="BC1131" s="21"/>
      <c r="BD1131" s="21"/>
      <c r="BE1131" s="21"/>
      <c r="BF1131" s="21"/>
      <c r="BG1131" s="21"/>
      <c r="BH1131" s="21"/>
      <c r="BI1131" s="21"/>
      <c r="BJ1131" s="21"/>
      <c r="BK1131" s="21"/>
      <c r="BL1131" s="21"/>
      <c r="BM1131" s="21"/>
      <c r="BN1131" s="21"/>
      <c r="BO1131" s="21"/>
      <c r="BP1131" s="21"/>
      <c r="BQ1131" s="21"/>
      <c r="BR1131" s="21"/>
      <c r="BS1131" s="21"/>
      <c r="BT1131" s="21"/>
      <c r="BU1131" s="21"/>
      <c r="BV1131" s="21"/>
      <c r="BW1131" s="21"/>
      <c r="BX1131" s="21"/>
      <c r="BY1131" s="21"/>
      <c r="BZ1131" s="21"/>
      <c r="CA1131" s="21"/>
      <c r="CB1131" s="21"/>
      <c r="CC1131" s="21"/>
      <c r="CD1131" s="21"/>
      <c r="CE1131" s="21"/>
      <c r="CF1131" s="21"/>
      <c r="CG1131" s="21"/>
      <c r="CH1131" s="21"/>
      <c r="CI1131" s="21"/>
      <c r="CJ1131" s="21"/>
      <c r="CK1131" s="21"/>
      <c r="CL1131" s="21"/>
      <c r="CM1131" s="21"/>
      <c r="CN1131" s="21"/>
      <c r="CO1131" s="21"/>
      <c r="CP1131" s="21"/>
      <c r="CQ1131" s="21"/>
      <c r="CR1131" s="21"/>
      <c r="CS1131" s="21"/>
      <c r="CT1131" s="21"/>
      <c r="CU1131" s="21"/>
      <c r="CV1131" s="21"/>
      <c r="CW1131" s="21"/>
      <c r="CX1131" s="21"/>
      <c r="CY1131" s="21"/>
      <c r="CZ1131" s="22"/>
      <c r="DA1131" s="21"/>
      <c r="DB1131" s="21"/>
    </row>
    <row r="1132" spans="3:106" s="19" customFormat="1" ht="12">
      <c r="C1132" s="21"/>
      <c r="D1132" s="21"/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2"/>
      <c r="BA1132" s="21"/>
      <c r="BB1132" s="21"/>
      <c r="BC1132" s="21"/>
      <c r="BD1132" s="21"/>
      <c r="BE1132" s="21"/>
      <c r="BF1132" s="21"/>
      <c r="BG1132" s="21"/>
      <c r="BH1132" s="21"/>
      <c r="BI1132" s="21"/>
      <c r="BJ1132" s="21"/>
      <c r="BK1132" s="21"/>
      <c r="BL1132" s="21"/>
      <c r="BM1132" s="21"/>
      <c r="BN1132" s="21"/>
      <c r="BO1132" s="21"/>
      <c r="BP1132" s="21"/>
      <c r="BQ1132" s="21"/>
      <c r="BR1132" s="21"/>
      <c r="BS1132" s="21"/>
      <c r="BT1132" s="21"/>
      <c r="BU1132" s="21"/>
      <c r="BV1132" s="21"/>
      <c r="BW1132" s="21"/>
      <c r="BX1132" s="21"/>
      <c r="BY1132" s="21"/>
      <c r="BZ1132" s="21"/>
      <c r="CA1132" s="21"/>
      <c r="CB1132" s="21"/>
      <c r="CC1132" s="21"/>
      <c r="CD1132" s="21"/>
      <c r="CE1132" s="21"/>
      <c r="CF1132" s="21"/>
      <c r="CG1132" s="21"/>
      <c r="CH1132" s="21"/>
      <c r="CI1132" s="21"/>
      <c r="CJ1132" s="21"/>
      <c r="CK1132" s="21"/>
      <c r="CL1132" s="21"/>
      <c r="CM1132" s="21"/>
      <c r="CN1132" s="21"/>
      <c r="CO1132" s="21"/>
      <c r="CP1132" s="21"/>
      <c r="CQ1132" s="21"/>
      <c r="CR1132" s="21"/>
      <c r="CS1132" s="21"/>
      <c r="CT1132" s="21"/>
      <c r="CU1132" s="21"/>
      <c r="CV1132" s="21"/>
      <c r="CW1132" s="21"/>
      <c r="CX1132" s="21"/>
      <c r="CY1132" s="21"/>
      <c r="CZ1132" s="22"/>
      <c r="DA1132" s="21"/>
      <c r="DB1132" s="21"/>
    </row>
    <row r="1133" spans="3:106" s="19" customFormat="1" ht="12">
      <c r="C1133" s="21"/>
      <c r="D1133" s="21"/>
      <c r="E1133" s="2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2"/>
      <c r="BA1133" s="21"/>
      <c r="BB1133" s="21"/>
      <c r="BC1133" s="21"/>
      <c r="BD1133" s="21"/>
      <c r="BE1133" s="21"/>
      <c r="BF1133" s="21"/>
      <c r="BG1133" s="21"/>
      <c r="BH1133" s="21"/>
      <c r="BI1133" s="21"/>
      <c r="BJ1133" s="21"/>
      <c r="BK1133" s="21"/>
      <c r="BL1133" s="21"/>
      <c r="BM1133" s="21"/>
      <c r="BN1133" s="21"/>
      <c r="BO1133" s="21"/>
      <c r="BP1133" s="21"/>
      <c r="BQ1133" s="21"/>
      <c r="BR1133" s="21"/>
      <c r="BS1133" s="21"/>
      <c r="BT1133" s="21"/>
      <c r="BU1133" s="21"/>
      <c r="BV1133" s="21"/>
      <c r="BW1133" s="21"/>
      <c r="BX1133" s="21"/>
      <c r="BY1133" s="21"/>
      <c r="BZ1133" s="21"/>
      <c r="CA1133" s="21"/>
      <c r="CB1133" s="21"/>
      <c r="CC1133" s="21"/>
      <c r="CD1133" s="21"/>
      <c r="CE1133" s="21"/>
      <c r="CF1133" s="21"/>
      <c r="CG1133" s="21"/>
      <c r="CH1133" s="21"/>
      <c r="CI1133" s="21"/>
      <c r="CJ1133" s="21"/>
      <c r="CK1133" s="21"/>
      <c r="CL1133" s="21"/>
      <c r="CM1133" s="21"/>
      <c r="CN1133" s="21"/>
      <c r="CO1133" s="21"/>
      <c r="CP1133" s="21"/>
      <c r="CQ1133" s="21"/>
      <c r="CR1133" s="21"/>
      <c r="CS1133" s="21"/>
      <c r="CT1133" s="21"/>
      <c r="CU1133" s="21"/>
      <c r="CV1133" s="21"/>
      <c r="CW1133" s="21"/>
      <c r="CX1133" s="21"/>
      <c r="CY1133" s="21"/>
      <c r="CZ1133" s="22"/>
      <c r="DA1133" s="21"/>
      <c r="DB1133" s="21"/>
    </row>
    <row r="1134" spans="3:106" s="19" customFormat="1" ht="12">
      <c r="C1134" s="21"/>
      <c r="D1134" s="21"/>
      <c r="E1134" s="21"/>
      <c r="F1134" s="21"/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2"/>
      <c r="BA1134" s="21"/>
      <c r="BB1134" s="21"/>
      <c r="BC1134" s="21"/>
      <c r="BD1134" s="21"/>
      <c r="BE1134" s="21"/>
      <c r="BF1134" s="21"/>
      <c r="BG1134" s="21"/>
      <c r="BH1134" s="21"/>
      <c r="BI1134" s="21"/>
      <c r="BJ1134" s="21"/>
      <c r="BK1134" s="21"/>
      <c r="BL1134" s="21"/>
      <c r="BM1134" s="21"/>
      <c r="BN1134" s="21"/>
      <c r="BO1134" s="21"/>
      <c r="BP1134" s="21"/>
      <c r="BQ1134" s="21"/>
      <c r="BR1134" s="21"/>
      <c r="BS1134" s="21"/>
      <c r="BT1134" s="21"/>
      <c r="BU1134" s="21"/>
      <c r="BV1134" s="21"/>
      <c r="BW1134" s="21"/>
      <c r="BX1134" s="21"/>
      <c r="BY1134" s="21"/>
      <c r="BZ1134" s="21"/>
      <c r="CA1134" s="21"/>
      <c r="CB1134" s="21"/>
      <c r="CC1134" s="21"/>
      <c r="CD1134" s="21"/>
      <c r="CE1134" s="21"/>
      <c r="CF1134" s="21"/>
      <c r="CG1134" s="21"/>
      <c r="CH1134" s="21"/>
      <c r="CI1134" s="21"/>
      <c r="CJ1134" s="21"/>
      <c r="CK1134" s="21"/>
      <c r="CL1134" s="21"/>
      <c r="CM1134" s="21"/>
      <c r="CN1134" s="21"/>
      <c r="CO1134" s="21"/>
      <c r="CP1134" s="21"/>
      <c r="CQ1134" s="21"/>
      <c r="CR1134" s="21"/>
      <c r="CS1134" s="21"/>
      <c r="CT1134" s="21"/>
      <c r="CU1134" s="21"/>
      <c r="CV1134" s="21"/>
      <c r="CW1134" s="21"/>
      <c r="CX1134" s="21"/>
      <c r="CY1134" s="21"/>
      <c r="CZ1134" s="22"/>
      <c r="DA1134" s="21"/>
      <c r="DB1134" s="21"/>
    </row>
    <row r="1135" spans="3:106" s="19" customFormat="1" ht="12">
      <c r="C1135" s="21"/>
      <c r="D1135" s="21"/>
      <c r="E1135" s="2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  <c r="Q1135" s="21"/>
      <c r="R1135" s="21"/>
      <c r="S1135" s="21"/>
      <c r="T1135" s="21"/>
      <c r="U1135" s="21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2"/>
      <c r="BA1135" s="21"/>
      <c r="BB1135" s="21"/>
      <c r="BC1135" s="21"/>
      <c r="BD1135" s="21"/>
      <c r="BE1135" s="21"/>
      <c r="BF1135" s="21"/>
      <c r="BG1135" s="21"/>
      <c r="BH1135" s="21"/>
      <c r="BI1135" s="21"/>
      <c r="BJ1135" s="21"/>
      <c r="BK1135" s="21"/>
      <c r="BL1135" s="21"/>
      <c r="BM1135" s="21"/>
      <c r="BN1135" s="21"/>
      <c r="BO1135" s="21"/>
      <c r="BP1135" s="21"/>
      <c r="BQ1135" s="21"/>
      <c r="BR1135" s="21"/>
      <c r="BS1135" s="21"/>
      <c r="BT1135" s="21"/>
      <c r="BU1135" s="21"/>
      <c r="BV1135" s="21"/>
      <c r="BW1135" s="21"/>
      <c r="BX1135" s="21"/>
      <c r="BY1135" s="21"/>
      <c r="BZ1135" s="21"/>
      <c r="CA1135" s="21"/>
      <c r="CB1135" s="21"/>
      <c r="CC1135" s="21"/>
      <c r="CD1135" s="21"/>
      <c r="CE1135" s="21"/>
      <c r="CF1135" s="21"/>
      <c r="CG1135" s="21"/>
      <c r="CH1135" s="21"/>
      <c r="CI1135" s="21"/>
      <c r="CJ1135" s="21"/>
      <c r="CK1135" s="21"/>
      <c r="CL1135" s="21"/>
      <c r="CM1135" s="21"/>
      <c r="CN1135" s="21"/>
      <c r="CO1135" s="21"/>
      <c r="CP1135" s="21"/>
      <c r="CQ1135" s="21"/>
      <c r="CR1135" s="21"/>
      <c r="CS1135" s="21"/>
      <c r="CT1135" s="21"/>
      <c r="CU1135" s="21"/>
      <c r="CV1135" s="21"/>
      <c r="CW1135" s="21"/>
      <c r="CX1135" s="21"/>
      <c r="CY1135" s="21"/>
      <c r="CZ1135" s="22"/>
      <c r="DA1135" s="21"/>
      <c r="DB1135" s="21"/>
    </row>
    <row r="1136" spans="3:106" s="19" customFormat="1" ht="12">
      <c r="C1136" s="21"/>
      <c r="D1136" s="21"/>
      <c r="E1136" s="21"/>
      <c r="F1136" s="21"/>
      <c r="G1136" s="21"/>
      <c r="H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2"/>
      <c r="BA1136" s="21"/>
      <c r="BB1136" s="21"/>
      <c r="BC1136" s="21"/>
      <c r="BD1136" s="21"/>
      <c r="BE1136" s="21"/>
      <c r="BF1136" s="21"/>
      <c r="BG1136" s="21"/>
      <c r="BH1136" s="21"/>
      <c r="BI1136" s="21"/>
      <c r="BJ1136" s="21"/>
      <c r="BK1136" s="21"/>
      <c r="BL1136" s="21"/>
      <c r="BM1136" s="21"/>
      <c r="BN1136" s="21"/>
      <c r="BO1136" s="21"/>
      <c r="BP1136" s="21"/>
      <c r="BQ1136" s="21"/>
      <c r="BR1136" s="21"/>
      <c r="BS1136" s="21"/>
      <c r="BT1136" s="21"/>
      <c r="BU1136" s="21"/>
      <c r="BV1136" s="21"/>
      <c r="BW1136" s="21"/>
      <c r="BX1136" s="21"/>
      <c r="BY1136" s="21"/>
      <c r="BZ1136" s="21"/>
      <c r="CA1136" s="21"/>
      <c r="CB1136" s="21"/>
      <c r="CC1136" s="21"/>
      <c r="CD1136" s="21"/>
      <c r="CE1136" s="21"/>
      <c r="CF1136" s="21"/>
      <c r="CG1136" s="21"/>
      <c r="CH1136" s="21"/>
      <c r="CI1136" s="21"/>
      <c r="CJ1136" s="21"/>
      <c r="CK1136" s="21"/>
      <c r="CL1136" s="21"/>
      <c r="CM1136" s="21"/>
      <c r="CN1136" s="21"/>
      <c r="CO1136" s="21"/>
      <c r="CP1136" s="21"/>
      <c r="CQ1136" s="21"/>
      <c r="CR1136" s="21"/>
      <c r="CS1136" s="21"/>
      <c r="CT1136" s="21"/>
      <c r="CU1136" s="21"/>
      <c r="CV1136" s="21"/>
      <c r="CW1136" s="21"/>
      <c r="CX1136" s="21"/>
      <c r="CY1136" s="21"/>
      <c r="CZ1136" s="22"/>
      <c r="DA1136" s="21"/>
      <c r="DB1136" s="21"/>
    </row>
    <row r="1137" spans="3:106" s="19" customFormat="1" ht="12">
      <c r="C1137" s="21"/>
      <c r="D1137" s="21"/>
      <c r="E1137" s="2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2"/>
      <c r="BA1137" s="21"/>
      <c r="BB1137" s="21"/>
      <c r="BC1137" s="21"/>
      <c r="BD1137" s="21"/>
      <c r="BE1137" s="21"/>
      <c r="BF1137" s="21"/>
      <c r="BG1137" s="21"/>
      <c r="BH1137" s="21"/>
      <c r="BI1137" s="21"/>
      <c r="BJ1137" s="21"/>
      <c r="BK1137" s="21"/>
      <c r="BL1137" s="21"/>
      <c r="BM1137" s="21"/>
      <c r="BN1137" s="21"/>
      <c r="BO1137" s="21"/>
      <c r="BP1137" s="21"/>
      <c r="BQ1137" s="21"/>
      <c r="BR1137" s="21"/>
      <c r="BS1137" s="21"/>
      <c r="BT1137" s="21"/>
      <c r="BU1137" s="21"/>
      <c r="BV1137" s="21"/>
      <c r="BW1137" s="21"/>
      <c r="BX1137" s="21"/>
      <c r="BY1137" s="21"/>
      <c r="BZ1137" s="21"/>
      <c r="CA1137" s="21"/>
      <c r="CB1137" s="21"/>
      <c r="CC1137" s="21"/>
      <c r="CD1137" s="21"/>
      <c r="CE1137" s="21"/>
      <c r="CF1137" s="21"/>
      <c r="CG1137" s="21"/>
      <c r="CH1137" s="21"/>
      <c r="CI1137" s="21"/>
      <c r="CJ1137" s="21"/>
      <c r="CK1137" s="21"/>
      <c r="CL1137" s="21"/>
      <c r="CM1137" s="21"/>
      <c r="CN1137" s="21"/>
      <c r="CO1137" s="21"/>
      <c r="CP1137" s="21"/>
      <c r="CQ1137" s="21"/>
      <c r="CR1137" s="21"/>
      <c r="CS1137" s="21"/>
      <c r="CT1137" s="21"/>
      <c r="CU1137" s="21"/>
      <c r="CV1137" s="21"/>
      <c r="CW1137" s="21"/>
      <c r="CX1137" s="21"/>
      <c r="CY1137" s="21"/>
      <c r="CZ1137" s="22"/>
      <c r="DA1137" s="21"/>
      <c r="DB1137" s="21"/>
    </row>
    <row r="1138" spans="3:106" s="19" customFormat="1" ht="12">
      <c r="C1138" s="21"/>
      <c r="D1138" s="21"/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2"/>
      <c r="BA1138" s="21"/>
      <c r="BB1138" s="21"/>
      <c r="BC1138" s="21"/>
      <c r="BD1138" s="21"/>
      <c r="BE1138" s="21"/>
      <c r="BF1138" s="21"/>
      <c r="BG1138" s="21"/>
      <c r="BH1138" s="21"/>
      <c r="BI1138" s="21"/>
      <c r="BJ1138" s="21"/>
      <c r="BK1138" s="21"/>
      <c r="BL1138" s="21"/>
      <c r="BM1138" s="21"/>
      <c r="BN1138" s="21"/>
      <c r="BO1138" s="21"/>
      <c r="BP1138" s="21"/>
      <c r="BQ1138" s="21"/>
      <c r="BR1138" s="21"/>
      <c r="BS1138" s="21"/>
      <c r="BT1138" s="21"/>
      <c r="BU1138" s="21"/>
      <c r="BV1138" s="21"/>
      <c r="BW1138" s="21"/>
      <c r="BX1138" s="21"/>
      <c r="BY1138" s="21"/>
      <c r="BZ1138" s="21"/>
      <c r="CA1138" s="21"/>
      <c r="CB1138" s="21"/>
      <c r="CC1138" s="21"/>
      <c r="CD1138" s="21"/>
      <c r="CE1138" s="21"/>
      <c r="CF1138" s="21"/>
      <c r="CG1138" s="21"/>
      <c r="CH1138" s="21"/>
      <c r="CI1138" s="21"/>
      <c r="CJ1138" s="21"/>
      <c r="CK1138" s="21"/>
      <c r="CL1138" s="21"/>
      <c r="CM1138" s="21"/>
      <c r="CN1138" s="21"/>
      <c r="CO1138" s="21"/>
      <c r="CP1138" s="21"/>
      <c r="CQ1138" s="21"/>
      <c r="CR1138" s="21"/>
      <c r="CS1138" s="21"/>
      <c r="CT1138" s="21"/>
      <c r="CU1138" s="21"/>
      <c r="CV1138" s="21"/>
      <c r="CW1138" s="21"/>
      <c r="CX1138" s="21"/>
      <c r="CY1138" s="21"/>
      <c r="CZ1138" s="22"/>
      <c r="DA1138" s="21"/>
      <c r="DB1138" s="21"/>
    </row>
    <row r="1139" spans="3:106" s="19" customFormat="1" ht="12">
      <c r="C1139" s="21"/>
      <c r="D1139" s="21"/>
      <c r="E1139" s="2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2"/>
      <c r="BA1139" s="21"/>
      <c r="BB1139" s="21"/>
      <c r="BC1139" s="21"/>
      <c r="BD1139" s="21"/>
      <c r="BE1139" s="21"/>
      <c r="BF1139" s="21"/>
      <c r="BG1139" s="21"/>
      <c r="BH1139" s="21"/>
      <c r="BI1139" s="21"/>
      <c r="BJ1139" s="21"/>
      <c r="BK1139" s="21"/>
      <c r="BL1139" s="21"/>
      <c r="BM1139" s="21"/>
      <c r="BN1139" s="21"/>
      <c r="BO1139" s="21"/>
      <c r="BP1139" s="21"/>
      <c r="BQ1139" s="21"/>
      <c r="BR1139" s="21"/>
      <c r="BS1139" s="21"/>
      <c r="BT1139" s="21"/>
      <c r="BU1139" s="21"/>
      <c r="BV1139" s="21"/>
      <c r="BW1139" s="21"/>
      <c r="BX1139" s="21"/>
      <c r="BY1139" s="21"/>
      <c r="BZ1139" s="21"/>
      <c r="CA1139" s="21"/>
      <c r="CB1139" s="21"/>
      <c r="CC1139" s="21"/>
      <c r="CD1139" s="21"/>
      <c r="CE1139" s="21"/>
      <c r="CF1139" s="21"/>
      <c r="CG1139" s="21"/>
      <c r="CH1139" s="21"/>
      <c r="CI1139" s="21"/>
      <c r="CJ1139" s="21"/>
      <c r="CK1139" s="21"/>
      <c r="CL1139" s="21"/>
      <c r="CM1139" s="21"/>
      <c r="CN1139" s="21"/>
      <c r="CO1139" s="21"/>
      <c r="CP1139" s="21"/>
      <c r="CQ1139" s="21"/>
      <c r="CR1139" s="21"/>
      <c r="CS1139" s="21"/>
      <c r="CT1139" s="21"/>
      <c r="CU1139" s="21"/>
      <c r="CV1139" s="21"/>
      <c r="CW1139" s="21"/>
      <c r="CX1139" s="21"/>
      <c r="CY1139" s="21"/>
      <c r="CZ1139" s="22"/>
      <c r="DA1139" s="21"/>
      <c r="DB1139" s="21"/>
    </row>
    <row r="1140" spans="3:106" s="19" customFormat="1" ht="12">
      <c r="C1140" s="21"/>
      <c r="D1140" s="21"/>
      <c r="E1140" s="21"/>
      <c r="F1140" s="21"/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2"/>
      <c r="BA1140" s="21"/>
      <c r="BB1140" s="21"/>
      <c r="BC1140" s="21"/>
      <c r="BD1140" s="21"/>
      <c r="BE1140" s="21"/>
      <c r="BF1140" s="21"/>
      <c r="BG1140" s="21"/>
      <c r="BH1140" s="21"/>
      <c r="BI1140" s="21"/>
      <c r="BJ1140" s="21"/>
      <c r="BK1140" s="21"/>
      <c r="BL1140" s="21"/>
      <c r="BM1140" s="21"/>
      <c r="BN1140" s="21"/>
      <c r="BO1140" s="21"/>
      <c r="BP1140" s="21"/>
      <c r="BQ1140" s="21"/>
      <c r="BR1140" s="21"/>
      <c r="BS1140" s="21"/>
      <c r="BT1140" s="21"/>
      <c r="BU1140" s="21"/>
      <c r="BV1140" s="21"/>
      <c r="BW1140" s="21"/>
      <c r="BX1140" s="21"/>
      <c r="BY1140" s="21"/>
      <c r="BZ1140" s="21"/>
      <c r="CA1140" s="21"/>
      <c r="CB1140" s="21"/>
      <c r="CC1140" s="21"/>
      <c r="CD1140" s="21"/>
      <c r="CE1140" s="21"/>
      <c r="CF1140" s="21"/>
      <c r="CG1140" s="21"/>
      <c r="CH1140" s="21"/>
      <c r="CI1140" s="21"/>
      <c r="CJ1140" s="21"/>
      <c r="CK1140" s="21"/>
      <c r="CL1140" s="21"/>
      <c r="CM1140" s="21"/>
      <c r="CN1140" s="21"/>
      <c r="CO1140" s="21"/>
      <c r="CP1140" s="21"/>
      <c r="CQ1140" s="21"/>
      <c r="CR1140" s="21"/>
      <c r="CS1140" s="21"/>
      <c r="CT1140" s="21"/>
      <c r="CU1140" s="21"/>
      <c r="CV1140" s="21"/>
      <c r="CW1140" s="21"/>
      <c r="CX1140" s="21"/>
      <c r="CY1140" s="21"/>
      <c r="CZ1140" s="22"/>
      <c r="DA1140" s="21"/>
      <c r="DB1140" s="21"/>
    </row>
    <row r="1141" spans="3:106" s="19" customFormat="1" ht="12">
      <c r="C1141" s="21"/>
      <c r="D1141" s="21"/>
      <c r="E1141" s="2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  <c r="Q1141" s="21"/>
      <c r="R1141" s="21"/>
      <c r="S1141" s="21"/>
      <c r="T1141" s="21"/>
      <c r="U1141" s="21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2"/>
      <c r="BA1141" s="21"/>
      <c r="BB1141" s="21"/>
      <c r="BC1141" s="21"/>
      <c r="BD1141" s="21"/>
      <c r="BE1141" s="21"/>
      <c r="BF1141" s="21"/>
      <c r="BG1141" s="21"/>
      <c r="BH1141" s="21"/>
      <c r="BI1141" s="21"/>
      <c r="BJ1141" s="21"/>
      <c r="BK1141" s="21"/>
      <c r="BL1141" s="21"/>
      <c r="BM1141" s="21"/>
      <c r="BN1141" s="21"/>
      <c r="BO1141" s="21"/>
      <c r="BP1141" s="21"/>
      <c r="BQ1141" s="21"/>
      <c r="BR1141" s="21"/>
      <c r="BS1141" s="21"/>
      <c r="BT1141" s="21"/>
      <c r="BU1141" s="21"/>
      <c r="BV1141" s="21"/>
      <c r="BW1141" s="21"/>
      <c r="BX1141" s="21"/>
      <c r="BY1141" s="21"/>
      <c r="BZ1141" s="21"/>
      <c r="CA1141" s="21"/>
      <c r="CB1141" s="21"/>
      <c r="CC1141" s="21"/>
      <c r="CD1141" s="21"/>
      <c r="CE1141" s="21"/>
      <c r="CF1141" s="21"/>
      <c r="CG1141" s="21"/>
      <c r="CH1141" s="21"/>
      <c r="CI1141" s="21"/>
      <c r="CJ1141" s="21"/>
      <c r="CK1141" s="21"/>
      <c r="CL1141" s="21"/>
      <c r="CM1141" s="21"/>
      <c r="CN1141" s="21"/>
      <c r="CO1141" s="21"/>
      <c r="CP1141" s="21"/>
      <c r="CQ1141" s="21"/>
      <c r="CR1141" s="21"/>
      <c r="CS1141" s="21"/>
      <c r="CT1141" s="21"/>
      <c r="CU1141" s="21"/>
      <c r="CV1141" s="21"/>
      <c r="CW1141" s="21"/>
      <c r="CX1141" s="21"/>
      <c r="CY1141" s="21"/>
      <c r="CZ1141" s="22"/>
      <c r="DA1141" s="21"/>
      <c r="DB1141" s="21"/>
    </row>
    <row r="1142" spans="3:106" s="19" customFormat="1" ht="12">
      <c r="C1142" s="21"/>
      <c r="D1142" s="21"/>
      <c r="E1142" s="21"/>
      <c r="F1142" s="21"/>
      <c r="G1142" s="21"/>
      <c r="H1142" s="21"/>
      <c r="I1142" s="21"/>
      <c r="J1142" s="21"/>
      <c r="K1142" s="21"/>
      <c r="L1142" s="21"/>
      <c r="M1142" s="21"/>
      <c r="N1142" s="21"/>
      <c r="O1142" s="21"/>
      <c r="P1142" s="21"/>
      <c r="Q1142" s="21"/>
      <c r="R1142" s="21"/>
      <c r="S1142" s="21"/>
      <c r="T1142" s="21"/>
      <c r="U1142" s="21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2"/>
      <c r="BA1142" s="21"/>
      <c r="BB1142" s="21"/>
      <c r="BC1142" s="21"/>
      <c r="BD1142" s="21"/>
      <c r="BE1142" s="21"/>
      <c r="BF1142" s="21"/>
      <c r="BG1142" s="21"/>
      <c r="BH1142" s="21"/>
      <c r="BI1142" s="21"/>
      <c r="BJ1142" s="21"/>
      <c r="BK1142" s="21"/>
      <c r="BL1142" s="21"/>
      <c r="BM1142" s="21"/>
      <c r="BN1142" s="21"/>
      <c r="BO1142" s="21"/>
      <c r="BP1142" s="21"/>
      <c r="BQ1142" s="21"/>
      <c r="BR1142" s="21"/>
      <c r="BS1142" s="21"/>
      <c r="BT1142" s="21"/>
      <c r="BU1142" s="21"/>
      <c r="BV1142" s="21"/>
      <c r="BW1142" s="21"/>
      <c r="BX1142" s="21"/>
      <c r="BY1142" s="21"/>
      <c r="BZ1142" s="21"/>
      <c r="CA1142" s="21"/>
      <c r="CB1142" s="21"/>
      <c r="CC1142" s="21"/>
      <c r="CD1142" s="21"/>
      <c r="CE1142" s="21"/>
      <c r="CF1142" s="21"/>
      <c r="CG1142" s="21"/>
      <c r="CH1142" s="21"/>
      <c r="CI1142" s="21"/>
      <c r="CJ1142" s="21"/>
      <c r="CK1142" s="21"/>
      <c r="CL1142" s="21"/>
      <c r="CM1142" s="21"/>
      <c r="CN1142" s="21"/>
      <c r="CO1142" s="21"/>
      <c r="CP1142" s="21"/>
      <c r="CQ1142" s="21"/>
      <c r="CR1142" s="21"/>
      <c r="CS1142" s="21"/>
      <c r="CT1142" s="21"/>
      <c r="CU1142" s="21"/>
      <c r="CV1142" s="21"/>
      <c r="CW1142" s="21"/>
      <c r="CX1142" s="21"/>
      <c r="CY1142" s="21"/>
      <c r="CZ1142" s="22"/>
      <c r="DA1142" s="21"/>
      <c r="DB1142" s="21"/>
    </row>
    <row r="1143" spans="3:106" s="19" customFormat="1" ht="12">
      <c r="C1143" s="21"/>
      <c r="D1143" s="21"/>
      <c r="E1143" s="2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2"/>
      <c r="BA1143" s="21"/>
      <c r="BB1143" s="21"/>
      <c r="BC1143" s="21"/>
      <c r="BD1143" s="21"/>
      <c r="BE1143" s="21"/>
      <c r="BF1143" s="21"/>
      <c r="BG1143" s="21"/>
      <c r="BH1143" s="21"/>
      <c r="BI1143" s="21"/>
      <c r="BJ1143" s="21"/>
      <c r="BK1143" s="21"/>
      <c r="BL1143" s="21"/>
      <c r="BM1143" s="21"/>
      <c r="BN1143" s="21"/>
      <c r="BO1143" s="21"/>
      <c r="BP1143" s="21"/>
      <c r="BQ1143" s="21"/>
      <c r="BR1143" s="21"/>
      <c r="BS1143" s="21"/>
      <c r="BT1143" s="21"/>
      <c r="BU1143" s="21"/>
      <c r="BV1143" s="21"/>
      <c r="BW1143" s="21"/>
      <c r="BX1143" s="21"/>
      <c r="BY1143" s="21"/>
      <c r="BZ1143" s="21"/>
      <c r="CA1143" s="21"/>
      <c r="CB1143" s="21"/>
      <c r="CC1143" s="21"/>
      <c r="CD1143" s="21"/>
      <c r="CE1143" s="21"/>
      <c r="CF1143" s="21"/>
      <c r="CG1143" s="21"/>
      <c r="CH1143" s="21"/>
      <c r="CI1143" s="21"/>
      <c r="CJ1143" s="21"/>
      <c r="CK1143" s="21"/>
      <c r="CL1143" s="21"/>
      <c r="CM1143" s="21"/>
      <c r="CN1143" s="21"/>
      <c r="CO1143" s="21"/>
      <c r="CP1143" s="21"/>
      <c r="CQ1143" s="21"/>
      <c r="CR1143" s="21"/>
      <c r="CS1143" s="21"/>
      <c r="CT1143" s="21"/>
      <c r="CU1143" s="21"/>
      <c r="CV1143" s="21"/>
      <c r="CW1143" s="21"/>
      <c r="CX1143" s="21"/>
      <c r="CY1143" s="21"/>
      <c r="CZ1143" s="22"/>
      <c r="DA1143" s="21"/>
      <c r="DB1143" s="21"/>
    </row>
    <row r="1144" spans="3:106" s="19" customFormat="1" ht="12">
      <c r="C1144" s="21"/>
      <c r="D1144" s="21"/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2"/>
      <c r="BA1144" s="21"/>
      <c r="BB1144" s="21"/>
      <c r="BC1144" s="21"/>
      <c r="BD1144" s="21"/>
      <c r="BE1144" s="21"/>
      <c r="BF1144" s="21"/>
      <c r="BG1144" s="21"/>
      <c r="BH1144" s="21"/>
      <c r="BI1144" s="21"/>
      <c r="BJ1144" s="21"/>
      <c r="BK1144" s="21"/>
      <c r="BL1144" s="21"/>
      <c r="BM1144" s="21"/>
      <c r="BN1144" s="21"/>
      <c r="BO1144" s="21"/>
      <c r="BP1144" s="21"/>
      <c r="BQ1144" s="21"/>
      <c r="BR1144" s="21"/>
      <c r="BS1144" s="21"/>
      <c r="BT1144" s="21"/>
      <c r="BU1144" s="21"/>
      <c r="BV1144" s="21"/>
      <c r="BW1144" s="21"/>
      <c r="BX1144" s="21"/>
      <c r="BY1144" s="21"/>
      <c r="BZ1144" s="21"/>
      <c r="CA1144" s="21"/>
      <c r="CB1144" s="21"/>
      <c r="CC1144" s="21"/>
      <c r="CD1144" s="21"/>
      <c r="CE1144" s="21"/>
      <c r="CF1144" s="21"/>
      <c r="CG1144" s="21"/>
      <c r="CH1144" s="21"/>
      <c r="CI1144" s="21"/>
      <c r="CJ1144" s="21"/>
      <c r="CK1144" s="21"/>
      <c r="CL1144" s="21"/>
      <c r="CM1144" s="21"/>
      <c r="CN1144" s="21"/>
      <c r="CO1144" s="21"/>
      <c r="CP1144" s="21"/>
      <c r="CQ1144" s="21"/>
      <c r="CR1144" s="21"/>
      <c r="CS1144" s="21"/>
      <c r="CT1144" s="21"/>
      <c r="CU1144" s="21"/>
      <c r="CV1144" s="21"/>
      <c r="CW1144" s="21"/>
      <c r="CX1144" s="21"/>
      <c r="CY1144" s="21"/>
      <c r="CZ1144" s="22"/>
      <c r="DA1144" s="21"/>
      <c r="DB1144" s="21"/>
    </row>
    <row r="1145" spans="3:106" s="19" customFormat="1" ht="12">
      <c r="C1145" s="21"/>
      <c r="D1145" s="21"/>
      <c r="E1145" s="2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2"/>
      <c r="BA1145" s="21"/>
      <c r="BB1145" s="21"/>
      <c r="BC1145" s="21"/>
      <c r="BD1145" s="21"/>
      <c r="BE1145" s="21"/>
      <c r="BF1145" s="21"/>
      <c r="BG1145" s="21"/>
      <c r="BH1145" s="21"/>
      <c r="BI1145" s="21"/>
      <c r="BJ1145" s="21"/>
      <c r="BK1145" s="21"/>
      <c r="BL1145" s="21"/>
      <c r="BM1145" s="21"/>
      <c r="BN1145" s="21"/>
      <c r="BO1145" s="21"/>
      <c r="BP1145" s="21"/>
      <c r="BQ1145" s="21"/>
      <c r="BR1145" s="21"/>
      <c r="BS1145" s="21"/>
      <c r="BT1145" s="21"/>
      <c r="BU1145" s="21"/>
      <c r="BV1145" s="21"/>
      <c r="BW1145" s="21"/>
      <c r="BX1145" s="21"/>
      <c r="BY1145" s="21"/>
      <c r="BZ1145" s="21"/>
      <c r="CA1145" s="21"/>
      <c r="CB1145" s="21"/>
      <c r="CC1145" s="21"/>
      <c r="CD1145" s="21"/>
      <c r="CE1145" s="21"/>
      <c r="CF1145" s="21"/>
      <c r="CG1145" s="21"/>
      <c r="CH1145" s="21"/>
      <c r="CI1145" s="21"/>
      <c r="CJ1145" s="21"/>
      <c r="CK1145" s="21"/>
      <c r="CL1145" s="21"/>
      <c r="CM1145" s="21"/>
      <c r="CN1145" s="21"/>
      <c r="CO1145" s="21"/>
      <c r="CP1145" s="21"/>
      <c r="CQ1145" s="21"/>
      <c r="CR1145" s="21"/>
      <c r="CS1145" s="21"/>
      <c r="CT1145" s="21"/>
      <c r="CU1145" s="21"/>
      <c r="CV1145" s="21"/>
      <c r="CW1145" s="21"/>
      <c r="CX1145" s="21"/>
      <c r="CY1145" s="21"/>
      <c r="CZ1145" s="22"/>
      <c r="DA1145" s="21"/>
      <c r="DB1145" s="21"/>
    </row>
    <row r="1146" spans="3:106" s="19" customFormat="1" ht="12">
      <c r="C1146" s="21"/>
      <c r="D1146" s="21"/>
      <c r="E1146" s="2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2"/>
      <c r="BA1146" s="21"/>
      <c r="BB1146" s="21"/>
      <c r="BC1146" s="21"/>
      <c r="BD1146" s="21"/>
      <c r="BE1146" s="21"/>
      <c r="BF1146" s="21"/>
      <c r="BG1146" s="21"/>
      <c r="BH1146" s="21"/>
      <c r="BI1146" s="21"/>
      <c r="BJ1146" s="21"/>
      <c r="BK1146" s="21"/>
      <c r="BL1146" s="21"/>
      <c r="BM1146" s="21"/>
      <c r="BN1146" s="21"/>
      <c r="BO1146" s="21"/>
      <c r="BP1146" s="21"/>
      <c r="BQ1146" s="21"/>
      <c r="BR1146" s="21"/>
      <c r="BS1146" s="21"/>
      <c r="BT1146" s="21"/>
      <c r="BU1146" s="21"/>
      <c r="BV1146" s="21"/>
      <c r="BW1146" s="21"/>
      <c r="BX1146" s="21"/>
      <c r="BY1146" s="21"/>
      <c r="BZ1146" s="21"/>
      <c r="CA1146" s="21"/>
      <c r="CB1146" s="21"/>
      <c r="CC1146" s="21"/>
      <c r="CD1146" s="21"/>
      <c r="CE1146" s="21"/>
      <c r="CF1146" s="21"/>
      <c r="CG1146" s="21"/>
      <c r="CH1146" s="21"/>
      <c r="CI1146" s="21"/>
      <c r="CJ1146" s="21"/>
      <c r="CK1146" s="21"/>
      <c r="CL1146" s="21"/>
      <c r="CM1146" s="21"/>
      <c r="CN1146" s="21"/>
      <c r="CO1146" s="21"/>
      <c r="CP1146" s="21"/>
      <c r="CQ1146" s="21"/>
      <c r="CR1146" s="21"/>
      <c r="CS1146" s="21"/>
      <c r="CT1146" s="21"/>
      <c r="CU1146" s="21"/>
      <c r="CV1146" s="21"/>
      <c r="CW1146" s="21"/>
      <c r="CX1146" s="21"/>
      <c r="CY1146" s="21"/>
      <c r="CZ1146" s="22"/>
      <c r="DA1146" s="21"/>
      <c r="DB1146" s="21"/>
    </row>
    <row r="1147" spans="3:106" s="19" customFormat="1" ht="12">
      <c r="C1147" s="21"/>
      <c r="D1147" s="21"/>
      <c r="E1147" s="2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  <c r="Q1147" s="21"/>
      <c r="R1147" s="21"/>
      <c r="S1147" s="21"/>
      <c r="T1147" s="21"/>
      <c r="U1147" s="21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2"/>
      <c r="BA1147" s="21"/>
      <c r="BB1147" s="21"/>
      <c r="BC1147" s="21"/>
      <c r="BD1147" s="21"/>
      <c r="BE1147" s="21"/>
      <c r="BF1147" s="21"/>
      <c r="BG1147" s="21"/>
      <c r="BH1147" s="21"/>
      <c r="BI1147" s="21"/>
      <c r="BJ1147" s="21"/>
      <c r="BK1147" s="21"/>
      <c r="BL1147" s="21"/>
      <c r="BM1147" s="21"/>
      <c r="BN1147" s="21"/>
      <c r="BO1147" s="21"/>
      <c r="BP1147" s="21"/>
      <c r="BQ1147" s="21"/>
      <c r="BR1147" s="21"/>
      <c r="BS1147" s="21"/>
      <c r="BT1147" s="21"/>
      <c r="BU1147" s="21"/>
      <c r="BV1147" s="21"/>
      <c r="BW1147" s="21"/>
      <c r="BX1147" s="21"/>
      <c r="BY1147" s="21"/>
      <c r="BZ1147" s="21"/>
      <c r="CA1147" s="21"/>
      <c r="CB1147" s="21"/>
      <c r="CC1147" s="21"/>
      <c r="CD1147" s="21"/>
      <c r="CE1147" s="21"/>
      <c r="CF1147" s="21"/>
      <c r="CG1147" s="21"/>
      <c r="CH1147" s="21"/>
      <c r="CI1147" s="21"/>
      <c r="CJ1147" s="21"/>
      <c r="CK1147" s="21"/>
      <c r="CL1147" s="21"/>
      <c r="CM1147" s="21"/>
      <c r="CN1147" s="21"/>
      <c r="CO1147" s="21"/>
      <c r="CP1147" s="21"/>
      <c r="CQ1147" s="21"/>
      <c r="CR1147" s="21"/>
      <c r="CS1147" s="21"/>
      <c r="CT1147" s="21"/>
      <c r="CU1147" s="21"/>
      <c r="CV1147" s="21"/>
      <c r="CW1147" s="21"/>
      <c r="CX1147" s="21"/>
      <c r="CY1147" s="21"/>
      <c r="CZ1147" s="22"/>
      <c r="DA1147" s="21"/>
      <c r="DB1147" s="21"/>
    </row>
    <row r="1148" spans="3:106" s="19" customFormat="1" ht="12">
      <c r="C1148" s="21"/>
      <c r="D1148" s="21"/>
      <c r="E1148" s="21"/>
      <c r="F1148" s="21"/>
      <c r="G1148" s="21"/>
      <c r="H1148" s="21"/>
      <c r="I1148" s="21"/>
      <c r="J1148" s="21"/>
      <c r="K1148" s="21"/>
      <c r="L1148" s="21"/>
      <c r="M1148" s="21"/>
      <c r="N1148" s="21"/>
      <c r="O1148" s="21"/>
      <c r="P1148" s="21"/>
      <c r="Q1148" s="21"/>
      <c r="R1148" s="21"/>
      <c r="S1148" s="21"/>
      <c r="T1148" s="21"/>
      <c r="U1148" s="21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2"/>
      <c r="BA1148" s="21"/>
      <c r="BB1148" s="21"/>
      <c r="BC1148" s="21"/>
      <c r="BD1148" s="21"/>
      <c r="BE1148" s="21"/>
      <c r="BF1148" s="21"/>
      <c r="BG1148" s="21"/>
      <c r="BH1148" s="21"/>
      <c r="BI1148" s="21"/>
      <c r="BJ1148" s="21"/>
      <c r="BK1148" s="21"/>
      <c r="BL1148" s="21"/>
      <c r="BM1148" s="21"/>
      <c r="BN1148" s="21"/>
      <c r="BO1148" s="21"/>
      <c r="BP1148" s="21"/>
      <c r="BQ1148" s="21"/>
      <c r="BR1148" s="21"/>
      <c r="BS1148" s="21"/>
      <c r="BT1148" s="21"/>
      <c r="BU1148" s="21"/>
      <c r="BV1148" s="21"/>
      <c r="BW1148" s="21"/>
      <c r="BX1148" s="21"/>
      <c r="BY1148" s="21"/>
      <c r="BZ1148" s="21"/>
      <c r="CA1148" s="21"/>
      <c r="CB1148" s="21"/>
      <c r="CC1148" s="21"/>
      <c r="CD1148" s="21"/>
      <c r="CE1148" s="21"/>
      <c r="CF1148" s="21"/>
      <c r="CG1148" s="21"/>
      <c r="CH1148" s="21"/>
      <c r="CI1148" s="21"/>
      <c r="CJ1148" s="21"/>
      <c r="CK1148" s="21"/>
      <c r="CL1148" s="21"/>
      <c r="CM1148" s="21"/>
      <c r="CN1148" s="21"/>
      <c r="CO1148" s="21"/>
      <c r="CP1148" s="21"/>
      <c r="CQ1148" s="21"/>
      <c r="CR1148" s="21"/>
      <c r="CS1148" s="21"/>
      <c r="CT1148" s="21"/>
      <c r="CU1148" s="21"/>
      <c r="CV1148" s="21"/>
      <c r="CW1148" s="21"/>
      <c r="CX1148" s="21"/>
      <c r="CY1148" s="21"/>
      <c r="CZ1148" s="22"/>
      <c r="DA1148" s="21"/>
      <c r="DB1148" s="21"/>
    </row>
    <row r="1149" spans="3:106" s="19" customFormat="1" ht="12">
      <c r="C1149" s="21"/>
      <c r="D1149" s="21"/>
      <c r="E1149" s="2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  <c r="Q1149" s="21"/>
      <c r="R1149" s="21"/>
      <c r="S1149" s="21"/>
      <c r="T1149" s="21"/>
      <c r="U1149" s="21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2"/>
      <c r="BA1149" s="21"/>
      <c r="BB1149" s="21"/>
      <c r="BC1149" s="21"/>
      <c r="BD1149" s="21"/>
      <c r="BE1149" s="21"/>
      <c r="BF1149" s="21"/>
      <c r="BG1149" s="21"/>
      <c r="BH1149" s="21"/>
      <c r="BI1149" s="21"/>
      <c r="BJ1149" s="21"/>
      <c r="BK1149" s="21"/>
      <c r="BL1149" s="21"/>
      <c r="BM1149" s="21"/>
      <c r="BN1149" s="21"/>
      <c r="BO1149" s="21"/>
      <c r="BP1149" s="21"/>
      <c r="BQ1149" s="21"/>
      <c r="BR1149" s="21"/>
      <c r="BS1149" s="21"/>
      <c r="BT1149" s="21"/>
      <c r="BU1149" s="21"/>
      <c r="BV1149" s="21"/>
      <c r="BW1149" s="21"/>
      <c r="BX1149" s="21"/>
      <c r="BY1149" s="21"/>
      <c r="BZ1149" s="21"/>
      <c r="CA1149" s="21"/>
      <c r="CB1149" s="21"/>
      <c r="CC1149" s="21"/>
      <c r="CD1149" s="21"/>
      <c r="CE1149" s="21"/>
      <c r="CF1149" s="21"/>
      <c r="CG1149" s="21"/>
      <c r="CH1149" s="21"/>
      <c r="CI1149" s="21"/>
      <c r="CJ1149" s="21"/>
      <c r="CK1149" s="21"/>
      <c r="CL1149" s="21"/>
      <c r="CM1149" s="21"/>
      <c r="CN1149" s="21"/>
      <c r="CO1149" s="21"/>
      <c r="CP1149" s="21"/>
      <c r="CQ1149" s="21"/>
      <c r="CR1149" s="21"/>
      <c r="CS1149" s="21"/>
      <c r="CT1149" s="21"/>
      <c r="CU1149" s="21"/>
      <c r="CV1149" s="21"/>
      <c r="CW1149" s="21"/>
      <c r="CX1149" s="21"/>
      <c r="CY1149" s="21"/>
      <c r="CZ1149" s="22"/>
      <c r="DA1149" s="21"/>
      <c r="DB1149" s="21"/>
    </row>
    <row r="1150" spans="3:106" s="19" customFormat="1" ht="12">
      <c r="C1150" s="21"/>
      <c r="D1150" s="21"/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2"/>
      <c r="BA1150" s="21"/>
      <c r="BB1150" s="21"/>
      <c r="BC1150" s="21"/>
      <c r="BD1150" s="21"/>
      <c r="BE1150" s="21"/>
      <c r="BF1150" s="21"/>
      <c r="BG1150" s="21"/>
      <c r="BH1150" s="21"/>
      <c r="BI1150" s="21"/>
      <c r="BJ1150" s="21"/>
      <c r="BK1150" s="21"/>
      <c r="BL1150" s="21"/>
      <c r="BM1150" s="21"/>
      <c r="BN1150" s="21"/>
      <c r="BO1150" s="21"/>
      <c r="BP1150" s="21"/>
      <c r="BQ1150" s="21"/>
      <c r="BR1150" s="21"/>
      <c r="BS1150" s="21"/>
      <c r="BT1150" s="21"/>
      <c r="BU1150" s="21"/>
      <c r="BV1150" s="21"/>
      <c r="BW1150" s="21"/>
      <c r="BX1150" s="21"/>
      <c r="BY1150" s="21"/>
      <c r="BZ1150" s="21"/>
      <c r="CA1150" s="21"/>
      <c r="CB1150" s="21"/>
      <c r="CC1150" s="21"/>
      <c r="CD1150" s="21"/>
      <c r="CE1150" s="21"/>
      <c r="CF1150" s="21"/>
      <c r="CG1150" s="21"/>
      <c r="CH1150" s="21"/>
      <c r="CI1150" s="21"/>
      <c r="CJ1150" s="21"/>
      <c r="CK1150" s="21"/>
      <c r="CL1150" s="21"/>
      <c r="CM1150" s="21"/>
      <c r="CN1150" s="21"/>
      <c r="CO1150" s="21"/>
      <c r="CP1150" s="21"/>
      <c r="CQ1150" s="21"/>
      <c r="CR1150" s="21"/>
      <c r="CS1150" s="21"/>
      <c r="CT1150" s="21"/>
      <c r="CU1150" s="21"/>
      <c r="CV1150" s="21"/>
      <c r="CW1150" s="21"/>
      <c r="CX1150" s="21"/>
      <c r="CY1150" s="21"/>
      <c r="CZ1150" s="22"/>
      <c r="DA1150" s="21"/>
      <c r="DB1150" s="21"/>
    </row>
    <row r="1151" spans="3:106" s="19" customFormat="1" ht="12">
      <c r="C1151" s="21"/>
      <c r="D1151" s="21"/>
      <c r="E1151" s="2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2"/>
      <c r="BA1151" s="21"/>
      <c r="BB1151" s="21"/>
      <c r="BC1151" s="21"/>
      <c r="BD1151" s="21"/>
      <c r="BE1151" s="21"/>
      <c r="BF1151" s="21"/>
      <c r="BG1151" s="21"/>
      <c r="BH1151" s="21"/>
      <c r="BI1151" s="21"/>
      <c r="BJ1151" s="21"/>
      <c r="BK1151" s="21"/>
      <c r="BL1151" s="21"/>
      <c r="BM1151" s="21"/>
      <c r="BN1151" s="21"/>
      <c r="BO1151" s="21"/>
      <c r="BP1151" s="21"/>
      <c r="BQ1151" s="21"/>
      <c r="BR1151" s="21"/>
      <c r="BS1151" s="21"/>
      <c r="BT1151" s="21"/>
      <c r="BU1151" s="21"/>
      <c r="BV1151" s="21"/>
      <c r="BW1151" s="21"/>
      <c r="BX1151" s="21"/>
      <c r="BY1151" s="21"/>
      <c r="BZ1151" s="21"/>
      <c r="CA1151" s="21"/>
      <c r="CB1151" s="21"/>
      <c r="CC1151" s="21"/>
      <c r="CD1151" s="21"/>
      <c r="CE1151" s="21"/>
      <c r="CF1151" s="21"/>
      <c r="CG1151" s="21"/>
      <c r="CH1151" s="21"/>
      <c r="CI1151" s="21"/>
      <c r="CJ1151" s="21"/>
      <c r="CK1151" s="21"/>
      <c r="CL1151" s="21"/>
      <c r="CM1151" s="21"/>
      <c r="CN1151" s="21"/>
      <c r="CO1151" s="21"/>
      <c r="CP1151" s="21"/>
      <c r="CQ1151" s="21"/>
      <c r="CR1151" s="21"/>
      <c r="CS1151" s="21"/>
      <c r="CT1151" s="21"/>
      <c r="CU1151" s="21"/>
      <c r="CV1151" s="21"/>
      <c r="CW1151" s="21"/>
      <c r="CX1151" s="21"/>
      <c r="CY1151" s="21"/>
      <c r="CZ1151" s="22"/>
      <c r="DA1151" s="21"/>
      <c r="DB1151" s="21"/>
    </row>
    <row r="1152" spans="3:106" s="19" customFormat="1" ht="12">
      <c r="C1152" s="21"/>
      <c r="D1152" s="21"/>
      <c r="E1152" s="21"/>
      <c r="F1152" s="21"/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2"/>
      <c r="BA1152" s="21"/>
      <c r="BB1152" s="21"/>
      <c r="BC1152" s="21"/>
      <c r="BD1152" s="21"/>
      <c r="BE1152" s="21"/>
      <c r="BF1152" s="21"/>
      <c r="BG1152" s="21"/>
      <c r="BH1152" s="21"/>
      <c r="BI1152" s="21"/>
      <c r="BJ1152" s="21"/>
      <c r="BK1152" s="21"/>
      <c r="BL1152" s="21"/>
      <c r="BM1152" s="21"/>
      <c r="BN1152" s="21"/>
      <c r="BO1152" s="21"/>
      <c r="BP1152" s="21"/>
      <c r="BQ1152" s="21"/>
      <c r="BR1152" s="21"/>
      <c r="BS1152" s="21"/>
      <c r="BT1152" s="21"/>
      <c r="BU1152" s="21"/>
      <c r="BV1152" s="21"/>
      <c r="BW1152" s="21"/>
      <c r="BX1152" s="21"/>
      <c r="BY1152" s="21"/>
      <c r="BZ1152" s="21"/>
      <c r="CA1152" s="21"/>
      <c r="CB1152" s="21"/>
      <c r="CC1152" s="21"/>
      <c r="CD1152" s="21"/>
      <c r="CE1152" s="21"/>
      <c r="CF1152" s="21"/>
      <c r="CG1152" s="21"/>
      <c r="CH1152" s="21"/>
      <c r="CI1152" s="21"/>
      <c r="CJ1152" s="21"/>
      <c r="CK1152" s="21"/>
      <c r="CL1152" s="21"/>
      <c r="CM1152" s="21"/>
      <c r="CN1152" s="21"/>
      <c r="CO1152" s="21"/>
      <c r="CP1152" s="21"/>
      <c r="CQ1152" s="21"/>
      <c r="CR1152" s="21"/>
      <c r="CS1152" s="21"/>
      <c r="CT1152" s="21"/>
      <c r="CU1152" s="21"/>
      <c r="CV1152" s="21"/>
      <c r="CW1152" s="21"/>
      <c r="CX1152" s="21"/>
      <c r="CY1152" s="21"/>
      <c r="CZ1152" s="22"/>
      <c r="DA1152" s="21"/>
      <c r="DB1152" s="21"/>
    </row>
    <row r="1153" spans="3:113" s="19" customFormat="1" ht="12">
      <c r="C1153" s="21"/>
      <c r="D1153" s="21"/>
      <c r="E1153" s="2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2"/>
      <c r="BA1153" s="21"/>
      <c r="BB1153" s="21"/>
      <c r="BC1153" s="21"/>
      <c r="BD1153" s="21"/>
      <c r="BE1153" s="21"/>
      <c r="BF1153" s="21"/>
      <c r="BG1153" s="21"/>
      <c r="BH1153" s="21"/>
      <c r="BI1153" s="21"/>
      <c r="BJ1153" s="21"/>
      <c r="BK1153" s="21"/>
      <c r="BL1153" s="21"/>
      <c r="BM1153" s="21"/>
      <c r="BN1153" s="21"/>
      <c r="BO1153" s="21"/>
      <c r="BP1153" s="21"/>
      <c r="BQ1153" s="21"/>
      <c r="BR1153" s="21"/>
      <c r="BS1153" s="21"/>
      <c r="BT1153" s="21"/>
      <c r="BU1153" s="21"/>
      <c r="BV1153" s="21"/>
      <c r="BW1153" s="21"/>
      <c r="BX1153" s="21"/>
      <c r="BY1153" s="21"/>
      <c r="BZ1153" s="21"/>
      <c r="CA1153" s="21"/>
      <c r="CB1153" s="21"/>
      <c r="CC1153" s="21"/>
      <c r="CD1153" s="21"/>
      <c r="CE1153" s="21"/>
      <c r="CF1153" s="21"/>
      <c r="CG1153" s="21"/>
      <c r="CH1153" s="21"/>
      <c r="CI1153" s="21"/>
      <c r="CJ1153" s="21"/>
      <c r="CK1153" s="21"/>
      <c r="CL1153" s="21"/>
      <c r="CM1153" s="21"/>
      <c r="CN1153" s="21"/>
      <c r="CO1153" s="21"/>
      <c r="CP1153" s="21"/>
      <c r="CQ1153" s="21"/>
      <c r="CR1153" s="21"/>
      <c r="CS1153" s="21"/>
      <c r="CT1153" s="21"/>
      <c r="CU1153" s="21"/>
      <c r="CV1153" s="21"/>
      <c r="CW1153" s="21"/>
      <c r="CX1153" s="21"/>
      <c r="CY1153" s="21"/>
      <c r="CZ1153" s="22"/>
      <c r="DA1153" s="21"/>
      <c r="DB1153" s="21"/>
    </row>
    <row r="1154" spans="3:113" s="19" customFormat="1" ht="12">
      <c r="C1154" s="21"/>
      <c r="D1154" s="21"/>
      <c r="E1154" s="21"/>
      <c r="F1154" s="21"/>
      <c r="G1154" s="21"/>
      <c r="H1154" s="21"/>
      <c r="I1154" s="21"/>
      <c r="J1154" s="21"/>
      <c r="K1154" s="21"/>
      <c r="L1154" s="21"/>
      <c r="M1154" s="21"/>
      <c r="N1154" s="21"/>
      <c r="O1154" s="21"/>
      <c r="P1154" s="21"/>
      <c r="Q1154" s="21"/>
      <c r="R1154" s="21"/>
      <c r="S1154" s="21"/>
      <c r="T1154" s="21"/>
      <c r="U1154" s="21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2"/>
      <c r="BA1154" s="21"/>
      <c r="BB1154" s="21"/>
      <c r="BC1154" s="21"/>
      <c r="BD1154" s="21"/>
      <c r="BE1154" s="21"/>
      <c r="BF1154" s="21"/>
      <c r="BG1154" s="21"/>
      <c r="BH1154" s="21"/>
      <c r="BI1154" s="21"/>
      <c r="BJ1154" s="21"/>
      <c r="BK1154" s="21"/>
      <c r="BL1154" s="21"/>
      <c r="BM1154" s="21"/>
      <c r="BN1154" s="21"/>
      <c r="BO1154" s="21"/>
      <c r="BP1154" s="21"/>
      <c r="BQ1154" s="21"/>
      <c r="BR1154" s="21"/>
      <c r="BS1154" s="21"/>
      <c r="BT1154" s="21"/>
      <c r="BU1154" s="21"/>
      <c r="BV1154" s="21"/>
      <c r="BW1154" s="21"/>
      <c r="BX1154" s="21"/>
      <c r="BY1154" s="21"/>
      <c r="BZ1154" s="21"/>
      <c r="CA1154" s="21"/>
      <c r="CB1154" s="21"/>
      <c r="CC1154" s="21"/>
      <c r="CD1154" s="21"/>
      <c r="CE1154" s="21"/>
      <c r="CF1154" s="21"/>
      <c r="CG1154" s="21"/>
      <c r="CH1154" s="21"/>
      <c r="CI1154" s="21"/>
      <c r="CJ1154" s="21"/>
      <c r="CK1154" s="21"/>
      <c r="CL1154" s="21"/>
      <c r="CM1154" s="21"/>
      <c r="CN1154" s="21"/>
      <c r="CO1154" s="21"/>
      <c r="CP1154" s="21"/>
      <c r="CQ1154" s="21"/>
      <c r="CR1154" s="21"/>
      <c r="CS1154" s="21"/>
      <c r="CT1154" s="21"/>
      <c r="CU1154" s="21"/>
      <c r="CV1154" s="21"/>
      <c r="CW1154" s="21"/>
      <c r="CX1154" s="21"/>
      <c r="CY1154" s="21"/>
      <c r="CZ1154" s="22"/>
      <c r="DA1154" s="21"/>
      <c r="DB1154" s="21"/>
    </row>
    <row r="1155" spans="3:113" s="19" customFormat="1" ht="12">
      <c r="C1155" s="21"/>
      <c r="D1155" s="21"/>
      <c r="E1155" s="2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  <c r="Q1155" s="21"/>
      <c r="R1155" s="21"/>
      <c r="S1155" s="21"/>
      <c r="T1155" s="21"/>
      <c r="U1155" s="21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2"/>
      <c r="BA1155" s="21"/>
      <c r="BB1155" s="21"/>
      <c r="BC1155" s="21"/>
      <c r="BD1155" s="21"/>
      <c r="BE1155" s="21"/>
      <c r="BF1155" s="21"/>
      <c r="BG1155" s="21"/>
      <c r="BH1155" s="21"/>
      <c r="BI1155" s="21"/>
      <c r="BJ1155" s="21"/>
      <c r="BK1155" s="21"/>
      <c r="BL1155" s="21"/>
      <c r="BM1155" s="21"/>
      <c r="BN1155" s="21"/>
      <c r="BO1155" s="21"/>
      <c r="BP1155" s="21"/>
      <c r="BQ1155" s="21"/>
      <c r="BR1155" s="21"/>
      <c r="BS1155" s="21"/>
      <c r="BT1155" s="21"/>
      <c r="BU1155" s="21"/>
      <c r="BV1155" s="21"/>
      <c r="BW1155" s="21"/>
      <c r="BX1155" s="21"/>
      <c r="BY1155" s="21"/>
      <c r="BZ1155" s="21"/>
      <c r="CA1155" s="21"/>
      <c r="CB1155" s="21"/>
      <c r="CC1155" s="21"/>
      <c r="CD1155" s="21"/>
      <c r="CE1155" s="21"/>
      <c r="CF1155" s="21"/>
      <c r="CG1155" s="21"/>
      <c r="CH1155" s="21"/>
      <c r="CI1155" s="21"/>
      <c r="CJ1155" s="21"/>
      <c r="CK1155" s="21"/>
      <c r="CL1155" s="21"/>
      <c r="CM1155" s="21"/>
      <c r="CN1155" s="21"/>
      <c r="CO1155" s="21"/>
      <c r="CP1155" s="21"/>
      <c r="CQ1155" s="21"/>
      <c r="CR1155" s="21"/>
      <c r="CS1155" s="21"/>
      <c r="CT1155" s="21"/>
      <c r="CU1155" s="21"/>
      <c r="CV1155" s="21"/>
      <c r="CW1155" s="21"/>
      <c r="CX1155" s="21"/>
      <c r="CY1155" s="21"/>
      <c r="CZ1155" s="22"/>
      <c r="DA1155" s="21"/>
      <c r="DB1155" s="21"/>
    </row>
    <row r="1156" spans="3:113" s="19" customFormat="1">
      <c r="C1156" s="21"/>
      <c r="D1156" s="21"/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2"/>
      <c r="BA1156" s="21"/>
      <c r="BB1156" s="21"/>
      <c r="BC1156" s="21"/>
      <c r="BD1156" s="21"/>
      <c r="BE1156" s="21"/>
      <c r="BF1156" s="21"/>
      <c r="BG1156" s="21"/>
      <c r="BH1156" s="21"/>
      <c r="BI1156" s="21"/>
      <c r="BJ1156" s="21"/>
      <c r="BK1156" s="21"/>
      <c r="BL1156" s="21"/>
      <c r="BM1156" s="21"/>
      <c r="BN1156" s="21"/>
      <c r="BO1156" s="21"/>
      <c r="BP1156" s="21"/>
      <c r="BQ1156" s="21"/>
      <c r="BR1156" s="21"/>
      <c r="BS1156" s="21"/>
      <c r="BT1156" s="21"/>
      <c r="BU1156" s="21"/>
      <c r="BV1156" s="21"/>
      <c r="BW1156" s="21"/>
      <c r="BX1156" s="21"/>
      <c r="BY1156" s="21"/>
      <c r="BZ1156" s="21"/>
      <c r="CA1156" s="21"/>
      <c r="CB1156" s="21"/>
      <c r="CC1156" s="21"/>
      <c r="CD1156" s="21"/>
      <c r="CE1156" s="21"/>
      <c r="CF1156" s="21"/>
      <c r="CG1156" s="21"/>
      <c r="CH1156" s="21"/>
      <c r="CI1156" s="21"/>
      <c r="CJ1156" s="21"/>
      <c r="CK1156" s="21"/>
      <c r="CL1156" s="21"/>
      <c r="CM1156" s="21"/>
      <c r="CN1156" s="21"/>
      <c r="CO1156" s="21"/>
      <c r="CP1156" s="21"/>
      <c r="CQ1156" s="21"/>
      <c r="CR1156" s="21"/>
      <c r="CS1156" s="21"/>
      <c r="CT1156" s="21"/>
      <c r="CU1156" s="21"/>
      <c r="CV1156" s="21"/>
      <c r="CW1156" s="21"/>
      <c r="CX1156" s="21"/>
      <c r="CY1156" s="21"/>
      <c r="CZ1156" s="22"/>
      <c r="DA1156" s="21"/>
      <c r="DB1156" s="21"/>
      <c r="DC1156" s="21"/>
      <c r="DD1156" s="21"/>
      <c r="DE1156" s="21"/>
      <c r="DF1156" s="21"/>
      <c r="DG1156"/>
      <c r="DH1156"/>
      <c r="DI1156"/>
    </row>
    <row r="1157" spans="3:113" s="19" customFormat="1">
      <c r="C1157" s="21"/>
      <c r="D1157" s="21"/>
      <c r="E1157" s="2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2"/>
      <c r="BA1157" s="21"/>
      <c r="BB1157" s="21"/>
      <c r="BC1157" s="21"/>
      <c r="BD1157" s="21"/>
      <c r="BE1157" s="21"/>
      <c r="BF1157" s="21"/>
      <c r="BG1157" s="21"/>
      <c r="BH1157" s="21"/>
      <c r="BI1157" s="21"/>
      <c r="BJ1157" s="21"/>
      <c r="BK1157" s="21"/>
      <c r="BL1157" s="21"/>
      <c r="BM1157" s="21"/>
      <c r="BN1157" s="21"/>
      <c r="BO1157" s="21"/>
      <c r="BP1157" s="21"/>
      <c r="BQ1157" s="21"/>
      <c r="BR1157" s="21"/>
      <c r="BS1157" s="21"/>
      <c r="BT1157" s="21"/>
      <c r="BU1157" s="21"/>
      <c r="BV1157" s="21"/>
      <c r="BW1157" s="21"/>
      <c r="BX1157" s="21"/>
      <c r="BY1157" s="21"/>
      <c r="BZ1157" s="21"/>
      <c r="CA1157" s="21"/>
      <c r="CB1157" s="21"/>
      <c r="CC1157" s="21"/>
      <c r="CD1157" s="21"/>
      <c r="CE1157" s="21"/>
      <c r="CF1157" s="21"/>
      <c r="CG1157" s="21"/>
      <c r="CH1157" s="21"/>
      <c r="CI1157" s="21"/>
      <c r="CJ1157" s="21"/>
      <c r="CK1157" s="21"/>
      <c r="CL1157" s="21"/>
      <c r="CM1157" s="21"/>
      <c r="CN1157" s="21"/>
      <c r="CO1157" s="21"/>
      <c r="CP1157" s="21"/>
      <c r="CQ1157" s="21"/>
      <c r="CR1157" s="21"/>
      <c r="CS1157" s="21"/>
      <c r="CT1157" s="21"/>
      <c r="CU1157" s="21"/>
      <c r="CV1157" s="21"/>
      <c r="CW1157" s="21"/>
      <c r="CX1157" s="21"/>
      <c r="CY1157" s="21"/>
      <c r="CZ1157" s="22"/>
      <c r="DA1157" s="21"/>
      <c r="DB1157" s="21"/>
      <c r="DC1157" s="21"/>
      <c r="DD1157" s="21"/>
      <c r="DE1157" s="21"/>
      <c r="DF1157" s="21"/>
      <c r="DG1157"/>
      <c r="DH1157"/>
      <c r="DI1157"/>
    </row>
    <row r="1158" spans="3:113" s="19" customFormat="1">
      <c r="C1158" s="21"/>
      <c r="D1158" s="21"/>
      <c r="E1158" s="21"/>
      <c r="F1158" s="21"/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2"/>
      <c r="BA1158" s="21"/>
      <c r="BB1158" s="21"/>
      <c r="BC1158" s="21"/>
      <c r="BD1158" s="21"/>
      <c r="BE1158" s="21"/>
      <c r="BF1158" s="21"/>
      <c r="BG1158" s="21"/>
      <c r="BH1158" s="21"/>
      <c r="BI1158" s="21"/>
      <c r="BJ1158" s="21"/>
      <c r="BK1158" s="21"/>
      <c r="BL1158" s="21"/>
      <c r="BM1158" s="21"/>
      <c r="BN1158" s="21"/>
      <c r="BO1158" s="21"/>
      <c r="BP1158" s="21"/>
      <c r="BQ1158" s="21"/>
      <c r="BR1158" s="21"/>
      <c r="BS1158" s="21"/>
      <c r="BT1158" s="21"/>
      <c r="BU1158" s="21"/>
      <c r="BV1158" s="21"/>
      <c r="BW1158" s="21"/>
      <c r="BX1158" s="21"/>
      <c r="BY1158" s="21"/>
      <c r="BZ1158" s="21"/>
      <c r="CA1158" s="21"/>
      <c r="CB1158" s="21"/>
      <c r="CC1158" s="21"/>
      <c r="CD1158" s="21"/>
      <c r="CE1158" s="21"/>
      <c r="CF1158" s="21"/>
      <c r="CG1158" s="21"/>
      <c r="CH1158" s="21"/>
      <c r="CI1158" s="21"/>
      <c r="CJ1158" s="21"/>
      <c r="CK1158" s="21"/>
      <c r="CL1158" s="21"/>
      <c r="CM1158" s="21"/>
      <c r="CN1158" s="21"/>
      <c r="CO1158" s="21"/>
      <c r="CP1158" s="21"/>
      <c r="CQ1158" s="21"/>
      <c r="CR1158" s="21"/>
      <c r="CS1158" s="21"/>
      <c r="CT1158" s="21"/>
      <c r="CU1158" s="21"/>
      <c r="CV1158" s="21"/>
      <c r="CW1158" s="21"/>
      <c r="CX1158" s="21"/>
      <c r="CY1158" s="21"/>
      <c r="CZ1158" s="22"/>
      <c r="DA1158" s="21"/>
      <c r="DB1158" s="21"/>
      <c r="DC1158" s="21"/>
      <c r="DD1158" s="21"/>
      <c r="DE1158" s="21"/>
      <c r="DF1158" s="21"/>
      <c r="DG1158"/>
      <c r="DH1158"/>
      <c r="DI1158"/>
    </row>
    <row r="1159" spans="3:113" s="19" customFormat="1">
      <c r="C1159" s="21"/>
      <c r="D1159" s="21"/>
      <c r="E1159" s="2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2"/>
      <c r="BA1159" s="21"/>
      <c r="BB1159" s="21"/>
      <c r="BC1159" s="21"/>
      <c r="BD1159" s="21"/>
      <c r="BE1159" s="21"/>
      <c r="BF1159" s="21"/>
      <c r="BG1159" s="21"/>
      <c r="BH1159" s="21"/>
      <c r="BI1159" s="21"/>
      <c r="BJ1159" s="21"/>
      <c r="BK1159" s="21"/>
      <c r="BL1159" s="21"/>
      <c r="BM1159" s="21"/>
      <c r="BN1159" s="21"/>
      <c r="BO1159" s="21"/>
      <c r="BP1159" s="21"/>
      <c r="BQ1159" s="21"/>
      <c r="BR1159" s="21"/>
      <c r="BS1159" s="21"/>
      <c r="BT1159" s="21"/>
      <c r="BU1159" s="21"/>
      <c r="BV1159" s="21"/>
      <c r="BW1159" s="21"/>
      <c r="BX1159" s="21"/>
      <c r="BY1159" s="21"/>
      <c r="BZ1159" s="21"/>
      <c r="CA1159" s="21"/>
      <c r="CB1159" s="21"/>
      <c r="CC1159" s="21"/>
      <c r="CD1159" s="21"/>
      <c r="CE1159" s="21"/>
      <c r="CF1159" s="21"/>
      <c r="CG1159" s="21"/>
      <c r="CH1159" s="21"/>
      <c r="CI1159" s="21"/>
      <c r="CJ1159" s="21"/>
      <c r="CK1159" s="21"/>
      <c r="CL1159" s="21"/>
      <c r="CM1159" s="21"/>
      <c r="CN1159" s="21"/>
      <c r="CO1159" s="21"/>
      <c r="CP1159" s="21"/>
      <c r="CQ1159" s="21"/>
      <c r="CR1159" s="21"/>
      <c r="CS1159" s="21"/>
      <c r="CT1159" s="21"/>
      <c r="CU1159" s="21"/>
      <c r="CV1159" s="21"/>
      <c r="CW1159" s="21"/>
      <c r="CX1159" s="21"/>
      <c r="CY1159" s="21"/>
      <c r="CZ1159" s="22"/>
      <c r="DA1159" s="21"/>
      <c r="DB1159" s="21"/>
      <c r="DC1159" s="21"/>
      <c r="DD1159" s="21"/>
      <c r="DE1159" s="21"/>
      <c r="DF1159" s="21"/>
      <c r="DG1159"/>
      <c r="DH1159"/>
      <c r="DI1159"/>
    </row>
    <row r="1160" spans="3:113" s="19" customFormat="1">
      <c r="C1160" s="21"/>
      <c r="D1160" s="21"/>
      <c r="E1160" s="21"/>
      <c r="F1160" s="21"/>
      <c r="G1160" s="21"/>
      <c r="H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2"/>
      <c r="BA1160" s="21"/>
      <c r="BB1160" s="21"/>
      <c r="BC1160" s="21"/>
      <c r="BD1160" s="21"/>
      <c r="BE1160" s="21"/>
      <c r="BF1160" s="21"/>
      <c r="BG1160" s="21"/>
      <c r="BH1160" s="21"/>
      <c r="BI1160" s="21"/>
      <c r="BJ1160" s="21"/>
      <c r="BK1160" s="21"/>
      <c r="BL1160" s="21"/>
      <c r="BM1160" s="21"/>
      <c r="BN1160" s="21"/>
      <c r="BO1160" s="21"/>
      <c r="BP1160" s="21"/>
      <c r="BQ1160" s="21"/>
      <c r="BR1160" s="21"/>
      <c r="BS1160" s="21"/>
      <c r="BT1160" s="21"/>
      <c r="BU1160" s="21"/>
      <c r="BV1160" s="21"/>
      <c r="BW1160" s="21"/>
      <c r="BX1160" s="21"/>
      <c r="BY1160" s="21"/>
      <c r="BZ1160" s="21"/>
      <c r="CA1160" s="21"/>
      <c r="CB1160" s="21"/>
      <c r="CC1160" s="21"/>
      <c r="CD1160" s="21"/>
      <c r="CE1160" s="21"/>
      <c r="CF1160" s="21"/>
      <c r="CG1160" s="21"/>
      <c r="CH1160" s="21"/>
      <c r="CI1160" s="21"/>
      <c r="CJ1160" s="21"/>
      <c r="CK1160" s="21"/>
      <c r="CL1160" s="21"/>
      <c r="CM1160" s="21"/>
      <c r="CN1160" s="21"/>
      <c r="CO1160" s="21"/>
      <c r="CP1160" s="21"/>
      <c r="CQ1160" s="21"/>
      <c r="CR1160" s="21"/>
      <c r="CS1160" s="21"/>
      <c r="CT1160" s="21"/>
      <c r="CU1160" s="21"/>
      <c r="CV1160" s="21"/>
      <c r="CW1160" s="21"/>
      <c r="CX1160" s="21"/>
      <c r="CY1160" s="21"/>
      <c r="CZ1160" s="22"/>
      <c r="DA1160" s="21"/>
      <c r="DB1160" s="21"/>
      <c r="DC1160" s="21"/>
      <c r="DD1160" s="21"/>
      <c r="DE1160" s="21"/>
      <c r="DF1160" s="21"/>
      <c r="DG1160"/>
      <c r="DH1160"/>
      <c r="DI1160"/>
    </row>
    <row r="1161" spans="3:113" s="19" customFormat="1">
      <c r="C1161" s="21"/>
      <c r="D1161" s="21"/>
      <c r="E1161" s="2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  <c r="Q1161" s="21"/>
      <c r="R1161" s="21"/>
      <c r="S1161" s="21"/>
      <c r="T1161" s="21"/>
      <c r="U1161" s="21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2"/>
      <c r="BA1161" s="21"/>
      <c r="BB1161" s="21"/>
      <c r="BC1161" s="21"/>
      <c r="BD1161" s="21"/>
      <c r="BE1161" s="21"/>
      <c r="BF1161" s="21"/>
      <c r="BG1161" s="21"/>
      <c r="BH1161" s="21"/>
      <c r="BI1161" s="21"/>
      <c r="BJ1161" s="21"/>
      <c r="BK1161" s="21"/>
      <c r="BL1161" s="21"/>
      <c r="BM1161" s="21"/>
      <c r="BN1161" s="21"/>
      <c r="BO1161" s="21"/>
      <c r="BP1161" s="21"/>
      <c r="BQ1161" s="21"/>
      <c r="BR1161" s="21"/>
      <c r="BS1161" s="21"/>
      <c r="BT1161" s="21"/>
      <c r="BU1161" s="21"/>
      <c r="BV1161" s="21"/>
      <c r="BW1161" s="21"/>
      <c r="BX1161" s="21"/>
      <c r="BY1161" s="21"/>
      <c r="BZ1161" s="21"/>
      <c r="CA1161" s="21"/>
      <c r="CB1161" s="21"/>
      <c r="CC1161" s="21"/>
      <c r="CD1161" s="21"/>
      <c r="CE1161" s="21"/>
      <c r="CF1161" s="21"/>
      <c r="CG1161" s="21"/>
      <c r="CH1161" s="21"/>
      <c r="CI1161" s="21"/>
      <c r="CJ1161" s="21"/>
      <c r="CK1161" s="21"/>
      <c r="CL1161" s="21"/>
      <c r="CM1161" s="21"/>
      <c r="CN1161" s="21"/>
      <c r="CO1161" s="21"/>
      <c r="CP1161" s="21"/>
      <c r="CQ1161" s="21"/>
      <c r="CR1161" s="21"/>
      <c r="CS1161" s="21"/>
      <c r="CT1161" s="21"/>
      <c r="CU1161" s="21"/>
      <c r="CV1161" s="21"/>
      <c r="CW1161" s="21"/>
      <c r="CX1161" s="21"/>
      <c r="CY1161" s="21"/>
      <c r="CZ1161" s="22"/>
      <c r="DA1161" s="21"/>
      <c r="DB1161" s="21"/>
      <c r="DC1161" s="21"/>
      <c r="DD1161" s="21"/>
      <c r="DE1161" s="21"/>
      <c r="DF1161" s="21"/>
      <c r="DG1161"/>
      <c r="DH1161"/>
      <c r="DI1161"/>
    </row>
    <row r="1162" spans="3:113" s="19" customFormat="1">
      <c r="C1162" s="21"/>
      <c r="D1162" s="21"/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2"/>
      <c r="BA1162" s="21"/>
      <c r="BB1162" s="21"/>
      <c r="BC1162" s="21"/>
      <c r="BD1162" s="21"/>
      <c r="BE1162" s="21"/>
      <c r="BF1162" s="21"/>
      <c r="BG1162" s="21"/>
      <c r="BH1162" s="21"/>
      <c r="BI1162" s="21"/>
      <c r="BJ1162" s="21"/>
      <c r="BK1162" s="21"/>
      <c r="BL1162" s="21"/>
      <c r="BM1162" s="21"/>
      <c r="BN1162" s="21"/>
      <c r="BO1162" s="21"/>
      <c r="BP1162" s="21"/>
      <c r="BQ1162" s="21"/>
      <c r="BR1162" s="21"/>
      <c r="BS1162" s="21"/>
      <c r="BT1162" s="21"/>
      <c r="BU1162" s="21"/>
      <c r="BV1162" s="21"/>
      <c r="BW1162" s="21"/>
      <c r="BX1162" s="21"/>
      <c r="BY1162" s="21"/>
      <c r="BZ1162" s="21"/>
      <c r="CA1162" s="21"/>
      <c r="CB1162" s="21"/>
      <c r="CC1162" s="21"/>
      <c r="CD1162" s="21"/>
      <c r="CE1162" s="21"/>
      <c r="CF1162" s="21"/>
      <c r="CG1162" s="21"/>
      <c r="CH1162" s="21"/>
      <c r="CI1162" s="21"/>
      <c r="CJ1162" s="21"/>
      <c r="CK1162" s="21"/>
      <c r="CL1162" s="21"/>
      <c r="CM1162" s="21"/>
      <c r="CN1162" s="21"/>
      <c r="CO1162" s="21"/>
      <c r="CP1162" s="21"/>
      <c r="CQ1162" s="21"/>
      <c r="CR1162" s="21"/>
      <c r="CS1162" s="21"/>
      <c r="CT1162" s="21"/>
      <c r="CU1162" s="21"/>
      <c r="CV1162" s="21"/>
      <c r="CW1162" s="21"/>
      <c r="CX1162" s="21"/>
      <c r="CY1162" s="21"/>
      <c r="CZ1162" s="22"/>
      <c r="DA1162" s="21"/>
      <c r="DB1162" s="21"/>
      <c r="DC1162" s="21"/>
      <c r="DD1162" s="21"/>
      <c r="DE1162" s="21"/>
      <c r="DF1162" s="21"/>
      <c r="DG1162"/>
      <c r="DH1162"/>
      <c r="DI1162"/>
    </row>
    <row r="1163" spans="3:113" s="19" customFormat="1">
      <c r="C1163" s="21"/>
      <c r="D1163" s="21"/>
      <c r="E1163" s="2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2"/>
      <c r="BA1163" s="21"/>
      <c r="BB1163" s="21"/>
      <c r="BC1163" s="21"/>
      <c r="BD1163" s="21"/>
      <c r="BE1163" s="21"/>
      <c r="BF1163" s="21"/>
      <c r="BG1163" s="21"/>
      <c r="BH1163" s="21"/>
      <c r="BI1163" s="21"/>
      <c r="BJ1163" s="21"/>
      <c r="BK1163" s="21"/>
      <c r="BL1163" s="21"/>
      <c r="BM1163" s="21"/>
      <c r="BN1163" s="21"/>
      <c r="BO1163" s="21"/>
      <c r="BP1163" s="21"/>
      <c r="BQ1163" s="21"/>
      <c r="BR1163" s="21"/>
      <c r="BS1163" s="21"/>
      <c r="BT1163" s="21"/>
      <c r="BU1163" s="21"/>
      <c r="BV1163" s="21"/>
      <c r="BW1163" s="21"/>
      <c r="BX1163" s="21"/>
      <c r="BY1163" s="21"/>
      <c r="BZ1163" s="21"/>
      <c r="CA1163" s="21"/>
      <c r="CB1163" s="21"/>
      <c r="CC1163" s="21"/>
      <c r="CD1163" s="21"/>
      <c r="CE1163" s="21"/>
      <c r="CF1163" s="21"/>
      <c r="CG1163" s="21"/>
      <c r="CH1163" s="21"/>
      <c r="CI1163" s="21"/>
      <c r="CJ1163" s="21"/>
      <c r="CK1163" s="21"/>
      <c r="CL1163" s="21"/>
      <c r="CM1163" s="21"/>
      <c r="CN1163" s="21"/>
      <c r="CO1163" s="21"/>
      <c r="CP1163" s="21"/>
      <c r="CQ1163" s="21"/>
      <c r="CR1163" s="21"/>
      <c r="CS1163" s="21"/>
      <c r="CT1163" s="21"/>
      <c r="CU1163" s="21"/>
      <c r="CV1163" s="21"/>
      <c r="CW1163" s="21"/>
      <c r="CX1163" s="21"/>
      <c r="CY1163" s="21"/>
      <c r="CZ1163" s="22"/>
      <c r="DA1163" s="21"/>
      <c r="DB1163" s="21"/>
      <c r="DC1163" s="21"/>
      <c r="DD1163" s="21"/>
      <c r="DE1163" s="21"/>
      <c r="DF1163" s="21"/>
      <c r="DG1163"/>
      <c r="DH1163"/>
      <c r="DI1163"/>
    </row>
    <row r="1164" spans="3:113" s="19" customFormat="1">
      <c r="C1164" s="21"/>
      <c r="D1164" s="21"/>
      <c r="E1164" s="21"/>
      <c r="F1164" s="21"/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2"/>
      <c r="BA1164" s="21"/>
      <c r="BB1164" s="21"/>
      <c r="BC1164" s="21"/>
      <c r="BD1164" s="21"/>
      <c r="BE1164" s="21"/>
      <c r="BF1164" s="21"/>
      <c r="BG1164" s="21"/>
      <c r="BH1164" s="21"/>
      <c r="BI1164" s="21"/>
      <c r="BJ1164" s="21"/>
      <c r="BK1164" s="21"/>
      <c r="BL1164" s="21"/>
      <c r="BM1164" s="21"/>
      <c r="BN1164" s="21"/>
      <c r="BO1164" s="21"/>
      <c r="BP1164" s="21"/>
      <c r="BQ1164" s="21"/>
      <c r="BR1164" s="21"/>
      <c r="BS1164" s="21"/>
      <c r="BT1164" s="21"/>
      <c r="BU1164" s="21"/>
      <c r="BV1164" s="21"/>
      <c r="BW1164" s="21"/>
      <c r="BX1164" s="21"/>
      <c r="BY1164" s="21"/>
      <c r="BZ1164" s="21"/>
      <c r="CA1164" s="21"/>
      <c r="CB1164" s="21"/>
      <c r="CC1164" s="21"/>
      <c r="CD1164" s="21"/>
      <c r="CE1164" s="21"/>
      <c r="CF1164" s="21"/>
      <c r="CG1164" s="21"/>
      <c r="CH1164" s="21"/>
      <c r="CI1164" s="21"/>
      <c r="CJ1164" s="21"/>
      <c r="CK1164" s="21"/>
      <c r="CL1164" s="21"/>
      <c r="CM1164" s="21"/>
      <c r="CN1164" s="21"/>
      <c r="CO1164" s="21"/>
      <c r="CP1164" s="21"/>
      <c r="CQ1164" s="21"/>
      <c r="CR1164" s="21"/>
      <c r="CS1164" s="21"/>
      <c r="CT1164" s="21"/>
      <c r="CU1164" s="21"/>
      <c r="CV1164" s="21"/>
      <c r="CW1164" s="21"/>
      <c r="CX1164" s="21"/>
      <c r="CY1164" s="21"/>
      <c r="CZ1164" s="22"/>
      <c r="DA1164" s="21"/>
      <c r="DB1164" s="21"/>
      <c r="DC1164" s="21"/>
      <c r="DD1164" s="21"/>
      <c r="DE1164" s="21"/>
      <c r="DF1164" s="21"/>
      <c r="DG1164"/>
      <c r="DH1164"/>
      <c r="DI1164"/>
    </row>
    <row r="1165" spans="3:113" s="19" customFormat="1">
      <c r="C1165" s="21"/>
      <c r="D1165" s="21"/>
      <c r="E1165" s="2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2"/>
      <c r="BA1165" s="21"/>
      <c r="BB1165" s="21"/>
      <c r="BC1165" s="21"/>
      <c r="BD1165" s="21"/>
      <c r="BE1165" s="21"/>
      <c r="BF1165" s="21"/>
      <c r="BG1165" s="21"/>
      <c r="BH1165" s="21"/>
      <c r="BI1165" s="21"/>
      <c r="BJ1165" s="21"/>
      <c r="BK1165" s="21"/>
      <c r="BL1165" s="21"/>
      <c r="BM1165" s="21"/>
      <c r="BN1165" s="21"/>
      <c r="BO1165" s="21"/>
      <c r="BP1165" s="21"/>
      <c r="BQ1165" s="21"/>
      <c r="BR1165" s="21"/>
      <c r="BS1165" s="21"/>
      <c r="BT1165" s="21"/>
      <c r="BU1165" s="21"/>
      <c r="BV1165" s="21"/>
      <c r="BW1165" s="21"/>
      <c r="BX1165" s="21"/>
      <c r="BY1165" s="21"/>
      <c r="BZ1165" s="21"/>
      <c r="CA1165" s="21"/>
      <c r="CB1165" s="21"/>
      <c r="CC1165" s="21"/>
      <c r="CD1165" s="21"/>
      <c r="CE1165" s="21"/>
      <c r="CF1165" s="21"/>
      <c r="CG1165" s="21"/>
      <c r="CH1165" s="21"/>
      <c r="CI1165" s="21"/>
      <c r="CJ1165" s="21"/>
      <c r="CK1165" s="21"/>
      <c r="CL1165" s="21"/>
      <c r="CM1165" s="21"/>
      <c r="CN1165" s="21"/>
      <c r="CO1165" s="21"/>
      <c r="CP1165" s="21"/>
      <c r="CQ1165" s="21"/>
      <c r="CR1165" s="21"/>
      <c r="CS1165" s="21"/>
      <c r="CT1165" s="21"/>
      <c r="CU1165" s="21"/>
      <c r="CV1165" s="21"/>
      <c r="CW1165" s="21"/>
      <c r="CX1165" s="21"/>
      <c r="CY1165" s="21"/>
      <c r="CZ1165" s="22"/>
      <c r="DA1165" s="21"/>
      <c r="DB1165" s="21"/>
      <c r="DC1165" s="21"/>
      <c r="DD1165" s="21"/>
      <c r="DE1165" s="21"/>
      <c r="DF1165" s="21"/>
      <c r="DG1165"/>
      <c r="DH1165"/>
      <c r="DI1165"/>
    </row>
    <row r="1166" spans="3:113" s="19" customFormat="1">
      <c r="C1166" s="21"/>
      <c r="D1166" s="21"/>
      <c r="E1166" s="21"/>
      <c r="F1166" s="21"/>
      <c r="G1166" s="21"/>
      <c r="H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2"/>
      <c r="BA1166" s="21"/>
      <c r="BB1166" s="21"/>
      <c r="BC1166" s="21"/>
      <c r="BD1166" s="21"/>
      <c r="BE1166" s="21"/>
      <c r="BF1166" s="21"/>
      <c r="BG1166" s="21"/>
      <c r="BH1166" s="21"/>
      <c r="BI1166" s="21"/>
      <c r="BJ1166" s="21"/>
      <c r="BK1166" s="21"/>
      <c r="BL1166" s="21"/>
      <c r="BM1166" s="21"/>
      <c r="BN1166" s="21"/>
      <c r="BO1166" s="21"/>
      <c r="BP1166" s="21"/>
      <c r="BQ1166" s="21"/>
      <c r="BR1166" s="21"/>
      <c r="BS1166" s="21"/>
      <c r="BT1166" s="21"/>
      <c r="BU1166" s="21"/>
      <c r="BV1166" s="21"/>
      <c r="BW1166" s="21"/>
      <c r="BX1166" s="21"/>
      <c r="BY1166" s="21"/>
      <c r="BZ1166" s="21"/>
      <c r="CA1166" s="21"/>
      <c r="CB1166" s="21"/>
      <c r="CC1166" s="21"/>
      <c r="CD1166" s="21"/>
      <c r="CE1166" s="21"/>
      <c r="CF1166" s="21"/>
      <c r="CG1166" s="21"/>
      <c r="CH1166" s="21"/>
      <c r="CI1166" s="21"/>
      <c r="CJ1166" s="21"/>
      <c r="CK1166" s="21"/>
      <c r="CL1166" s="21"/>
      <c r="CM1166" s="21"/>
      <c r="CN1166" s="21"/>
      <c r="CO1166" s="21"/>
      <c r="CP1166" s="21"/>
      <c r="CQ1166" s="21"/>
      <c r="CR1166" s="21"/>
      <c r="CS1166" s="21"/>
      <c r="CT1166" s="21"/>
      <c r="CU1166" s="21"/>
      <c r="CV1166" s="21"/>
      <c r="CW1166" s="21"/>
      <c r="CX1166" s="21"/>
      <c r="CY1166" s="21"/>
      <c r="CZ1166" s="22"/>
      <c r="DA1166" s="21"/>
      <c r="DB1166" s="21"/>
      <c r="DC1166" s="21"/>
      <c r="DD1166" s="21"/>
      <c r="DE1166" s="21"/>
      <c r="DF1166" s="21"/>
      <c r="DG1166"/>
      <c r="DH1166"/>
      <c r="DI1166"/>
    </row>
    <row r="1167" spans="3:113" s="19" customFormat="1">
      <c r="C1167" s="21"/>
      <c r="D1167" s="21"/>
      <c r="E1167" s="2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2"/>
      <c r="BA1167" s="21"/>
      <c r="BB1167" s="21"/>
      <c r="BC1167" s="21"/>
      <c r="BD1167" s="21"/>
      <c r="BE1167" s="21"/>
      <c r="BF1167" s="21"/>
      <c r="BG1167" s="21"/>
      <c r="BH1167" s="21"/>
      <c r="BI1167" s="21"/>
      <c r="BJ1167" s="21"/>
      <c r="BK1167" s="21"/>
      <c r="BL1167" s="21"/>
      <c r="BM1167" s="21"/>
      <c r="BN1167" s="21"/>
      <c r="BO1167" s="21"/>
      <c r="BP1167" s="21"/>
      <c r="BQ1167" s="21"/>
      <c r="BR1167" s="21"/>
      <c r="BS1167" s="21"/>
      <c r="BT1167" s="21"/>
      <c r="BU1167" s="21"/>
      <c r="BV1167" s="21"/>
      <c r="BW1167" s="21"/>
      <c r="BX1167" s="21"/>
      <c r="BY1167" s="21"/>
      <c r="BZ1167" s="21"/>
      <c r="CA1167" s="21"/>
      <c r="CB1167" s="21"/>
      <c r="CC1167" s="21"/>
      <c r="CD1167" s="21"/>
      <c r="CE1167" s="21"/>
      <c r="CF1167" s="21"/>
      <c r="CG1167" s="21"/>
      <c r="CH1167" s="21"/>
      <c r="CI1167" s="21"/>
      <c r="CJ1167" s="21"/>
      <c r="CK1167" s="21"/>
      <c r="CL1167" s="21"/>
      <c r="CM1167" s="21"/>
      <c r="CN1167" s="21"/>
      <c r="CO1167" s="21"/>
      <c r="CP1167" s="21"/>
      <c r="CQ1167" s="21"/>
      <c r="CR1167" s="21"/>
      <c r="CS1167" s="21"/>
      <c r="CT1167" s="21"/>
      <c r="CU1167" s="21"/>
      <c r="CV1167" s="21"/>
      <c r="CW1167" s="21"/>
      <c r="CX1167" s="21"/>
      <c r="CY1167" s="21"/>
      <c r="CZ1167" s="22"/>
      <c r="DA1167" s="21"/>
      <c r="DB1167" s="21"/>
      <c r="DC1167" s="21"/>
      <c r="DD1167" s="21"/>
      <c r="DE1167" s="21"/>
      <c r="DF1167" s="21"/>
      <c r="DG1167"/>
      <c r="DH1167"/>
      <c r="DI1167"/>
    </row>
    <row r="1168" spans="3:113" s="19" customFormat="1">
      <c r="C1168" s="21"/>
      <c r="D1168" s="21"/>
      <c r="E1168" s="2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1"/>
      <c r="P1168" s="21"/>
      <c r="Q1168" s="21"/>
      <c r="R1168" s="21"/>
      <c r="S1168" s="21"/>
      <c r="T1168" s="21"/>
      <c r="U1168" s="21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2"/>
      <c r="BA1168" s="21"/>
      <c r="BB1168" s="21"/>
      <c r="BC1168" s="21"/>
      <c r="BD1168" s="21"/>
      <c r="BE1168" s="21"/>
      <c r="BF1168" s="21"/>
      <c r="BG1168" s="21"/>
      <c r="BH1168" s="21"/>
      <c r="BI1168" s="21"/>
      <c r="BJ1168" s="21"/>
      <c r="BK1168" s="21"/>
      <c r="BL1168" s="21"/>
      <c r="BM1168" s="21"/>
      <c r="BN1168" s="21"/>
      <c r="BO1168" s="21"/>
      <c r="BP1168" s="21"/>
      <c r="BQ1168" s="21"/>
      <c r="BR1168" s="21"/>
      <c r="BS1168" s="21"/>
      <c r="BT1168" s="21"/>
      <c r="BU1168" s="21"/>
      <c r="BV1168" s="21"/>
      <c r="BW1168" s="21"/>
      <c r="BX1168" s="21"/>
      <c r="BY1168" s="21"/>
      <c r="BZ1168" s="21"/>
      <c r="CA1168" s="21"/>
      <c r="CB1168" s="21"/>
      <c r="CC1168" s="21"/>
      <c r="CD1168" s="21"/>
      <c r="CE1168" s="21"/>
      <c r="CF1168" s="21"/>
      <c r="CG1168" s="21"/>
      <c r="CH1168" s="21"/>
      <c r="CI1168" s="21"/>
      <c r="CJ1168" s="21"/>
      <c r="CK1168" s="21"/>
      <c r="CL1168" s="21"/>
      <c r="CM1168" s="21"/>
      <c r="CN1168" s="21"/>
      <c r="CO1168" s="21"/>
      <c r="CP1168" s="21"/>
      <c r="CQ1168" s="21"/>
      <c r="CR1168" s="21"/>
      <c r="CS1168" s="21"/>
      <c r="CT1168" s="21"/>
      <c r="CU1168" s="21"/>
      <c r="CV1168" s="21"/>
      <c r="CW1168" s="21"/>
      <c r="CX1168" s="21"/>
      <c r="CY1168" s="21"/>
      <c r="CZ1168" s="22"/>
      <c r="DA1168" s="21"/>
      <c r="DB1168" s="21"/>
      <c r="DC1168" s="21"/>
      <c r="DD1168" s="21"/>
      <c r="DE1168" s="21"/>
      <c r="DF1168" s="21"/>
      <c r="DG1168"/>
      <c r="DH1168"/>
      <c r="DI1168"/>
    </row>
    <row r="1169" spans="3:104" s="19" customFormat="1" ht="12">
      <c r="C1169" s="21"/>
      <c r="D1169" s="21"/>
      <c r="E1169" s="2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  <c r="Q1169" s="21"/>
      <c r="R1169" s="21"/>
      <c r="S1169" s="21"/>
      <c r="T1169" s="21"/>
      <c r="U1169" s="21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Z1169" s="296"/>
      <c r="CZ1169" s="296"/>
    </row>
    <row r="1170" spans="3:104" s="19" customFormat="1" ht="12">
      <c r="C1170" s="21"/>
      <c r="D1170" s="21"/>
      <c r="E1170" s="21"/>
      <c r="F1170" s="21"/>
      <c r="G1170" s="21"/>
      <c r="H1170" s="21"/>
      <c r="I1170" s="21"/>
      <c r="J1170" s="21"/>
      <c r="K1170" s="21"/>
      <c r="L1170" s="21"/>
      <c r="M1170" s="21"/>
      <c r="N1170" s="21"/>
      <c r="O1170" s="21"/>
      <c r="P1170" s="21"/>
      <c r="Q1170" s="21"/>
      <c r="R1170" s="21"/>
      <c r="S1170" s="21"/>
      <c r="T1170" s="21"/>
      <c r="U1170" s="21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Z1170" s="296"/>
      <c r="CZ1170" s="296"/>
    </row>
    <row r="1171" spans="3:104" s="19" customFormat="1" ht="12">
      <c r="C1171" s="21"/>
      <c r="D1171" s="21"/>
      <c r="E1171" s="2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Z1171" s="296"/>
      <c r="CZ1171" s="296"/>
    </row>
    <row r="1172" spans="3:104" s="19" customFormat="1" ht="12">
      <c r="C1172" s="21"/>
      <c r="D1172" s="21"/>
      <c r="E1172" s="21"/>
      <c r="F1172" s="21"/>
      <c r="G1172" s="21"/>
      <c r="H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Z1172" s="296"/>
      <c r="CZ1172" s="296"/>
    </row>
    <row r="1173" spans="3:104" s="19" customFormat="1" ht="12">
      <c r="C1173" s="21"/>
      <c r="D1173" s="21"/>
      <c r="E1173" s="2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Z1173" s="296"/>
      <c r="CZ1173" s="296"/>
    </row>
    <row r="1174" spans="3:104" s="19" customFormat="1" ht="12">
      <c r="C1174" s="21"/>
      <c r="D1174" s="21"/>
      <c r="E1174" s="21"/>
      <c r="F1174" s="21"/>
      <c r="G1174" s="21"/>
      <c r="H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Z1174" s="296"/>
      <c r="CZ1174" s="296"/>
    </row>
    <row r="1175" spans="3:104" s="19" customFormat="1" ht="12">
      <c r="C1175" s="21"/>
      <c r="D1175" s="21"/>
      <c r="E1175" s="2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Z1175" s="296"/>
      <c r="CZ1175" s="296"/>
    </row>
    <row r="1176" spans="3:104" s="19" customFormat="1" ht="12">
      <c r="C1176" s="21"/>
      <c r="D1176" s="21"/>
      <c r="E1176" s="21"/>
      <c r="F1176" s="21"/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Z1176" s="296"/>
      <c r="CZ1176" s="296"/>
    </row>
    <row r="1177" spans="3:104" s="19" customFormat="1" ht="12">
      <c r="C1177" s="21"/>
      <c r="D1177" s="21"/>
      <c r="E1177" s="2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  <c r="Q1177" s="21"/>
      <c r="R1177" s="21"/>
      <c r="S1177" s="21"/>
      <c r="T1177" s="21"/>
      <c r="U1177" s="21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Z1177" s="296"/>
      <c r="CZ1177" s="296"/>
    </row>
    <row r="1178" spans="3:104" s="19" customFormat="1" ht="12">
      <c r="C1178" s="21"/>
      <c r="D1178" s="21"/>
      <c r="E1178" s="21"/>
      <c r="F1178" s="21"/>
      <c r="G1178" s="21"/>
      <c r="H1178" s="21"/>
      <c r="I1178" s="21"/>
      <c r="J1178" s="21"/>
      <c r="K1178" s="21"/>
      <c r="L1178" s="21"/>
      <c r="M1178" s="21"/>
      <c r="N1178" s="21"/>
      <c r="O1178" s="21"/>
      <c r="P1178" s="21"/>
      <c r="Q1178" s="21"/>
      <c r="R1178" s="21"/>
      <c r="S1178" s="21"/>
      <c r="T1178" s="21"/>
      <c r="U1178" s="21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Z1178" s="296"/>
      <c r="CZ1178" s="296"/>
    </row>
    <row r="1179" spans="3:104" s="19" customFormat="1" ht="12">
      <c r="C1179" s="21"/>
      <c r="D1179" s="21"/>
      <c r="E1179" s="2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  <c r="Q1179" s="21"/>
      <c r="R1179" s="21"/>
      <c r="S1179" s="21"/>
      <c r="T1179" s="21"/>
      <c r="U1179" s="21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Z1179" s="296"/>
      <c r="CZ1179" s="296"/>
    </row>
    <row r="1180" spans="3:104" s="19" customFormat="1" ht="12">
      <c r="C1180" s="21"/>
      <c r="D1180" s="21"/>
      <c r="E1180" s="21"/>
      <c r="F1180" s="21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Z1180" s="296"/>
      <c r="CZ1180" s="296"/>
    </row>
    <row r="1181" spans="3:104" s="19" customFormat="1" ht="12">
      <c r="C1181" s="21"/>
      <c r="D1181" s="21"/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Z1181" s="296"/>
      <c r="CZ1181" s="296"/>
    </row>
    <row r="1182" spans="3:104" s="19" customFormat="1" ht="12">
      <c r="C1182" s="21"/>
      <c r="D1182" s="21"/>
      <c r="E1182" s="21"/>
      <c r="F1182" s="21"/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Z1182" s="296"/>
      <c r="CZ1182" s="296"/>
    </row>
    <row r="1183" spans="3:104" s="19" customFormat="1" ht="12">
      <c r="C1183" s="21"/>
      <c r="D1183" s="21"/>
      <c r="E1183" s="2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Z1183" s="296"/>
      <c r="CZ1183" s="296"/>
    </row>
    <row r="1184" spans="3:104" s="19" customFormat="1" ht="12">
      <c r="C1184" s="21"/>
      <c r="D1184" s="21"/>
      <c r="E1184" s="21"/>
      <c r="F1184" s="21"/>
      <c r="G1184" s="21"/>
      <c r="H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Z1184" s="296"/>
      <c r="CZ1184" s="296"/>
    </row>
    <row r="1185" spans="3:104" s="19" customFormat="1" ht="12">
      <c r="C1185" s="21"/>
      <c r="D1185" s="21"/>
      <c r="E1185" s="2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  <c r="Q1185" s="21"/>
      <c r="R1185" s="21"/>
      <c r="S1185" s="21"/>
      <c r="T1185" s="21"/>
      <c r="U1185" s="21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Z1185" s="296"/>
      <c r="CZ1185" s="296"/>
    </row>
    <row r="1186" spans="3:104" s="19" customFormat="1" ht="12">
      <c r="C1186" s="21"/>
      <c r="D1186" s="21"/>
      <c r="E1186" s="21"/>
      <c r="F1186" s="21"/>
      <c r="G1186" s="21"/>
      <c r="H1186" s="21"/>
      <c r="I1186" s="21"/>
      <c r="J1186" s="21"/>
      <c r="K1186" s="21"/>
      <c r="L1186" s="21"/>
      <c r="M1186" s="21"/>
      <c r="N1186" s="21"/>
      <c r="O1186" s="21"/>
      <c r="P1186" s="21"/>
      <c r="Q1186" s="21"/>
      <c r="R1186" s="21"/>
      <c r="S1186" s="21"/>
      <c r="T1186" s="21"/>
      <c r="U1186" s="21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Z1186" s="296"/>
      <c r="CZ1186" s="296"/>
    </row>
    <row r="1187" spans="3:104" s="19" customFormat="1" ht="12">
      <c r="C1187" s="21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Z1187" s="296"/>
      <c r="CZ1187" s="296"/>
    </row>
    <row r="1188" spans="3:104" s="19" customFormat="1" ht="12">
      <c r="C1188" s="21"/>
      <c r="D1188" s="21"/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Z1188" s="296"/>
      <c r="CZ1188" s="296"/>
    </row>
    <row r="1189" spans="3:104" s="19" customFormat="1" ht="12">
      <c r="C1189" s="21"/>
      <c r="D1189" s="21"/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Z1189" s="296"/>
      <c r="CZ1189" s="296"/>
    </row>
    <row r="1190" spans="3:104" s="19" customFormat="1" ht="12">
      <c r="C1190" s="21"/>
      <c r="D1190" s="21"/>
      <c r="E1190" s="2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Z1190" s="296"/>
      <c r="CZ1190" s="296"/>
    </row>
    <row r="1191" spans="3:104" s="19" customFormat="1" ht="12">
      <c r="C1191" s="21"/>
      <c r="D1191" s="21"/>
      <c r="E1191" s="2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Z1191" s="296"/>
      <c r="CZ1191" s="296"/>
    </row>
    <row r="1192" spans="3:104" s="19" customFormat="1" ht="12">
      <c r="C1192" s="21"/>
      <c r="D1192" s="21"/>
      <c r="E1192" s="21"/>
      <c r="F1192" s="21"/>
      <c r="G1192" s="21"/>
      <c r="H1192" s="21"/>
      <c r="I1192" s="21"/>
      <c r="J1192" s="21"/>
      <c r="K1192" s="21"/>
      <c r="L1192" s="21"/>
      <c r="M1192" s="21"/>
      <c r="N1192" s="21"/>
      <c r="O1192" s="21"/>
      <c r="P1192" s="21"/>
      <c r="Q1192" s="21"/>
      <c r="R1192" s="21"/>
      <c r="S1192" s="21"/>
      <c r="T1192" s="21"/>
      <c r="U1192" s="21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Z1192" s="296"/>
      <c r="CZ1192" s="296"/>
    </row>
    <row r="1193" spans="3:104" s="19" customFormat="1" ht="12">
      <c r="C1193" s="21"/>
      <c r="D1193" s="21"/>
      <c r="E1193" s="2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  <c r="Q1193" s="21"/>
      <c r="R1193" s="21"/>
      <c r="S1193" s="21"/>
      <c r="T1193" s="21"/>
      <c r="U1193" s="21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Z1193" s="296"/>
      <c r="CZ1193" s="296"/>
    </row>
    <row r="1194" spans="3:104" s="19" customFormat="1" ht="12">
      <c r="C1194" s="21"/>
      <c r="D1194" s="21"/>
      <c r="E1194" s="21"/>
      <c r="F1194" s="21"/>
      <c r="G1194" s="21"/>
      <c r="H1194" s="21"/>
      <c r="I1194" s="21"/>
      <c r="J1194" s="21"/>
      <c r="K1194" s="21"/>
      <c r="L1194" s="21"/>
      <c r="M1194" s="21"/>
      <c r="N1194" s="21"/>
      <c r="O1194" s="21"/>
      <c r="P1194" s="21"/>
      <c r="Q1194" s="21"/>
      <c r="R1194" s="21"/>
      <c r="S1194" s="21"/>
      <c r="T1194" s="21"/>
      <c r="U1194" s="21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Z1194" s="296"/>
      <c r="CZ1194" s="296"/>
    </row>
    <row r="1195" spans="3:104" s="19" customFormat="1" ht="12">
      <c r="C1195" s="21"/>
      <c r="D1195" s="21"/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Z1195" s="296"/>
      <c r="CZ1195" s="296"/>
    </row>
    <row r="1196" spans="3:104" s="19" customFormat="1" ht="12">
      <c r="C1196" s="21"/>
      <c r="D1196" s="21"/>
      <c r="E1196" s="21"/>
      <c r="F1196" s="21"/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Z1196" s="296"/>
      <c r="CZ1196" s="296"/>
    </row>
    <row r="1197" spans="3:104" s="19" customFormat="1" ht="12">
      <c r="C1197" s="21"/>
      <c r="D1197" s="21"/>
      <c r="E1197" s="2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Z1197" s="296"/>
      <c r="CZ1197" s="296"/>
    </row>
    <row r="1198" spans="3:104" s="19" customFormat="1" ht="12">
      <c r="C1198" s="21"/>
      <c r="D1198" s="21"/>
      <c r="E1198" s="21"/>
      <c r="F1198" s="21"/>
      <c r="G1198" s="21"/>
      <c r="H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Z1198" s="296"/>
      <c r="CZ1198" s="296"/>
    </row>
    <row r="1199" spans="3:104" s="19" customFormat="1" ht="12">
      <c r="C1199" s="21"/>
      <c r="D1199" s="21"/>
      <c r="E1199" s="2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  <c r="Q1199" s="21"/>
      <c r="R1199" s="21"/>
      <c r="S1199" s="21"/>
      <c r="T1199" s="21"/>
      <c r="U1199" s="21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Z1199" s="296"/>
      <c r="CZ1199" s="296"/>
    </row>
    <row r="1200" spans="3:104" s="19" customFormat="1" ht="12">
      <c r="C1200" s="21"/>
      <c r="D1200" s="21"/>
      <c r="E1200" s="21"/>
      <c r="F1200" s="21"/>
      <c r="G1200" s="21"/>
      <c r="H1200" s="21"/>
      <c r="I1200" s="21"/>
      <c r="J1200" s="21"/>
      <c r="K1200" s="21"/>
      <c r="L1200" s="21"/>
      <c r="M1200" s="21"/>
      <c r="N1200" s="21"/>
      <c r="O1200" s="21"/>
      <c r="P1200" s="21"/>
      <c r="Q1200" s="21"/>
      <c r="R1200" s="21"/>
      <c r="S1200" s="21"/>
      <c r="T1200" s="21"/>
      <c r="U1200" s="21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Z1200" s="296"/>
      <c r="CZ1200" s="296"/>
    </row>
    <row r="1201" spans="3:104" s="19" customFormat="1" ht="12">
      <c r="C1201" s="21"/>
      <c r="D1201" s="21"/>
      <c r="E1201" s="2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  <c r="Q1201" s="21"/>
      <c r="R1201" s="21"/>
      <c r="S1201" s="21"/>
      <c r="T1201" s="21"/>
      <c r="U1201" s="21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Z1201" s="296"/>
      <c r="CZ1201" s="296"/>
    </row>
    <row r="1202" spans="3:104" s="19" customFormat="1" ht="12">
      <c r="C1202" s="21"/>
      <c r="D1202" s="21"/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Z1202" s="296"/>
      <c r="CZ1202" s="296"/>
    </row>
    <row r="1203" spans="3:104" s="19" customFormat="1" ht="12">
      <c r="C1203" s="21"/>
      <c r="D1203" s="21"/>
      <c r="E1203" s="2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Z1203" s="296"/>
      <c r="CZ1203" s="296"/>
    </row>
    <row r="1204" spans="3:104" s="19" customFormat="1" ht="12">
      <c r="C1204" s="21"/>
      <c r="D1204" s="21"/>
      <c r="E1204" s="21"/>
      <c r="F1204" s="21"/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Z1204" s="296"/>
      <c r="CZ1204" s="296"/>
    </row>
    <row r="1205" spans="3:104" s="19" customFormat="1" ht="12">
      <c r="C1205" s="21"/>
      <c r="D1205" s="21"/>
      <c r="E1205" s="2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Z1205" s="296"/>
      <c r="CZ1205" s="296"/>
    </row>
    <row r="1206" spans="3:104" s="19" customFormat="1" ht="12">
      <c r="C1206" s="21"/>
      <c r="D1206" s="21"/>
      <c r="E1206" s="21"/>
      <c r="F1206" s="21"/>
      <c r="G1206" s="21"/>
      <c r="H1206" s="21"/>
      <c r="I1206" s="21"/>
      <c r="J1206" s="21"/>
      <c r="K1206" s="21"/>
      <c r="L1206" s="21"/>
      <c r="M1206" s="21"/>
      <c r="N1206" s="21"/>
      <c r="O1206" s="21"/>
      <c r="P1206" s="21"/>
      <c r="Q1206" s="21"/>
      <c r="R1206" s="21"/>
      <c r="S1206" s="21"/>
      <c r="T1206" s="21"/>
      <c r="U1206" s="21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Z1206" s="296"/>
      <c r="CZ1206" s="296"/>
    </row>
    <row r="1207" spans="3:104" s="19" customFormat="1" ht="12">
      <c r="C1207" s="21"/>
      <c r="D1207" s="21"/>
      <c r="E1207" s="2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  <c r="Q1207" s="21"/>
      <c r="R1207" s="21"/>
      <c r="S1207" s="21"/>
      <c r="T1207" s="21"/>
      <c r="U1207" s="21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Z1207" s="296"/>
      <c r="CZ1207" s="296"/>
    </row>
    <row r="1208" spans="3:104" s="19" customFormat="1" ht="12">
      <c r="C1208" s="21"/>
      <c r="D1208" s="21"/>
      <c r="E1208" s="21"/>
      <c r="F1208" s="21"/>
      <c r="G1208" s="21"/>
      <c r="H1208" s="21"/>
      <c r="I1208" s="21"/>
      <c r="J1208" s="21"/>
      <c r="K1208" s="21"/>
      <c r="L1208" s="21"/>
      <c r="M1208" s="21"/>
      <c r="N1208" s="21"/>
      <c r="O1208" s="21"/>
      <c r="P1208" s="21"/>
      <c r="Q1208" s="21"/>
      <c r="R1208" s="21"/>
      <c r="S1208" s="21"/>
      <c r="T1208" s="21"/>
      <c r="U1208" s="21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Z1208" s="296"/>
      <c r="CZ1208" s="296"/>
    </row>
    <row r="1209" spans="3:104" s="19" customFormat="1" ht="12">
      <c r="C1209" s="21"/>
      <c r="D1209" s="21"/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Z1209" s="296"/>
      <c r="CZ1209" s="296"/>
    </row>
    <row r="1210" spans="3:104" s="19" customFormat="1" ht="12">
      <c r="C1210" s="21"/>
      <c r="D1210" s="21"/>
      <c r="E1210" s="21"/>
      <c r="F1210" s="21"/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Z1210" s="296"/>
      <c r="CZ1210" s="296"/>
    </row>
    <row r="1211" spans="3:104" s="19" customFormat="1" ht="12">
      <c r="C1211" s="21"/>
      <c r="D1211" s="21"/>
      <c r="E1211" s="2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Z1211" s="296"/>
      <c r="CZ1211" s="296"/>
    </row>
    <row r="1212" spans="3:104" s="19" customFormat="1" ht="12">
      <c r="C1212" s="21"/>
      <c r="D1212" s="21"/>
      <c r="E1212" s="2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Z1212" s="296"/>
      <c r="CZ1212" s="296"/>
    </row>
    <row r="1213" spans="3:104" s="19" customFormat="1" ht="12">
      <c r="C1213" s="21"/>
      <c r="D1213" s="21"/>
      <c r="E1213" s="2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  <c r="Q1213" s="21"/>
      <c r="R1213" s="21"/>
      <c r="S1213" s="21"/>
      <c r="T1213" s="21"/>
      <c r="U1213" s="21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Z1213" s="296"/>
      <c r="CZ1213" s="296"/>
    </row>
    <row r="1214" spans="3:104" s="19" customFormat="1" ht="12">
      <c r="C1214" s="21"/>
      <c r="D1214" s="21"/>
      <c r="E1214" s="21"/>
      <c r="F1214" s="21"/>
      <c r="G1214" s="21"/>
      <c r="H1214" s="21"/>
      <c r="I1214" s="21"/>
      <c r="J1214" s="21"/>
      <c r="K1214" s="21"/>
      <c r="L1214" s="21"/>
      <c r="M1214" s="21"/>
      <c r="N1214" s="21"/>
      <c r="O1214" s="21"/>
      <c r="P1214" s="21"/>
      <c r="Q1214" s="21"/>
      <c r="R1214" s="21"/>
      <c r="S1214" s="21"/>
      <c r="T1214" s="21"/>
      <c r="U1214" s="21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Z1214" s="296"/>
      <c r="CZ1214" s="296"/>
    </row>
    <row r="1215" spans="3:104" s="19" customFormat="1" ht="12">
      <c r="C1215" s="21"/>
      <c r="D1215" s="21"/>
      <c r="E1215" s="2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  <c r="Q1215" s="21"/>
      <c r="R1215" s="21"/>
      <c r="S1215" s="21"/>
      <c r="T1215" s="21"/>
      <c r="U1215" s="21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Z1215" s="296"/>
      <c r="CZ1215" s="296"/>
    </row>
    <row r="1216" spans="3:104" s="19" customFormat="1" ht="12">
      <c r="C1216" s="21"/>
      <c r="D1216" s="21"/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Z1216" s="296"/>
      <c r="CZ1216" s="296"/>
    </row>
    <row r="1217" spans="3:104" s="19" customFormat="1" ht="12">
      <c r="C1217" s="21"/>
      <c r="D1217" s="21"/>
      <c r="E1217" s="2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Z1217" s="296"/>
      <c r="CZ1217" s="296"/>
    </row>
    <row r="1218" spans="3:104" s="19" customFormat="1" ht="12">
      <c r="C1218" s="21"/>
      <c r="D1218" s="21"/>
      <c r="E1218" s="21"/>
      <c r="F1218" s="21"/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Z1218" s="296"/>
      <c r="CZ1218" s="296"/>
    </row>
    <row r="1219" spans="3:104" s="19" customFormat="1" ht="12">
      <c r="C1219" s="21"/>
      <c r="D1219" s="21"/>
      <c r="E1219" s="2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Z1219" s="296"/>
      <c r="CZ1219" s="296"/>
    </row>
    <row r="1220" spans="3:104" s="19" customFormat="1" ht="12">
      <c r="C1220" s="21"/>
      <c r="D1220" s="21"/>
      <c r="E1220" s="21"/>
      <c r="F1220" s="21"/>
      <c r="G1220" s="21"/>
      <c r="H1220" s="21"/>
      <c r="I1220" s="21"/>
      <c r="J1220" s="21"/>
      <c r="K1220" s="21"/>
      <c r="L1220" s="21"/>
      <c r="M1220" s="21"/>
      <c r="N1220" s="21"/>
      <c r="O1220" s="21"/>
      <c r="P1220" s="21"/>
      <c r="Q1220" s="21"/>
      <c r="R1220" s="21"/>
      <c r="S1220" s="21"/>
      <c r="T1220" s="21"/>
      <c r="U1220" s="21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Z1220" s="296"/>
      <c r="CZ1220" s="296"/>
    </row>
    <row r="1221" spans="3:104" s="19" customFormat="1" ht="12">
      <c r="C1221" s="21"/>
      <c r="D1221" s="21"/>
      <c r="E1221" s="2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  <c r="Q1221" s="21"/>
      <c r="R1221" s="21"/>
      <c r="S1221" s="21"/>
      <c r="T1221" s="21"/>
      <c r="U1221" s="21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Z1221" s="296"/>
      <c r="CZ1221" s="296"/>
    </row>
    <row r="1222" spans="3:104" s="19" customFormat="1" ht="12">
      <c r="C1222" s="21"/>
      <c r="D1222" s="21"/>
      <c r="E1222" s="21"/>
      <c r="F1222" s="21"/>
      <c r="G1222" s="21"/>
      <c r="H1222" s="21"/>
      <c r="I1222" s="21"/>
      <c r="J1222" s="21"/>
      <c r="K1222" s="21"/>
      <c r="L1222" s="21"/>
      <c r="M1222" s="21"/>
      <c r="N1222" s="21"/>
      <c r="O1222" s="21"/>
      <c r="P1222" s="21"/>
      <c r="Q1222" s="21"/>
      <c r="R1222" s="21"/>
      <c r="S1222" s="21"/>
      <c r="T1222" s="21"/>
      <c r="U1222" s="21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Z1222" s="296"/>
      <c r="CZ1222" s="296"/>
    </row>
    <row r="1223" spans="3:104" s="19" customFormat="1" ht="12">
      <c r="C1223" s="21"/>
      <c r="D1223" s="21"/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Z1223" s="296"/>
      <c r="CZ1223" s="296"/>
    </row>
    <row r="1224" spans="3:104" s="19" customFormat="1" ht="12">
      <c r="C1224" s="21"/>
      <c r="D1224" s="21"/>
      <c r="E1224" s="21"/>
      <c r="F1224" s="21"/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Z1224" s="296"/>
      <c r="CZ1224" s="296"/>
    </row>
    <row r="1225" spans="3:104" s="19" customFormat="1" ht="12">
      <c r="C1225" s="21"/>
      <c r="D1225" s="21"/>
      <c r="E1225" s="2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Z1225" s="296"/>
      <c r="CZ1225" s="296"/>
    </row>
    <row r="1226" spans="3:104" s="19" customFormat="1" ht="12">
      <c r="C1226" s="21"/>
      <c r="D1226" s="21"/>
      <c r="E1226" s="21"/>
      <c r="F1226" s="21"/>
      <c r="G1226" s="21"/>
      <c r="H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Z1226" s="296"/>
      <c r="CZ1226" s="296"/>
    </row>
    <row r="1227" spans="3:104" s="19" customFormat="1" ht="12">
      <c r="C1227" s="21"/>
      <c r="D1227" s="21"/>
      <c r="E1227" s="2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  <c r="Q1227" s="21"/>
      <c r="R1227" s="21"/>
      <c r="S1227" s="21"/>
      <c r="T1227" s="21"/>
      <c r="U1227" s="21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Z1227" s="296"/>
      <c r="CZ1227" s="296"/>
    </row>
    <row r="1228" spans="3:104" s="19" customFormat="1" ht="12">
      <c r="C1228" s="21"/>
      <c r="D1228" s="21"/>
      <c r="E1228" s="21"/>
      <c r="F1228" s="21"/>
      <c r="G1228" s="21"/>
      <c r="H1228" s="21"/>
      <c r="I1228" s="21"/>
      <c r="J1228" s="21"/>
      <c r="K1228" s="21"/>
      <c r="L1228" s="21"/>
      <c r="M1228" s="21"/>
      <c r="N1228" s="21"/>
      <c r="O1228" s="21"/>
      <c r="P1228" s="21"/>
      <c r="Q1228" s="21"/>
      <c r="R1228" s="21"/>
      <c r="S1228" s="21"/>
      <c r="T1228" s="21"/>
      <c r="U1228" s="21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Z1228" s="296"/>
      <c r="CZ1228" s="296"/>
    </row>
    <row r="1229" spans="3:104" s="19" customFormat="1" ht="12">
      <c r="C1229" s="21"/>
      <c r="D1229" s="21"/>
      <c r="E1229" s="2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  <c r="Q1229" s="21"/>
      <c r="R1229" s="21"/>
      <c r="S1229" s="21"/>
      <c r="T1229" s="21"/>
      <c r="U1229" s="21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Z1229" s="296"/>
      <c r="CZ1229" s="296"/>
    </row>
    <row r="1230" spans="3:104" s="19" customFormat="1" ht="12">
      <c r="C1230" s="21"/>
      <c r="D1230" s="21"/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Z1230" s="296"/>
      <c r="CZ1230" s="296"/>
    </row>
    <row r="1231" spans="3:104" s="19" customFormat="1" ht="12">
      <c r="C1231" s="21"/>
      <c r="D1231" s="21"/>
      <c r="E1231" s="2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Z1231" s="296"/>
      <c r="CZ1231" s="296"/>
    </row>
    <row r="1232" spans="3:104" s="19" customFormat="1" ht="12">
      <c r="C1232" s="21"/>
      <c r="D1232" s="21"/>
      <c r="E1232" s="21"/>
      <c r="F1232" s="21"/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Z1232" s="296"/>
      <c r="CZ1232" s="296"/>
    </row>
    <row r="1233" spans="3:104" s="19" customFormat="1" ht="12">
      <c r="C1233" s="21"/>
      <c r="D1233" s="21"/>
      <c r="E1233" s="2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Z1233" s="296"/>
      <c r="CZ1233" s="296"/>
    </row>
    <row r="1234" spans="3:104" s="19" customFormat="1" ht="12">
      <c r="C1234" s="21"/>
      <c r="D1234" s="21"/>
      <c r="E1234" s="2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1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Z1234" s="296"/>
      <c r="CZ1234" s="296"/>
    </row>
    <row r="1235" spans="3:104" s="19" customFormat="1" ht="12">
      <c r="C1235" s="21"/>
      <c r="D1235" s="21"/>
      <c r="E1235" s="2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Z1235" s="296"/>
      <c r="CZ1235" s="296"/>
    </row>
    <row r="1236" spans="3:104" s="19" customFormat="1" ht="12">
      <c r="C1236" s="21"/>
      <c r="D1236" s="21"/>
      <c r="E1236" s="21"/>
      <c r="F1236" s="21"/>
      <c r="G1236" s="21"/>
      <c r="H1236" s="21"/>
      <c r="I1236" s="21"/>
      <c r="J1236" s="21"/>
      <c r="K1236" s="21"/>
      <c r="L1236" s="21"/>
      <c r="M1236" s="21"/>
      <c r="N1236" s="21"/>
      <c r="O1236" s="21"/>
      <c r="P1236" s="21"/>
      <c r="Q1236" s="21"/>
      <c r="R1236" s="21"/>
      <c r="S1236" s="21"/>
      <c r="T1236" s="21"/>
      <c r="U1236" s="21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Z1236" s="296"/>
      <c r="CZ1236" s="296"/>
    </row>
    <row r="1237" spans="3:104" s="19" customFormat="1" ht="12">
      <c r="C1237" s="21"/>
      <c r="D1237" s="21"/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Z1237" s="296"/>
      <c r="CZ1237" s="296"/>
    </row>
    <row r="1238" spans="3:104" s="19" customFormat="1" ht="12">
      <c r="C1238" s="21"/>
      <c r="D1238" s="21"/>
      <c r="E1238" s="21"/>
      <c r="F1238" s="21"/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Z1238" s="296"/>
      <c r="CZ1238" s="296"/>
    </row>
    <row r="1239" spans="3:104" s="19" customFormat="1" ht="12">
      <c r="C1239" s="21"/>
      <c r="D1239" s="21"/>
      <c r="E1239" s="2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Z1239" s="296"/>
      <c r="CZ1239" s="296"/>
    </row>
    <row r="1240" spans="3:104" s="19" customFormat="1" ht="12">
      <c r="C1240" s="21"/>
      <c r="D1240" s="21"/>
      <c r="E1240" s="21"/>
      <c r="F1240" s="21"/>
      <c r="G1240" s="21"/>
      <c r="H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Z1240" s="296"/>
      <c r="CZ1240" s="296"/>
    </row>
    <row r="1241" spans="3:104" s="19" customFormat="1" ht="12">
      <c r="C1241" s="21"/>
      <c r="D1241" s="21"/>
      <c r="E1241" s="2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  <c r="Q1241" s="21"/>
      <c r="R1241" s="21"/>
      <c r="S1241" s="21"/>
      <c r="T1241" s="21"/>
      <c r="U1241" s="21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Z1241" s="296"/>
      <c r="CZ1241" s="296"/>
    </row>
    <row r="1242" spans="3:104" s="19" customFormat="1" ht="12">
      <c r="C1242" s="21"/>
      <c r="D1242" s="21"/>
      <c r="E1242" s="21"/>
      <c r="F1242" s="21"/>
      <c r="G1242" s="21"/>
      <c r="H1242" s="21"/>
      <c r="I1242" s="21"/>
      <c r="J1242" s="21"/>
      <c r="K1242" s="21"/>
      <c r="L1242" s="21"/>
      <c r="M1242" s="21"/>
      <c r="N1242" s="21"/>
      <c r="O1242" s="21"/>
      <c r="P1242" s="21"/>
      <c r="Q1242" s="21"/>
      <c r="R1242" s="21"/>
      <c r="S1242" s="21"/>
      <c r="T1242" s="21"/>
      <c r="U1242" s="21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Z1242" s="296"/>
      <c r="CZ1242" s="296"/>
    </row>
    <row r="1243" spans="3:104" s="19" customFormat="1" ht="12">
      <c r="C1243" s="21"/>
      <c r="D1243" s="21"/>
      <c r="E1243" s="2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  <c r="Q1243" s="21"/>
      <c r="R1243" s="21"/>
      <c r="S1243" s="21"/>
      <c r="T1243" s="21"/>
      <c r="U1243" s="21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Z1243" s="296"/>
      <c r="CZ1243" s="296"/>
    </row>
    <row r="1244" spans="3:104" s="19" customFormat="1" ht="12">
      <c r="C1244" s="21"/>
      <c r="D1244" s="21"/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Z1244" s="296"/>
      <c r="CZ1244" s="296"/>
    </row>
    <row r="1245" spans="3:104" s="19" customFormat="1" ht="12">
      <c r="C1245" s="21"/>
      <c r="D1245" s="21"/>
      <c r="E1245" s="2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Z1245" s="296"/>
      <c r="CZ1245" s="296"/>
    </row>
    <row r="1246" spans="3:104" s="19" customFormat="1" ht="12">
      <c r="C1246" s="21"/>
      <c r="D1246" s="21"/>
      <c r="E1246" s="21"/>
      <c r="F1246" s="21"/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Z1246" s="296"/>
      <c r="CZ1246" s="296"/>
    </row>
    <row r="1247" spans="3:104" s="19" customFormat="1" ht="12">
      <c r="C1247" s="21"/>
      <c r="D1247" s="21"/>
      <c r="E1247" s="2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Z1247" s="296"/>
      <c r="CZ1247" s="296"/>
    </row>
    <row r="1248" spans="3:104" s="19" customFormat="1" ht="12">
      <c r="C1248" s="21"/>
      <c r="D1248" s="21"/>
      <c r="E1248" s="21"/>
      <c r="F1248" s="21"/>
      <c r="G1248" s="21"/>
      <c r="H1248" s="21"/>
      <c r="I1248" s="21"/>
      <c r="J1248" s="21"/>
      <c r="K1248" s="21"/>
      <c r="L1248" s="21"/>
      <c r="M1248" s="21"/>
      <c r="N1248" s="21"/>
      <c r="O1248" s="21"/>
      <c r="P1248" s="21"/>
      <c r="Q1248" s="21"/>
      <c r="R1248" s="21"/>
      <c r="S1248" s="21"/>
      <c r="T1248" s="21"/>
      <c r="U1248" s="21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Z1248" s="296"/>
      <c r="CZ1248" s="296"/>
    </row>
    <row r="1249" spans="3:104" s="19" customFormat="1" ht="12">
      <c r="C1249" s="21"/>
      <c r="D1249" s="21"/>
      <c r="E1249" s="2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  <c r="Q1249" s="21"/>
      <c r="R1249" s="21"/>
      <c r="S1249" s="21"/>
      <c r="T1249" s="21"/>
      <c r="U1249" s="21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Z1249" s="296"/>
      <c r="CZ1249" s="296"/>
    </row>
    <row r="1250" spans="3:104" s="19" customFormat="1" ht="12">
      <c r="C1250" s="21"/>
      <c r="D1250" s="21"/>
      <c r="E1250" s="21"/>
      <c r="F1250" s="21"/>
      <c r="G1250" s="21"/>
      <c r="H1250" s="21"/>
      <c r="I1250" s="21"/>
      <c r="J1250" s="21"/>
      <c r="K1250" s="21"/>
      <c r="L1250" s="21"/>
      <c r="M1250" s="21"/>
      <c r="N1250" s="21"/>
      <c r="O1250" s="21"/>
      <c r="P1250" s="21"/>
      <c r="Q1250" s="21"/>
      <c r="R1250" s="21"/>
      <c r="S1250" s="21"/>
      <c r="T1250" s="21"/>
      <c r="U1250" s="21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Z1250" s="296"/>
      <c r="CZ1250" s="296"/>
    </row>
    <row r="1251" spans="3:104" s="19" customFormat="1" ht="12">
      <c r="C1251" s="21"/>
      <c r="D1251" s="21"/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Z1251" s="296"/>
      <c r="CZ1251" s="296"/>
    </row>
    <row r="1252" spans="3:104" s="19" customFormat="1" ht="12">
      <c r="C1252" s="21"/>
      <c r="D1252" s="21"/>
      <c r="E1252" s="21"/>
      <c r="F1252" s="21"/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Z1252" s="296"/>
      <c r="CZ1252" s="296"/>
    </row>
    <row r="1253" spans="3:104" s="19" customFormat="1" ht="12">
      <c r="C1253" s="21"/>
      <c r="D1253" s="21"/>
      <c r="E1253" s="2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Z1253" s="296"/>
      <c r="CZ1253" s="296"/>
    </row>
    <row r="1254" spans="3:104" s="19" customFormat="1" ht="12">
      <c r="C1254" s="21"/>
      <c r="D1254" s="21"/>
      <c r="E1254" s="21"/>
      <c r="F1254" s="21"/>
      <c r="G1254" s="21"/>
      <c r="H1254" s="21"/>
      <c r="I1254" s="21"/>
      <c r="J1254" s="21"/>
      <c r="K1254" s="21"/>
      <c r="L1254" s="21"/>
      <c r="M1254" s="21"/>
      <c r="N1254" s="21"/>
      <c r="O1254" s="21"/>
      <c r="P1254" s="21"/>
      <c r="Q1254" s="21"/>
      <c r="R1254" s="21"/>
      <c r="S1254" s="21"/>
      <c r="T1254" s="21"/>
      <c r="U1254" s="21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Z1254" s="296"/>
      <c r="CZ1254" s="296"/>
    </row>
    <row r="1255" spans="3:104" s="19" customFormat="1" ht="12">
      <c r="C1255" s="21"/>
      <c r="D1255" s="21"/>
      <c r="E1255" s="2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  <c r="Q1255" s="21"/>
      <c r="R1255" s="21"/>
      <c r="S1255" s="21"/>
      <c r="T1255" s="21"/>
      <c r="U1255" s="21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Z1255" s="296"/>
      <c r="CZ1255" s="296"/>
    </row>
    <row r="1256" spans="3:104" s="19" customFormat="1" ht="12">
      <c r="C1256" s="21"/>
      <c r="D1256" s="21"/>
      <c r="E1256" s="2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1"/>
      <c r="P1256" s="21"/>
      <c r="Q1256" s="21"/>
      <c r="R1256" s="21"/>
      <c r="S1256" s="21"/>
      <c r="T1256" s="21"/>
      <c r="U1256" s="21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Z1256" s="296"/>
      <c r="CZ1256" s="296"/>
    </row>
    <row r="1257" spans="3:104" s="19" customFormat="1" ht="12">
      <c r="C1257" s="21"/>
      <c r="D1257" s="21"/>
      <c r="E1257" s="2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  <c r="Q1257" s="21"/>
      <c r="R1257" s="21"/>
      <c r="S1257" s="21"/>
      <c r="T1257" s="21"/>
      <c r="U1257" s="21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Z1257" s="296"/>
      <c r="CZ1257" s="296"/>
    </row>
    <row r="1258" spans="3:104" s="19" customFormat="1" ht="12">
      <c r="C1258" s="21"/>
      <c r="D1258" s="21"/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Z1258" s="296"/>
      <c r="CZ1258" s="296"/>
    </row>
    <row r="1259" spans="3:104" s="19" customFormat="1" ht="12">
      <c r="C1259" s="21"/>
      <c r="D1259" s="21"/>
      <c r="E1259" s="2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Z1259" s="296"/>
      <c r="CZ1259" s="296"/>
    </row>
    <row r="1260" spans="3:104" s="19" customFormat="1" ht="12">
      <c r="C1260" s="21"/>
      <c r="D1260" s="21"/>
      <c r="E1260" s="21"/>
      <c r="F1260" s="21"/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Z1260" s="296"/>
      <c r="CZ1260" s="296"/>
    </row>
    <row r="1261" spans="3:104" s="19" customFormat="1" ht="12">
      <c r="C1261" s="21"/>
      <c r="D1261" s="21"/>
      <c r="E1261" s="2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  <c r="Q1261" s="21"/>
      <c r="R1261" s="21"/>
      <c r="S1261" s="21"/>
      <c r="T1261" s="21"/>
      <c r="U1261" s="21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Z1261" s="296"/>
      <c r="CZ1261" s="296"/>
    </row>
    <row r="1262" spans="3:104" s="19" customFormat="1" ht="12">
      <c r="C1262" s="21"/>
      <c r="D1262" s="21"/>
      <c r="E1262" s="21"/>
      <c r="F1262" s="21"/>
      <c r="G1262" s="21"/>
      <c r="H1262" s="21"/>
      <c r="I1262" s="21"/>
      <c r="J1262" s="21"/>
      <c r="K1262" s="21"/>
      <c r="L1262" s="21"/>
      <c r="M1262" s="21"/>
      <c r="N1262" s="21"/>
      <c r="O1262" s="21"/>
      <c r="P1262" s="21"/>
      <c r="Q1262" s="21"/>
      <c r="R1262" s="21"/>
      <c r="S1262" s="21"/>
      <c r="T1262" s="21"/>
      <c r="U1262" s="21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Z1262" s="296"/>
      <c r="CZ1262" s="296"/>
    </row>
    <row r="1263" spans="3:104" s="19" customFormat="1" ht="12"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  <c r="Q1263" s="21"/>
      <c r="R1263" s="21"/>
      <c r="S1263" s="21"/>
      <c r="T1263" s="21"/>
      <c r="U1263" s="21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Z1263" s="296"/>
      <c r="CZ1263" s="296"/>
    </row>
    <row r="1264" spans="3:104" s="19" customFormat="1" ht="12">
      <c r="C1264" s="21"/>
      <c r="D1264" s="21"/>
      <c r="E1264" s="21"/>
      <c r="F1264" s="21"/>
      <c r="G1264" s="21"/>
      <c r="H1264" s="21"/>
      <c r="I1264" s="21"/>
      <c r="J1264" s="21"/>
      <c r="K1264" s="21"/>
      <c r="L1264" s="21"/>
      <c r="M1264" s="21"/>
      <c r="N1264" s="21"/>
      <c r="O1264" s="21"/>
      <c r="P1264" s="21"/>
      <c r="Q1264" s="21"/>
      <c r="R1264" s="21"/>
      <c r="S1264" s="21"/>
      <c r="T1264" s="21"/>
      <c r="U1264" s="21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Z1264" s="296"/>
      <c r="CZ1264" s="296"/>
    </row>
    <row r="1265" spans="3:104" s="19" customFormat="1" ht="12"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Z1265" s="296"/>
      <c r="CZ1265" s="296"/>
    </row>
    <row r="1266" spans="3:104" s="19" customFormat="1" ht="12">
      <c r="C1266" s="21"/>
      <c r="D1266" s="21"/>
      <c r="E1266" s="21"/>
      <c r="F1266" s="21"/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Z1266" s="296"/>
      <c r="CZ1266" s="296"/>
    </row>
    <row r="1267" spans="3:104" s="19" customFormat="1" ht="12"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Z1267" s="296"/>
      <c r="CZ1267" s="296"/>
    </row>
    <row r="1268" spans="3:104" s="19" customFormat="1" ht="12">
      <c r="C1268" s="21"/>
      <c r="D1268" s="21"/>
      <c r="E1268" s="21"/>
      <c r="F1268" s="21"/>
      <c r="G1268" s="21"/>
      <c r="H1268" s="21"/>
      <c r="I1268" s="21"/>
      <c r="J1268" s="21"/>
      <c r="K1268" s="21"/>
      <c r="L1268" s="21"/>
      <c r="M1268" s="21"/>
      <c r="N1268" s="21"/>
      <c r="O1268" s="21"/>
      <c r="P1268" s="21"/>
      <c r="Q1268" s="21"/>
      <c r="R1268" s="21"/>
      <c r="S1268" s="21"/>
      <c r="T1268" s="21"/>
      <c r="U1268" s="21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Z1268" s="296"/>
      <c r="CZ1268" s="296"/>
    </row>
    <row r="1269" spans="3:104" s="19" customFormat="1" ht="12"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  <c r="Q1269" s="21"/>
      <c r="R1269" s="21"/>
      <c r="S1269" s="21"/>
      <c r="T1269" s="21"/>
      <c r="U1269" s="21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Z1269" s="296"/>
      <c r="CZ1269" s="296"/>
    </row>
    <row r="1270" spans="3:104" s="19" customFormat="1" ht="12">
      <c r="C1270" s="21"/>
      <c r="D1270" s="21"/>
      <c r="E1270" s="21"/>
      <c r="F1270" s="21"/>
      <c r="G1270" s="21"/>
      <c r="H1270" s="21"/>
      <c r="I1270" s="21"/>
      <c r="J1270" s="21"/>
      <c r="K1270" s="21"/>
      <c r="L1270" s="21"/>
      <c r="M1270" s="21"/>
      <c r="N1270" s="21"/>
      <c r="O1270" s="21"/>
      <c r="P1270" s="21"/>
      <c r="Q1270" s="21"/>
      <c r="R1270" s="21"/>
      <c r="S1270" s="21"/>
      <c r="T1270" s="21"/>
      <c r="U1270" s="21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Z1270" s="296"/>
      <c r="CZ1270" s="296"/>
    </row>
    <row r="1271" spans="3:104" s="19" customFormat="1" ht="12"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  <c r="Q1271" s="21"/>
      <c r="R1271" s="21"/>
      <c r="S1271" s="21"/>
      <c r="T1271" s="21"/>
      <c r="U1271" s="21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Z1271" s="296"/>
      <c r="CZ1271" s="296"/>
    </row>
    <row r="1272" spans="3:104" s="19" customFormat="1" ht="12">
      <c r="C1272" s="21"/>
      <c r="D1272" s="21"/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Z1272" s="296"/>
      <c r="CZ1272" s="296"/>
    </row>
    <row r="1273" spans="3:104" s="19" customFormat="1" ht="12"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Z1273" s="296"/>
      <c r="CZ1273" s="296"/>
    </row>
    <row r="1274" spans="3:104" s="19" customFormat="1" ht="12">
      <c r="C1274" s="21"/>
      <c r="D1274" s="21"/>
      <c r="E1274" s="21"/>
      <c r="F1274" s="21"/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Z1274" s="296"/>
      <c r="CZ1274" s="296"/>
    </row>
    <row r="1275" spans="3:104" s="19" customFormat="1" ht="12"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  <c r="Q1275" s="21"/>
      <c r="R1275" s="21"/>
      <c r="S1275" s="21"/>
      <c r="T1275" s="21"/>
      <c r="U1275" s="21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Z1275" s="296"/>
      <c r="CZ1275" s="296"/>
    </row>
    <row r="1276" spans="3:104" s="19" customFormat="1" ht="12">
      <c r="C1276" s="21"/>
      <c r="D1276" s="21"/>
      <c r="E1276" s="21"/>
      <c r="F1276" s="21"/>
      <c r="G1276" s="21"/>
      <c r="H1276" s="21"/>
      <c r="I1276" s="21"/>
      <c r="J1276" s="21"/>
      <c r="K1276" s="21"/>
      <c r="L1276" s="21"/>
      <c r="M1276" s="21"/>
      <c r="N1276" s="21"/>
      <c r="O1276" s="21"/>
      <c r="P1276" s="21"/>
      <c r="Q1276" s="21"/>
      <c r="R1276" s="21"/>
      <c r="S1276" s="21"/>
      <c r="T1276" s="21"/>
      <c r="U1276" s="21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Z1276" s="296"/>
      <c r="CZ1276" s="296"/>
    </row>
    <row r="1277" spans="3:104" s="19" customFormat="1" ht="12"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  <c r="Q1277" s="21"/>
      <c r="R1277" s="21"/>
      <c r="S1277" s="21"/>
      <c r="T1277" s="21"/>
      <c r="U1277" s="21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Z1277" s="296"/>
      <c r="CZ1277" s="296"/>
    </row>
    <row r="1278" spans="3:104" s="19" customFormat="1" ht="12"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1"/>
      <c r="P1278" s="21"/>
      <c r="Q1278" s="21"/>
      <c r="R1278" s="21"/>
      <c r="S1278" s="21"/>
      <c r="T1278" s="21"/>
      <c r="U1278" s="21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Z1278" s="296"/>
      <c r="CZ1278" s="296"/>
    </row>
    <row r="1279" spans="3:104" s="19" customFormat="1" ht="12"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Z1279" s="296"/>
      <c r="CZ1279" s="296"/>
    </row>
    <row r="1280" spans="3:104" s="19" customFormat="1" ht="12">
      <c r="C1280" s="21"/>
      <c r="D1280" s="21"/>
      <c r="E1280" s="21"/>
      <c r="F1280" s="21"/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Z1280" s="296"/>
      <c r="CZ1280" s="296"/>
    </row>
    <row r="1281" spans="3:104" s="19" customFormat="1" ht="12"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Z1281" s="296"/>
      <c r="CZ1281" s="296"/>
    </row>
    <row r="1282" spans="3:104" s="19" customFormat="1" ht="12">
      <c r="C1282" s="21"/>
      <c r="D1282" s="21"/>
      <c r="E1282" s="21"/>
      <c r="F1282" s="21"/>
      <c r="G1282" s="21"/>
      <c r="H1282" s="21"/>
      <c r="I1282" s="21"/>
      <c r="J1282" s="21"/>
      <c r="K1282" s="21"/>
      <c r="L1282" s="21"/>
      <c r="M1282" s="21"/>
      <c r="N1282" s="21"/>
      <c r="O1282" s="21"/>
      <c r="P1282" s="21"/>
      <c r="Q1282" s="21"/>
      <c r="R1282" s="21"/>
      <c r="S1282" s="21"/>
      <c r="T1282" s="21"/>
      <c r="U1282" s="21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Z1282" s="296"/>
      <c r="CZ1282" s="296"/>
    </row>
    <row r="1283" spans="3:104" s="19" customFormat="1" ht="12"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  <c r="Q1283" s="21"/>
      <c r="R1283" s="21"/>
      <c r="S1283" s="21"/>
      <c r="T1283" s="21"/>
      <c r="U1283" s="21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Z1283" s="296"/>
      <c r="CZ1283" s="296"/>
    </row>
    <row r="1284" spans="3:104" s="19" customFormat="1" ht="12">
      <c r="C1284" s="21"/>
      <c r="D1284" s="21"/>
      <c r="E1284" s="21"/>
      <c r="F1284" s="21"/>
      <c r="G1284" s="21"/>
      <c r="H1284" s="21"/>
      <c r="I1284" s="21"/>
      <c r="J1284" s="21"/>
      <c r="K1284" s="21"/>
      <c r="L1284" s="21"/>
      <c r="M1284" s="21"/>
      <c r="N1284" s="21"/>
      <c r="O1284" s="21"/>
      <c r="P1284" s="21"/>
      <c r="Q1284" s="21"/>
      <c r="R1284" s="21"/>
      <c r="S1284" s="21"/>
      <c r="T1284" s="21"/>
      <c r="U1284" s="21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Z1284" s="296"/>
      <c r="CZ1284" s="296"/>
    </row>
    <row r="1285" spans="3:104" s="19" customFormat="1" ht="12"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  <c r="Q1285" s="21"/>
      <c r="R1285" s="21"/>
      <c r="S1285" s="21"/>
      <c r="T1285" s="21"/>
      <c r="U1285" s="21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Z1285" s="296"/>
      <c r="CZ1285" s="296"/>
    </row>
    <row r="1286" spans="3:104" s="19" customFormat="1" ht="12">
      <c r="C1286" s="21"/>
      <c r="D1286" s="21"/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Z1286" s="296"/>
      <c r="CZ1286" s="296"/>
    </row>
    <row r="1287" spans="3:104" s="19" customFormat="1" ht="12"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Z1287" s="296"/>
      <c r="CZ1287" s="296"/>
    </row>
    <row r="1288" spans="3:104" s="19" customFormat="1" ht="12">
      <c r="C1288" s="21"/>
      <c r="D1288" s="21"/>
      <c r="E1288" s="21"/>
      <c r="F1288" s="21"/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Z1288" s="296"/>
      <c r="CZ1288" s="296"/>
    </row>
    <row r="1289" spans="3:104" s="19" customFormat="1" ht="12"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  <c r="Q1289" s="21"/>
      <c r="R1289" s="21"/>
      <c r="S1289" s="21"/>
      <c r="T1289" s="21"/>
      <c r="U1289" s="21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Z1289" s="296"/>
      <c r="CZ1289" s="296"/>
    </row>
    <row r="1290" spans="3:104" s="19" customFormat="1" ht="12">
      <c r="C1290" s="21"/>
      <c r="D1290" s="21"/>
      <c r="E1290" s="21"/>
      <c r="F1290" s="21"/>
      <c r="G1290" s="21"/>
      <c r="H1290" s="21"/>
      <c r="I1290" s="21"/>
      <c r="J1290" s="21"/>
      <c r="K1290" s="21"/>
      <c r="L1290" s="21"/>
      <c r="M1290" s="21"/>
      <c r="N1290" s="21"/>
      <c r="O1290" s="21"/>
      <c r="P1290" s="21"/>
      <c r="Q1290" s="21"/>
      <c r="R1290" s="21"/>
      <c r="S1290" s="21"/>
      <c r="T1290" s="21"/>
      <c r="U1290" s="21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Z1290" s="296"/>
      <c r="CZ1290" s="296"/>
    </row>
    <row r="1291" spans="3:104" s="19" customFormat="1" ht="12"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  <c r="Q1291" s="21"/>
      <c r="R1291" s="21"/>
      <c r="S1291" s="21"/>
      <c r="T1291" s="21"/>
      <c r="U1291" s="21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Z1291" s="296"/>
      <c r="CZ1291" s="296"/>
    </row>
    <row r="1292" spans="3:104" s="19" customFormat="1" ht="12">
      <c r="C1292" s="21"/>
      <c r="D1292" s="21"/>
      <c r="E1292" s="21"/>
      <c r="F1292" s="21"/>
      <c r="G1292" s="21"/>
      <c r="H1292" s="21"/>
      <c r="I1292" s="21"/>
      <c r="J1292" s="21"/>
      <c r="K1292" s="21"/>
      <c r="L1292" s="21"/>
      <c r="M1292" s="21"/>
      <c r="N1292" s="21"/>
      <c r="O1292" s="21"/>
      <c r="P1292" s="21"/>
      <c r="Q1292" s="21"/>
      <c r="R1292" s="21"/>
      <c r="S1292" s="21"/>
      <c r="T1292" s="21"/>
      <c r="U1292" s="21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Z1292" s="296"/>
      <c r="CZ1292" s="296"/>
    </row>
    <row r="1293" spans="3:104" s="19" customFormat="1" ht="12"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Z1293" s="296"/>
      <c r="CZ1293" s="296"/>
    </row>
    <row r="1294" spans="3:104" s="19" customFormat="1" ht="12">
      <c r="C1294" s="21"/>
      <c r="D1294" s="21"/>
      <c r="E1294" s="21"/>
      <c r="F1294" s="21"/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Z1294" s="296"/>
      <c r="CZ1294" s="296"/>
    </row>
    <row r="1295" spans="3:104" s="19" customFormat="1" ht="12"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Z1295" s="296"/>
      <c r="CZ1295" s="296"/>
    </row>
    <row r="1296" spans="3:104" s="19" customFormat="1" ht="12">
      <c r="C1296" s="21"/>
      <c r="D1296" s="21"/>
      <c r="E1296" s="21"/>
      <c r="F1296" s="21"/>
      <c r="G1296" s="21"/>
      <c r="H1296" s="21"/>
      <c r="I1296" s="21"/>
      <c r="J1296" s="21"/>
      <c r="K1296" s="21"/>
      <c r="L1296" s="21"/>
      <c r="M1296" s="21"/>
      <c r="N1296" s="21"/>
      <c r="O1296" s="21"/>
      <c r="P1296" s="21"/>
      <c r="Q1296" s="21"/>
      <c r="R1296" s="21"/>
      <c r="S1296" s="21"/>
      <c r="T1296" s="21"/>
      <c r="U1296" s="21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Z1296" s="296"/>
      <c r="CZ1296" s="296"/>
    </row>
    <row r="1297" spans="3:104" s="19" customFormat="1" ht="12"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  <c r="Q1297" s="21"/>
      <c r="R1297" s="21"/>
      <c r="S1297" s="21"/>
      <c r="T1297" s="21"/>
      <c r="U1297" s="21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Z1297" s="296"/>
      <c r="CZ1297" s="296"/>
    </row>
    <row r="1298" spans="3:104" s="19" customFormat="1" ht="12">
      <c r="C1298" s="21"/>
      <c r="D1298" s="21"/>
      <c r="E1298" s="21"/>
      <c r="F1298" s="21"/>
      <c r="G1298" s="21"/>
      <c r="H1298" s="21"/>
      <c r="I1298" s="21"/>
      <c r="J1298" s="21"/>
      <c r="K1298" s="21"/>
      <c r="L1298" s="21"/>
      <c r="M1298" s="21"/>
      <c r="N1298" s="21"/>
      <c r="O1298" s="21"/>
      <c r="P1298" s="21"/>
      <c r="Q1298" s="21"/>
      <c r="R1298" s="21"/>
      <c r="S1298" s="21"/>
      <c r="T1298" s="21"/>
      <c r="U1298" s="21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Z1298" s="296"/>
      <c r="CZ1298" s="296"/>
    </row>
    <row r="1299" spans="3:104" s="19" customFormat="1" ht="12"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  <c r="Q1299" s="21"/>
      <c r="R1299" s="21"/>
      <c r="S1299" s="21"/>
      <c r="T1299" s="21"/>
      <c r="U1299" s="21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Z1299" s="296"/>
      <c r="CZ1299" s="296"/>
    </row>
    <row r="1300" spans="3:104" s="19" customFormat="1" ht="12"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Z1300" s="296"/>
      <c r="CZ1300" s="296"/>
    </row>
    <row r="1301" spans="3:104" s="19" customFormat="1" ht="12"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Z1301" s="296"/>
      <c r="CZ1301" s="296"/>
    </row>
    <row r="1302" spans="3:104" s="19" customFormat="1" ht="12">
      <c r="C1302" s="21"/>
      <c r="D1302" s="21"/>
      <c r="E1302" s="21"/>
      <c r="F1302" s="21"/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Z1302" s="296"/>
      <c r="CZ1302" s="296"/>
    </row>
    <row r="1303" spans="3:104" s="19" customFormat="1" ht="12"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  <c r="Q1303" s="21"/>
      <c r="R1303" s="21"/>
      <c r="S1303" s="21"/>
      <c r="T1303" s="21"/>
      <c r="U1303" s="21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Z1303" s="296"/>
      <c r="CZ1303" s="296"/>
    </row>
    <row r="1304" spans="3:104" s="19" customFormat="1" ht="12">
      <c r="C1304" s="21"/>
      <c r="D1304" s="21"/>
      <c r="E1304" s="21"/>
      <c r="F1304" s="21"/>
      <c r="G1304" s="21"/>
      <c r="H1304" s="21"/>
      <c r="I1304" s="21"/>
      <c r="J1304" s="21"/>
      <c r="K1304" s="21"/>
      <c r="L1304" s="21"/>
      <c r="M1304" s="21"/>
      <c r="N1304" s="21"/>
      <c r="O1304" s="21"/>
      <c r="P1304" s="21"/>
      <c r="Q1304" s="21"/>
      <c r="R1304" s="21"/>
      <c r="S1304" s="21"/>
      <c r="T1304" s="21"/>
      <c r="U1304" s="21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Z1304" s="296"/>
      <c r="CZ1304" s="296"/>
    </row>
    <row r="1305" spans="3:104" s="19" customFormat="1" ht="12"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  <c r="Q1305" s="21"/>
      <c r="R1305" s="21"/>
      <c r="S1305" s="21"/>
      <c r="T1305" s="21"/>
      <c r="U1305" s="21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Z1305" s="296"/>
      <c r="CZ1305" s="296"/>
    </row>
    <row r="1306" spans="3:104" s="19" customFormat="1" ht="12">
      <c r="C1306" s="21"/>
      <c r="D1306" s="21"/>
      <c r="E1306" s="21"/>
      <c r="F1306" s="21"/>
      <c r="G1306" s="21"/>
      <c r="H1306" s="21"/>
      <c r="I1306" s="21"/>
      <c r="J1306" s="21"/>
      <c r="K1306" s="21"/>
      <c r="L1306" s="21"/>
      <c r="M1306" s="21"/>
      <c r="N1306" s="21"/>
      <c r="O1306" s="21"/>
      <c r="P1306" s="21"/>
      <c r="Q1306" s="21"/>
      <c r="R1306" s="21"/>
      <c r="S1306" s="21"/>
      <c r="T1306" s="21"/>
      <c r="U1306" s="21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Z1306" s="296"/>
      <c r="CZ1306" s="296"/>
    </row>
    <row r="1307" spans="3:104" s="19" customFormat="1" ht="12">
      <c r="C1307" s="21"/>
      <c r="D1307" s="21"/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Z1307" s="296"/>
      <c r="CZ1307" s="296"/>
    </row>
    <row r="1308" spans="3:104" s="19" customFormat="1" ht="12">
      <c r="C1308" s="21"/>
      <c r="D1308" s="21"/>
      <c r="E1308" s="21"/>
      <c r="F1308" s="21"/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Z1308" s="296"/>
      <c r="CZ1308" s="296"/>
    </row>
    <row r="1309" spans="3:104" s="19" customFormat="1" ht="12">
      <c r="C1309" s="21"/>
      <c r="D1309" s="21"/>
      <c r="E1309" s="2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Z1309" s="296"/>
      <c r="CZ1309" s="296"/>
    </row>
    <row r="1310" spans="3:104" s="19" customFormat="1" ht="12">
      <c r="C1310" s="21"/>
      <c r="D1310" s="21"/>
      <c r="E1310" s="21"/>
      <c r="F1310" s="21"/>
      <c r="G1310" s="21"/>
      <c r="H1310" s="21"/>
      <c r="I1310" s="21"/>
      <c r="J1310" s="21"/>
      <c r="K1310" s="21"/>
      <c r="L1310" s="21"/>
      <c r="M1310" s="21"/>
      <c r="N1310" s="21"/>
      <c r="O1310" s="21"/>
      <c r="P1310" s="21"/>
      <c r="Q1310" s="21"/>
      <c r="R1310" s="21"/>
      <c r="S1310" s="21"/>
      <c r="T1310" s="21"/>
      <c r="U1310" s="21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Z1310" s="296"/>
      <c r="CZ1310" s="296"/>
    </row>
    <row r="1311" spans="3:104" s="19" customFormat="1" ht="12">
      <c r="C1311" s="21"/>
      <c r="D1311" s="21"/>
      <c r="E1311" s="2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  <c r="Q1311" s="21"/>
      <c r="R1311" s="21"/>
      <c r="S1311" s="21"/>
      <c r="T1311" s="21"/>
      <c r="U1311" s="21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Z1311" s="296"/>
      <c r="CZ1311" s="296"/>
    </row>
    <row r="1312" spans="3:104" s="19" customFormat="1" ht="12">
      <c r="C1312" s="21"/>
      <c r="D1312" s="21"/>
      <c r="E1312" s="21"/>
      <c r="F1312" s="21"/>
      <c r="G1312" s="21"/>
      <c r="H1312" s="21"/>
      <c r="I1312" s="21"/>
      <c r="J1312" s="21"/>
      <c r="K1312" s="21"/>
      <c r="L1312" s="21"/>
      <c r="M1312" s="21"/>
      <c r="N1312" s="21"/>
      <c r="O1312" s="21"/>
      <c r="P1312" s="21"/>
      <c r="Q1312" s="21"/>
      <c r="R1312" s="21"/>
      <c r="S1312" s="21"/>
      <c r="T1312" s="21"/>
      <c r="U1312" s="21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Z1312" s="296"/>
      <c r="CZ1312" s="296"/>
    </row>
    <row r="1313" spans="3:104" s="19" customFormat="1" ht="12">
      <c r="C1313" s="21"/>
      <c r="D1313" s="21"/>
      <c r="E1313" s="21"/>
      <c r="F1313" s="21"/>
      <c r="G1313" s="21"/>
      <c r="H1313" s="21"/>
      <c r="I1313" s="21"/>
      <c r="J1313" s="21"/>
      <c r="K1313" s="21"/>
      <c r="L1313" s="21"/>
      <c r="M1313" s="21"/>
      <c r="N1313" s="21"/>
      <c r="O1313" s="21"/>
      <c r="P1313" s="21"/>
      <c r="Q1313" s="21"/>
      <c r="R1313" s="21"/>
      <c r="S1313" s="21"/>
      <c r="T1313" s="21"/>
      <c r="U1313" s="21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Z1313" s="296"/>
      <c r="CZ1313" s="296"/>
    </row>
    <row r="1314" spans="3:104" s="19" customFormat="1" ht="12">
      <c r="C1314" s="21"/>
      <c r="D1314" s="21"/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Z1314" s="296"/>
      <c r="CZ1314" s="296"/>
    </row>
    <row r="1315" spans="3:104" s="19" customFormat="1" ht="12">
      <c r="C1315" s="21"/>
      <c r="D1315" s="21"/>
      <c r="E1315" s="2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Z1315" s="296"/>
      <c r="CZ1315" s="296"/>
    </row>
    <row r="1316" spans="3:104" s="19" customFormat="1" ht="12">
      <c r="C1316" s="21"/>
      <c r="D1316" s="21"/>
      <c r="E1316" s="21"/>
      <c r="F1316" s="21"/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Z1316" s="296"/>
      <c r="CZ1316" s="296"/>
    </row>
    <row r="1317" spans="3:104" s="19" customFormat="1" ht="12">
      <c r="C1317" s="21"/>
      <c r="D1317" s="21"/>
      <c r="E1317" s="2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  <c r="Q1317" s="21"/>
      <c r="R1317" s="21"/>
      <c r="S1317" s="21"/>
      <c r="T1317" s="21"/>
      <c r="U1317" s="21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Z1317" s="296"/>
      <c r="CZ1317" s="296"/>
    </row>
    <row r="1318" spans="3:104" s="19" customFormat="1" ht="12">
      <c r="C1318" s="21"/>
      <c r="D1318" s="21"/>
      <c r="E1318" s="21"/>
      <c r="F1318" s="21"/>
      <c r="G1318" s="21"/>
      <c r="H1318" s="21"/>
      <c r="I1318" s="21"/>
      <c r="J1318" s="21"/>
      <c r="K1318" s="21"/>
      <c r="L1318" s="21"/>
      <c r="M1318" s="21"/>
      <c r="N1318" s="21"/>
      <c r="O1318" s="21"/>
      <c r="P1318" s="21"/>
      <c r="Q1318" s="21"/>
      <c r="R1318" s="21"/>
      <c r="S1318" s="21"/>
      <c r="T1318" s="21"/>
      <c r="U1318" s="21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Z1318" s="296"/>
      <c r="CZ1318" s="296"/>
    </row>
    <row r="1319" spans="3:104" s="19" customFormat="1" ht="12">
      <c r="C1319" s="21"/>
      <c r="D1319" s="21"/>
      <c r="E1319" s="2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  <c r="Q1319" s="21"/>
      <c r="R1319" s="21"/>
      <c r="S1319" s="21"/>
      <c r="T1319" s="21"/>
      <c r="U1319" s="21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Z1319" s="296"/>
      <c r="CZ1319" s="296"/>
    </row>
    <row r="1320" spans="3:104" s="19" customFormat="1" ht="12">
      <c r="C1320" s="21"/>
      <c r="D1320" s="21"/>
      <c r="E1320" s="21"/>
      <c r="F1320" s="21"/>
      <c r="G1320" s="21"/>
      <c r="H1320" s="21"/>
      <c r="I1320" s="21"/>
      <c r="J1320" s="21"/>
      <c r="K1320" s="21"/>
      <c r="L1320" s="21"/>
      <c r="M1320" s="21"/>
      <c r="N1320" s="21"/>
      <c r="O1320" s="21"/>
      <c r="P1320" s="21"/>
      <c r="Q1320" s="21"/>
      <c r="R1320" s="21"/>
      <c r="S1320" s="21"/>
      <c r="T1320" s="21"/>
      <c r="U1320" s="21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Z1320" s="296"/>
      <c r="CZ1320" s="296"/>
    </row>
    <row r="1321" spans="3:104" s="19" customFormat="1" ht="12">
      <c r="C1321" s="21"/>
      <c r="D1321" s="21"/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Z1321" s="296"/>
      <c r="CZ1321" s="296"/>
    </row>
    <row r="1322" spans="3:104" s="19" customFormat="1" ht="12">
      <c r="C1322" s="21"/>
      <c r="D1322" s="21"/>
      <c r="E1322" s="21"/>
      <c r="F1322" s="21"/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Z1322" s="296"/>
      <c r="CZ1322" s="296"/>
    </row>
    <row r="1323" spans="3:104" s="19" customFormat="1" ht="12">
      <c r="C1323" s="21"/>
      <c r="D1323" s="21"/>
      <c r="E1323" s="21"/>
      <c r="F1323" s="21"/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Z1323" s="296"/>
      <c r="CZ1323" s="296"/>
    </row>
    <row r="1324" spans="3:104" s="19" customFormat="1" ht="12">
      <c r="C1324" s="21"/>
      <c r="D1324" s="21"/>
      <c r="E1324" s="21"/>
      <c r="F1324" s="21"/>
      <c r="G1324" s="21"/>
      <c r="H1324" s="21"/>
      <c r="I1324" s="21"/>
      <c r="J1324" s="21"/>
      <c r="K1324" s="21"/>
      <c r="L1324" s="21"/>
      <c r="M1324" s="21"/>
      <c r="N1324" s="21"/>
      <c r="O1324" s="21"/>
      <c r="P1324" s="21"/>
      <c r="Q1324" s="21"/>
      <c r="R1324" s="21"/>
      <c r="S1324" s="21"/>
      <c r="T1324" s="21"/>
      <c r="U1324" s="21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Z1324" s="296"/>
      <c r="CZ1324" s="296"/>
    </row>
    <row r="1325" spans="3:104" s="19" customFormat="1" ht="12">
      <c r="C1325" s="21"/>
      <c r="D1325" s="21"/>
      <c r="E1325" s="2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  <c r="Q1325" s="21"/>
      <c r="R1325" s="21"/>
      <c r="S1325" s="21"/>
      <c r="T1325" s="21"/>
      <c r="U1325" s="21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Z1325" s="296"/>
      <c r="CZ1325" s="296"/>
    </row>
    <row r="1326" spans="3:104" s="19" customFormat="1" ht="12">
      <c r="C1326" s="21"/>
      <c r="D1326" s="21"/>
      <c r="E1326" s="21"/>
      <c r="F1326" s="21"/>
      <c r="G1326" s="21"/>
      <c r="H1326" s="21"/>
      <c r="I1326" s="21"/>
      <c r="J1326" s="21"/>
      <c r="K1326" s="21"/>
      <c r="L1326" s="21"/>
      <c r="M1326" s="21"/>
      <c r="N1326" s="21"/>
      <c r="O1326" s="21"/>
      <c r="P1326" s="21"/>
      <c r="Q1326" s="21"/>
      <c r="R1326" s="21"/>
      <c r="S1326" s="21"/>
      <c r="T1326" s="21"/>
      <c r="U1326" s="21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Z1326" s="296"/>
      <c r="CZ1326" s="296"/>
    </row>
    <row r="1327" spans="3:104" s="19" customFormat="1" ht="12">
      <c r="C1327" s="21"/>
      <c r="D1327" s="21"/>
      <c r="E1327" s="21"/>
      <c r="F1327" s="21"/>
      <c r="G1327" s="21"/>
      <c r="H1327" s="21"/>
      <c r="I1327" s="21"/>
      <c r="J1327" s="21"/>
      <c r="K1327" s="21"/>
      <c r="L1327" s="21"/>
      <c r="M1327" s="21"/>
      <c r="N1327" s="21"/>
      <c r="O1327" s="21"/>
      <c r="P1327" s="21"/>
      <c r="Q1327" s="21"/>
      <c r="R1327" s="21"/>
      <c r="S1327" s="21"/>
      <c r="T1327" s="21"/>
      <c r="U1327" s="21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Z1327" s="296"/>
      <c r="CZ1327" s="296"/>
    </row>
    <row r="1328" spans="3:104" s="19" customFormat="1" ht="12">
      <c r="C1328" s="21"/>
      <c r="D1328" s="21"/>
      <c r="E1328" s="21"/>
      <c r="F1328" s="21"/>
      <c r="G1328" s="21"/>
      <c r="H1328" s="21"/>
      <c r="I1328" s="21"/>
      <c r="J1328" s="21"/>
      <c r="K1328" s="21"/>
      <c r="L1328" s="21"/>
      <c r="M1328" s="21"/>
      <c r="N1328" s="21"/>
      <c r="O1328" s="21"/>
      <c r="P1328" s="21"/>
      <c r="Q1328" s="21"/>
      <c r="R1328" s="21"/>
      <c r="S1328" s="21"/>
      <c r="T1328" s="21"/>
      <c r="U1328" s="21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Z1328" s="296"/>
      <c r="CZ1328" s="296"/>
    </row>
    <row r="1329" spans="3:104" s="19" customFormat="1" ht="12">
      <c r="C1329" s="21"/>
      <c r="D1329" s="21"/>
      <c r="E1329" s="21"/>
      <c r="F1329" s="21"/>
      <c r="G1329" s="21"/>
      <c r="H1329" s="21"/>
      <c r="I1329" s="21"/>
      <c r="J1329" s="21"/>
      <c r="K1329" s="21"/>
      <c r="L1329" s="21"/>
      <c r="M1329" s="21"/>
      <c r="N1329" s="21"/>
      <c r="O1329" s="21"/>
      <c r="P1329" s="21"/>
      <c r="Q1329" s="21"/>
      <c r="R1329" s="21"/>
      <c r="S1329" s="21"/>
      <c r="T1329" s="21"/>
      <c r="U1329" s="21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Z1329" s="296"/>
      <c r="CZ1329" s="296"/>
    </row>
    <row r="1330" spans="3:104" s="19" customFormat="1" ht="12">
      <c r="C1330" s="21"/>
      <c r="D1330" s="21"/>
      <c r="E1330" s="21"/>
      <c r="F1330" s="21"/>
      <c r="G1330" s="21"/>
      <c r="H1330" s="21"/>
      <c r="I1330" s="21"/>
      <c r="J1330" s="21"/>
      <c r="K1330" s="21"/>
      <c r="L1330" s="21"/>
      <c r="M1330" s="21"/>
      <c r="N1330" s="21"/>
      <c r="O1330" s="21"/>
      <c r="P1330" s="21"/>
      <c r="Q1330" s="21"/>
      <c r="R1330" s="21"/>
      <c r="S1330" s="21"/>
      <c r="T1330" s="21"/>
      <c r="U1330" s="21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Z1330" s="296"/>
      <c r="CZ1330" s="296"/>
    </row>
    <row r="1331" spans="3:104" s="19" customFormat="1" ht="12">
      <c r="C1331" s="21"/>
      <c r="D1331" s="21"/>
      <c r="E1331" s="21"/>
      <c r="F1331" s="21"/>
      <c r="G1331" s="21"/>
      <c r="H1331" s="21"/>
      <c r="I1331" s="21"/>
      <c r="J1331" s="21"/>
      <c r="K1331" s="21"/>
      <c r="L1331" s="21"/>
      <c r="M1331" s="21"/>
      <c r="N1331" s="21"/>
      <c r="O1331" s="21"/>
      <c r="P1331" s="21"/>
      <c r="Q1331" s="21"/>
      <c r="R1331" s="21"/>
      <c r="S1331" s="21"/>
      <c r="T1331" s="21"/>
      <c r="U1331" s="21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Z1331" s="296"/>
      <c r="CZ1331" s="296"/>
    </row>
    <row r="1332" spans="3:104" s="19" customFormat="1" ht="12">
      <c r="C1332" s="21"/>
      <c r="D1332" s="21"/>
      <c r="E1332" s="21"/>
      <c r="F1332" s="21"/>
      <c r="G1332" s="21"/>
      <c r="H1332" s="21"/>
      <c r="I1332" s="21"/>
      <c r="J1332" s="21"/>
      <c r="K1332" s="21"/>
      <c r="L1332" s="21"/>
      <c r="M1332" s="21"/>
      <c r="N1332" s="21"/>
      <c r="O1332" s="21"/>
      <c r="P1332" s="21"/>
      <c r="Q1332" s="21"/>
      <c r="R1332" s="21"/>
      <c r="S1332" s="21"/>
      <c r="T1332" s="21"/>
      <c r="U1332" s="21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Z1332" s="296"/>
      <c r="CZ1332" s="296"/>
    </row>
    <row r="1333" spans="3:104" s="19" customFormat="1" ht="12">
      <c r="C1333" s="21"/>
      <c r="D1333" s="21"/>
      <c r="E1333" s="2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  <c r="Q1333" s="21"/>
      <c r="R1333" s="21"/>
      <c r="S1333" s="21"/>
      <c r="T1333" s="21"/>
      <c r="U1333" s="21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Z1333" s="296"/>
      <c r="CZ1333" s="296"/>
    </row>
    <row r="1334" spans="3:104" s="19" customFormat="1" ht="12">
      <c r="C1334" s="21"/>
      <c r="D1334" s="21"/>
      <c r="E1334" s="21"/>
      <c r="F1334" s="21"/>
      <c r="G1334" s="21"/>
      <c r="H1334" s="21"/>
      <c r="I1334" s="21"/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Z1334" s="296"/>
      <c r="CZ1334" s="296"/>
    </row>
    <row r="1335" spans="3:104" s="19" customFormat="1" ht="12">
      <c r="C1335" s="21"/>
      <c r="D1335" s="21"/>
      <c r="E1335" s="2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Z1335" s="296"/>
      <c r="CZ1335" s="296"/>
    </row>
    <row r="1336" spans="3:104" s="19" customFormat="1" ht="12">
      <c r="C1336" s="21"/>
      <c r="D1336" s="21"/>
      <c r="E1336" s="21"/>
      <c r="F1336" s="21"/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Z1336" s="296"/>
      <c r="CZ1336" s="296"/>
    </row>
    <row r="1337" spans="3:104" s="19" customFormat="1" ht="12">
      <c r="C1337" s="21"/>
      <c r="D1337" s="21"/>
      <c r="E1337" s="2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  <c r="Q1337" s="21"/>
      <c r="R1337" s="21"/>
      <c r="S1337" s="21"/>
      <c r="T1337" s="21"/>
      <c r="U1337" s="21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Z1337" s="296"/>
      <c r="CZ1337" s="296"/>
    </row>
    <row r="1338" spans="3:104" s="19" customFormat="1" ht="12">
      <c r="C1338" s="21"/>
      <c r="D1338" s="21"/>
      <c r="E1338" s="21"/>
      <c r="F1338" s="21"/>
      <c r="G1338" s="21"/>
      <c r="H1338" s="21"/>
      <c r="I1338" s="21"/>
      <c r="J1338" s="21"/>
      <c r="K1338" s="21"/>
      <c r="L1338" s="21"/>
      <c r="M1338" s="21"/>
      <c r="N1338" s="21"/>
      <c r="O1338" s="21"/>
      <c r="P1338" s="21"/>
      <c r="Q1338" s="21"/>
      <c r="R1338" s="21"/>
      <c r="S1338" s="21"/>
      <c r="T1338" s="21"/>
      <c r="U1338" s="21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Z1338" s="296"/>
      <c r="CZ1338" s="296"/>
    </row>
    <row r="1339" spans="3:104" s="19" customFormat="1" ht="12">
      <c r="C1339" s="21"/>
      <c r="D1339" s="21"/>
      <c r="E1339" s="2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  <c r="Q1339" s="21"/>
      <c r="R1339" s="21"/>
      <c r="S1339" s="21"/>
      <c r="T1339" s="21"/>
      <c r="U1339" s="21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Z1339" s="296"/>
      <c r="CZ1339" s="296"/>
    </row>
    <row r="1340" spans="3:104" s="19" customFormat="1" ht="12">
      <c r="C1340" s="21"/>
      <c r="D1340" s="21"/>
      <c r="E1340" s="21"/>
      <c r="F1340" s="21"/>
      <c r="G1340" s="21"/>
      <c r="H1340" s="21"/>
      <c r="I1340" s="21"/>
      <c r="J1340" s="21"/>
      <c r="K1340" s="21"/>
      <c r="L1340" s="21"/>
      <c r="M1340" s="21"/>
      <c r="N1340" s="21"/>
      <c r="O1340" s="21"/>
      <c r="P1340" s="21"/>
      <c r="Q1340" s="21"/>
      <c r="R1340" s="21"/>
      <c r="S1340" s="21"/>
      <c r="T1340" s="21"/>
      <c r="U1340" s="21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Z1340" s="296"/>
      <c r="CZ1340" s="296"/>
    </row>
    <row r="1341" spans="3:104" s="19" customFormat="1" ht="12">
      <c r="C1341" s="21"/>
      <c r="D1341" s="21"/>
      <c r="E1341" s="2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Z1341" s="296"/>
      <c r="CZ1341" s="296"/>
    </row>
    <row r="1342" spans="3:104" s="19" customFormat="1" ht="12">
      <c r="C1342" s="21"/>
      <c r="D1342" s="21"/>
      <c r="E1342" s="21"/>
      <c r="F1342" s="21"/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Z1342" s="296"/>
      <c r="CZ1342" s="296"/>
    </row>
    <row r="1343" spans="3:104" s="19" customFormat="1" ht="12">
      <c r="C1343" s="21"/>
      <c r="D1343" s="21"/>
      <c r="E1343" s="2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Z1343" s="296"/>
      <c r="CZ1343" s="296"/>
    </row>
    <row r="1344" spans="3:104" s="19" customFormat="1" ht="12">
      <c r="C1344" s="21"/>
      <c r="D1344" s="21"/>
      <c r="E1344" s="2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1"/>
      <c r="P1344" s="21"/>
      <c r="Q1344" s="21"/>
      <c r="R1344" s="21"/>
      <c r="S1344" s="21"/>
      <c r="T1344" s="21"/>
      <c r="U1344" s="21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Z1344" s="296"/>
      <c r="CZ1344" s="296"/>
    </row>
    <row r="1345" spans="3:104" s="19" customFormat="1" ht="12">
      <c r="C1345" s="21"/>
      <c r="D1345" s="21"/>
      <c r="E1345" s="2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  <c r="Q1345" s="21"/>
      <c r="R1345" s="21"/>
      <c r="S1345" s="21"/>
      <c r="T1345" s="21"/>
      <c r="U1345" s="21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Z1345" s="296"/>
      <c r="CZ1345" s="296"/>
    </row>
    <row r="1346" spans="3:104" s="19" customFormat="1" ht="12">
      <c r="C1346" s="21"/>
      <c r="D1346" s="21"/>
      <c r="E1346" s="21"/>
      <c r="F1346" s="21"/>
      <c r="G1346" s="21"/>
      <c r="H1346" s="21"/>
      <c r="I1346" s="21"/>
      <c r="J1346" s="21"/>
      <c r="K1346" s="21"/>
      <c r="L1346" s="21"/>
      <c r="M1346" s="21"/>
      <c r="N1346" s="21"/>
      <c r="O1346" s="21"/>
      <c r="P1346" s="21"/>
      <c r="Q1346" s="21"/>
      <c r="R1346" s="21"/>
      <c r="S1346" s="21"/>
      <c r="T1346" s="21"/>
      <c r="U1346" s="21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Z1346" s="296"/>
      <c r="CZ1346" s="296"/>
    </row>
    <row r="1347" spans="3:104" s="19" customFormat="1" ht="12"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  <c r="Q1347" s="21"/>
      <c r="R1347" s="21"/>
      <c r="S1347" s="21"/>
      <c r="T1347" s="21"/>
      <c r="U1347" s="21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Z1347" s="296"/>
      <c r="CZ1347" s="296"/>
    </row>
    <row r="1348" spans="3:104" s="19" customFormat="1" ht="12">
      <c r="C1348" s="21"/>
      <c r="D1348" s="21"/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Z1348" s="296"/>
      <c r="CZ1348" s="296"/>
    </row>
    <row r="1349" spans="3:104" s="19" customFormat="1" ht="12"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Z1349" s="296"/>
      <c r="CZ1349" s="296"/>
    </row>
    <row r="1350" spans="3:104" s="19" customFormat="1" ht="12">
      <c r="C1350" s="21"/>
      <c r="D1350" s="21"/>
      <c r="E1350" s="21"/>
      <c r="F1350" s="21"/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Z1350" s="296"/>
      <c r="CZ1350" s="296"/>
    </row>
    <row r="1351" spans="3:104" s="19" customFormat="1" ht="12"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  <c r="Q1351" s="21"/>
      <c r="R1351" s="21"/>
      <c r="S1351" s="21"/>
      <c r="T1351" s="21"/>
      <c r="U1351" s="21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Z1351" s="296"/>
      <c r="CZ1351" s="296"/>
    </row>
    <row r="1352" spans="3:104" s="19" customFormat="1" ht="12">
      <c r="C1352" s="21"/>
      <c r="D1352" s="21"/>
      <c r="E1352" s="2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P1352" s="21"/>
      <c r="Q1352" s="21"/>
      <c r="R1352" s="21"/>
      <c r="S1352" s="21"/>
      <c r="T1352" s="21"/>
      <c r="U1352" s="21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Z1352" s="296"/>
      <c r="CZ1352" s="296"/>
    </row>
    <row r="1353" spans="3:104" s="19" customFormat="1" ht="12"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  <c r="Q1353" s="21"/>
      <c r="R1353" s="21"/>
      <c r="S1353" s="21"/>
      <c r="T1353" s="21"/>
      <c r="U1353" s="21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Z1353" s="296"/>
      <c r="CZ1353" s="296"/>
    </row>
    <row r="1354" spans="3:104" s="19" customFormat="1" ht="12">
      <c r="C1354" s="21"/>
      <c r="D1354" s="21"/>
      <c r="E1354" s="21"/>
      <c r="F1354" s="21"/>
      <c r="G1354" s="21"/>
      <c r="H1354" s="21"/>
      <c r="I1354" s="21"/>
      <c r="J1354" s="21"/>
      <c r="K1354" s="21"/>
      <c r="L1354" s="21"/>
      <c r="M1354" s="21"/>
      <c r="N1354" s="21"/>
      <c r="O1354" s="21"/>
      <c r="P1354" s="21"/>
      <c r="Q1354" s="21"/>
      <c r="R1354" s="21"/>
      <c r="S1354" s="21"/>
      <c r="T1354" s="21"/>
      <c r="U1354" s="21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Z1354" s="296"/>
      <c r="CZ1354" s="296"/>
    </row>
    <row r="1355" spans="3:104" s="19" customFormat="1" ht="12"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Z1355" s="296"/>
      <c r="CZ1355" s="296"/>
    </row>
    <row r="1356" spans="3:104" s="19" customFormat="1" ht="12">
      <c r="C1356" s="21"/>
      <c r="D1356" s="21"/>
      <c r="E1356" s="21"/>
      <c r="F1356" s="21"/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Z1356" s="296"/>
      <c r="CZ1356" s="296"/>
    </row>
    <row r="1357" spans="3:104" s="19" customFormat="1" ht="12"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Z1357" s="296"/>
      <c r="CZ1357" s="296"/>
    </row>
    <row r="1358" spans="3:104" s="19" customFormat="1" ht="12">
      <c r="C1358" s="21"/>
      <c r="D1358" s="21"/>
      <c r="E1358" s="21"/>
      <c r="F1358" s="21"/>
      <c r="G1358" s="21"/>
      <c r="H1358" s="21"/>
      <c r="I1358" s="21"/>
      <c r="J1358" s="21"/>
      <c r="K1358" s="21"/>
      <c r="L1358" s="21"/>
      <c r="M1358" s="21"/>
      <c r="N1358" s="21"/>
      <c r="O1358" s="21"/>
      <c r="P1358" s="21"/>
      <c r="Q1358" s="21"/>
      <c r="R1358" s="21"/>
      <c r="S1358" s="21"/>
      <c r="T1358" s="21"/>
      <c r="U1358" s="21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Z1358" s="296"/>
      <c r="CZ1358" s="296"/>
    </row>
    <row r="1359" spans="3:104" s="19" customFormat="1" ht="12"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  <c r="Q1359" s="21"/>
      <c r="R1359" s="21"/>
      <c r="S1359" s="21"/>
      <c r="T1359" s="21"/>
      <c r="U1359" s="21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Z1359" s="296"/>
      <c r="CZ1359" s="296"/>
    </row>
    <row r="1360" spans="3:104" s="19" customFormat="1" ht="12">
      <c r="C1360" s="21"/>
      <c r="D1360" s="21"/>
      <c r="E1360" s="21"/>
      <c r="F1360" s="21"/>
      <c r="G1360" s="21"/>
      <c r="H1360" s="21"/>
      <c r="I1360" s="21"/>
      <c r="J1360" s="21"/>
      <c r="K1360" s="21"/>
      <c r="L1360" s="21"/>
      <c r="M1360" s="21"/>
      <c r="N1360" s="21"/>
      <c r="O1360" s="21"/>
      <c r="P1360" s="21"/>
      <c r="Q1360" s="21"/>
      <c r="R1360" s="21"/>
      <c r="S1360" s="21"/>
      <c r="T1360" s="21"/>
      <c r="U1360" s="21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Z1360" s="296"/>
      <c r="CZ1360" s="296"/>
    </row>
    <row r="1361" spans="3:104" s="19" customFormat="1" ht="12"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  <c r="Q1361" s="21"/>
      <c r="R1361" s="21"/>
      <c r="S1361" s="21"/>
      <c r="T1361" s="21"/>
      <c r="U1361" s="21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Z1361" s="296"/>
      <c r="CZ1361" s="296"/>
    </row>
    <row r="1362" spans="3:104" s="19" customFormat="1" ht="12">
      <c r="C1362" s="21"/>
      <c r="D1362" s="21"/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Z1362" s="296"/>
      <c r="CZ1362" s="296"/>
    </row>
    <row r="1363" spans="3:104" s="19" customFormat="1" ht="12"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Z1363" s="296"/>
      <c r="CZ1363" s="296"/>
    </row>
    <row r="1364" spans="3:104" s="19" customFormat="1" ht="12">
      <c r="C1364" s="21"/>
      <c r="D1364" s="21"/>
      <c r="E1364" s="21"/>
      <c r="F1364" s="21"/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Z1364" s="296"/>
      <c r="CZ1364" s="296"/>
    </row>
    <row r="1365" spans="3:104" s="19" customFormat="1" ht="12"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  <c r="Q1365" s="21"/>
      <c r="R1365" s="21"/>
      <c r="S1365" s="21"/>
      <c r="T1365" s="21"/>
      <c r="U1365" s="21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Z1365" s="296"/>
      <c r="CZ1365" s="296"/>
    </row>
    <row r="1366" spans="3:104" s="19" customFormat="1" ht="12"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1"/>
      <c r="P1366" s="21"/>
      <c r="Q1366" s="21"/>
      <c r="R1366" s="21"/>
      <c r="S1366" s="21"/>
      <c r="T1366" s="21"/>
      <c r="U1366" s="21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Z1366" s="296"/>
      <c r="CZ1366" s="296"/>
    </row>
    <row r="1367" spans="3:104" s="19" customFormat="1" ht="12"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  <c r="Q1367" s="21"/>
      <c r="R1367" s="21"/>
      <c r="S1367" s="21"/>
      <c r="T1367" s="21"/>
      <c r="U1367" s="21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Z1367" s="296"/>
      <c r="CZ1367" s="296"/>
    </row>
    <row r="1368" spans="3:104" s="19" customFormat="1" ht="12">
      <c r="C1368" s="21"/>
      <c r="D1368" s="21"/>
      <c r="E1368" s="21"/>
      <c r="F1368" s="21"/>
      <c r="G1368" s="21"/>
      <c r="H1368" s="21"/>
      <c r="I1368" s="21"/>
      <c r="J1368" s="21"/>
      <c r="K1368" s="21"/>
      <c r="L1368" s="21"/>
      <c r="M1368" s="21"/>
      <c r="N1368" s="21"/>
      <c r="O1368" s="21"/>
      <c r="P1368" s="21"/>
      <c r="Q1368" s="21"/>
      <c r="R1368" s="21"/>
      <c r="S1368" s="21"/>
      <c r="T1368" s="21"/>
      <c r="U1368" s="21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Z1368" s="296"/>
      <c r="CZ1368" s="296"/>
    </row>
    <row r="1369" spans="3:104" s="19" customFormat="1" ht="12"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Z1369" s="296"/>
      <c r="CZ1369" s="296"/>
    </row>
    <row r="1370" spans="3:104" s="19" customFormat="1" ht="12">
      <c r="C1370" s="21"/>
      <c r="D1370" s="21"/>
      <c r="E1370" s="21"/>
      <c r="F1370" s="21"/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Z1370" s="296"/>
      <c r="CZ1370" s="296"/>
    </row>
    <row r="1371" spans="3:104" s="19" customFormat="1" ht="12"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Z1371" s="296"/>
      <c r="CZ1371" s="296"/>
    </row>
    <row r="1372" spans="3:104" s="19" customFormat="1" ht="12">
      <c r="C1372" s="21"/>
      <c r="D1372" s="21"/>
      <c r="E1372" s="2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P1372" s="21"/>
      <c r="Q1372" s="21"/>
      <c r="R1372" s="21"/>
      <c r="S1372" s="21"/>
      <c r="T1372" s="21"/>
      <c r="U1372" s="21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Z1372" s="296"/>
      <c r="CZ1372" s="296"/>
    </row>
    <row r="1373" spans="3:104" s="19" customFormat="1" ht="12"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  <c r="Q1373" s="21"/>
      <c r="R1373" s="21"/>
      <c r="S1373" s="21"/>
      <c r="T1373" s="21"/>
      <c r="U1373" s="21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Z1373" s="296"/>
      <c r="CZ1373" s="296"/>
    </row>
    <row r="1374" spans="3:104" s="19" customFormat="1" ht="12">
      <c r="C1374" s="21"/>
      <c r="D1374" s="21"/>
      <c r="E1374" s="21"/>
      <c r="F1374" s="21"/>
      <c r="G1374" s="21"/>
      <c r="H1374" s="21"/>
      <c r="I1374" s="21"/>
      <c r="J1374" s="21"/>
      <c r="K1374" s="21"/>
      <c r="L1374" s="21"/>
      <c r="M1374" s="21"/>
      <c r="N1374" s="21"/>
      <c r="O1374" s="21"/>
      <c r="P1374" s="21"/>
      <c r="Q1374" s="21"/>
      <c r="R1374" s="21"/>
      <c r="S1374" s="21"/>
      <c r="T1374" s="21"/>
      <c r="U1374" s="21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Z1374" s="296"/>
      <c r="CZ1374" s="296"/>
    </row>
    <row r="1375" spans="3:104" s="19" customFormat="1" ht="12"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  <c r="Q1375" s="21"/>
      <c r="R1375" s="21"/>
      <c r="S1375" s="21"/>
      <c r="T1375" s="21"/>
      <c r="U1375" s="21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Z1375" s="296"/>
      <c r="CZ1375" s="296"/>
    </row>
    <row r="1376" spans="3:104" s="19" customFormat="1" ht="12">
      <c r="C1376" s="21"/>
      <c r="D1376" s="21"/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Z1376" s="296"/>
      <c r="CZ1376" s="296"/>
    </row>
    <row r="1377" spans="3:104" s="19" customFormat="1" ht="12"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Z1377" s="296"/>
      <c r="CZ1377" s="296"/>
    </row>
    <row r="1378" spans="3:104" s="19" customFormat="1" ht="12">
      <c r="C1378" s="21"/>
      <c r="D1378" s="21"/>
      <c r="E1378" s="21"/>
      <c r="F1378" s="21"/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Z1378" s="296"/>
      <c r="CZ1378" s="296"/>
    </row>
    <row r="1379" spans="3:104" s="19" customFormat="1" ht="12"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  <c r="Q1379" s="21"/>
      <c r="R1379" s="21"/>
      <c r="S1379" s="21"/>
      <c r="T1379" s="21"/>
      <c r="U1379" s="21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Z1379" s="296"/>
      <c r="CZ1379" s="296"/>
    </row>
    <row r="1380" spans="3:104" s="19" customFormat="1" ht="12">
      <c r="C1380" s="21"/>
      <c r="D1380" s="21"/>
      <c r="E1380" s="21"/>
      <c r="F1380" s="21"/>
      <c r="G1380" s="21"/>
      <c r="H1380" s="21"/>
      <c r="I1380" s="21"/>
      <c r="J1380" s="21"/>
      <c r="K1380" s="21"/>
      <c r="L1380" s="21"/>
      <c r="M1380" s="21"/>
      <c r="N1380" s="21"/>
      <c r="O1380" s="21"/>
      <c r="P1380" s="21"/>
      <c r="Q1380" s="21"/>
      <c r="R1380" s="21"/>
      <c r="S1380" s="21"/>
      <c r="T1380" s="21"/>
      <c r="U1380" s="21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Z1380" s="296"/>
      <c r="CZ1380" s="296"/>
    </row>
    <row r="1381" spans="3:104" s="19" customFormat="1" ht="12"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  <c r="Q1381" s="21"/>
      <c r="R1381" s="21"/>
      <c r="S1381" s="21"/>
      <c r="T1381" s="21"/>
      <c r="U1381" s="21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Z1381" s="296"/>
      <c r="CZ1381" s="296"/>
    </row>
    <row r="1382" spans="3:104" s="19" customFormat="1" ht="12">
      <c r="C1382" s="21"/>
      <c r="D1382" s="21"/>
      <c r="E1382" s="21"/>
      <c r="F1382" s="21"/>
      <c r="G1382" s="21"/>
      <c r="H1382" s="21"/>
      <c r="I1382" s="21"/>
      <c r="J1382" s="21"/>
      <c r="K1382" s="21"/>
      <c r="L1382" s="21"/>
      <c r="M1382" s="21"/>
      <c r="N1382" s="21"/>
      <c r="O1382" s="21"/>
      <c r="P1382" s="21"/>
      <c r="Q1382" s="21"/>
      <c r="R1382" s="21"/>
      <c r="S1382" s="21"/>
      <c r="T1382" s="21"/>
      <c r="U1382" s="21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Z1382" s="296"/>
      <c r="CZ1382" s="296"/>
    </row>
    <row r="1383" spans="3:104" s="19" customFormat="1" ht="12"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Z1383" s="296"/>
      <c r="CZ1383" s="296"/>
    </row>
    <row r="1384" spans="3:104" s="19" customFormat="1" ht="12">
      <c r="C1384" s="21"/>
      <c r="D1384" s="21"/>
      <c r="E1384" s="21"/>
      <c r="F1384" s="21"/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Z1384" s="296"/>
      <c r="CZ1384" s="296"/>
    </row>
    <row r="1385" spans="3:104" s="19" customFormat="1" ht="12"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Z1385" s="296"/>
      <c r="CZ1385" s="296"/>
    </row>
    <row r="1386" spans="3:104" s="19" customFormat="1" ht="12">
      <c r="C1386" s="21"/>
      <c r="D1386" s="21"/>
      <c r="E1386" s="21"/>
      <c r="F1386" s="21"/>
      <c r="G1386" s="21"/>
      <c r="H1386" s="21"/>
      <c r="I1386" s="21"/>
      <c r="J1386" s="21"/>
      <c r="K1386" s="21"/>
      <c r="L1386" s="21"/>
      <c r="M1386" s="21"/>
      <c r="N1386" s="21"/>
      <c r="O1386" s="21"/>
      <c r="P1386" s="21"/>
      <c r="Q1386" s="21"/>
      <c r="R1386" s="21"/>
      <c r="S1386" s="21"/>
      <c r="T1386" s="21"/>
      <c r="U1386" s="21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Z1386" s="296"/>
      <c r="CZ1386" s="296"/>
    </row>
    <row r="1387" spans="3:104" s="19" customFormat="1" ht="12"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  <c r="Q1387" s="21"/>
      <c r="R1387" s="21"/>
      <c r="S1387" s="21"/>
      <c r="T1387" s="21"/>
      <c r="U1387" s="21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Z1387" s="296"/>
      <c r="CZ1387" s="296"/>
    </row>
    <row r="1388" spans="3:104" s="19" customFormat="1" ht="12"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1"/>
      <c r="P1388" s="21"/>
      <c r="Q1388" s="21"/>
      <c r="R1388" s="21"/>
      <c r="S1388" s="21"/>
      <c r="T1388" s="21"/>
      <c r="U1388" s="21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Z1388" s="296"/>
      <c r="CZ1388" s="296"/>
    </row>
    <row r="1389" spans="3:104" s="19" customFormat="1" ht="12"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  <c r="Q1389" s="21"/>
      <c r="R1389" s="21"/>
      <c r="S1389" s="21"/>
      <c r="T1389" s="21"/>
      <c r="U1389" s="21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Z1389" s="296"/>
      <c r="CZ1389" s="296"/>
    </row>
    <row r="1390" spans="3:104" s="19" customFormat="1" ht="12">
      <c r="C1390" s="21"/>
      <c r="D1390" s="21"/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Z1390" s="296"/>
      <c r="CZ1390" s="296"/>
    </row>
    <row r="1391" spans="3:104" s="19" customFormat="1" ht="12"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Z1391" s="296"/>
      <c r="CZ1391" s="296"/>
    </row>
    <row r="1392" spans="3:104" s="19" customFormat="1" ht="12">
      <c r="C1392" s="21"/>
      <c r="D1392" s="21"/>
      <c r="E1392" s="2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Z1392" s="296"/>
      <c r="CZ1392" s="296"/>
    </row>
    <row r="1393" spans="3:104" s="19" customFormat="1" ht="12"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  <c r="Q1393" s="21"/>
      <c r="R1393" s="21"/>
      <c r="S1393" s="21"/>
      <c r="T1393" s="21"/>
      <c r="U1393" s="21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Z1393" s="296"/>
      <c r="CZ1393" s="296"/>
    </row>
    <row r="1394" spans="3:104" s="19" customFormat="1" ht="12">
      <c r="C1394" s="21"/>
      <c r="D1394" s="21"/>
      <c r="E1394" s="21"/>
      <c r="F1394" s="21"/>
      <c r="G1394" s="21"/>
      <c r="H1394" s="21"/>
      <c r="I1394" s="21"/>
      <c r="J1394" s="21"/>
      <c r="K1394" s="21"/>
      <c r="L1394" s="21"/>
      <c r="M1394" s="21"/>
      <c r="N1394" s="21"/>
      <c r="O1394" s="21"/>
      <c r="P1394" s="21"/>
      <c r="Q1394" s="21"/>
      <c r="R1394" s="21"/>
      <c r="S1394" s="21"/>
      <c r="T1394" s="21"/>
      <c r="U1394" s="21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Z1394" s="296"/>
      <c r="CZ1394" s="296"/>
    </row>
    <row r="1395" spans="3:104" s="19" customFormat="1" ht="12"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  <c r="Q1395" s="21"/>
      <c r="R1395" s="21"/>
      <c r="S1395" s="21"/>
      <c r="T1395" s="21"/>
      <c r="U1395" s="21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Z1395" s="296"/>
      <c r="CZ1395" s="296"/>
    </row>
    <row r="1396" spans="3:104" s="19" customFormat="1" ht="12">
      <c r="C1396" s="21"/>
      <c r="D1396" s="21"/>
      <c r="E1396" s="21"/>
      <c r="F1396" s="21"/>
      <c r="G1396" s="21"/>
      <c r="H1396" s="21"/>
      <c r="I1396" s="21"/>
      <c r="J1396" s="21"/>
      <c r="K1396" s="21"/>
      <c r="L1396" s="21"/>
      <c r="M1396" s="21"/>
      <c r="N1396" s="21"/>
      <c r="O1396" s="21"/>
      <c r="P1396" s="21"/>
      <c r="Q1396" s="21"/>
      <c r="R1396" s="21"/>
      <c r="S1396" s="21"/>
      <c r="T1396" s="21"/>
      <c r="U1396" s="21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Z1396" s="296"/>
      <c r="CZ1396" s="296"/>
    </row>
    <row r="1397" spans="3:104" s="19" customFormat="1" ht="12"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Z1397" s="296"/>
      <c r="CZ1397" s="296"/>
    </row>
    <row r="1398" spans="3:104" s="19" customFormat="1" ht="12">
      <c r="C1398" s="21"/>
      <c r="D1398" s="21"/>
      <c r="E1398" s="21"/>
      <c r="F1398" s="21"/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Z1398" s="296"/>
      <c r="CZ1398" s="296"/>
    </row>
    <row r="1399" spans="3:104" s="19" customFormat="1" ht="12"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Z1399" s="296"/>
      <c r="CZ1399" s="296"/>
    </row>
    <row r="1400" spans="3:104" s="19" customFormat="1" ht="12">
      <c r="C1400" s="21"/>
      <c r="D1400" s="21"/>
      <c r="E1400" s="21"/>
      <c r="F1400" s="21"/>
      <c r="G1400" s="21"/>
      <c r="H1400" s="21"/>
      <c r="I1400" s="21"/>
      <c r="J1400" s="21"/>
      <c r="K1400" s="21"/>
      <c r="L1400" s="21"/>
      <c r="M1400" s="21"/>
      <c r="N1400" s="21"/>
      <c r="O1400" s="21"/>
      <c r="P1400" s="21"/>
      <c r="Q1400" s="21"/>
      <c r="R1400" s="21"/>
      <c r="S1400" s="21"/>
      <c r="T1400" s="21"/>
      <c r="U1400" s="21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Z1400" s="296"/>
      <c r="CZ1400" s="296"/>
    </row>
    <row r="1401" spans="3:104" s="19" customFormat="1" ht="12"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  <c r="Q1401" s="21"/>
      <c r="R1401" s="21"/>
      <c r="S1401" s="21"/>
      <c r="T1401" s="21"/>
      <c r="U1401" s="21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Z1401" s="296"/>
      <c r="CZ1401" s="296"/>
    </row>
    <row r="1402" spans="3:104" s="19" customFormat="1" ht="12">
      <c r="C1402" s="21"/>
      <c r="D1402" s="21"/>
      <c r="E1402" s="21"/>
      <c r="F1402" s="21"/>
      <c r="G1402" s="21"/>
      <c r="H1402" s="21"/>
      <c r="I1402" s="21"/>
      <c r="J1402" s="21"/>
      <c r="K1402" s="21"/>
      <c r="L1402" s="21"/>
      <c r="M1402" s="21"/>
      <c r="N1402" s="21"/>
      <c r="O1402" s="21"/>
      <c r="P1402" s="21"/>
      <c r="Q1402" s="21"/>
      <c r="R1402" s="21"/>
      <c r="S1402" s="21"/>
      <c r="T1402" s="21"/>
      <c r="U1402" s="21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Z1402" s="296"/>
      <c r="CZ1402" s="296"/>
    </row>
    <row r="1403" spans="3:104" s="19" customFormat="1" ht="12"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  <c r="Q1403" s="21"/>
      <c r="R1403" s="21"/>
      <c r="S1403" s="21"/>
      <c r="T1403" s="21"/>
      <c r="U1403" s="21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Z1403" s="296"/>
      <c r="CZ1403" s="296"/>
    </row>
    <row r="1404" spans="3:104" s="19" customFormat="1" ht="12">
      <c r="C1404" s="21"/>
      <c r="D1404" s="21"/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Z1404" s="296"/>
      <c r="CZ1404" s="296"/>
    </row>
    <row r="1405" spans="3:104" s="19" customFormat="1" ht="12"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Z1405" s="296"/>
      <c r="CZ1405" s="296"/>
    </row>
    <row r="1406" spans="3:104" s="19" customFormat="1" ht="12">
      <c r="C1406" s="21"/>
      <c r="D1406" s="21"/>
      <c r="E1406" s="21"/>
      <c r="F1406" s="21"/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Z1406" s="296"/>
      <c r="CZ1406" s="296"/>
    </row>
    <row r="1407" spans="3:104" s="19" customFormat="1" ht="12"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  <c r="Q1407" s="21"/>
      <c r="R1407" s="21"/>
      <c r="S1407" s="21"/>
      <c r="T1407" s="21"/>
      <c r="U1407" s="21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Z1407" s="296"/>
      <c r="CZ1407" s="296"/>
    </row>
    <row r="1408" spans="3:104" s="19" customFormat="1" ht="12">
      <c r="C1408" s="21"/>
      <c r="D1408" s="21"/>
      <c r="E1408" s="21"/>
      <c r="F1408" s="21"/>
      <c r="G1408" s="21"/>
      <c r="H1408" s="21"/>
      <c r="I1408" s="21"/>
      <c r="J1408" s="21"/>
      <c r="K1408" s="21"/>
      <c r="L1408" s="21"/>
      <c r="M1408" s="21"/>
      <c r="N1408" s="21"/>
      <c r="O1408" s="21"/>
      <c r="P1408" s="21"/>
      <c r="Q1408" s="21"/>
      <c r="R1408" s="21"/>
      <c r="S1408" s="21"/>
      <c r="T1408" s="21"/>
      <c r="U1408" s="21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Z1408" s="296"/>
      <c r="CZ1408" s="296"/>
    </row>
    <row r="1409" spans="3:104" s="19" customFormat="1" ht="12"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  <c r="Q1409" s="21"/>
      <c r="R1409" s="21"/>
      <c r="S1409" s="21"/>
      <c r="T1409" s="21"/>
      <c r="U1409" s="21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Z1409" s="296"/>
      <c r="CZ1409" s="296"/>
    </row>
    <row r="1410" spans="3:104" s="19" customFormat="1" ht="12"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1"/>
      <c r="P1410" s="21"/>
      <c r="Q1410" s="21"/>
      <c r="R1410" s="21"/>
      <c r="S1410" s="21"/>
      <c r="T1410" s="21"/>
      <c r="U1410" s="21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Z1410" s="296"/>
      <c r="CZ1410" s="296"/>
    </row>
    <row r="1411" spans="3:104" s="19" customFormat="1" ht="12"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Z1411" s="296"/>
      <c r="CZ1411" s="296"/>
    </row>
    <row r="1412" spans="3:104" s="19" customFormat="1" ht="12">
      <c r="C1412" s="21"/>
      <c r="D1412" s="21"/>
      <c r="E1412" s="21"/>
      <c r="F1412" s="21"/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Z1412" s="296"/>
      <c r="CZ1412" s="296"/>
    </row>
    <row r="1413" spans="3:104" s="19" customFormat="1" ht="12"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Z1413" s="296"/>
      <c r="CZ1413" s="296"/>
    </row>
    <row r="1414" spans="3:104" s="19" customFormat="1" ht="12">
      <c r="C1414" s="21"/>
      <c r="D1414" s="21"/>
      <c r="E1414" s="21"/>
      <c r="F1414" s="21"/>
      <c r="G1414" s="21"/>
      <c r="H1414" s="21"/>
      <c r="I1414" s="21"/>
      <c r="J1414" s="21"/>
      <c r="K1414" s="21"/>
      <c r="L1414" s="21"/>
      <c r="M1414" s="21"/>
      <c r="N1414" s="21"/>
      <c r="O1414" s="21"/>
      <c r="P1414" s="21"/>
      <c r="Q1414" s="21"/>
      <c r="R1414" s="21"/>
      <c r="S1414" s="21"/>
      <c r="T1414" s="21"/>
      <c r="U1414" s="21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Z1414" s="296"/>
      <c r="CZ1414" s="296"/>
    </row>
    <row r="1415" spans="3:104" s="19" customFormat="1" ht="12"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  <c r="Q1415" s="21"/>
      <c r="R1415" s="21"/>
      <c r="S1415" s="21"/>
      <c r="T1415" s="21"/>
      <c r="U1415" s="21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Z1415" s="296"/>
      <c r="CZ1415" s="296"/>
    </row>
    <row r="1416" spans="3:104" s="19" customFormat="1" ht="12">
      <c r="C1416" s="21"/>
      <c r="D1416" s="21"/>
      <c r="E1416" s="21"/>
      <c r="F1416" s="21"/>
      <c r="G1416" s="21"/>
      <c r="H1416" s="21"/>
      <c r="I1416" s="21"/>
      <c r="J1416" s="21"/>
      <c r="K1416" s="21"/>
      <c r="L1416" s="21"/>
      <c r="M1416" s="21"/>
      <c r="N1416" s="21"/>
      <c r="O1416" s="21"/>
      <c r="P1416" s="21"/>
      <c r="Q1416" s="21"/>
      <c r="R1416" s="21"/>
      <c r="S1416" s="21"/>
      <c r="T1416" s="21"/>
      <c r="U1416" s="21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Z1416" s="296"/>
      <c r="CZ1416" s="296"/>
    </row>
    <row r="1417" spans="3:104" s="19" customFormat="1" ht="12"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  <c r="Q1417" s="21"/>
      <c r="R1417" s="21"/>
      <c r="S1417" s="21"/>
      <c r="T1417" s="21"/>
      <c r="U1417" s="21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Z1417" s="296"/>
      <c r="CZ1417" s="296"/>
    </row>
    <row r="1418" spans="3:104" s="19" customFormat="1" ht="12">
      <c r="C1418" s="21"/>
      <c r="D1418" s="21"/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Z1418" s="296"/>
      <c r="CZ1418" s="296"/>
    </row>
    <row r="1419" spans="3:104" s="19" customFormat="1" ht="12"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Z1419" s="296"/>
      <c r="CZ1419" s="296"/>
    </row>
    <row r="1420" spans="3:104" s="19" customFormat="1" ht="12">
      <c r="C1420" s="21"/>
      <c r="D1420" s="21"/>
      <c r="E1420" s="21"/>
      <c r="F1420" s="21"/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Z1420" s="296"/>
      <c r="CZ1420" s="296"/>
    </row>
    <row r="1421" spans="3:104" s="19" customFormat="1" ht="12"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  <c r="Q1421" s="21"/>
      <c r="R1421" s="21"/>
      <c r="S1421" s="21"/>
      <c r="T1421" s="21"/>
      <c r="U1421" s="21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Z1421" s="296"/>
      <c r="CZ1421" s="296"/>
    </row>
    <row r="1422" spans="3:104" s="19" customFormat="1" ht="12">
      <c r="C1422" s="21"/>
      <c r="D1422" s="21"/>
      <c r="E1422" s="21"/>
      <c r="F1422" s="21"/>
      <c r="G1422" s="21"/>
      <c r="H1422" s="21"/>
      <c r="I1422" s="21"/>
      <c r="J1422" s="21"/>
      <c r="K1422" s="21"/>
      <c r="L1422" s="21"/>
      <c r="M1422" s="21"/>
      <c r="N1422" s="21"/>
      <c r="O1422" s="21"/>
      <c r="P1422" s="21"/>
      <c r="Q1422" s="21"/>
      <c r="R1422" s="21"/>
      <c r="S1422" s="21"/>
      <c r="T1422" s="21"/>
      <c r="U1422" s="21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Z1422" s="296"/>
      <c r="CZ1422" s="296"/>
    </row>
    <row r="1423" spans="3:104" s="19" customFormat="1" ht="12"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  <c r="Q1423" s="21"/>
      <c r="R1423" s="21"/>
      <c r="S1423" s="21"/>
      <c r="T1423" s="21"/>
      <c r="U1423" s="21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Z1423" s="296"/>
      <c r="CZ1423" s="296"/>
    </row>
    <row r="1424" spans="3:104" s="19" customFormat="1" ht="12">
      <c r="C1424" s="21"/>
      <c r="D1424" s="21"/>
      <c r="E1424" s="21"/>
      <c r="F1424" s="21"/>
      <c r="G1424" s="21"/>
      <c r="H1424" s="21"/>
      <c r="I1424" s="21"/>
      <c r="J1424" s="21"/>
      <c r="K1424" s="21"/>
      <c r="L1424" s="21"/>
      <c r="M1424" s="21"/>
      <c r="N1424" s="21"/>
      <c r="O1424" s="21"/>
      <c r="P1424" s="21"/>
      <c r="Q1424" s="21"/>
      <c r="R1424" s="21"/>
      <c r="S1424" s="21"/>
      <c r="T1424" s="21"/>
      <c r="U1424" s="21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Z1424" s="296"/>
      <c r="CZ1424" s="296"/>
    </row>
    <row r="1425" spans="3:104" s="19" customFormat="1" ht="12"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Z1425" s="296"/>
      <c r="CZ1425" s="296"/>
    </row>
    <row r="1426" spans="3:104" s="19" customFormat="1" ht="12">
      <c r="C1426" s="21"/>
      <c r="D1426" s="21"/>
      <c r="E1426" s="21"/>
      <c r="F1426" s="21"/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Z1426" s="296"/>
      <c r="CZ1426" s="296"/>
    </row>
    <row r="1427" spans="3:104" s="19" customFormat="1" ht="12"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Z1427" s="296"/>
      <c r="CZ1427" s="296"/>
    </row>
    <row r="1428" spans="3:104" s="19" customFormat="1" ht="12">
      <c r="C1428" s="21"/>
      <c r="D1428" s="21"/>
      <c r="E1428" s="21"/>
      <c r="F1428" s="21"/>
      <c r="G1428" s="21"/>
      <c r="H1428" s="21"/>
      <c r="I1428" s="21"/>
      <c r="J1428" s="21"/>
      <c r="K1428" s="21"/>
      <c r="L1428" s="21"/>
      <c r="M1428" s="21"/>
      <c r="N1428" s="21"/>
      <c r="O1428" s="21"/>
      <c r="P1428" s="21"/>
      <c r="Q1428" s="21"/>
      <c r="R1428" s="21"/>
      <c r="S1428" s="21"/>
      <c r="T1428" s="21"/>
      <c r="U1428" s="21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Z1428" s="296"/>
      <c r="CZ1428" s="296"/>
    </row>
    <row r="1429" spans="3:104" s="19" customFormat="1" ht="12"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Z1429" s="296"/>
      <c r="CZ1429" s="296"/>
    </row>
    <row r="1430" spans="3:104" s="19" customFormat="1" ht="12">
      <c r="C1430" s="21"/>
      <c r="D1430" s="21"/>
      <c r="E1430" s="21"/>
      <c r="F1430" s="21"/>
      <c r="G1430" s="21"/>
      <c r="H1430" s="21"/>
      <c r="I1430" s="21"/>
      <c r="J1430" s="21"/>
      <c r="K1430" s="21"/>
      <c r="L1430" s="21"/>
      <c r="M1430" s="21"/>
      <c r="N1430" s="21"/>
      <c r="O1430" s="21"/>
      <c r="P1430" s="21"/>
      <c r="Q1430" s="21"/>
      <c r="R1430" s="21"/>
      <c r="S1430" s="21"/>
      <c r="T1430" s="21"/>
      <c r="U1430" s="21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Z1430" s="296"/>
      <c r="CZ1430" s="296"/>
    </row>
    <row r="1431" spans="3:104" s="19" customFormat="1" ht="12"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  <c r="Q1431" s="21"/>
      <c r="R1431" s="21"/>
      <c r="S1431" s="21"/>
      <c r="T1431" s="21"/>
      <c r="U1431" s="21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Z1431" s="296"/>
      <c r="CZ1431" s="296"/>
    </row>
    <row r="1432" spans="3:104" s="19" customFormat="1" ht="12"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Z1432" s="296"/>
      <c r="CZ1432" s="296"/>
    </row>
    <row r="1433" spans="3:104" s="19" customFormat="1" ht="12"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Z1433" s="296"/>
      <c r="CZ1433" s="296"/>
    </row>
    <row r="1434" spans="3:104" s="19" customFormat="1" ht="12">
      <c r="C1434" s="21"/>
      <c r="D1434" s="21"/>
      <c r="E1434" s="21"/>
      <c r="F1434" s="21"/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Z1434" s="296"/>
      <c r="CZ1434" s="296"/>
    </row>
    <row r="1435" spans="3:104" s="19" customFormat="1" ht="12"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  <c r="Q1435" s="21"/>
      <c r="R1435" s="21"/>
      <c r="S1435" s="21"/>
      <c r="T1435" s="21"/>
      <c r="U1435" s="21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Z1435" s="296"/>
      <c r="CZ1435" s="296"/>
    </row>
    <row r="1436" spans="3:104" s="19" customFormat="1" ht="12">
      <c r="C1436" s="21"/>
      <c r="D1436" s="21"/>
      <c r="E1436" s="21"/>
      <c r="F1436" s="21"/>
      <c r="G1436" s="21"/>
      <c r="H1436" s="21"/>
      <c r="I1436" s="21"/>
      <c r="J1436" s="21"/>
      <c r="K1436" s="21"/>
      <c r="L1436" s="21"/>
      <c r="M1436" s="21"/>
      <c r="N1436" s="21"/>
      <c r="O1436" s="21"/>
      <c r="P1436" s="21"/>
      <c r="Q1436" s="21"/>
      <c r="R1436" s="21"/>
      <c r="S1436" s="21"/>
      <c r="T1436" s="21"/>
      <c r="U1436" s="21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Z1436" s="296"/>
      <c r="CZ1436" s="296"/>
    </row>
    <row r="1437" spans="3:104" s="19" customFormat="1" ht="12"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  <c r="Q1437" s="21"/>
      <c r="R1437" s="21"/>
      <c r="S1437" s="21"/>
      <c r="T1437" s="21"/>
      <c r="U1437" s="21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Z1437" s="296"/>
      <c r="CZ1437" s="296"/>
    </row>
    <row r="1438" spans="3:104" s="19" customFormat="1" ht="12">
      <c r="C1438" s="21"/>
      <c r="D1438" s="21"/>
      <c r="E1438" s="21"/>
      <c r="F1438" s="21"/>
      <c r="G1438" s="21"/>
      <c r="H1438" s="21"/>
      <c r="I1438" s="21"/>
      <c r="J1438" s="21"/>
      <c r="K1438" s="21"/>
      <c r="L1438" s="21"/>
      <c r="M1438" s="21"/>
      <c r="N1438" s="21"/>
      <c r="O1438" s="21"/>
      <c r="P1438" s="21"/>
      <c r="Q1438" s="21"/>
      <c r="R1438" s="21"/>
      <c r="S1438" s="21"/>
      <c r="T1438" s="21"/>
      <c r="U1438" s="21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Z1438" s="296"/>
      <c r="CZ1438" s="296"/>
    </row>
    <row r="1439" spans="3:104" s="19" customFormat="1" ht="12"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  <c r="Q1439" s="21"/>
      <c r="R1439" s="21"/>
      <c r="S1439" s="21"/>
      <c r="T1439" s="21"/>
      <c r="U1439" s="21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Z1439" s="296"/>
      <c r="CZ1439" s="296"/>
    </row>
    <row r="1440" spans="3:104" s="19" customFormat="1" ht="12">
      <c r="C1440" s="21"/>
      <c r="D1440" s="21"/>
      <c r="E1440" s="21"/>
      <c r="F1440" s="21"/>
      <c r="G1440" s="21"/>
      <c r="H1440" s="21"/>
      <c r="I1440" s="21"/>
      <c r="J1440" s="21"/>
      <c r="K1440" s="21"/>
      <c r="L1440" s="21"/>
      <c r="M1440" s="21"/>
      <c r="N1440" s="21"/>
      <c r="O1440" s="21"/>
      <c r="P1440" s="21"/>
      <c r="Q1440" s="21"/>
      <c r="R1440" s="21"/>
      <c r="S1440" s="21"/>
      <c r="T1440" s="21"/>
      <c r="U1440" s="21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Z1440" s="296"/>
      <c r="CZ1440" s="296"/>
    </row>
    <row r="1441" spans="3:104" s="19" customFormat="1" ht="12"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  <c r="Q1441" s="21"/>
      <c r="R1441" s="21"/>
      <c r="S1441" s="21"/>
      <c r="T1441" s="21"/>
      <c r="U1441" s="21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Z1441" s="296"/>
      <c r="CZ1441" s="296"/>
    </row>
    <row r="1442" spans="3:104" s="19" customFormat="1" ht="12">
      <c r="C1442" s="21"/>
      <c r="D1442" s="21"/>
      <c r="E1442" s="21"/>
      <c r="F1442" s="21"/>
      <c r="G1442" s="21"/>
      <c r="H1442" s="21"/>
      <c r="I1442" s="21"/>
      <c r="J1442" s="21"/>
      <c r="K1442" s="21"/>
      <c r="L1442" s="21"/>
      <c r="M1442" s="21"/>
      <c r="N1442" s="21"/>
      <c r="O1442" s="21"/>
      <c r="P1442" s="21"/>
      <c r="Q1442" s="21"/>
      <c r="R1442" s="21"/>
      <c r="S1442" s="21"/>
      <c r="T1442" s="21"/>
      <c r="U1442" s="21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Z1442" s="296"/>
      <c r="CZ1442" s="296"/>
    </row>
    <row r="1443" spans="3:104" s="19" customFormat="1" ht="12"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  <c r="Q1443" s="21"/>
      <c r="R1443" s="21"/>
      <c r="S1443" s="21"/>
      <c r="T1443" s="21"/>
      <c r="U1443" s="21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Z1443" s="296"/>
      <c r="CZ1443" s="296"/>
    </row>
    <row r="1444" spans="3:104" s="19" customFormat="1" ht="12">
      <c r="C1444" s="21"/>
      <c r="D1444" s="21"/>
      <c r="E1444" s="21"/>
      <c r="F1444" s="21"/>
      <c r="G1444" s="21"/>
      <c r="H1444" s="21"/>
      <c r="I1444" s="21"/>
      <c r="J1444" s="21"/>
      <c r="K1444" s="21"/>
      <c r="L1444" s="21"/>
      <c r="M1444" s="21"/>
      <c r="N1444" s="21"/>
      <c r="O1444" s="21"/>
      <c r="P1444" s="21"/>
      <c r="Q1444" s="21"/>
      <c r="R1444" s="21"/>
      <c r="S1444" s="21"/>
      <c r="T1444" s="21"/>
      <c r="U1444" s="21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Z1444" s="296"/>
      <c r="CZ1444" s="296"/>
    </row>
    <row r="1445" spans="3:104" s="19" customFormat="1" ht="12"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Z1445" s="296"/>
      <c r="CZ1445" s="296"/>
    </row>
    <row r="1446" spans="3:104" s="19" customFormat="1" ht="12">
      <c r="C1446" s="21"/>
      <c r="D1446" s="21"/>
      <c r="E1446" s="21"/>
      <c r="F1446" s="21"/>
      <c r="G1446" s="21"/>
      <c r="H1446" s="21"/>
      <c r="I1446" s="21"/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Z1446" s="296"/>
      <c r="CZ1446" s="296"/>
    </row>
    <row r="1447" spans="3:104" s="19" customFormat="1" ht="12"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Z1447" s="296"/>
      <c r="CZ1447" s="296"/>
    </row>
    <row r="1448" spans="3:104" s="19" customFormat="1" ht="12">
      <c r="C1448" s="21"/>
      <c r="D1448" s="21"/>
      <c r="E1448" s="21"/>
      <c r="F1448" s="21"/>
      <c r="G1448" s="21"/>
      <c r="H1448" s="21"/>
      <c r="I1448" s="21"/>
      <c r="J1448" s="21"/>
      <c r="K1448" s="21"/>
      <c r="L1448" s="21"/>
      <c r="M1448" s="21"/>
      <c r="N1448" s="21"/>
      <c r="O1448" s="21"/>
      <c r="P1448" s="21"/>
      <c r="Q1448" s="21"/>
      <c r="R1448" s="21"/>
      <c r="S1448" s="21"/>
      <c r="T1448" s="21"/>
      <c r="U1448" s="21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Z1448" s="296"/>
      <c r="CZ1448" s="296"/>
    </row>
    <row r="1449" spans="3:104" s="19" customFormat="1" ht="12"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  <c r="Q1449" s="21"/>
      <c r="R1449" s="21"/>
      <c r="S1449" s="21"/>
      <c r="T1449" s="21"/>
      <c r="U1449" s="21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Z1449" s="296"/>
      <c r="CZ1449" s="296"/>
    </row>
    <row r="1450" spans="3:104" s="19" customFormat="1" ht="12">
      <c r="C1450" s="21"/>
      <c r="D1450" s="21"/>
      <c r="E1450" s="21"/>
      <c r="F1450" s="21"/>
      <c r="G1450" s="21"/>
      <c r="H1450" s="21"/>
      <c r="I1450" s="21"/>
      <c r="J1450" s="21"/>
      <c r="K1450" s="21"/>
      <c r="L1450" s="21"/>
      <c r="M1450" s="21"/>
      <c r="N1450" s="21"/>
      <c r="O1450" s="21"/>
      <c r="P1450" s="21"/>
      <c r="Q1450" s="21"/>
      <c r="R1450" s="21"/>
      <c r="S1450" s="21"/>
      <c r="T1450" s="21"/>
      <c r="U1450" s="21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Z1450" s="296"/>
      <c r="CZ1450" s="296"/>
    </row>
    <row r="1451" spans="3:104" s="19" customFormat="1" ht="12"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  <c r="Q1451" s="21"/>
      <c r="R1451" s="21"/>
      <c r="S1451" s="21"/>
      <c r="T1451" s="21"/>
      <c r="U1451" s="21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Z1451" s="296"/>
      <c r="CZ1451" s="296"/>
    </row>
    <row r="1452" spans="3:104" s="19" customFormat="1" ht="12">
      <c r="C1452" s="21"/>
      <c r="D1452" s="21"/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Z1452" s="296"/>
      <c r="CZ1452" s="296"/>
    </row>
    <row r="1453" spans="3:104" s="19" customFormat="1" ht="12"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Z1453" s="296"/>
      <c r="CZ1453" s="296"/>
    </row>
    <row r="1454" spans="3:104" s="19" customFormat="1" ht="12"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Z1454" s="296"/>
      <c r="CZ1454" s="296"/>
    </row>
    <row r="1455" spans="3:104" s="19" customFormat="1" ht="12"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  <c r="Q1455" s="21"/>
      <c r="R1455" s="21"/>
      <c r="S1455" s="21"/>
      <c r="T1455" s="21"/>
      <c r="U1455" s="21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Z1455" s="296"/>
      <c r="CZ1455" s="296"/>
    </row>
    <row r="1456" spans="3:104" s="19" customFormat="1" ht="12">
      <c r="C1456" s="21"/>
      <c r="D1456" s="21"/>
      <c r="E1456" s="21"/>
      <c r="F1456" s="21"/>
      <c r="G1456" s="21"/>
      <c r="H1456" s="21"/>
      <c r="I1456" s="21"/>
      <c r="J1456" s="21"/>
      <c r="K1456" s="21"/>
      <c r="L1456" s="21"/>
      <c r="M1456" s="21"/>
      <c r="N1456" s="21"/>
      <c r="O1456" s="21"/>
      <c r="P1456" s="21"/>
      <c r="Q1456" s="21"/>
      <c r="R1456" s="21"/>
      <c r="S1456" s="21"/>
      <c r="T1456" s="21"/>
      <c r="U1456" s="21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Z1456" s="296"/>
      <c r="CZ1456" s="296"/>
    </row>
    <row r="1457" spans="3:104" s="19" customFormat="1" ht="12"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Z1457" s="296"/>
      <c r="CZ1457" s="296"/>
    </row>
    <row r="1458" spans="3:104" s="19" customFormat="1" ht="12">
      <c r="C1458" s="21"/>
      <c r="D1458" s="21"/>
      <c r="E1458" s="21"/>
      <c r="F1458" s="21"/>
      <c r="G1458" s="21"/>
      <c r="H1458" s="21"/>
      <c r="I1458" s="21"/>
      <c r="J1458" s="21"/>
      <c r="K1458" s="21"/>
      <c r="L1458" s="21"/>
      <c r="M1458" s="21"/>
      <c r="N1458" s="21"/>
      <c r="O1458" s="21"/>
      <c r="P1458" s="21"/>
      <c r="Q1458" s="21"/>
      <c r="R1458" s="21"/>
      <c r="S1458" s="21"/>
      <c r="T1458" s="21"/>
      <c r="U1458" s="21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Z1458" s="296"/>
      <c r="CZ1458" s="296"/>
    </row>
    <row r="1459" spans="3:104" s="19" customFormat="1" ht="12"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Z1459" s="296"/>
      <c r="CZ1459" s="296"/>
    </row>
    <row r="1460" spans="3:104" s="19" customFormat="1" ht="12">
      <c r="C1460" s="21"/>
      <c r="D1460" s="21"/>
      <c r="E1460" s="21"/>
      <c r="F1460" s="21"/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Z1460" s="296"/>
      <c r="CZ1460" s="296"/>
    </row>
    <row r="1461" spans="3:104" s="19" customFormat="1" ht="12"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Z1461" s="296"/>
      <c r="CZ1461" s="296"/>
    </row>
    <row r="1462" spans="3:104" s="19" customFormat="1" ht="12">
      <c r="C1462" s="21"/>
      <c r="D1462" s="21"/>
      <c r="E1462" s="21"/>
      <c r="F1462" s="21"/>
      <c r="G1462" s="21"/>
      <c r="H1462" s="21"/>
      <c r="I1462" s="21"/>
      <c r="J1462" s="21"/>
      <c r="K1462" s="21"/>
      <c r="L1462" s="21"/>
      <c r="M1462" s="21"/>
      <c r="N1462" s="21"/>
      <c r="O1462" s="21"/>
      <c r="P1462" s="21"/>
      <c r="Q1462" s="21"/>
      <c r="R1462" s="21"/>
      <c r="S1462" s="21"/>
      <c r="T1462" s="21"/>
      <c r="U1462" s="21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Z1462" s="296"/>
      <c r="CZ1462" s="296"/>
    </row>
    <row r="1463" spans="3:104" s="19" customFormat="1" ht="12"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  <c r="Q1463" s="21"/>
      <c r="R1463" s="21"/>
      <c r="S1463" s="21"/>
      <c r="T1463" s="21"/>
      <c r="U1463" s="21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Z1463" s="296"/>
      <c r="CZ1463" s="296"/>
    </row>
    <row r="1464" spans="3:104" s="19" customFormat="1" ht="12">
      <c r="C1464" s="21"/>
      <c r="D1464" s="21"/>
      <c r="E1464" s="21"/>
      <c r="F1464" s="21"/>
      <c r="G1464" s="21"/>
      <c r="H1464" s="21"/>
      <c r="I1464" s="21"/>
      <c r="J1464" s="21"/>
      <c r="K1464" s="21"/>
      <c r="L1464" s="21"/>
      <c r="M1464" s="21"/>
      <c r="N1464" s="21"/>
      <c r="O1464" s="21"/>
      <c r="P1464" s="21"/>
      <c r="Q1464" s="21"/>
      <c r="R1464" s="21"/>
      <c r="S1464" s="21"/>
      <c r="T1464" s="21"/>
      <c r="U1464" s="21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Z1464" s="296"/>
      <c r="CZ1464" s="296"/>
    </row>
    <row r="1465" spans="3:104" s="19" customFormat="1" ht="12"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  <c r="Q1465" s="21"/>
      <c r="R1465" s="21"/>
      <c r="S1465" s="21"/>
      <c r="T1465" s="21"/>
      <c r="U1465" s="21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Z1465" s="296"/>
      <c r="CZ1465" s="296"/>
    </row>
    <row r="1466" spans="3:104" s="19" customFormat="1" ht="12">
      <c r="C1466" s="21"/>
      <c r="D1466" s="21"/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Z1466" s="296"/>
      <c r="CZ1466" s="296"/>
    </row>
    <row r="1467" spans="3:104" s="19" customFormat="1" ht="12"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Z1467" s="296"/>
      <c r="CZ1467" s="296"/>
    </row>
    <row r="1468" spans="3:104" s="19" customFormat="1" ht="12">
      <c r="C1468" s="21"/>
      <c r="D1468" s="21"/>
      <c r="E1468" s="21"/>
      <c r="F1468" s="21"/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Z1468" s="296"/>
      <c r="CZ1468" s="296"/>
    </row>
    <row r="1469" spans="3:104" s="19" customFormat="1" ht="12"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  <c r="Q1469" s="21"/>
      <c r="R1469" s="21"/>
      <c r="S1469" s="21"/>
      <c r="T1469" s="21"/>
      <c r="U1469" s="21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Z1469" s="296"/>
      <c r="CZ1469" s="296"/>
    </row>
    <row r="1470" spans="3:104" s="19" customFormat="1" ht="12">
      <c r="C1470" s="21"/>
      <c r="D1470" s="21"/>
      <c r="E1470" s="21"/>
      <c r="F1470" s="21"/>
      <c r="G1470" s="21"/>
      <c r="H1470" s="21"/>
      <c r="I1470" s="21"/>
      <c r="J1470" s="21"/>
      <c r="K1470" s="21"/>
      <c r="L1470" s="21"/>
      <c r="M1470" s="21"/>
      <c r="N1470" s="21"/>
      <c r="O1470" s="21"/>
      <c r="P1470" s="21"/>
      <c r="Q1470" s="21"/>
      <c r="R1470" s="21"/>
      <c r="S1470" s="21"/>
      <c r="T1470" s="21"/>
      <c r="U1470" s="21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Z1470" s="296"/>
      <c r="CZ1470" s="296"/>
    </row>
    <row r="1471" spans="3:104" s="19" customFormat="1" ht="12"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  <c r="Q1471" s="21"/>
      <c r="R1471" s="21"/>
      <c r="S1471" s="21"/>
      <c r="T1471" s="21"/>
      <c r="U1471" s="21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Z1471" s="296"/>
      <c r="CZ1471" s="296"/>
    </row>
    <row r="1472" spans="3:104" s="19" customFormat="1" ht="12">
      <c r="C1472" s="21"/>
      <c r="D1472" s="21"/>
      <c r="E1472" s="21"/>
      <c r="F1472" s="21"/>
      <c r="G1472" s="21"/>
      <c r="H1472" s="21"/>
      <c r="I1472" s="21"/>
      <c r="J1472" s="21"/>
      <c r="K1472" s="21"/>
      <c r="L1472" s="21"/>
      <c r="M1472" s="21"/>
      <c r="N1472" s="21"/>
      <c r="O1472" s="21"/>
      <c r="P1472" s="21"/>
      <c r="Q1472" s="21"/>
      <c r="R1472" s="21"/>
      <c r="S1472" s="21"/>
      <c r="T1472" s="21"/>
      <c r="U1472" s="21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Z1472" s="296"/>
      <c r="CZ1472" s="296"/>
    </row>
    <row r="1473" spans="3:104" s="19" customFormat="1" ht="12"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Z1473" s="296"/>
      <c r="CZ1473" s="296"/>
    </row>
    <row r="1474" spans="3:104" s="19" customFormat="1" ht="12">
      <c r="C1474" s="21"/>
      <c r="D1474" s="21"/>
      <c r="E1474" s="21"/>
      <c r="F1474" s="21"/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Z1474" s="296"/>
      <c r="CZ1474" s="296"/>
    </row>
    <row r="1475" spans="3:104" s="19" customFormat="1" ht="12"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Z1475" s="296"/>
      <c r="CZ1475" s="296"/>
    </row>
    <row r="1476" spans="3:104" s="19" customFormat="1" ht="12"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1"/>
      <c r="P1476" s="21"/>
      <c r="Q1476" s="21"/>
      <c r="R1476" s="21"/>
      <c r="S1476" s="21"/>
      <c r="T1476" s="21"/>
      <c r="U1476" s="21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Z1476" s="296"/>
      <c r="CZ1476" s="296"/>
    </row>
    <row r="1477" spans="3:104" s="19" customFormat="1" ht="12"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Z1477" s="296"/>
      <c r="CZ1477" s="296"/>
    </row>
    <row r="1478" spans="3:104" s="19" customFormat="1" ht="12">
      <c r="C1478" s="21"/>
      <c r="D1478" s="21"/>
      <c r="E1478" s="21"/>
      <c r="F1478" s="21"/>
      <c r="G1478" s="21"/>
      <c r="H1478" s="21"/>
      <c r="I1478" s="21"/>
      <c r="J1478" s="21"/>
      <c r="K1478" s="21"/>
      <c r="L1478" s="21"/>
      <c r="M1478" s="21"/>
      <c r="N1478" s="21"/>
      <c r="O1478" s="21"/>
      <c r="P1478" s="21"/>
      <c r="Q1478" s="21"/>
      <c r="R1478" s="21"/>
      <c r="S1478" s="21"/>
      <c r="T1478" s="21"/>
      <c r="U1478" s="21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Z1478" s="296"/>
      <c r="CZ1478" s="296"/>
    </row>
    <row r="1479" spans="3:104" s="19" customFormat="1" ht="12"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  <c r="Q1479" s="21"/>
      <c r="R1479" s="21"/>
      <c r="S1479" s="21"/>
      <c r="T1479" s="21"/>
      <c r="U1479" s="21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Z1479" s="296"/>
      <c r="CZ1479" s="296"/>
    </row>
    <row r="1480" spans="3:104" s="19" customFormat="1" ht="12">
      <c r="C1480" s="21"/>
      <c r="D1480" s="21"/>
      <c r="E1480" s="21"/>
      <c r="F1480" s="21"/>
      <c r="G1480" s="21"/>
      <c r="H1480" s="21"/>
      <c r="I1480" s="21"/>
      <c r="J1480" s="21"/>
      <c r="K1480" s="21"/>
      <c r="L1480" s="21"/>
      <c r="M1480" s="21"/>
      <c r="N1480" s="21"/>
      <c r="O1480" s="21"/>
      <c r="P1480" s="21"/>
      <c r="Q1480" s="21"/>
      <c r="R1480" s="21"/>
      <c r="S1480" s="21"/>
      <c r="T1480" s="21"/>
      <c r="U1480" s="21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Z1480" s="296"/>
      <c r="CZ1480" s="296"/>
    </row>
    <row r="1481" spans="3:104" s="19" customFormat="1" ht="12"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  <c r="Q1481" s="21"/>
      <c r="R1481" s="21"/>
      <c r="S1481" s="21"/>
      <c r="T1481" s="21"/>
      <c r="U1481" s="21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Z1481" s="296"/>
      <c r="CZ1481" s="296"/>
    </row>
    <row r="1482" spans="3:104" s="19" customFormat="1" ht="12">
      <c r="C1482" s="21"/>
      <c r="D1482" s="21"/>
      <c r="E1482" s="21"/>
      <c r="F1482" s="21"/>
      <c r="G1482" s="21"/>
      <c r="H1482" s="21"/>
      <c r="I1482" s="21"/>
      <c r="J1482" s="21"/>
      <c r="K1482" s="21"/>
      <c r="L1482" s="21"/>
      <c r="M1482" s="21"/>
      <c r="N1482" s="21"/>
      <c r="O1482" s="21"/>
      <c r="P1482" s="21"/>
      <c r="Q1482" s="21"/>
      <c r="R1482" s="21"/>
      <c r="S1482" s="21"/>
      <c r="T1482" s="21"/>
      <c r="U1482" s="21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Z1482" s="296"/>
      <c r="CZ1482" s="296"/>
    </row>
    <row r="1483" spans="3:104" s="19" customFormat="1" ht="12"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  <c r="Q1483" s="21"/>
      <c r="R1483" s="21"/>
      <c r="S1483" s="21"/>
      <c r="T1483" s="21"/>
      <c r="U1483" s="21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Z1483" s="296"/>
      <c r="CZ1483" s="296"/>
    </row>
    <row r="1484" spans="3:104" s="19" customFormat="1" ht="12">
      <c r="C1484" s="21"/>
      <c r="D1484" s="21"/>
      <c r="E1484" s="21"/>
      <c r="F1484" s="21"/>
      <c r="G1484" s="21"/>
      <c r="H1484" s="21"/>
      <c r="I1484" s="21"/>
      <c r="J1484" s="21"/>
      <c r="K1484" s="21"/>
      <c r="L1484" s="21"/>
      <c r="M1484" s="21"/>
      <c r="N1484" s="21"/>
      <c r="O1484" s="21"/>
      <c r="P1484" s="21"/>
      <c r="Q1484" s="21"/>
      <c r="R1484" s="21"/>
      <c r="S1484" s="21"/>
      <c r="T1484" s="21"/>
      <c r="U1484" s="21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Z1484" s="296"/>
      <c r="CZ1484" s="296"/>
    </row>
    <row r="1485" spans="3:104" s="19" customFormat="1" ht="12"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Z1485" s="296"/>
      <c r="CZ1485" s="296"/>
    </row>
    <row r="1486" spans="3:104" s="19" customFormat="1" ht="12">
      <c r="C1486" s="21"/>
      <c r="D1486" s="21"/>
      <c r="E1486" s="21"/>
      <c r="F1486" s="21"/>
      <c r="G1486" s="21"/>
      <c r="H1486" s="21"/>
      <c r="I1486" s="21"/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Z1486" s="296"/>
      <c r="CZ1486" s="296"/>
    </row>
    <row r="1487" spans="3:104" s="19" customFormat="1" ht="12"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Z1487" s="296"/>
      <c r="CZ1487" s="296"/>
    </row>
    <row r="1488" spans="3:104" s="19" customFormat="1" ht="12">
      <c r="C1488" s="21"/>
      <c r="D1488" s="21"/>
      <c r="E1488" s="21"/>
      <c r="F1488" s="21"/>
      <c r="G1488" s="21"/>
      <c r="H1488" s="21"/>
      <c r="I1488" s="21"/>
      <c r="J1488" s="21"/>
      <c r="K1488" s="21"/>
      <c r="L1488" s="21"/>
      <c r="M1488" s="21"/>
      <c r="N1488" s="21"/>
      <c r="O1488" s="21"/>
      <c r="P1488" s="21"/>
      <c r="Q1488" s="21"/>
      <c r="R1488" s="21"/>
      <c r="S1488" s="21"/>
      <c r="T1488" s="21"/>
      <c r="U1488" s="21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Z1488" s="296"/>
      <c r="CZ1488" s="296"/>
    </row>
    <row r="1489" spans="3:104" s="19" customFormat="1" ht="12"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  <c r="Q1489" s="21"/>
      <c r="R1489" s="21"/>
      <c r="S1489" s="21"/>
      <c r="T1489" s="21"/>
      <c r="U1489" s="21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Z1489" s="296"/>
      <c r="CZ1489" s="296"/>
    </row>
    <row r="1490" spans="3:104" s="19" customFormat="1" ht="12">
      <c r="C1490" s="21"/>
      <c r="D1490" s="21"/>
      <c r="E1490" s="21"/>
      <c r="F1490" s="21"/>
      <c r="G1490" s="21"/>
      <c r="H1490" s="21"/>
      <c r="I1490" s="21"/>
      <c r="J1490" s="21"/>
      <c r="K1490" s="21"/>
      <c r="L1490" s="21"/>
      <c r="M1490" s="21"/>
      <c r="N1490" s="21"/>
      <c r="O1490" s="21"/>
      <c r="P1490" s="21"/>
      <c r="Q1490" s="21"/>
      <c r="R1490" s="21"/>
      <c r="S1490" s="21"/>
      <c r="T1490" s="21"/>
      <c r="U1490" s="21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Z1490" s="296"/>
      <c r="CZ1490" s="296"/>
    </row>
    <row r="1491" spans="3:104" s="19" customFormat="1" ht="12"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  <c r="Q1491" s="21"/>
      <c r="R1491" s="21"/>
      <c r="S1491" s="21"/>
      <c r="T1491" s="21"/>
      <c r="U1491" s="21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Z1491" s="296"/>
      <c r="CZ1491" s="296"/>
    </row>
    <row r="1492" spans="3:104" s="19" customFormat="1" ht="12">
      <c r="C1492" s="21"/>
      <c r="D1492" s="21"/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Z1492" s="296"/>
      <c r="CZ1492" s="296"/>
    </row>
    <row r="1493" spans="3:104" s="19" customFormat="1" ht="12"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Z1493" s="296"/>
      <c r="CZ1493" s="296"/>
    </row>
    <row r="1494" spans="3:104" s="19" customFormat="1" ht="12">
      <c r="C1494" s="21"/>
      <c r="D1494" s="21"/>
      <c r="E1494" s="21"/>
      <c r="F1494" s="21"/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Z1494" s="296"/>
      <c r="CZ1494" s="296"/>
    </row>
    <row r="1495" spans="3:104" s="19" customFormat="1" ht="12"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  <c r="Q1495" s="21"/>
      <c r="R1495" s="21"/>
      <c r="S1495" s="21"/>
      <c r="T1495" s="21"/>
      <c r="U1495" s="21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Z1495" s="296"/>
      <c r="CZ1495" s="296"/>
    </row>
    <row r="1496" spans="3:104" s="19" customFormat="1" ht="12">
      <c r="C1496" s="21"/>
      <c r="D1496" s="21"/>
      <c r="E1496" s="21"/>
      <c r="F1496" s="21"/>
      <c r="G1496" s="21"/>
      <c r="H1496" s="21"/>
      <c r="I1496" s="21"/>
      <c r="J1496" s="21"/>
      <c r="K1496" s="21"/>
      <c r="L1496" s="21"/>
      <c r="M1496" s="21"/>
      <c r="N1496" s="21"/>
      <c r="O1496" s="21"/>
      <c r="P1496" s="21"/>
      <c r="Q1496" s="21"/>
      <c r="R1496" s="21"/>
      <c r="S1496" s="21"/>
      <c r="T1496" s="21"/>
      <c r="U1496" s="21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Z1496" s="296"/>
      <c r="CZ1496" s="296"/>
    </row>
    <row r="1497" spans="3:104" s="19" customFormat="1" ht="12"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  <c r="Q1497" s="21"/>
      <c r="R1497" s="21"/>
      <c r="S1497" s="21"/>
      <c r="T1497" s="21"/>
      <c r="U1497" s="21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Z1497" s="296"/>
      <c r="CZ1497" s="296"/>
    </row>
    <row r="1498" spans="3:104" s="19" customFormat="1" ht="12"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1"/>
      <c r="P1498" s="21"/>
      <c r="Q1498" s="21"/>
      <c r="R1498" s="21"/>
      <c r="S1498" s="21"/>
      <c r="T1498" s="21"/>
      <c r="U1498" s="21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Z1498" s="296"/>
      <c r="CZ1498" s="296"/>
    </row>
    <row r="1499" spans="3:104" s="19" customFormat="1" ht="12"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Z1499" s="296"/>
      <c r="CZ1499" s="296"/>
    </row>
    <row r="1500" spans="3:104" s="19" customFormat="1" ht="12">
      <c r="C1500" s="21"/>
      <c r="D1500" s="21"/>
      <c r="E1500" s="21"/>
      <c r="F1500" s="21"/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Z1500" s="296"/>
      <c r="CZ1500" s="296"/>
    </row>
    <row r="1501" spans="3:104" s="19" customFormat="1" ht="12"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Z1501" s="296"/>
      <c r="CZ1501" s="296"/>
    </row>
    <row r="1502" spans="3:104" s="19" customFormat="1" ht="12">
      <c r="C1502" s="21"/>
      <c r="D1502" s="21"/>
      <c r="E1502" s="21"/>
      <c r="F1502" s="21"/>
      <c r="G1502" s="21"/>
      <c r="H1502" s="21"/>
      <c r="I1502" s="21"/>
      <c r="J1502" s="21"/>
      <c r="K1502" s="21"/>
      <c r="L1502" s="21"/>
      <c r="M1502" s="21"/>
      <c r="N1502" s="21"/>
      <c r="O1502" s="21"/>
      <c r="P1502" s="21"/>
      <c r="Q1502" s="21"/>
      <c r="R1502" s="21"/>
      <c r="S1502" s="21"/>
      <c r="T1502" s="21"/>
      <c r="U1502" s="21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Z1502" s="296"/>
      <c r="CZ1502" s="296"/>
    </row>
    <row r="1503" spans="3:104" s="19" customFormat="1" ht="12"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  <c r="N1503" s="21"/>
      <c r="O1503" s="21"/>
      <c r="P1503" s="21"/>
      <c r="Q1503" s="21"/>
      <c r="R1503" s="21"/>
      <c r="S1503" s="21"/>
      <c r="T1503" s="21"/>
      <c r="U1503" s="21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Z1503" s="296"/>
      <c r="CZ1503" s="296"/>
    </row>
    <row r="1504" spans="3:104" s="19" customFormat="1" ht="12">
      <c r="C1504" s="21"/>
      <c r="D1504" s="21"/>
      <c r="E1504" s="21"/>
      <c r="F1504" s="21"/>
      <c r="G1504" s="21"/>
      <c r="H1504" s="21"/>
      <c r="I1504" s="21"/>
      <c r="J1504" s="21"/>
      <c r="K1504" s="21"/>
      <c r="L1504" s="21"/>
      <c r="M1504" s="21"/>
      <c r="N1504" s="21"/>
      <c r="O1504" s="21"/>
      <c r="P1504" s="21"/>
      <c r="Q1504" s="21"/>
      <c r="R1504" s="21"/>
      <c r="S1504" s="21"/>
      <c r="T1504" s="21"/>
      <c r="U1504" s="21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Z1504" s="296"/>
      <c r="CZ1504" s="296"/>
    </row>
    <row r="1505" spans="3:104" s="19" customFormat="1" ht="12"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  <c r="N1505" s="21"/>
      <c r="O1505" s="21"/>
      <c r="P1505" s="21"/>
      <c r="Q1505" s="21"/>
      <c r="R1505" s="21"/>
      <c r="S1505" s="21"/>
      <c r="T1505" s="21"/>
      <c r="U1505" s="21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Z1505" s="296"/>
      <c r="CZ1505" s="296"/>
    </row>
    <row r="1506" spans="3:104" s="19" customFormat="1" ht="12">
      <c r="C1506" s="21"/>
      <c r="D1506" s="21"/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Z1506" s="296"/>
      <c r="CZ1506" s="296"/>
    </row>
    <row r="1507" spans="3:104" s="19" customFormat="1" ht="12"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Z1507" s="296"/>
      <c r="CZ1507" s="296"/>
    </row>
    <row r="1508" spans="3:104" s="19" customFormat="1" ht="12">
      <c r="C1508" s="21"/>
      <c r="D1508" s="21"/>
      <c r="E1508" s="21"/>
      <c r="F1508" s="21"/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Z1508" s="296"/>
      <c r="CZ1508" s="296"/>
    </row>
    <row r="1509" spans="3:104" s="19" customFormat="1" ht="12"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  <c r="N1509" s="21"/>
      <c r="O1509" s="21"/>
      <c r="P1509" s="21"/>
      <c r="Q1509" s="21"/>
      <c r="R1509" s="21"/>
      <c r="S1509" s="21"/>
      <c r="T1509" s="21"/>
      <c r="U1509" s="21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Z1509" s="296"/>
      <c r="CZ1509" s="296"/>
    </row>
    <row r="1510" spans="3:104" s="19" customFormat="1" ht="12">
      <c r="C1510" s="21"/>
      <c r="D1510" s="21"/>
      <c r="E1510" s="21"/>
      <c r="F1510" s="21"/>
      <c r="G1510" s="21"/>
      <c r="H1510" s="21"/>
      <c r="I1510" s="21"/>
      <c r="J1510" s="21"/>
      <c r="K1510" s="21"/>
      <c r="L1510" s="21"/>
      <c r="M1510" s="21"/>
      <c r="N1510" s="21"/>
      <c r="O1510" s="21"/>
      <c r="P1510" s="21"/>
      <c r="Q1510" s="21"/>
      <c r="R1510" s="21"/>
      <c r="S1510" s="21"/>
      <c r="T1510" s="21"/>
      <c r="U1510" s="21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Z1510" s="296"/>
      <c r="CZ1510" s="296"/>
    </row>
    <row r="1511" spans="3:104" s="19" customFormat="1" ht="12"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  <c r="N1511" s="21"/>
      <c r="O1511" s="21"/>
      <c r="P1511" s="21"/>
      <c r="Q1511" s="21"/>
      <c r="R1511" s="21"/>
      <c r="S1511" s="21"/>
      <c r="T1511" s="21"/>
      <c r="U1511" s="21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Z1511" s="296"/>
      <c r="CZ1511" s="296"/>
    </row>
    <row r="1512" spans="3:104" s="19" customFormat="1" ht="12">
      <c r="C1512" s="21"/>
      <c r="D1512" s="21"/>
      <c r="E1512" s="21"/>
      <c r="F1512" s="21"/>
      <c r="G1512" s="21"/>
      <c r="H1512" s="21"/>
      <c r="I1512" s="21"/>
      <c r="J1512" s="21"/>
      <c r="K1512" s="21"/>
      <c r="L1512" s="21"/>
      <c r="M1512" s="21"/>
      <c r="N1512" s="21"/>
      <c r="O1512" s="21"/>
      <c r="P1512" s="21"/>
      <c r="Q1512" s="21"/>
      <c r="R1512" s="21"/>
      <c r="S1512" s="21"/>
      <c r="T1512" s="21"/>
      <c r="U1512" s="21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Z1512" s="296"/>
      <c r="CZ1512" s="296"/>
    </row>
    <row r="1513" spans="3:104" s="19" customFormat="1" ht="12"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Z1513" s="296"/>
      <c r="CZ1513" s="296"/>
    </row>
    <row r="1514" spans="3:104" s="19" customFormat="1" ht="12">
      <c r="C1514" s="21"/>
      <c r="D1514" s="21"/>
      <c r="E1514" s="21"/>
      <c r="F1514" s="21"/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Z1514" s="296"/>
      <c r="CZ1514" s="296"/>
    </row>
    <row r="1515" spans="3:104" s="19" customFormat="1" ht="12"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Z1515" s="296"/>
      <c r="CZ1515" s="296"/>
    </row>
    <row r="1516" spans="3:104" s="19" customFormat="1" ht="12">
      <c r="C1516" s="21"/>
      <c r="D1516" s="21"/>
      <c r="E1516" s="21"/>
      <c r="F1516" s="21"/>
      <c r="G1516" s="21"/>
      <c r="H1516" s="21"/>
      <c r="I1516" s="21"/>
      <c r="J1516" s="21"/>
      <c r="K1516" s="21"/>
      <c r="L1516" s="21"/>
      <c r="M1516" s="21"/>
      <c r="N1516" s="21"/>
      <c r="O1516" s="21"/>
      <c r="P1516" s="21"/>
      <c r="Q1516" s="21"/>
      <c r="R1516" s="21"/>
      <c r="S1516" s="21"/>
      <c r="T1516" s="21"/>
      <c r="U1516" s="21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Z1516" s="296"/>
      <c r="CZ1516" s="296"/>
    </row>
    <row r="1517" spans="3:104" s="19" customFormat="1" ht="12"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  <c r="N1517" s="21"/>
      <c r="O1517" s="21"/>
      <c r="P1517" s="21"/>
      <c r="Q1517" s="21"/>
      <c r="R1517" s="21"/>
      <c r="S1517" s="21"/>
      <c r="T1517" s="21"/>
      <c r="U1517" s="21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Z1517" s="296"/>
      <c r="CZ1517" s="296"/>
    </row>
    <row r="1518" spans="3:104" s="19" customFormat="1" ht="12">
      <c r="C1518" s="21"/>
      <c r="D1518" s="21"/>
      <c r="E1518" s="21"/>
      <c r="F1518" s="21"/>
      <c r="G1518" s="21"/>
      <c r="H1518" s="21"/>
      <c r="I1518" s="21"/>
      <c r="J1518" s="21"/>
      <c r="K1518" s="21"/>
      <c r="L1518" s="21"/>
      <c r="M1518" s="21"/>
      <c r="N1518" s="21"/>
      <c r="O1518" s="21"/>
      <c r="P1518" s="21"/>
      <c r="Q1518" s="21"/>
      <c r="R1518" s="21"/>
      <c r="S1518" s="21"/>
      <c r="T1518" s="21"/>
      <c r="U1518" s="21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Z1518" s="296"/>
      <c r="CZ1518" s="296"/>
    </row>
    <row r="1519" spans="3:104" s="19" customFormat="1" ht="12"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  <c r="N1519" s="21"/>
      <c r="O1519" s="21"/>
      <c r="P1519" s="21"/>
      <c r="Q1519" s="21"/>
      <c r="R1519" s="21"/>
      <c r="S1519" s="21"/>
      <c r="T1519" s="21"/>
      <c r="U1519" s="21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Z1519" s="296"/>
      <c r="CZ1519" s="296"/>
    </row>
    <row r="1520" spans="3:104" s="19" customFormat="1" ht="12"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Z1520" s="296"/>
      <c r="CZ1520" s="296"/>
    </row>
    <row r="1521" spans="3:104" s="19" customFormat="1" ht="12"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Z1521" s="296"/>
      <c r="CZ1521" s="296"/>
    </row>
    <row r="1522" spans="3:104" s="19" customFormat="1" ht="12">
      <c r="C1522" s="21"/>
      <c r="D1522" s="21"/>
      <c r="E1522" s="21"/>
      <c r="F1522" s="21"/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Z1522" s="296"/>
      <c r="CZ1522" s="296"/>
    </row>
    <row r="1523" spans="3:104" s="19" customFormat="1" ht="12"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  <c r="N1523" s="21"/>
      <c r="O1523" s="21"/>
      <c r="P1523" s="21"/>
      <c r="Q1523" s="21"/>
      <c r="R1523" s="21"/>
      <c r="S1523" s="21"/>
      <c r="T1523" s="21"/>
      <c r="U1523" s="21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Z1523" s="296"/>
      <c r="CZ1523" s="296"/>
    </row>
    <row r="1524" spans="3:104" s="19" customFormat="1" ht="12">
      <c r="C1524" s="21"/>
      <c r="D1524" s="21"/>
      <c r="E1524" s="21"/>
      <c r="F1524" s="21"/>
      <c r="G1524" s="21"/>
      <c r="H1524" s="21"/>
      <c r="I1524" s="21"/>
      <c r="J1524" s="21"/>
      <c r="K1524" s="21"/>
      <c r="L1524" s="21"/>
      <c r="M1524" s="21"/>
      <c r="N1524" s="21"/>
      <c r="O1524" s="21"/>
      <c r="P1524" s="21"/>
      <c r="Q1524" s="21"/>
      <c r="R1524" s="21"/>
      <c r="S1524" s="21"/>
      <c r="T1524" s="21"/>
      <c r="U1524" s="21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Z1524" s="296"/>
      <c r="CZ1524" s="296"/>
    </row>
    <row r="1525" spans="3:104" s="19" customFormat="1" ht="12"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  <c r="N1525" s="21"/>
      <c r="O1525" s="21"/>
      <c r="P1525" s="21"/>
      <c r="Q1525" s="21"/>
      <c r="R1525" s="21"/>
      <c r="S1525" s="21"/>
      <c r="T1525" s="21"/>
      <c r="U1525" s="21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Z1525" s="296"/>
      <c r="CZ1525" s="296"/>
    </row>
    <row r="1526" spans="3:104" s="19" customFormat="1" ht="12">
      <c r="C1526" s="21"/>
      <c r="D1526" s="21"/>
      <c r="E1526" s="21"/>
      <c r="F1526" s="21"/>
      <c r="G1526" s="21"/>
      <c r="H1526" s="21"/>
      <c r="I1526" s="21"/>
      <c r="J1526" s="21"/>
      <c r="K1526" s="21"/>
      <c r="L1526" s="21"/>
      <c r="M1526" s="21"/>
      <c r="N1526" s="21"/>
      <c r="O1526" s="21"/>
      <c r="P1526" s="21"/>
      <c r="Q1526" s="21"/>
      <c r="R1526" s="21"/>
      <c r="S1526" s="21"/>
      <c r="T1526" s="21"/>
      <c r="U1526" s="21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Z1526" s="296"/>
      <c r="CZ1526" s="296"/>
    </row>
    <row r="1527" spans="3:104" s="19" customFormat="1" ht="12"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Z1527" s="296"/>
      <c r="CZ1527" s="296"/>
    </row>
    <row r="1528" spans="3:104" s="19" customFormat="1" ht="12">
      <c r="C1528" s="21"/>
      <c r="D1528" s="21"/>
      <c r="E1528" s="21"/>
      <c r="F1528" s="21"/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Z1528" s="296"/>
      <c r="CZ1528" s="296"/>
    </row>
    <row r="1529" spans="3:104" s="19" customFormat="1" ht="12"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Z1529" s="296"/>
      <c r="CZ1529" s="296"/>
    </row>
    <row r="1530" spans="3:104" s="19" customFormat="1" ht="12">
      <c r="C1530" s="21"/>
      <c r="D1530" s="21"/>
      <c r="E1530" s="21"/>
      <c r="F1530" s="21"/>
      <c r="G1530" s="21"/>
      <c r="H1530" s="21"/>
      <c r="I1530" s="21"/>
      <c r="J1530" s="21"/>
      <c r="K1530" s="21"/>
      <c r="L1530" s="21"/>
      <c r="M1530" s="21"/>
      <c r="N1530" s="21"/>
      <c r="O1530" s="21"/>
      <c r="P1530" s="21"/>
      <c r="Q1530" s="21"/>
      <c r="R1530" s="21"/>
      <c r="S1530" s="21"/>
      <c r="T1530" s="21"/>
      <c r="U1530" s="21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Z1530" s="296"/>
      <c r="CZ1530" s="296"/>
    </row>
    <row r="1531" spans="3:104" s="19" customFormat="1" ht="12"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  <c r="N1531" s="21"/>
      <c r="O1531" s="21"/>
      <c r="P1531" s="21"/>
      <c r="Q1531" s="21"/>
      <c r="R1531" s="21"/>
      <c r="S1531" s="21"/>
      <c r="T1531" s="21"/>
      <c r="U1531" s="21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Z1531" s="296"/>
      <c r="CZ1531" s="296"/>
    </row>
    <row r="1532" spans="3:104" s="19" customFormat="1" ht="12">
      <c r="C1532" s="21"/>
      <c r="D1532" s="21"/>
      <c r="E1532" s="21"/>
      <c r="F1532" s="21"/>
      <c r="G1532" s="21"/>
      <c r="H1532" s="21"/>
      <c r="I1532" s="21"/>
      <c r="J1532" s="21"/>
      <c r="K1532" s="21"/>
      <c r="L1532" s="21"/>
      <c r="M1532" s="21"/>
      <c r="N1532" s="21"/>
      <c r="O1532" s="21"/>
      <c r="P1532" s="21"/>
      <c r="Q1532" s="21"/>
      <c r="R1532" s="21"/>
      <c r="S1532" s="21"/>
      <c r="T1532" s="21"/>
      <c r="U1532" s="21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Z1532" s="296"/>
      <c r="CZ1532" s="296"/>
    </row>
    <row r="1533" spans="3:104" s="19" customFormat="1" ht="12"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  <c r="N1533" s="21"/>
      <c r="O1533" s="21"/>
      <c r="P1533" s="21"/>
      <c r="Q1533" s="21"/>
      <c r="R1533" s="21"/>
      <c r="S1533" s="21"/>
      <c r="T1533" s="21"/>
      <c r="U1533" s="21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Z1533" s="296"/>
      <c r="CZ1533" s="296"/>
    </row>
    <row r="1534" spans="3:104" s="19" customFormat="1" ht="12">
      <c r="C1534" s="21"/>
      <c r="D1534" s="21"/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Z1534" s="296"/>
      <c r="CZ1534" s="296"/>
    </row>
    <row r="1535" spans="3:104" s="19" customFormat="1" ht="12"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Z1535" s="296"/>
      <c r="CZ1535" s="296"/>
    </row>
    <row r="1536" spans="3:104" s="19" customFormat="1" ht="12">
      <c r="C1536" s="21"/>
      <c r="D1536" s="21"/>
      <c r="E1536" s="21"/>
      <c r="F1536" s="21"/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Z1536" s="296"/>
      <c r="CZ1536" s="296"/>
    </row>
    <row r="1537" spans="3:104" s="19" customFormat="1" ht="12"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  <c r="N1537" s="21"/>
      <c r="O1537" s="21"/>
      <c r="P1537" s="21"/>
      <c r="Q1537" s="21"/>
      <c r="R1537" s="21"/>
      <c r="S1537" s="21"/>
      <c r="T1537" s="21"/>
      <c r="U1537" s="21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Z1537" s="296"/>
      <c r="CZ1537" s="296"/>
    </row>
    <row r="1538" spans="3:104" s="19" customFormat="1" ht="12">
      <c r="C1538" s="21"/>
      <c r="D1538" s="21"/>
      <c r="E1538" s="21"/>
      <c r="F1538" s="21"/>
      <c r="G1538" s="21"/>
      <c r="H1538" s="21"/>
      <c r="I1538" s="21"/>
      <c r="J1538" s="21"/>
      <c r="K1538" s="21"/>
      <c r="L1538" s="21"/>
      <c r="M1538" s="21"/>
      <c r="N1538" s="21"/>
      <c r="O1538" s="21"/>
      <c r="P1538" s="21"/>
      <c r="Q1538" s="21"/>
      <c r="R1538" s="21"/>
      <c r="S1538" s="21"/>
      <c r="T1538" s="21"/>
      <c r="U1538" s="21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Z1538" s="296"/>
      <c r="CZ1538" s="296"/>
    </row>
    <row r="1539" spans="3:104" s="19" customFormat="1" ht="12"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  <c r="N1539" s="21"/>
      <c r="O1539" s="21"/>
      <c r="P1539" s="21"/>
      <c r="Q1539" s="21"/>
      <c r="R1539" s="21"/>
      <c r="S1539" s="21"/>
      <c r="T1539" s="21"/>
      <c r="U1539" s="21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Z1539" s="296"/>
      <c r="CZ1539" s="296"/>
    </row>
    <row r="1540" spans="3:104" s="19" customFormat="1" ht="12">
      <c r="C1540" s="21"/>
      <c r="D1540" s="21"/>
      <c r="E1540" s="21"/>
      <c r="F1540" s="21"/>
      <c r="G1540" s="21"/>
      <c r="H1540" s="21"/>
      <c r="I1540" s="21"/>
      <c r="J1540" s="21"/>
      <c r="K1540" s="21"/>
      <c r="L1540" s="21"/>
      <c r="M1540" s="21"/>
      <c r="N1540" s="21"/>
      <c r="O1540" s="21"/>
      <c r="P1540" s="21"/>
      <c r="Q1540" s="21"/>
      <c r="R1540" s="21"/>
      <c r="S1540" s="21"/>
      <c r="T1540" s="21"/>
      <c r="U1540" s="21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Z1540" s="296"/>
      <c r="CZ1540" s="296"/>
    </row>
    <row r="1541" spans="3:104" s="19" customFormat="1" ht="12"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Z1541" s="296"/>
      <c r="CZ1541" s="296"/>
    </row>
    <row r="1542" spans="3:104" s="19" customFormat="1" ht="12"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Z1542" s="296"/>
      <c r="CZ1542" s="296"/>
    </row>
    <row r="1543" spans="3:104" s="19" customFormat="1" ht="12"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Z1543" s="296"/>
      <c r="CZ1543" s="296"/>
    </row>
    <row r="1544" spans="3:104" s="19" customFormat="1" ht="12">
      <c r="C1544" s="21"/>
      <c r="D1544" s="21"/>
      <c r="E1544" s="21"/>
      <c r="F1544" s="21"/>
      <c r="G1544" s="21"/>
      <c r="H1544" s="21"/>
      <c r="I1544" s="21"/>
      <c r="J1544" s="21"/>
      <c r="K1544" s="21"/>
      <c r="L1544" s="21"/>
      <c r="M1544" s="21"/>
      <c r="N1544" s="21"/>
      <c r="O1544" s="21"/>
      <c r="P1544" s="21"/>
      <c r="Q1544" s="21"/>
      <c r="R1544" s="21"/>
      <c r="S1544" s="21"/>
      <c r="T1544" s="21"/>
      <c r="U1544" s="21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Z1544" s="296"/>
      <c r="CZ1544" s="296"/>
    </row>
    <row r="1545" spans="3:104" s="19" customFormat="1" ht="12"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  <c r="N1545" s="21"/>
      <c r="O1545" s="21"/>
      <c r="P1545" s="21"/>
      <c r="Q1545" s="21"/>
      <c r="R1545" s="21"/>
      <c r="S1545" s="21"/>
      <c r="T1545" s="21"/>
      <c r="U1545" s="21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Z1545" s="296"/>
      <c r="CZ1545" s="296"/>
    </row>
    <row r="1546" spans="3:104" s="19" customFormat="1" ht="12">
      <c r="C1546" s="21"/>
      <c r="D1546" s="21"/>
      <c r="E1546" s="21"/>
      <c r="F1546" s="21"/>
      <c r="G1546" s="21"/>
      <c r="H1546" s="21"/>
      <c r="I1546" s="21"/>
      <c r="J1546" s="21"/>
      <c r="K1546" s="21"/>
      <c r="L1546" s="21"/>
      <c r="M1546" s="21"/>
      <c r="N1546" s="21"/>
      <c r="O1546" s="21"/>
      <c r="P1546" s="21"/>
      <c r="Q1546" s="21"/>
      <c r="R1546" s="21"/>
      <c r="S1546" s="21"/>
      <c r="T1546" s="21"/>
      <c r="U1546" s="21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Z1546" s="296"/>
      <c r="CZ1546" s="296"/>
    </row>
    <row r="1547" spans="3:104" s="19" customFormat="1" ht="12"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  <c r="N1547" s="21"/>
      <c r="O1547" s="21"/>
      <c r="P1547" s="21"/>
      <c r="Q1547" s="21"/>
      <c r="R1547" s="21"/>
      <c r="S1547" s="21"/>
      <c r="T1547" s="21"/>
      <c r="U1547" s="21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Z1547" s="296"/>
      <c r="CZ1547" s="296"/>
    </row>
    <row r="1548" spans="3:104" s="19" customFormat="1" ht="12">
      <c r="C1548" s="21"/>
      <c r="D1548" s="21"/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Z1548" s="296"/>
      <c r="CZ1548" s="296"/>
    </row>
    <row r="1549" spans="3:104" s="19" customFormat="1" ht="12"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Z1549" s="296"/>
      <c r="CZ1549" s="296"/>
    </row>
    <row r="1550" spans="3:104" s="19" customFormat="1" ht="12">
      <c r="C1550" s="21"/>
      <c r="D1550" s="21"/>
      <c r="E1550" s="21"/>
      <c r="F1550" s="21"/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Z1550" s="296"/>
      <c r="CZ1550" s="296"/>
    </row>
    <row r="1551" spans="3:104" s="19" customFormat="1" ht="12"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  <c r="N1551" s="21"/>
      <c r="O1551" s="21"/>
      <c r="P1551" s="21"/>
      <c r="Q1551" s="21"/>
      <c r="R1551" s="21"/>
      <c r="S1551" s="21"/>
      <c r="T1551" s="21"/>
      <c r="U1551" s="21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Z1551" s="296"/>
      <c r="CZ1551" s="296"/>
    </row>
    <row r="1552" spans="3:104" s="19" customFormat="1" ht="12">
      <c r="C1552" s="21"/>
      <c r="D1552" s="21"/>
      <c r="E1552" s="21"/>
      <c r="F1552" s="21"/>
      <c r="G1552" s="21"/>
      <c r="H1552" s="21"/>
      <c r="I1552" s="21"/>
      <c r="J1552" s="21"/>
      <c r="K1552" s="21"/>
      <c r="L1552" s="21"/>
      <c r="M1552" s="21"/>
      <c r="N1552" s="21"/>
      <c r="O1552" s="21"/>
      <c r="P1552" s="21"/>
      <c r="Q1552" s="21"/>
      <c r="R1552" s="21"/>
      <c r="S1552" s="21"/>
      <c r="T1552" s="21"/>
      <c r="U1552" s="21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Z1552" s="296"/>
      <c r="CZ1552" s="296"/>
    </row>
    <row r="1553" spans="3:104" s="19" customFormat="1" ht="12"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  <c r="N1553" s="21"/>
      <c r="O1553" s="21"/>
      <c r="P1553" s="21"/>
      <c r="Q1553" s="21"/>
      <c r="R1553" s="21"/>
      <c r="S1553" s="21"/>
      <c r="T1553" s="21"/>
      <c r="U1553" s="21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Z1553" s="296"/>
      <c r="CZ1553" s="296"/>
    </row>
    <row r="1554" spans="3:104" s="19" customFormat="1" ht="12">
      <c r="C1554" s="21"/>
      <c r="D1554" s="21"/>
      <c r="E1554" s="21"/>
      <c r="F1554" s="21"/>
      <c r="G1554" s="21"/>
      <c r="H1554" s="21"/>
      <c r="I1554" s="21"/>
      <c r="J1554" s="21"/>
      <c r="K1554" s="21"/>
      <c r="L1554" s="21"/>
      <c r="M1554" s="21"/>
      <c r="N1554" s="21"/>
      <c r="O1554" s="21"/>
      <c r="P1554" s="21"/>
      <c r="Q1554" s="21"/>
      <c r="R1554" s="21"/>
      <c r="S1554" s="21"/>
      <c r="T1554" s="21"/>
      <c r="U1554" s="21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Z1554" s="296"/>
      <c r="CZ1554" s="296"/>
    </row>
    <row r="1555" spans="3:104" s="19" customFormat="1" ht="12"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  <c r="N1555" s="21"/>
      <c r="O1555" s="21"/>
      <c r="P1555" s="21"/>
      <c r="Q1555" s="21"/>
      <c r="R1555" s="21"/>
      <c r="S1555" s="21"/>
      <c r="T1555" s="21"/>
      <c r="U1555" s="21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Z1555" s="296"/>
      <c r="CZ1555" s="296"/>
    </row>
    <row r="1556" spans="3:104" s="19" customFormat="1" ht="12">
      <c r="C1556" s="21"/>
      <c r="D1556" s="21"/>
      <c r="E1556" s="21"/>
      <c r="F1556" s="21"/>
      <c r="G1556" s="21"/>
      <c r="H1556" s="21"/>
      <c r="I1556" s="21"/>
      <c r="J1556" s="21"/>
      <c r="K1556" s="21"/>
      <c r="L1556" s="21"/>
      <c r="M1556" s="21"/>
      <c r="N1556" s="21"/>
      <c r="O1556" s="21"/>
      <c r="P1556" s="21"/>
      <c r="Q1556" s="21"/>
      <c r="R1556" s="21"/>
      <c r="S1556" s="21"/>
      <c r="T1556" s="21"/>
      <c r="U1556" s="21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Z1556" s="296"/>
      <c r="CZ1556" s="296"/>
    </row>
    <row r="1557" spans="3:104" s="19" customFormat="1" ht="12"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  <c r="N1557" s="21"/>
      <c r="O1557" s="21"/>
      <c r="P1557" s="21"/>
      <c r="Q1557" s="21"/>
      <c r="R1557" s="21"/>
      <c r="S1557" s="21"/>
      <c r="T1557" s="21"/>
      <c r="U1557" s="21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Z1557" s="296"/>
      <c r="CZ1557" s="296"/>
    </row>
    <row r="1558" spans="3:104" s="19" customFormat="1" ht="12">
      <c r="C1558" s="21"/>
      <c r="D1558" s="21"/>
      <c r="E1558" s="21"/>
      <c r="F1558" s="21"/>
      <c r="G1558" s="21"/>
      <c r="H1558" s="21"/>
      <c r="I1558" s="21"/>
      <c r="J1558" s="21"/>
      <c r="K1558" s="21"/>
      <c r="L1558" s="21"/>
      <c r="M1558" s="21"/>
      <c r="N1558" s="21"/>
      <c r="O1558" s="21"/>
      <c r="P1558" s="21"/>
      <c r="Q1558" s="21"/>
      <c r="R1558" s="21"/>
      <c r="S1558" s="21"/>
      <c r="T1558" s="21"/>
      <c r="U1558" s="21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Z1558" s="296"/>
      <c r="CZ1558" s="296"/>
    </row>
    <row r="1559" spans="3:104" s="19" customFormat="1" ht="12"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  <c r="N1559" s="21"/>
      <c r="O1559" s="21"/>
      <c r="P1559" s="21"/>
      <c r="Q1559" s="21"/>
      <c r="R1559" s="21"/>
      <c r="S1559" s="21"/>
      <c r="T1559" s="21"/>
      <c r="U1559" s="21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Z1559" s="296"/>
      <c r="CZ1559" s="296"/>
    </row>
    <row r="1560" spans="3:104" s="19" customFormat="1" ht="12">
      <c r="C1560" s="21"/>
      <c r="D1560" s="21"/>
      <c r="E1560" s="21"/>
      <c r="F1560" s="21"/>
      <c r="G1560" s="21"/>
      <c r="H1560" s="21"/>
      <c r="I1560" s="21"/>
      <c r="J1560" s="21"/>
      <c r="K1560" s="21"/>
      <c r="L1560" s="21"/>
      <c r="M1560" s="21"/>
      <c r="N1560" s="21"/>
      <c r="O1560" s="21"/>
      <c r="P1560" s="21"/>
      <c r="Q1560" s="21"/>
      <c r="R1560" s="21"/>
      <c r="S1560" s="21"/>
      <c r="T1560" s="21"/>
      <c r="U1560" s="21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Z1560" s="296"/>
      <c r="CZ1560" s="296"/>
    </row>
    <row r="1561" spans="3:104" s="19" customFormat="1" ht="12"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  <c r="N1561" s="21"/>
      <c r="O1561" s="21"/>
      <c r="P1561" s="21"/>
      <c r="Q1561" s="21"/>
      <c r="R1561" s="21"/>
      <c r="S1561" s="21"/>
      <c r="T1561" s="21"/>
      <c r="U1561" s="21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Z1561" s="296"/>
      <c r="CZ1561" s="296"/>
    </row>
    <row r="1562" spans="3:104" s="19" customFormat="1" ht="12">
      <c r="C1562" s="21"/>
      <c r="D1562" s="21"/>
      <c r="E1562" s="21"/>
      <c r="F1562" s="21"/>
      <c r="G1562" s="21"/>
      <c r="H1562" s="21"/>
      <c r="I1562" s="21"/>
      <c r="J1562" s="21"/>
      <c r="K1562" s="21"/>
      <c r="L1562" s="21"/>
      <c r="M1562" s="21"/>
      <c r="N1562" s="21"/>
      <c r="O1562" s="21"/>
      <c r="P1562" s="21"/>
      <c r="Q1562" s="21"/>
      <c r="R1562" s="21"/>
      <c r="S1562" s="21"/>
      <c r="T1562" s="21"/>
      <c r="U1562" s="21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Z1562" s="296"/>
      <c r="CZ1562" s="296"/>
    </row>
    <row r="1563" spans="3:104" s="19" customFormat="1" ht="12"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  <c r="N1563" s="21"/>
      <c r="O1563" s="21"/>
      <c r="P1563" s="21"/>
      <c r="Q1563" s="21"/>
      <c r="R1563" s="21"/>
      <c r="S1563" s="21"/>
      <c r="T1563" s="21"/>
      <c r="U1563" s="21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Z1563" s="296"/>
      <c r="CZ1563" s="296"/>
    </row>
    <row r="1564" spans="3:104" s="19" customFormat="1" ht="12"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  <c r="N1564" s="21"/>
      <c r="O1564" s="21"/>
      <c r="P1564" s="21"/>
      <c r="Q1564" s="21"/>
      <c r="R1564" s="21"/>
      <c r="S1564" s="21"/>
      <c r="T1564" s="21"/>
      <c r="U1564" s="21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Z1564" s="296"/>
      <c r="CZ1564" s="296"/>
    </row>
    <row r="1565" spans="3:104" s="19" customFormat="1" ht="12"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  <c r="N1565" s="21"/>
      <c r="O1565" s="21"/>
      <c r="P1565" s="21"/>
      <c r="Q1565" s="21"/>
      <c r="R1565" s="21"/>
      <c r="S1565" s="21"/>
      <c r="T1565" s="21"/>
      <c r="U1565" s="21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Z1565" s="296"/>
      <c r="CZ1565" s="296"/>
    </row>
    <row r="1566" spans="3:104" s="19" customFormat="1" ht="12">
      <c r="C1566" s="21"/>
      <c r="D1566" s="21"/>
      <c r="E1566" s="21"/>
      <c r="F1566" s="21"/>
      <c r="G1566" s="21"/>
      <c r="H1566" s="21"/>
      <c r="I1566" s="21"/>
      <c r="J1566" s="21"/>
      <c r="K1566" s="21"/>
      <c r="L1566" s="21"/>
      <c r="M1566" s="21"/>
      <c r="N1566" s="21"/>
      <c r="O1566" s="21"/>
      <c r="P1566" s="21"/>
      <c r="Q1566" s="21"/>
      <c r="R1566" s="21"/>
      <c r="S1566" s="21"/>
      <c r="T1566" s="21"/>
      <c r="U1566" s="21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Z1566" s="296"/>
      <c r="CZ1566" s="296"/>
    </row>
    <row r="1567" spans="3:104" s="19" customFormat="1" ht="12"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Z1567" s="296"/>
      <c r="CZ1567" s="296"/>
    </row>
    <row r="1568" spans="3:104" s="19" customFormat="1" ht="12">
      <c r="C1568" s="21"/>
      <c r="D1568" s="21"/>
      <c r="E1568" s="21"/>
      <c r="F1568" s="21"/>
      <c r="G1568" s="21"/>
      <c r="H1568" s="21"/>
      <c r="I1568" s="21"/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Z1568" s="296"/>
      <c r="CZ1568" s="296"/>
    </row>
    <row r="1569" spans="3:104" s="19" customFormat="1" ht="12"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Z1569" s="296"/>
      <c r="CZ1569" s="296"/>
    </row>
    <row r="1570" spans="3:104" s="19" customFormat="1" ht="12">
      <c r="C1570" s="21"/>
      <c r="D1570" s="21"/>
      <c r="E1570" s="21"/>
      <c r="F1570" s="21"/>
      <c r="G1570" s="21"/>
      <c r="H1570" s="21"/>
      <c r="I1570" s="21"/>
      <c r="J1570" s="21"/>
      <c r="K1570" s="21"/>
      <c r="L1570" s="21"/>
      <c r="M1570" s="21"/>
      <c r="N1570" s="21"/>
      <c r="O1570" s="21"/>
      <c r="P1570" s="21"/>
      <c r="Q1570" s="21"/>
      <c r="R1570" s="21"/>
      <c r="S1570" s="21"/>
      <c r="T1570" s="21"/>
      <c r="U1570" s="21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Z1570" s="296"/>
      <c r="CZ1570" s="296"/>
    </row>
    <row r="1571" spans="3:104" s="19" customFormat="1" ht="12"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  <c r="N1571" s="21"/>
      <c r="O1571" s="21"/>
      <c r="P1571" s="21"/>
      <c r="Q1571" s="21"/>
      <c r="R1571" s="21"/>
      <c r="S1571" s="21"/>
      <c r="T1571" s="21"/>
      <c r="U1571" s="21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Z1571" s="296"/>
      <c r="CZ1571" s="296"/>
    </row>
    <row r="1572" spans="3:104" s="19" customFormat="1" ht="12">
      <c r="C1572" s="21"/>
      <c r="D1572" s="21"/>
      <c r="E1572" s="21"/>
      <c r="F1572" s="21"/>
      <c r="G1572" s="21"/>
      <c r="H1572" s="21"/>
      <c r="I1572" s="21"/>
      <c r="J1572" s="21"/>
      <c r="K1572" s="21"/>
      <c r="L1572" s="21"/>
      <c r="M1572" s="21"/>
      <c r="N1572" s="21"/>
      <c r="O1572" s="21"/>
      <c r="P1572" s="21"/>
      <c r="Q1572" s="21"/>
      <c r="R1572" s="21"/>
      <c r="S1572" s="21"/>
      <c r="T1572" s="21"/>
      <c r="U1572" s="21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Z1572" s="296"/>
      <c r="CZ1572" s="296"/>
    </row>
    <row r="1573" spans="3:104" s="19" customFormat="1" ht="12"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  <c r="N1573" s="21"/>
      <c r="O1573" s="21"/>
      <c r="P1573" s="21"/>
      <c r="Q1573" s="21"/>
      <c r="R1573" s="21"/>
      <c r="S1573" s="21"/>
      <c r="T1573" s="21"/>
      <c r="U1573" s="21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Z1573" s="296"/>
      <c r="CZ1573" s="296"/>
    </row>
    <row r="1574" spans="3:104" s="19" customFormat="1" ht="12">
      <c r="C1574" s="21"/>
      <c r="D1574" s="21"/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Z1574" s="296"/>
      <c r="CZ1574" s="296"/>
    </row>
    <row r="1575" spans="3:104" s="19" customFormat="1" ht="12"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Z1575" s="296"/>
      <c r="CZ1575" s="296"/>
    </row>
    <row r="1576" spans="3:104" s="19" customFormat="1" ht="12">
      <c r="C1576" s="21"/>
      <c r="D1576" s="21"/>
      <c r="E1576" s="21"/>
      <c r="F1576" s="21"/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Z1576" s="296"/>
      <c r="CZ1576" s="296"/>
    </row>
    <row r="1577" spans="3:104" s="19" customFormat="1" ht="12"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  <c r="N1577" s="21"/>
      <c r="O1577" s="21"/>
      <c r="P1577" s="21"/>
      <c r="Q1577" s="21"/>
      <c r="R1577" s="21"/>
      <c r="S1577" s="21"/>
      <c r="T1577" s="21"/>
      <c r="U1577" s="21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Z1577" s="296"/>
      <c r="CZ1577" s="296"/>
    </row>
    <row r="1578" spans="3:104" s="19" customFormat="1" ht="12">
      <c r="C1578" s="21"/>
      <c r="D1578" s="21"/>
      <c r="E1578" s="21"/>
      <c r="F1578" s="21"/>
      <c r="G1578" s="21"/>
      <c r="H1578" s="21"/>
      <c r="I1578" s="21"/>
      <c r="J1578" s="21"/>
      <c r="K1578" s="21"/>
      <c r="L1578" s="21"/>
      <c r="M1578" s="21"/>
      <c r="N1578" s="21"/>
      <c r="O1578" s="21"/>
      <c r="P1578" s="21"/>
      <c r="Q1578" s="21"/>
      <c r="R1578" s="21"/>
      <c r="S1578" s="21"/>
      <c r="T1578" s="21"/>
      <c r="U1578" s="21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Z1578" s="296"/>
      <c r="CZ1578" s="296"/>
    </row>
    <row r="1579" spans="3:104" s="19" customFormat="1" ht="12"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  <c r="N1579" s="21"/>
      <c r="O1579" s="21"/>
      <c r="P1579" s="21"/>
      <c r="Q1579" s="21"/>
      <c r="R1579" s="21"/>
      <c r="S1579" s="21"/>
      <c r="T1579" s="21"/>
      <c r="U1579" s="21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Z1579" s="296"/>
      <c r="CZ1579" s="296"/>
    </row>
    <row r="1580" spans="3:104" s="19" customFormat="1" ht="12">
      <c r="C1580" s="21"/>
      <c r="D1580" s="21"/>
      <c r="E1580" s="21"/>
      <c r="F1580" s="21"/>
      <c r="G1580" s="21"/>
      <c r="H1580" s="21"/>
      <c r="I1580" s="21"/>
      <c r="J1580" s="21"/>
      <c r="K1580" s="21"/>
      <c r="L1580" s="21"/>
      <c r="M1580" s="21"/>
      <c r="N1580" s="21"/>
      <c r="O1580" s="21"/>
      <c r="P1580" s="21"/>
      <c r="Q1580" s="21"/>
      <c r="R1580" s="21"/>
      <c r="S1580" s="21"/>
      <c r="T1580" s="21"/>
      <c r="U1580" s="21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Z1580" s="296"/>
      <c r="CZ1580" s="296"/>
    </row>
    <row r="1581" spans="3:104" s="19" customFormat="1" ht="12"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Z1581" s="296"/>
      <c r="CZ1581" s="296"/>
    </row>
    <row r="1582" spans="3:104" s="19" customFormat="1" ht="12">
      <c r="C1582" s="21"/>
      <c r="D1582" s="21"/>
      <c r="E1582" s="21"/>
      <c r="F1582" s="21"/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Z1582" s="296"/>
      <c r="CZ1582" s="296"/>
    </row>
    <row r="1583" spans="3:104" s="19" customFormat="1" ht="12"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Z1583" s="296"/>
      <c r="CZ1583" s="296"/>
    </row>
    <row r="1584" spans="3:104" s="19" customFormat="1" ht="12">
      <c r="C1584" s="21"/>
      <c r="D1584" s="21"/>
      <c r="E1584" s="21"/>
      <c r="F1584" s="21"/>
      <c r="G1584" s="21"/>
      <c r="H1584" s="21"/>
      <c r="I1584" s="21"/>
      <c r="J1584" s="21"/>
      <c r="K1584" s="21"/>
      <c r="L1584" s="21"/>
      <c r="M1584" s="21"/>
      <c r="N1584" s="21"/>
      <c r="O1584" s="21"/>
      <c r="P1584" s="21"/>
      <c r="Q1584" s="21"/>
      <c r="R1584" s="21"/>
      <c r="S1584" s="21"/>
      <c r="T1584" s="21"/>
      <c r="U1584" s="21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Z1584" s="296"/>
      <c r="CZ1584" s="296"/>
    </row>
    <row r="1585" spans="3:104" s="19" customFormat="1" ht="12"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  <c r="N1585" s="21"/>
      <c r="O1585" s="21"/>
      <c r="P1585" s="21"/>
      <c r="Q1585" s="21"/>
      <c r="R1585" s="21"/>
      <c r="S1585" s="21"/>
      <c r="T1585" s="21"/>
      <c r="U1585" s="21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Z1585" s="296"/>
      <c r="CZ1585" s="296"/>
    </row>
    <row r="1586" spans="3:104" s="19" customFormat="1" ht="12"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  <c r="N1586" s="21"/>
      <c r="O1586" s="21"/>
      <c r="P1586" s="21"/>
      <c r="Q1586" s="21"/>
      <c r="R1586" s="21"/>
      <c r="S1586" s="21"/>
      <c r="T1586" s="21"/>
      <c r="U1586" s="21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Z1586" s="296"/>
      <c r="CZ1586" s="296"/>
    </row>
    <row r="1587" spans="3:104" s="19" customFormat="1" ht="12"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  <c r="N1587" s="21"/>
      <c r="O1587" s="21"/>
      <c r="P1587" s="21"/>
      <c r="Q1587" s="21"/>
      <c r="R1587" s="21"/>
      <c r="S1587" s="21"/>
      <c r="T1587" s="21"/>
      <c r="U1587" s="21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Z1587" s="296"/>
      <c r="CZ1587" s="296"/>
    </row>
    <row r="1588" spans="3:104" s="19" customFormat="1" ht="12">
      <c r="C1588" s="21"/>
      <c r="D1588" s="21"/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Z1588" s="296"/>
      <c r="CZ1588" s="296"/>
    </row>
    <row r="1589" spans="3:104" s="19" customFormat="1" ht="12"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Z1589" s="296"/>
      <c r="CZ1589" s="296"/>
    </row>
    <row r="1590" spans="3:104" s="19" customFormat="1" ht="12">
      <c r="C1590" s="21"/>
      <c r="D1590" s="21"/>
      <c r="E1590" s="21"/>
      <c r="F1590" s="21"/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Z1590" s="296"/>
      <c r="CZ1590" s="296"/>
    </row>
    <row r="1591" spans="3:104" s="19" customFormat="1" ht="12"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  <c r="N1591" s="21"/>
      <c r="O1591" s="21"/>
      <c r="P1591" s="21"/>
      <c r="Q1591" s="21"/>
      <c r="R1591" s="21"/>
      <c r="S1591" s="21"/>
      <c r="T1591" s="21"/>
      <c r="U1591" s="21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Z1591" s="296"/>
      <c r="CZ1591" s="296"/>
    </row>
    <row r="1592" spans="3:104" s="19" customFormat="1" ht="12">
      <c r="C1592" s="21"/>
      <c r="D1592" s="21"/>
      <c r="E1592" s="21"/>
      <c r="F1592" s="21"/>
      <c r="G1592" s="21"/>
      <c r="H1592" s="21"/>
      <c r="I1592" s="21"/>
      <c r="J1592" s="21"/>
      <c r="K1592" s="21"/>
      <c r="L1592" s="21"/>
      <c r="M1592" s="21"/>
      <c r="N1592" s="21"/>
      <c r="O1592" s="21"/>
      <c r="P1592" s="21"/>
      <c r="Q1592" s="21"/>
      <c r="R1592" s="21"/>
      <c r="S1592" s="21"/>
      <c r="T1592" s="21"/>
      <c r="U1592" s="21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Z1592" s="296"/>
      <c r="CZ1592" s="296"/>
    </row>
    <row r="1593" spans="3:104" s="19" customFormat="1" ht="12"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  <c r="N1593" s="21"/>
      <c r="O1593" s="21"/>
      <c r="P1593" s="21"/>
      <c r="Q1593" s="21"/>
      <c r="R1593" s="21"/>
      <c r="S1593" s="21"/>
      <c r="T1593" s="21"/>
      <c r="U1593" s="21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Z1593" s="296"/>
      <c r="CZ1593" s="296"/>
    </row>
    <row r="1594" spans="3:104" s="19" customFormat="1" ht="12">
      <c r="C1594" s="21"/>
      <c r="D1594" s="21"/>
      <c r="E1594" s="21"/>
      <c r="F1594" s="21"/>
      <c r="G1594" s="21"/>
      <c r="H1594" s="21"/>
      <c r="I1594" s="21"/>
      <c r="J1594" s="21"/>
      <c r="K1594" s="21"/>
      <c r="L1594" s="21"/>
      <c r="M1594" s="21"/>
      <c r="N1594" s="21"/>
      <c r="O1594" s="21"/>
      <c r="P1594" s="21"/>
      <c r="Q1594" s="21"/>
      <c r="R1594" s="21"/>
      <c r="S1594" s="21"/>
      <c r="T1594" s="21"/>
      <c r="U1594" s="21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Z1594" s="296"/>
      <c r="CZ1594" s="296"/>
    </row>
    <row r="1595" spans="3:104" s="19" customFormat="1" ht="12"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Z1595" s="296"/>
      <c r="CZ1595" s="296"/>
    </row>
    <row r="1596" spans="3:104" s="19" customFormat="1" ht="12">
      <c r="C1596" s="21"/>
      <c r="D1596" s="21"/>
      <c r="E1596" s="21"/>
      <c r="F1596" s="21"/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Z1596" s="296"/>
      <c r="CZ1596" s="296"/>
    </row>
    <row r="1597" spans="3:104" s="19" customFormat="1" ht="12"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Z1597" s="296"/>
      <c r="CZ1597" s="296"/>
    </row>
    <row r="1598" spans="3:104" s="19" customFormat="1" ht="12">
      <c r="C1598" s="21"/>
      <c r="D1598" s="21"/>
      <c r="E1598" s="21"/>
      <c r="F1598" s="21"/>
      <c r="G1598" s="21"/>
      <c r="H1598" s="21"/>
      <c r="I1598" s="21"/>
      <c r="J1598" s="21"/>
      <c r="K1598" s="21"/>
      <c r="L1598" s="21"/>
      <c r="M1598" s="21"/>
      <c r="N1598" s="21"/>
      <c r="O1598" s="21"/>
      <c r="P1598" s="21"/>
      <c r="Q1598" s="21"/>
      <c r="R1598" s="21"/>
      <c r="S1598" s="21"/>
      <c r="T1598" s="21"/>
      <c r="U1598" s="21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Z1598" s="296"/>
      <c r="CZ1598" s="296"/>
    </row>
    <row r="1599" spans="3:104" s="19" customFormat="1" ht="12"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  <c r="N1599" s="21"/>
      <c r="O1599" s="21"/>
      <c r="P1599" s="21"/>
      <c r="Q1599" s="21"/>
      <c r="R1599" s="21"/>
      <c r="S1599" s="21"/>
      <c r="T1599" s="21"/>
      <c r="U1599" s="21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Z1599" s="296"/>
      <c r="CZ1599" s="296"/>
    </row>
    <row r="1600" spans="3:104" s="19" customFormat="1" ht="12">
      <c r="C1600" s="21"/>
      <c r="D1600" s="21"/>
      <c r="E1600" s="21"/>
      <c r="F1600" s="21"/>
      <c r="G1600" s="21"/>
      <c r="H1600" s="21"/>
      <c r="I1600" s="21"/>
      <c r="J1600" s="21"/>
      <c r="K1600" s="21"/>
      <c r="L1600" s="21"/>
      <c r="M1600" s="21"/>
      <c r="N1600" s="21"/>
      <c r="O1600" s="21"/>
      <c r="P1600" s="21"/>
      <c r="Q1600" s="21"/>
      <c r="R1600" s="21"/>
      <c r="S1600" s="21"/>
      <c r="T1600" s="21"/>
      <c r="U1600" s="21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Z1600" s="296"/>
      <c r="CZ1600" s="296"/>
    </row>
    <row r="1601" spans="3:104" s="19" customFormat="1" ht="12"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  <c r="N1601" s="21"/>
      <c r="O1601" s="21"/>
      <c r="P1601" s="21"/>
      <c r="Q1601" s="21"/>
      <c r="R1601" s="21"/>
      <c r="S1601" s="21"/>
      <c r="T1601" s="21"/>
      <c r="U1601" s="21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Z1601" s="296"/>
      <c r="CZ1601" s="296"/>
    </row>
    <row r="1602" spans="3:104" s="19" customFormat="1" ht="12">
      <c r="C1602" s="21"/>
      <c r="D1602" s="21"/>
      <c r="E1602" s="21"/>
      <c r="F1602" s="21"/>
      <c r="G1602" s="21"/>
      <c r="H1602" s="21"/>
      <c r="I1602" s="21"/>
      <c r="J1602" s="21"/>
      <c r="K1602" s="21"/>
      <c r="L1602" s="21"/>
      <c r="M1602" s="21"/>
      <c r="N1602" s="21"/>
      <c r="O1602" s="21"/>
      <c r="P1602" s="21"/>
      <c r="Q1602" s="21"/>
      <c r="R1602" s="21"/>
      <c r="S1602" s="21"/>
      <c r="T1602" s="21"/>
      <c r="U1602" s="21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Z1602" s="296"/>
      <c r="CZ1602" s="296"/>
    </row>
    <row r="1603" spans="3:104" s="19" customFormat="1" ht="12"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  <c r="N1603" s="21"/>
      <c r="O1603" s="21"/>
      <c r="P1603" s="21"/>
      <c r="Q1603" s="21"/>
      <c r="R1603" s="21"/>
      <c r="S1603" s="21"/>
      <c r="T1603" s="21"/>
      <c r="U1603" s="21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Z1603" s="296"/>
      <c r="CZ1603" s="296"/>
    </row>
    <row r="1604" spans="3:104" s="19" customFormat="1" ht="12">
      <c r="C1604" s="21"/>
      <c r="D1604" s="21"/>
      <c r="E1604" s="21"/>
      <c r="F1604" s="21"/>
      <c r="G1604" s="21"/>
      <c r="H1604" s="21"/>
      <c r="I1604" s="21"/>
      <c r="J1604" s="21"/>
      <c r="K1604" s="21"/>
      <c r="L1604" s="21"/>
      <c r="M1604" s="21"/>
      <c r="N1604" s="21"/>
      <c r="O1604" s="21"/>
      <c r="P1604" s="21"/>
      <c r="Q1604" s="21"/>
      <c r="R1604" s="21"/>
      <c r="S1604" s="21"/>
      <c r="T1604" s="21"/>
      <c r="U1604" s="21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Z1604" s="296"/>
      <c r="CZ1604" s="296"/>
    </row>
    <row r="1605" spans="3:104" s="19" customFormat="1" ht="12"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  <c r="N1605" s="21"/>
      <c r="O1605" s="21"/>
      <c r="P1605" s="21"/>
      <c r="Q1605" s="21"/>
      <c r="R1605" s="21"/>
      <c r="S1605" s="21"/>
      <c r="T1605" s="21"/>
      <c r="U1605" s="21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Z1605" s="296"/>
      <c r="CZ1605" s="296"/>
    </row>
    <row r="1606" spans="3:104" s="19" customFormat="1" ht="12">
      <c r="C1606" s="21"/>
      <c r="D1606" s="21"/>
      <c r="E1606" s="21"/>
      <c r="F1606" s="21"/>
      <c r="G1606" s="21"/>
      <c r="H1606" s="21"/>
      <c r="I1606" s="21"/>
      <c r="J1606" s="21"/>
      <c r="K1606" s="21"/>
      <c r="L1606" s="21"/>
      <c r="M1606" s="21"/>
      <c r="N1606" s="21"/>
      <c r="O1606" s="21"/>
      <c r="P1606" s="21"/>
      <c r="Q1606" s="21"/>
      <c r="R1606" s="21"/>
      <c r="S1606" s="21"/>
      <c r="T1606" s="21"/>
      <c r="U1606" s="21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Z1606" s="296"/>
      <c r="CZ1606" s="296"/>
    </row>
    <row r="1607" spans="3:104" s="19" customFormat="1" ht="12"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  <c r="N1607" s="21"/>
      <c r="O1607" s="21"/>
      <c r="P1607" s="21"/>
      <c r="Q1607" s="21"/>
      <c r="R1607" s="21"/>
      <c r="S1607" s="21"/>
      <c r="T1607" s="21"/>
      <c r="U1607" s="21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Z1607" s="296"/>
      <c r="CZ1607" s="296"/>
    </row>
    <row r="1608" spans="3:104" s="19" customFormat="1" ht="12"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Z1608" s="296"/>
      <c r="CZ1608" s="296"/>
    </row>
    <row r="1609" spans="3:104" s="19" customFormat="1" ht="12"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Z1609" s="296"/>
      <c r="CZ1609" s="296"/>
    </row>
    <row r="1610" spans="3:104" s="19" customFormat="1" ht="12">
      <c r="C1610" s="21"/>
      <c r="D1610" s="21"/>
      <c r="E1610" s="21"/>
      <c r="F1610" s="21"/>
      <c r="G1610" s="21"/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Z1610" s="296"/>
      <c r="CZ1610" s="296"/>
    </row>
    <row r="1611" spans="3:104" s="19" customFormat="1" ht="12"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  <c r="N1611" s="21"/>
      <c r="O1611" s="21"/>
      <c r="P1611" s="21"/>
      <c r="Q1611" s="21"/>
      <c r="R1611" s="21"/>
      <c r="S1611" s="21"/>
      <c r="T1611" s="21"/>
      <c r="U1611" s="21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Z1611" s="296"/>
      <c r="CZ1611" s="296"/>
    </row>
    <row r="1612" spans="3:104" s="19" customFormat="1" ht="12">
      <c r="C1612" s="21"/>
      <c r="D1612" s="21"/>
      <c r="E1612" s="21"/>
      <c r="F1612" s="21"/>
      <c r="G1612" s="21"/>
      <c r="H1612" s="21"/>
      <c r="I1612" s="21"/>
      <c r="J1612" s="21"/>
      <c r="K1612" s="21"/>
      <c r="L1612" s="21"/>
      <c r="M1612" s="21"/>
      <c r="N1612" s="21"/>
      <c r="O1612" s="21"/>
      <c r="P1612" s="21"/>
      <c r="Q1612" s="21"/>
      <c r="R1612" s="21"/>
      <c r="S1612" s="21"/>
      <c r="T1612" s="21"/>
      <c r="U1612" s="21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Z1612" s="296"/>
      <c r="CZ1612" s="296"/>
    </row>
    <row r="1613" spans="3:104" s="19" customFormat="1" ht="12"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  <c r="N1613" s="21"/>
      <c r="O1613" s="21"/>
      <c r="P1613" s="21"/>
      <c r="Q1613" s="21"/>
      <c r="R1613" s="21"/>
      <c r="S1613" s="21"/>
      <c r="T1613" s="21"/>
      <c r="U1613" s="21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Z1613" s="296"/>
      <c r="CZ1613" s="296"/>
    </row>
    <row r="1614" spans="3:104" s="19" customFormat="1" ht="12">
      <c r="C1614" s="21"/>
      <c r="D1614" s="21"/>
      <c r="E1614" s="21"/>
      <c r="F1614" s="21"/>
      <c r="G1614" s="21"/>
      <c r="H1614" s="21"/>
      <c r="I1614" s="21"/>
      <c r="J1614" s="21"/>
      <c r="K1614" s="21"/>
      <c r="L1614" s="21"/>
      <c r="M1614" s="21"/>
      <c r="N1614" s="21"/>
      <c r="O1614" s="21"/>
      <c r="P1614" s="21"/>
      <c r="Q1614" s="21"/>
      <c r="R1614" s="21"/>
      <c r="S1614" s="21"/>
      <c r="T1614" s="21"/>
      <c r="U1614" s="21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Z1614" s="296"/>
      <c r="CZ1614" s="296"/>
    </row>
    <row r="1615" spans="3:104" s="19" customFormat="1" ht="12"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Z1615" s="296"/>
      <c r="CZ1615" s="296"/>
    </row>
    <row r="1616" spans="3:104" s="19" customFormat="1" ht="12">
      <c r="C1616" s="21"/>
      <c r="D1616" s="21"/>
      <c r="E1616" s="21"/>
      <c r="F1616" s="21"/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Z1616" s="296"/>
      <c r="CZ1616" s="296"/>
    </row>
    <row r="1617" spans="3:104" s="19" customFormat="1" ht="12"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Z1617" s="296"/>
      <c r="CZ1617" s="296"/>
    </row>
    <row r="1618" spans="3:104" s="19" customFormat="1" ht="12">
      <c r="C1618" s="21"/>
      <c r="D1618" s="21"/>
      <c r="E1618" s="21"/>
      <c r="F1618" s="21"/>
      <c r="G1618" s="21"/>
      <c r="H1618" s="21"/>
      <c r="I1618" s="21"/>
      <c r="J1618" s="21"/>
      <c r="K1618" s="21"/>
      <c r="L1618" s="21"/>
      <c r="M1618" s="21"/>
      <c r="N1618" s="21"/>
      <c r="O1618" s="21"/>
      <c r="P1618" s="21"/>
      <c r="Q1618" s="21"/>
      <c r="R1618" s="21"/>
      <c r="S1618" s="21"/>
      <c r="T1618" s="21"/>
      <c r="U1618" s="21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Z1618" s="296"/>
      <c r="CZ1618" s="296"/>
    </row>
    <row r="1619" spans="3:104" s="19" customFormat="1" ht="12"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  <c r="N1619" s="21"/>
      <c r="O1619" s="21"/>
      <c r="P1619" s="21"/>
      <c r="Q1619" s="21"/>
      <c r="R1619" s="21"/>
      <c r="S1619" s="21"/>
      <c r="T1619" s="21"/>
      <c r="U1619" s="21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Z1619" s="296"/>
      <c r="CZ1619" s="296"/>
    </row>
    <row r="1620" spans="3:104" s="19" customFormat="1" ht="12">
      <c r="C1620" s="21"/>
      <c r="D1620" s="21"/>
      <c r="E1620" s="21"/>
      <c r="F1620" s="21"/>
      <c r="G1620" s="21"/>
      <c r="H1620" s="21"/>
      <c r="I1620" s="21"/>
      <c r="J1620" s="21"/>
      <c r="K1620" s="21"/>
      <c r="L1620" s="21"/>
      <c r="M1620" s="21"/>
      <c r="N1620" s="21"/>
      <c r="O1620" s="21"/>
      <c r="P1620" s="21"/>
      <c r="Q1620" s="21"/>
      <c r="R1620" s="21"/>
      <c r="S1620" s="21"/>
      <c r="T1620" s="21"/>
      <c r="U1620" s="21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Z1620" s="296"/>
      <c r="CZ1620" s="296"/>
    </row>
    <row r="1621" spans="3:104" s="19" customFormat="1" ht="12"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  <c r="N1621" s="21"/>
      <c r="O1621" s="21"/>
      <c r="P1621" s="21"/>
      <c r="Q1621" s="21"/>
      <c r="R1621" s="21"/>
      <c r="S1621" s="21"/>
      <c r="T1621" s="21"/>
      <c r="U1621" s="21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Z1621" s="296"/>
      <c r="CZ1621" s="296"/>
    </row>
    <row r="1622" spans="3:104" s="19" customFormat="1" ht="12">
      <c r="C1622" s="21"/>
      <c r="D1622" s="21"/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Z1622" s="296"/>
      <c r="CZ1622" s="296"/>
    </row>
    <row r="1623" spans="3:104" s="19" customFormat="1" ht="12"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Z1623" s="296"/>
      <c r="CZ1623" s="296"/>
    </row>
    <row r="1624" spans="3:104" s="19" customFormat="1" ht="12">
      <c r="C1624" s="21"/>
      <c r="D1624" s="21"/>
      <c r="E1624" s="21"/>
      <c r="F1624" s="21"/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Z1624" s="296"/>
      <c r="CZ1624" s="296"/>
    </row>
    <row r="1625" spans="3:104" s="19" customFormat="1" ht="12"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  <c r="N1625" s="21"/>
      <c r="O1625" s="21"/>
      <c r="P1625" s="21"/>
      <c r="Q1625" s="21"/>
      <c r="R1625" s="21"/>
      <c r="S1625" s="21"/>
      <c r="T1625" s="21"/>
      <c r="U1625" s="21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Z1625" s="296"/>
      <c r="CZ1625" s="296"/>
    </row>
    <row r="1626" spans="3:104" s="19" customFormat="1" ht="12">
      <c r="C1626" s="21"/>
      <c r="D1626" s="21"/>
      <c r="E1626" s="21"/>
      <c r="F1626" s="21"/>
      <c r="G1626" s="21"/>
      <c r="H1626" s="21"/>
      <c r="I1626" s="21"/>
      <c r="J1626" s="21"/>
      <c r="K1626" s="21"/>
      <c r="L1626" s="21"/>
      <c r="M1626" s="21"/>
      <c r="N1626" s="21"/>
      <c r="O1626" s="21"/>
      <c r="P1626" s="21"/>
      <c r="Q1626" s="21"/>
      <c r="R1626" s="21"/>
      <c r="S1626" s="21"/>
      <c r="T1626" s="21"/>
      <c r="U1626" s="21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Z1626" s="296"/>
      <c r="CZ1626" s="296"/>
    </row>
    <row r="1627" spans="3:104" s="19" customFormat="1" ht="12"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  <c r="N1627" s="21"/>
      <c r="O1627" s="21"/>
      <c r="P1627" s="21"/>
      <c r="Q1627" s="21"/>
      <c r="R1627" s="21"/>
      <c r="S1627" s="21"/>
      <c r="T1627" s="21"/>
      <c r="U1627" s="21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Z1627" s="296"/>
      <c r="CZ1627" s="296"/>
    </row>
    <row r="1628" spans="3:104" s="19" customFormat="1" ht="12">
      <c r="C1628" s="21"/>
      <c r="D1628" s="21"/>
      <c r="E1628" s="21"/>
      <c r="F1628" s="21"/>
      <c r="G1628" s="21"/>
      <c r="H1628" s="21"/>
      <c r="I1628" s="21"/>
      <c r="J1628" s="21"/>
      <c r="K1628" s="21"/>
      <c r="L1628" s="21"/>
      <c r="M1628" s="21"/>
      <c r="N1628" s="21"/>
      <c r="O1628" s="21"/>
      <c r="P1628" s="21"/>
      <c r="Q1628" s="21"/>
      <c r="R1628" s="21"/>
      <c r="S1628" s="21"/>
      <c r="T1628" s="21"/>
      <c r="U1628" s="21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Z1628" s="296"/>
      <c r="CZ1628" s="296"/>
    </row>
    <row r="1629" spans="3:104" s="19" customFormat="1" ht="12"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Z1629" s="296"/>
      <c r="CZ1629" s="296"/>
    </row>
    <row r="1630" spans="3:104" s="19" customFormat="1" ht="12"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Z1630" s="296"/>
      <c r="CZ1630" s="296"/>
    </row>
    <row r="1631" spans="3:104" s="19" customFormat="1" ht="12"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Z1631" s="296"/>
      <c r="CZ1631" s="296"/>
    </row>
    <row r="1632" spans="3:104" s="19" customFormat="1" ht="12">
      <c r="C1632" s="21"/>
      <c r="D1632" s="21"/>
      <c r="E1632" s="21"/>
      <c r="F1632" s="21"/>
      <c r="G1632" s="21"/>
      <c r="H1632" s="21"/>
      <c r="I1632" s="21"/>
      <c r="J1632" s="21"/>
      <c r="K1632" s="21"/>
      <c r="L1632" s="21"/>
      <c r="M1632" s="21"/>
      <c r="N1632" s="21"/>
      <c r="O1632" s="21"/>
      <c r="P1632" s="21"/>
      <c r="Q1632" s="21"/>
      <c r="R1632" s="21"/>
      <c r="S1632" s="21"/>
      <c r="T1632" s="21"/>
      <c r="U1632" s="21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Z1632" s="296"/>
      <c r="CZ1632" s="296"/>
    </row>
    <row r="1633" spans="3:104" s="19" customFormat="1" ht="12"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  <c r="N1633" s="21"/>
      <c r="O1633" s="21"/>
      <c r="P1633" s="21"/>
      <c r="Q1633" s="21"/>
      <c r="R1633" s="21"/>
      <c r="S1633" s="21"/>
      <c r="T1633" s="21"/>
      <c r="U1633" s="21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Z1633" s="296"/>
      <c r="CZ1633" s="296"/>
    </row>
    <row r="1634" spans="3:104" s="19" customFormat="1" ht="12">
      <c r="C1634" s="21"/>
      <c r="D1634" s="21"/>
      <c r="E1634" s="21"/>
      <c r="F1634" s="21"/>
      <c r="G1634" s="21"/>
      <c r="H1634" s="21"/>
      <c r="I1634" s="21"/>
      <c r="J1634" s="21"/>
      <c r="K1634" s="21"/>
      <c r="L1634" s="21"/>
      <c r="M1634" s="21"/>
      <c r="N1634" s="21"/>
      <c r="O1634" s="21"/>
      <c r="P1634" s="21"/>
      <c r="Q1634" s="21"/>
      <c r="R1634" s="21"/>
      <c r="S1634" s="21"/>
      <c r="T1634" s="21"/>
      <c r="U1634" s="21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Z1634" s="296"/>
      <c r="CZ1634" s="296"/>
    </row>
    <row r="1635" spans="3:104" s="19" customFormat="1" ht="12"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  <c r="N1635" s="21"/>
      <c r="O1635" s="21"/>
      <c r="P1635" s="21"/>
      <c r="Q1635" s="21"/>
      <c r="R1635" s="21"/>
      <c r="S1635" s="21"/>
      <c r="T1635" s="21"/>
      <c r="U1635" s="21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Z1635" s="296"/>
      <c r="CZ1635" s="296"/>
    </row>
    <row r="1636" spans="3:104" s="19" customFormat="1" ht="12">
      <c r="C1636" s="21"/>
      <c r="D1636" s="21"/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Z1636" s="296"/>
      <c r="CZ1636" s="296"/>
    </row>
    <row r="1637" spans="3:104" s="19" customFormat="1" ht="12"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Z1637" s="296"/>
      <c r="CZ1637" s="296"/>
    </row>
    <row r="1638" spans="3:104" s="19" customFormat="1" ht="12">
      <c r="C1638" s="21"/>
      <c r="D1638" s="21"/>
      <c r="E1638" s="21"/>
      <c r="F1638" s="21"/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Z1638" s="296"/>
      <c r="CZ1638" s="296"/>
    </row>
    <row r="1639" spans="3:104" s="19" customFormat="1" ht="12"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  <c r="N1639" s="21"/>
      <c r="O1639" s="21"/>
      <c r="P1639" s="21"/>
      <c r="Q1639" s="21"/>
      <c r="R1639" s="21"/>
      <c r="S1639" s="21"/>
      <c r="T1639" s="21"/>
      <c r="U1639" s="21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Z1639" s="296"/>
      <c r="CZ1639" s="296"/>
    </row>
    <row r="1640" spans="3:104" s="19" customFormat="1" ht="12">
      <c r="C1640" s="21"/>
      <c r="D1640" s="21"/>
      <c r="E1640" s="21"/>
      <c r="F1640" s="21"/>
      <c r="G1640" s="21"/>
      <c r="H1640" s="21"/>
      <c r="I1640" s="21"/>
      <c r="J1640" s="21"/>
      <c r="K1640" s="21"/>
      <c r="L1640" s="21"/>
      <c r="M1640" s="21"/>
      <c r="N1640" s="21"/>
      <c r="O1640" s="21"/>
      <c r="P1640" s="21"/>
      <c r="Q1640" s="21"/>
      <c r="R1640" s="21"/>
      <c r="S1640" s="21"/>
      <c r="T1640" s="21"/>
      <c r="U1640" s="21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Z1640" s="296"/>
      <c r="CZ1640" s="296"/>
    </row>
    <row r="1641" spans="3:104" s="19" customFormat="1" ht="12"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  <c r="N1641" s="21"/>
      <c r="O1641" s="21"/>
      <c r="P1641" s="21"/>
      <c r="Q1641" s="21"/>
      <c r="R1641" s="21"/>
      <c r="S1641" s="21"/>
      <c r="T1641" s="21"/>
      <c r="U1641" s="21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Z1641" s="296"/>
      <c r="CZ1641" s="296"/>
    </row>
    <row r="1642" spans="3:104" s="19" customFormat="1" ht="12">
      <c r="C1642" s="21"/>
      <c r="D1642" s="21"/>
      <c r="E1642" s="21"/>
      <c r="F1642" s="21"/>
      <c r="G1642" s="21"/>
      <c r="H1642" s="21"/>
      <c r="I1642" s="21"/>
      <c r="J1642" s="21"/>
      <c r="K1642" s="21"/>
      <c r="L1642" s="21"/>
      <c r="M1642" s="21"/>
      <c r="N1642" s="21"/>
      <c r="O1642" s="21"/>
      <c r="P1642" s="21"/>
      <c r="Q1642" s="21"/>
      <c r="R1642" s="21"/>
      <c r="S1642" s="21"/>
      <c r="T1642" s="21"/>
      <c r="U1642" s="21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Z1642" s="296"/>
      <c r="CZ1642" s="296"/>
    </row>
    <row r="1643" spans="3:104" s="19" customFormat="1" ht="12"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Z1643" s="296"/>
      <c r="CZ1643" s="296"/>
    </row>
    <row r="1644" spans="3:104" s="19" customFormat="1" ht="12">
      <c r="C1644" s="21"/>
      <c r="D1644" s="21"/>
      <c r="E1644" s="21"/>
      <c r="F1644" s="21"/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Z1644" s="296"/>
      <c r="CZ1644" s="296"/>
    </row>
    <row r="1645" spans="3:104" s="19" customFormat="1" ht="12"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Z1645" s="296"/>
      <c r="CZ1645" s="296"/>
    </row>
    <row r="1646" spans="3:104" s="19" customFormat="1" ht="12">
      <c r="C1646" s="21"/>
      <c r="D1646" s="21"/>
      <c r="E1646" s="21"/>
      <c r="F1646" s="21"/>
      <c r="G1646" s="21"/>
      <c r="H1646" s="21"/>
      <c r="I1646" s="21"/>
      <c r="J1646" s="21"/>
      <c r="K1646" s="21"/>
      <c r="L1646" s="21"/>
      <c r="M1646" s="21"/>
      <c r="N1646" s="21"/>
      <c r="O1646" s="21"/>
      <c r="P1646" s="21"/>
      <c r="Q1646" s="21"/>
      <c r="R1646" s="21"/>
      <c r="S1646" s="21"/>
      <c r="T1646" s="21"/>
      <c r="U1646" s="21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Z1646" s="296"/>
      <c r="CZ1646" s="296"/>
    </row>
    <row r="1647" spans="3:104" s="19" customFormat="1" ht="12"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  <c r="N1647" s="21"/>
      <c r="O1647" s="21"/>
      <c r="P1647" s="21"/>
      <c r="Q1647" s="21"/>
      <c r="R1647" s="21"/>
      <c r="S1647" s="21"/>
      <c r="T1647" s="21"/>
      <c r="U1647" s="21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Z1647" s="296"/>
      <c r="CZ1647" s="296"/>
    </row>
    <row r="1648" spans="3:104" s="19" customFormat="1" ht="12">
      <c r="C1648" s="21"/>
      <c r="D1648" s="21"/>
      <c r="E1648" s="21"/>
      <c r="F1648" s="21"/>
      <c r="G1648" s="21"/>
      <c r="H1648" s="21"/>
      <c r="I1648" s="21"/>
      <c r="J1648" s="21"/>
      <c r="K1648" s="21"/>
      <c r="L1648" s="21"/>
      <c r="M1648" s="21"/>
      <c r="N1648" s="21"/>
      <c r="O1648" s="21"/>
      <c r="P1648" s="21"/>
      <c r="Q1648" s="21"/>
      <c r="R1648" s="21"/>
      <c r="S1648" s="21"/>
      <c r="T1648" s="21"/>
      <c r="U1648" s="21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Z1648" s="296"/>
      <c r="CZ1648" s="296"/>
    </row>
    <row r="1649" spans="3:104" s="19" customFormat="1" ht="12"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  <c r="N1649" s="21"/>
      <c r="O1649" s="21"/>
      <c r="P1649" s="21"/>
      <c r="Q1649" s="21"/>
      <c r="R1649" s="21"/>
      <c r="S1649" s="21"/>
      <c r="T1649" s="21"/>
      <c r="U1649" s="21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Z1649" s="296"/>
      <c r="CZ1649" s="296"/>
    </row>
    <row r="1650" spans="3:104" s="19" customFormat="1" ht="12">
      <c r="C1650" s="21"/>
      <c r="D1650" s="21"/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Z1650" s="296"/>
      <c r="CZ1650" s="296"/>
    </row>
    <row r="1651" spans="3:104" s="19" customFormat="1" ht="12"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Z1651" s="296"/>
      <c r="CZ1651" s="296"/>
    </row>
    <row r="1652" spans="3:104" s="19" customFormat="1" ht="12"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Z1652" s="296"/>
      <c r="CZ1652" s="296"/>
    </row>
    <row r="1653" spans="3:104" s="19" customFormat="1" ht="12"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  <c r="N1653" s="21"/>
      <c r="O1653" s="21"/>
      <c r="P1653" s="21"/>
      <c r="Q1653" s="21"/>
      <c r="R1653" s="21"/>
      <c r="S1653" s="21"/>
      <c r="T1653" s="21"/>
      <c r="U1653" s="21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Z1653" s="296"/>
      <c r="CZ1653" s="296"/>
    </row>
    <row r="1654" spans="3:104" s="19" customFormat="1" ht="12">
      <c r="C1654" s="21"/>
      <c r="D1654" s="21"/>
      <c r="E1654" s="21"/>
      <c r="F1654" s="21"/>
      <c r="G1654" s="21"/>
      <c r="H1654" s="21"/>
      <c r="I1654" s="21"/>
      <c r="J1654" s="21"/>
      <c r="K1654" s="21"/>
      <c r="L1654" s="21"/>
      <c r="M1654" s="21"/>
      <c r="N1654" s="21"/>
      <c r="O1654" s="21"/>
      <c r="P1654" s="21"/>
      <c r="Q1654" s="21"/>
      <c r="R1654" s="21"/>
      <c r="S1654" s="21"/>
      <c r="T1654" s="21"/>
      <c r="U1654" s="21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Z1654" s="296"/>
      <c r="CZ1654" s="296"/>
    </row>
    <row r="1655" spans="3:104" s="19" customFormat="1" ht="12"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  <c r="N1655" s="21"/>
      <c r="O1655" s="21"/>
      <c r="P1655" s="21"/>
      <c r="Q1655" s="21"/>
      <c r="R1655" s="21"/>
      <c r="S1655" s="21"/>
      <c r="T1655" s="21"/>
      <c r="U1655" s="21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Z1655" s="296"/>
      <c r="CZ1655" s="296"/>
    </row>
    <row r="1656" spans="3:104" s="19" customFormat="1" ht="12">
      <c r="C1656" s="21"/>
      <c r="D1656" s="21"/>
      <c r="E1656" s="21"/>
      <c r="F1656" s="21"/>
      <c r="G1656" s="21"/>
      <c r="H1656" s="21"/>
      <c r="I1656" s="21"/>
      <c r="J1656" s="21"/>
      <c r="K1656" s="21"/>
      <c r="L1656" s="21"/>
      <c r="M1656" s="21"/>
      <c r="N1656" s="21"/>
      <c r="O1656" s="21"/>
      <c r="P1656" s="21"/>
      <c r="Q1656" s="21"/>
      <c r="R1656" s="21"/>
      <c r="S1656" s="21"/>
      <c r="T1656" s="21"/>
      <c r="U1656" s="21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Z1656" s="296"/>
      <c r="CZ1656" s="296"/>
    </row>
    <row r="1657" spans="3:104" s="19" customFormat="1" ht="12"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Z1657" s="296"/>
      <c r="CZ1657" s="296"/>
    </row>
    <row r="1658" spans="3:104" s="19" customFormat="1" ht="12">
      <c r="C1658" s="21"/>
      <c r="D1658" s="21"/>
      <c r="E1658" s="21"/>
      <c r="F1658" s="21"/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Z1658" s="296"/>
      <c r="CZ1658" s="296"/>
    </row>
    <row r="1659" spans="3:104" s="19" customFormat="1" ht="12"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Z1659" s="296"/>
      <c r="CZ1659" s="296"/>
    </row>
    <row r="1660" spans="3:104" s="19" customFormat="1" ht="12">
      <c r="C1660" s="21"/>
      <c r="D1660" s="21"/>
      <c r="E1660" s="21"/>
      <c r="F1660" s="21"/>
      <c r="G1660" s="21"/>
      <c r="H1660" s="21"/>
      <c r="I1660" s="21"/>
      <c r="J1660" s="21"/>
      <c r="K1660" s="21"/>
      <c r="L1660" s="21"/>
      <c r="M1660" s="21"/>
      <c r="N1660" s="21"/>
      <c r="O1660" s="21"/>
      <c r="P1660" s="21"/>
      <c r="Q1660" s="21"/>
      <c r="R1660" s="21"/>
      <c r="S1660" s="21"/>
      <c r="T1660" s="21"/>
      <c r="U1660" s="21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Z1660" s="296"/>
      <c r="CZ1660" s="296"/>
    </row>
    <row r="1661" spans="3:104" s="19" customFormat="1" ht="12"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  <c r="N1661" s="21"/>
      <c r="O1661" s="21"/>
      <c r="P1661" s="21"/>
      <c r="Q1661" s="21"/>
      <c r="R1661" s="21"/>
      <c r="S1661" s="21"/>
      <c r="T1661" s="21"/>
      <c r="U1661" s="21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Z1661" s="296"/>
      <c r="CZ1661" s="296"/>
    </row>
    <row r="1662" spans="3:104" s="19" customFormat="1" ht="12">
      <c r="C1662" s="21"/>
      <c r="D1662" s="21"/>
      <c r="E1662" s="21"/>
      <c r="F1662" s="21"/>
      <c r="G1662" s="21"/>
      <c r="H1662" s="21"/>
      <c r="I1662" s="21"/>
      <c r="J1662" s="21"/>
      <c r="K1662" s="21"/>
      <c r="L1662" s="21"/>
      <c r="M1662" s="21"/>
      <c r="N1662" s="21"/>
      <c r="O1662" s="21"/>
      <c r="P1662" s="21"/>
      <c r="Q1662" s="21"/>
      <c r="R1662" s="21"/>
      <c r="S1662" s="21"/>
      <c r="T1662" s="21"/>
      <c r="U1662" s="21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Z1662" s="296"/>
      <c r="CZ1662" s="296"/>
    </row>
    <row r="1663" spans="3:104" s="19" customFormat="1" ht="12"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  <c r="N1663" s="21"/>
      <c r="O1663" s="21"/>
      <c r="P1663" s="21"/>
      <c r="Q1663" s="21"/>
      <c r="R1663" s="21"/>
      <c r="S1663" s="21"/>
      <c r="T1663" s="21"/>
      <c r="U1663" s="21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Z1663" s="296"/>
      <c r="CZ1663" s="296"/>
    </row>
    <row r="1664" spans="3:104" s="19" customFormat="1" ht="12">
      <c r="C1664" s="21"/>
      <c r="D1664" s="21"/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Z1664" s="296"/>
      <c r="CZ1664" s="296"/>
    </row>
    <row r="1665" spans="3:104" s="19" customFormat="1" ht="12"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Z1665" s="296"/>
      <c r="CZ1665" s="296"/>
    </row>
    <row r="1666" spans="3:104" s="19" customFormat="1" ht="12">
      <c r="C1666" s="21"/>
      <c r="D1666" s="21"/>
      <c r="E1666" s="21"/>
      <c r="F1666" s="21"/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Z1666" s="296"/>
      <c r="CZ1666" s="296"/>
    </row>
    <row r="1667" spans="3:104" s="19" customFormat="1" ht="12"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  <c r="N1667" s="21"/>
      <c r="O1667" s="21"/>
      <c r="P1667" s="21"/>
      <c r="Q1667" s="21"/>
      <c r="R1667" s="21"/>
      <c r="S1667" s="21"/>
      <c r="T1667" s="21"/>
      <c r="U1667" s="21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Z1667" s="296"/>
      <c r="CZ1667" s="296"/>
    </row>
    <row r="1668" spans="3:104" s="19" customFormat="1" ht="12">
      <c r="C1668" s="21"/>
      <c r="D1668" s="21"/>
      <c r="E1668" s="21"/>
      <c r="F1668" s="21"/>
      <c r="G1668" s="21"/>
      <c r="H1668" s="21"/>
      <c r="I1668" s="21"/>
      <c r="J1668" s="21"/>
      <c r="K1668" s="21"/>
      <c r="L1668" s="21"/>
      <c r="M1668" s="21"/>
      <c r="N1668" s="21"/>
      <c r="O1668" s="21"/>
      <c r="P1668" s="21"/>
      <c r="Q1668" s="21"/>
      <c r="R1668" s="21"/>
      <c r="S1668" s="21"/>
      <c r="T1668" s="21"/>
      <c r="U1668" s="21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Z1668" s="296"/>
      <c r="CZ1668" s="296"/>
    </row>
    <row r="1669" spans="3:104" s="19" customFormat="1" ht="12"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  <c r="N1669" s="21"/>
      <c r="O1669" s="21"/>
      <c r="P1669" s="21"/>
      <c r="Q1669" s="21"/>
      <c r="R1669" s="21"/>
      <c r="S1669" s="21"/>
      <c r="T1669" s="21"/>
      <c r="U1669" s="21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Z1669" s="296"/>
      <c r="CZ1669" s="296"/>
    </row>
    <row r="1670" spans="3:104" s="19" customFormat="1" ht="12">
      <c r="C1670" s="21"/>
      <c r="D1670" s="21"/>
      <c r="E1670" s="21"/>
      <c r="F1670" s="21"/>
      <c r="G1670" s="21"/>
      <c r="H1670" s="21"/>
      <c r="I1670" s="21"/>
      <c r="J1670" s="21"/>
      <c r="K1670" s="21"/>
      <c r="L1670" s="21"/>
      <c r="M1670" s="21"/>
      <c r="N1670" s="21"/>
      <c r="O1670" s="21"/>
      <c r="P1670" s="21"/>
      <c r="Q1670" s="21"/>
      <c r="R1670" s="21"/>
      <c r="S1670" s="21"/>
      <c r="T1670" s="21"/>
      <c r="U1670" s="21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Z1670" s="296"/>
      <c r="CZ1670" s="296"/>
    </row>
    <row r="1671" spans="3:104" s="19" customFormat="1" ht="12"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Z1671" s="296"/>
      <c r="CZ1671" s="296"/>
    </row>
    <row r="1672" spans="3:104" s="19" customFormat="1" ht="12">
      <c r="C1672" s="21"/>
      <c r="D1672" s="21"/>
      <c r="E1672" s="21"/>
      <c r="F1672" s="21"/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Z1672" s="296"/>
      <c r="CZ1672" s="296"/>
    </row>
    <row r="1673" spans="3:104" s="19" customFormat="1" ht="12"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Z1673" s="296"/>
      <c r="CZ1673" s="296"/>
    </row>
    <row r="1674" spans="3:104" s="19" customFormat="1" ht="12"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  <c r="N1674" s="21"/>
      <c r="O1674" s="21"/>
      <c r="P1674" s="21"/>
      <c r="Q1674" s="21"/>
      <c r="R1674" s="21"/>
      <c r="S1674" s="21"/>
      <c r="T1674" s="21"/>
      <c r="U1674" s="21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Z1674" s="296"/>
      <c r="CZ1674" s="296"/>
    </row>
    <row r="1675" spans="3:104" s="19" customFormat="1" ht="12"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  <c r="N1675" s="21"/>
      <c r="O1675" s="21"/>
      <c r="P1675" s="21"/>
      <c r="Q1675" s="21"/>
      <c r="R1675" s="21"/>
      <c r="S1675" s="21"/>
      <c r="T1675" s="21"/>
      <c r="U1675" s="21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Z1675" s="296"/>
      <c r="CZ1675" s="296"/>
    </row>
    <row r="1676" spans="3:104" s="19" customFormat="1" ht="12">
      <c r="C1676" s="21"/>
      <c r="D1676" s="21"/>
      <c r="E1676" s="21"/>
      <c r="F1676" s="21"/>
      <c r="G1676" s="21"/>
      <c r="H1676" s="21"/>
      <c r="I1676" s="21"/>
      <c r="J1676" s="21"/>
      <c r="K1676" s="21"/>
      <c r="L1676" s="21"/>
      <c r="M1676" s="21"/>
      <c r="N1676" s="21"/>
      <c r="O1676" s="21"/>
      <c r="P1676" s="21"/>
      <c r="Q1676" s="21"/>
      <c r="R1676" s="21"/>
      <c r="S1676" s="21"/>
      <c r="T1676" s="21"/>
      <c r="U1676" s="21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Z1676" s="296"/>
      <c r="CZ1676" s="296"/>
    </row>
    <row r="1677" spans="3:104" s="19" customFormat="1" ht="12"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  <c r="N1677" s="21"/>
      <c r="O1677" s="21"/>
      <c r="P1677" s="21"/>
      <c r="Q1677" s="21"/>
      <c r="R1677" s="21"/>
      <c r="S1677" s="21"/>
      <c r="T1677" s="21"/>
      <c r="U1677" s="21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Z1677" s="296"/>
      <c r="CZ1677" s="296"/>
    </row>
    <row r="1678" spans="3:104" s="19" customFormat="1" ht="12">
      <c r="C1678" s="21"/>
      <c r="D1678" s="21"/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Z1678" s="296"/>
      <c r="CZ1678" s="296"/>
    </row>
    <row r="1679" spans="3:104" s="19" customFormat="1" ht="12"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Z1679" s="296"/>
      <c r="CZ1679" s="296"/>
    </row>
    <row r="1680" spans="3:104" s="19" customFormat="1" ht="12">
      <c r="C1680" s="21"/>
      <c r="D1680" s="21"/>
      <c r="E1680" s="21"/>
      <c r="F1680" s="21"/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Z1680" s="296"/>
      <c r="CZ1680" s="296"/>
    </row>
    <row r="1681" spans="3:104" s="19" customFormat="1" ht="12"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  <c r="N1681" s="21"/>
      <c r="O1681" s="21"/>
      <c r="P1681" s="21"/>
      <c r="Q1681" s="21"/>
      <c r="R1681" s="21"/>
      <c r="S1681" s="21"/>
      <c r="T1681" s="21"/>
      <c r="U1681" s="21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Z1681" s="296"/>
      <c r="CZ1681" s="296"/>
    </row>
    <row r="1682" spans="3:104" s="19" customFormat="1" ht="12">
      <c r="C1682" s="21"/>
      <c r="D1682" s="21"/>
      <c r="E1682" s="21"/>
      <c r="F1682" s="21"/>
      <c r="G1682" s="21"/>
      <c r="H1682" s="21"/>
      <c r="I1682" s="21"/>
      <c r="J1682" s="21"/>
      <c r="K1682" s="21"/>
      <c r="L1682" s="21"/>
      <c r="M1682" s="21"/>
      <c r="N1682" s="21"/>
      <c r="O1682" s="21"/>
      <c r="P1682" s="21"/>
      <c r="Q1682" s="21"/>
      <c r="R1682" s="21"/>
      <c r="S1682" s="21"/>
      <c r="T1682" s="21"/>
      <c r="U1682" s="21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Z1682" s="296"/>
      <c r="CZ1682" s="296"/>
    </row>
    <row r="1683" spans="3:104" s="19" customFormat="1" ht="12"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  <c r="N1683" s="21"/>
      <c r="O1683" s="21"/>
      <c r="P1683" s="21"/>
      <c r="Q1683" s="21"/>
      <c r="R1683" s="21"/>
      <c r="S1683" s="21"/>
      <c r="T1683" s="21"/>
      <c r="U1683" s="21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Z1683" s="296"/>
      <c r="CZ1683" s="296"/>
    </row>
    <row r="1684" spans="3:104" s="19" customFormat="1" ht="12">
      <c r="C1684" s="21"/>
      <c r="D1684" s="21"/>
      <c r="E1684" s="21"/>
      <c r="F1684" s="21"/>
      <c r="G1684" s="21"/>
      <c r="H1684" s="21"/>
      <c r="I1684" s="21"/>
      <c r="J1684" s="21"/>
      <c r="K1684" s="21"/>
      <c r="L1684" s="21"/>
      <c r="M1684" s="21"/>
      <c r="N1684" s="21"/>
      <c r="O1684" s="21"/>
      <c r="P1684" s="21"/>
      <c r="Q1684" s="21"/>
      <c r="R1684" s="21"/>
      <c r="S1684" s="21"/>
      <c r="T1684" s="21"/>
      <c r="U1684" s="21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Z1684" s="296"/>
      <c r="CZ1684" s="296"/>
    </row>
    <row r="1685" spans="3:104" s="19" customFormat="1" ht="12"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Z1685" s="296"/>
      <c r="CZ1685" s="296"/>
    </row>
    <row r="1686" spans="3:104" s="19" customFormat="1" ht="12">
      <c r="C1686" s="21"/>
      <c r="D1686" s="21"/>
      <c r="E1686" s="21"/>
      <c r="F1686" s="21"/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Z1686" s="296"/>
      <c r="CZ1686" s="296"/>
    </row>
    <row r="1687" spans="3:104" s="19" customFormat="1" ht="12"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Z1687" s="296"/>
      <c r="CZ1687" s="296"/>
    </row>
    <row r="1688" spans="3:104" s="19" customFormat="1" ht="12">
      <c r="C1688" s="21"/>
      <c r="D1688" s="21"/>
      <c r="E1688" s="21"/>
      <c r="F1688" s="21"/>
      <c r="G1688" s="21"/>
      <c r="H1688" s="21"/>
      <c r="I1688" s="21"/>
      <c r="J1688" s="21"/>
      <c r="K1688" s="21"/>
      <c r="L1688" s="21"/>
      <c r="M1688" s="21"/>
      <c r="N1688" s="21"/>
      <c r="O1688" s="21"/>
      <c r="P1688" s="21"/>
      <c r="Q1688" s="21"/>
      <c r="R1688" s="21"/>
      <c r="S1688" s="21"/>
      <c r="T1688" s="21"/>
      <c r="U1688" s="21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Z1688" s="296"/>
      <c r="CZ1688" s="296"/>
    </row>
    <row r="1689" spans="3:104" s="19" customFormat="1" ht="12"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  <c r="N1689" s="21"/>
      <c r="O1689" s="21"/>
      <c r="P1689" s="21"/>
      <c r="Q1689" s="21"/>
      <c r="R1689" s="21"/>
      <c r="S1689" s="21"/>
      <c r="T1689" s="21"/>
      <c r="U1689" s="21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Z1689" s="296"/>
      <c r="CZ1689" s="296"/>
    </row>
    <row r="1690" spans="3:104" s="19" customFormat="1" ht="12">
      <c r="C1690" s="21"/>
      <c r="D1690" s="21"/>
      <c r="E1690" s="21"/>
      <c r="F1690" s="21"/>
      <c r="G1690" s="21"/>
      <c r="H1690" s="21"/>
      <c r="I1690" s="21"/>
      <c r="J1690" s="21"/>
      <c r="K1690" s="21"/>
      <c r="L1690" s="21"/>
      <c r="M1690" s="21"/>
      <c r="N1690" s="21"/>
      <c r="O1690" s="21"/>
      <c r="P1690" s="21"/>
      <c r="Q1690" s="21"/>
      <c r="R1690" s="21"/>
      <c r="S1690" s="21"/>
      <c r="T1690" s="21"/>
      <c r="U1690" s="21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Z1690" s="296"/>
      <c r="CZ1690" s="296"/>
    </row>
    <row r="1691" spans="3:104" s="19" customFormat="1" ht="12"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  <c r="N1691" s="21"/>
      <c r="O1691" s="21"/>
      <c r="P1691" s="21"/>
      <c r="Q1691" s="21"/>
      <c r="R1691" s="21"/>
      <c r="S1691" s="21"/>
      <c r="T1691" s="21"/>
      <c r="U1691" s="21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Z1691" s="296"/>
      <c r="CZ1691" s="296"/>
    </row>
    <row r="1692" spans="3:104" s="19" customFormat="1" ht="12">
      <c r="C1692" s="21"/>
      <c r="D1692" s="21"/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Z1692" s="296"/>
      <c r="CZ1692" s="296"/>
    </row>
    <row r="1693" spans="3:104" s="19" customFormat="1" ht="12"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Z1693" s="296"/>
      <c r="CZ1693" s="296"/>
    </row>
    <row r="1694" spans="3:104" s="19" customFormat="1" ht="12">
      <c r="C1694" s="21"/>
      <c r="D1694" s="21"/>
      <c r="E1694" s="21"/>
      <c r="F1694" s="21"/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Z1694" s="296"/>
      <c r="CZ1694" s="296"/>
    </row>
    <row r="1695" spans="3:104" s="19" customFormat="1" ht="12"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  <c r="N1695" s="21"/>
      <c r="O1695" s="21"/>
      <c r="P1695" s="21"/>
      <c r="Q1695" s="21"/>
      <c r="R1695" s="21"/>
      <c r="S1695" s="21"/>
      <c r="T1695" s="21"/>
      <c r="U1695" s="21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Z1695" s="296"/>
      <c r="CZ1695" s="296"/>
    </row>
    <row r="1696" spans="3:104" s="19" customFormat="1" ht="12"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  <c r="N1696" s="21"/>
      <c r="O1696" s="21"/>
      <c r="P1696" s="21"/>
      <c r="Q1696" s="21"/>
      <c r="R1696" s="21"/>
      <c r="S1696" s="21"/>
      <c r="T1696" s="21"/>
      <c r="U1696" s="21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Z1696" s="296"/>
      <c r="CZ1696" s="296"/>
    </row>
    <row r="1697" spans="3:104" s="19" customFormat="1" ht="12"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  <c r="N1697" s="21"/>
      <c r="O1697" s="21"/>
      <c r="P1697" s="21"/>
      <c r="Q1697" s="21"/>
      <c r="R1697" s="21"/>
      <c r="S1697" s="21"/>
      <c r="T1697" s="21"/>
      <c r="U1697" s="21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Z1697" s="296"/>
      <c r="CZ1697" s="296"/>
    </row>
    <row r="1698" spans="3:104" s="19" customFormat="1" ht="12">
      <c r="C1698" s="21"/>
      <c r="D1698" s="21"/>
      <c r="E1698" s="21"/>
      <c r="F1698" s="21"/>
      <c r="G1698" s="21"/>
      <c r="H1698" s="21"/>
      <c r="I1698" s="21"/>
      <c r="J1698" s="21"/>
      <c r="K1698" s="21"/>
      <c r="L1698" s="21"/>
      <c r="M1698" s="21"/>
      <c r="N1698" s="21"/>
      <c r="O1698" s="21"/>
      <c r="P1698" s="21"/>
      <c r="Q1698" s="21"/>
      <c r="R1698" s="21"/>
      <c r="S1698" s="21"/>
      <c r="T1698" s="21"/>
      <c r="U1698" s="21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Z1698" s="296"/>
      <c r="CZ1698" s="296"/>
    </row>
    <row r="1699" spans="3:104" s="19" customFormat="1" ht="12"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Z1699" s="296"/>
      <c r="CZ1699" s="296"/>
    </row>
    <row r="1700" spans="3:104" s="19" customFormat="1" ht="12">
      <c r="C1700" s="21"/>
      <c r="D1700" s="21"/>
      <c r="E1700" s="21"/>
      <c r="F1700" s="21"/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Z1700" s="296"/>
      <c r="CZ1700" s="296"/>
    </row>
    <row r="1701" spans="3:104" s="19" customFormat="1" ht="12"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Z1701" s="296"/>
      <c r="CZ1701" s="296"/>
    </row>
    <row r="1702" spans="3:104" s="19" customFormat="1" ht="12">
      <c r="C1702" s="21"/>
      <c r="D1702" s="21"/>
      <c r="E1702" s="21"/>
      <c r="F1702" s="21"/>
      <c r="G1702" s="21"/>
      <c r="H1702" s="21"/>
      <c r="I1702" s="21"/>
      <c r="J1702" s="21"/>
      <c r="K1702" s="21"/>
      <c r="L1702" s="21"/>
      <c r="M1702" s="21"/>
      <c r="N1702" s="21"/>
      <c r="O1702" s="21"/>
      <c r="P1702" s="21"/>
      <c r="Q1702" s="21"/>
      <c r="R1702" s="21"/>
      <c r="S1702" s="21"/>
      <c r="T1702" s="21"/>
      <c r="U1702" s="21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Z1702" s="296"/>
      <c r="CZ1702" s="296"/>
    </row>
    <row r="1703" spans="3:104" s="19" customFormat="1" ht="12"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  <c r="N1703" s="21"/>
      <c r="O1703" s="21"/>
      <c r="P1703" s="21"/>
      <c r="Q1703" s="21"/>
      <c r="R1703" s="21"/>
      <c r="S1703" s="21"/>
      <c r="T1703" s="21"/>
      <c r="U1703" s="21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Z1703" s="296"/>
      <c r="CZ1703" s="296"/>
    </row>
    <row r="1704" spans="3:104" s="19" customFormat="1" ht="12">
      <c r="C1704" s="21"/>
      <c r="D1704" s="21"/>
      <c r="E1704" s="21"/>
      <c r="F1704" s="21"/>
      <c r="G1704" s="21"/>
      <c r="H1704" s="21"/>
      <c r="I1704" s="21"/>
      <c r="J1704" s="21"/>
      <c r="K1704" s="21"/>
      <c r="L1704" s="21"/>
      <c r="M1704" s="21"/>
      <c r="N1704" s="21"/>
      <c r="O1704" s="21"/>
      <c r="P1704" s="21"/>
      <c r="Q1704" s="21"/>
      <c r="R1704" s="21"/>
      <c r="S1704" s="21"/>
      <c r="T1704" s="21"/>
      <c r="U1704" s="21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Z1704" s="296"/>
      <c r="CZ1704" s="296"/>
    </row>
    <row r="1705" spans="3:104" s="19" customFormat="1" ht="12"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  <c r="N1705" s="21"/>
      <c r="O1705" s="21"/>
      <c r="P1705" s="21"/>
      <c r="Q1705" s="21"/>
      <c r="R1705" s="21"/>
      <c r="S1705" s="21"/>
      <c r="T1705" s="21"/>
      <c r="U1705" s="21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Z1705" s="296"/>
      <c r="CZ1705" s="296"/>
    </row>
    <row r="1706" spans="3:104" s="19" customFormat="1" ht="12">
      <c r="C1706" s="21"/>
      <c r="D1706" s="21"/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Z1706" s="296"/>
      <c r="CZ1706" s="296"/>
    </row>
    <row r="1707" spans="3:104" s="19" customFormat="1" ht="12"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Z1707" s="296"/>
      <c r="CZ1707" s="296"/>
    </row>
    <row r="1708" spans="3:104" s="19" customFormat="1" ht="12">
      <c r="C1708" s="21"/>
      <c r="D1708" s="21"/>
      <c r="E1708" s="21"/>
      <c r="F1708" s="21"/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Z1708" s="296"/>
      <c r="CZ1708" s="296"/>
    </row>
    <row r="1709" spans="3:104" s="19" customFormat="1" ht="12"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  <c r="N1709" s="21"/>
      <c r="O1709" s="21"/>
      <c r="P1709" s="21"/>
      <c r="Q1709" s="21"/>
      <c r="R1709" s="21"/>
      <c r="S1709" s="21"/>
      <c r="T1709" s="21"/>
      <c r="U1709" s="21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Z1709" s="296"/>
      <c r="CZ1709" s="296"/>
    </row>
    <row r="1710" spans="3:104" s="19" customFormat="1" ht="12">
      <c r="C1710" s="21"/>
      <c r="D1710" s="21"/>
      <c r="E1710" s="21"/>
      <c r="F1710" s="21"/>
      <c r="G1710" s="21"/>
      <c r="H1710" s="21"/>
      <c r="I1710" s="21"/>
      <c r="J1710" s="21"/>
      <c r="K1710" s="21"/>
      <c r="L1710" s="21"/>
      <c r="M1710" s="21"/>
      <c r="N1710" s="21"/>
      <c r="O1710" s="21"/>
      <c r="P1710" s="21"/>
      <c r="Q1710" s="21"/>
      <c r="R1710" s="21"/>
      <c r="S1710" s="21"/>
      <c r="T1710" s="21"/>
      <c r="U1710" s="21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Z1710" s="296"/>
      <c r="CZ1710" s="296"/>
    </row>
    <row r="1711" spans="3:104" s="19" customFormat="1" ht="12"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  <c r="N1711" s="21"/>
      <c r="O1711" s="21"/>
      <c r="P1711" s="21"/>
      <c r="Q1711" s="21"/>
      <c r="R1711" s="21"/>
      <c r="S1711" s="21"/>
      <c r="T1711" s="21"/>
      <c r="U1711" s="21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Z1711" s="296"/>
      <c r="CZ1711" s="296"/>
    </row>
    <row r="1712" spans="3:104" s="19" customFormat="1" ht="12">
      <c r="C1712" s="21"/>
      <c r="D1712" s="21"/>
      <c r="E1712" s="21"/>
      <c r="F1712" s="21"/>
      <c r="G1712" s="21"/>
      <c r="H1712" s="21"/>
      <c r="I1712" s="21"/>
      <c r="J1712" s="21"/>
      <c r="K1712" s="21"/>
      <c r="L1712" s="21"/>
      <c r="M1712" s="21"/>
      <c r="N1712" s="21"/>
      <c r="O1712" s="21"/>
      <c r="P1712" s="21"/>
      <c r="Q1712" s="21"/>
      <c r="R1712" s="21"/>
      <c r="S1712" s="21"/>
      <c r="T1712" s="21"/>
      <c r="U1712" s="21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Z1712" s="296"/>
      <c r="CZ1712" s="296"/>
    </row>
    <row r="1713" spans="3:104" s="19" customFormat="1" ht="12"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Z1713" s="296"/>
      <c r="CZ1713" s="296"/>
    </row>
    <row r="1714" spans="3:104" s="19" customFormat="1" ht="12">
      <c r="C1714" s="21"/>
      <c r="D1714" s="21"/>
      <c r="E1714" s="21"/>
      <c r="F1714" s="21"/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Z1714" s="296"/>
      <c r="CZ1714" s="296"/>
    </row>
    <row r="1715" spans="3:104" s="19" customFormat="1" ht="12"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Z1715" s="296"/>
      <c r="CZ1715" s="296"/>
    </row>
    <row r="1716" spans="3:104" s="19" customFormat="1" ht="12">
      <c r="C1716" s="21"/>
      <c r="D1716" s="21"/>
      <c r="E1716" s="21"/>
      <c r="F1716" s="21"/>
      <c r="G1716" s="21"/>
      <c r="H1716" s="21"/>
      <c r="I1716" s="21"/>
      <c r="J1716" s="21"/>
      <c r="K1716" s="21"/>
      <c r="L1716" s="21"/>
      <c r="M1716" s="21"/>
      <c r="N1716" s="21"/>
      <c r="O1716" s="21"/>
      <c r="P1716" s="21"/>
      <c r="Q1716" s="21"/>
      <c r="R1716" s="21"/>
      <c r="S1716" s="21"/>
      <c r="T1716" s="21"/>
      <c r="U1716" s="21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Z1716" s="296"/>
      <c r="CZ1716" s="296"/>
    </row>
    <row r="1717" spans="3:104" s="19" customFormat="1" ht="12"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  <c r="N1717" s="21"/>
      <c r="O1717" s="21"/>
      <c r="P1717" s="21"/>
      <c r="Q1717" s="21"/>
      <c r="R1717" s="21"/>
      <c r="S1717" s="21"/>
      <c r="T1717" s="21"/>
      <c r="U1717" s="21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Z1717" s="296"/>
      <c r="CZ1717" s="296"/>
    </row>
    <row r="1718" spans="3:104" s="19" customFormat="1" ht="12"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  <c r="N1718" s="21"/>
      <c r="O1718" s="21"/>
      <c r="P1718" s="21"/>
      <c r="Q1718" s="21"/>
      <c r="R1718" s="21"/>
      <c r="S1718" s="21"/>
      <c r="T1718" s="21"/>
      <c r="U1718" s="21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Z1718" s="296"/>
      <c r="CZ1718" s="296"/>
    </row>
    <row r="1719" spans="3:104" s="19" customFormat="1" ht="12"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  <c r="N1719" s="21"/>
      <c r="O1719" s="21"/>
      <c r="P1719" s="21"/>
      <c r="Q1719" s="21"/>
      <c r="R1719" s="21"/>
      <c r="S1719" s="21"/>
      <c r="T1719" s="21"/>
      <c r="U1719" s="21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Z1719" s="296"/>
      <c r="CZ1719" s="296"/>
    </row>
    <row r="1720" spans="3:104" s="19" customFormat="1" ht="12">
      <c r="C1720" s="21"/>
      <c r="D1720" s="21"/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Z1720" s="296"/>
      <c r="CZ1720" s="296"/>
    </row>
    <row r="1721" spans="3:104" s="19" customFormat="1" ht="12"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Z1721" s="296"/>
      <c r="CZ1721" s="296"/>
    </row>
    <row r="1722" spans="3:104" s="19" customFormat="1" ht="12">
      <c r="C1722" s="21"/>
      <c r="D1722" s="21"/>
      <c r="E1722" s="21"/>
      <c r="F1722" s="21"/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Z1722" s="296"/>
      <c r="CZ1722" s="296"/>
    </row>
    <row r="1723" spans="3:104" s="19" customFormat="1" ht="12"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  <c r="N1723" s="21"/>
      <c r="O1723" s="21"/>
      <c r="P1723" s="21"/>
      <c r="Q1723" s="21"/>
      <c r="R1723" s="21"/>
      <c r="S1723" s="21"/>
      <c r="T1723" s="21"/>
      <c r="U1723" s="21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Z1723" s="296"/>
      <c r="CZ1723" s="296"/>
    </row>
    <row r="1724" spans="3:104" s="19" customFormat="1" ht="12">
      <c r="C1724" s="21"/>
      <c r="D1724" s="21"/>
      <c r="E1724" s="21"/>
      <c r="F1724" s="21"/>
      <c r="G1724" s="21"/>
      <c r="H1724" s="21"/>
      <c r="I1724" s="21"/>
      <c r="J1724" s="21"/>
      <c r="K1724" s="21"/>
      <c r="L1724" s="21"/>
      <c r="M1724" s="21"/>
      <c r="N1724" s="21"/>
      <c r="O1724" s="21"/>
      <c r="P1724" s="21"/>
      <c r="Q1724" s="21"/>
      <c r="R1724" s="21"/>
      <c r="S1724" s="21"/>
      <c r="T1724" s="21"/>
      <c r="U1724" s="21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Z1724" s="296"/>
      <c r="CZ1724" s="296"/>
    </row>
    <row r="1725" spans="3:104" s="19" customFormat="1" ht="12"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  <c r="N1725" s="21"/>
      <c r="O1725" s="21"/>
      <c r="P1725" s="21"/>
      <c r="Q1725" s="21"/>
      <c r="R1725" s="21"/>
      <c r="S1725" s="21"/>
      <c r="T1725" s="21"/>
      <c r="U1725" s="21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Z1725" s="296"/>
      <c r="CZ1725" s="296"/>
    </row>
    <row r="1726" spans="3:104" s="19" customFormat="1" ht="12">
      <c r="C1726" s="21"/>
      <c r="D1726" s="21"/>
      <c r="E1726" s="21"/>
      <c r="F1726" s="21"/>
      <c r="G1726" s="21"/>
      <c r="H1726" s="21"/>
      <c r="I1726" s="21"/>
      <c r="J1726" s="21"/>
      <c r="K1726" s="21"/>
      <c r="L1726" s="21"/>
      <c r="M1726" s="21"/>
      <c r="N1726" s="21"/>
      <c r="O1726" s="21"/>
      <c r="P1726" s="21"/>
      <c r="Q1726" s="21"/>
      <c r="R1726" s="21"/>
      <c r="S1726" s="21"/>
      <c r="T1726" s="21"/>
      <c r="U1726" s="21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Z1726" s="296"/>
      <c r="CZ1726" s="296"/>
    </row>
    <row r="1727" spans="3:104" s="19" customFormat="1" ht="12"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Z1727" s="296"/>
      <c r="CZ1727" s="296"/>
    </row>
    <row r="1728" spans="3:104" s="19" customFormat="1" ht="12">
      <c r="C1728" s="21"/>
      <c r="D1728" s="21"/>
      <c r="E1728" s="21"/>
      <c r="F1728" s="21"/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Z1728" s="296"/>
      <c r="CZ1728" s="296"/>
    </row>
    <row r="1729" spans="3:104" s="19" customFormat="1" ht="12"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Z1729" s="296"/>
      <c r="CZ1729" s="296"/>
    </row>
    <row r="1730" spans="3:104" s="19" customFormat="1" ht="12">
      <c r="C1730" s="21"/>
      <c r="D1730" s="21"/>
      <c r="E1730" s="21"/>
      <c r="F1730" s="21"/>
      <c r="G1730" s="21"/>
      <c r="H1730" s="21"/>
      <c r="I1730" s="21"/>
      <c r="J1730" s="21"/>
      <c r="K1730" s="21"/>
      <c r="L1730" s="21"/>
      <c r="M1730" s="21"/>
      <c r="N1730" s="21"/>
      <c r="O1730" s="21"/>
      <c r="P1730" s="21"/>
      <c r="Q1730" s="21"/>
      <c r="R1730" s="21"/>
      <c r="S1730" s="21"/>
      <c r="T1730" s="21"/>
      <c r="U1730" s="21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Z1730" s="296"/>
      <c r="CZ1730" s="296"/>
    </row>
    <row r="1731" spans="3:104" s="19" customFormat="1" ht="12"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  <c r="N1731" s="21"/>
      <c r="O1731" s="21"/>
      <c r="P1731" s="21"/>
      <c r="Q1731" s="21"/>
      <c r="R1731" s="21"/>
      <c r="S1731" s="21"/>
      <c r="T1731" s="21"/>
      <c r="U1731" s="21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Z1731" s="296"/>
      <c r="CZ1731" s="296"/>
    </row>
    <row r="1732" spans="3:104" s="19" customFormat="1" ht="12">
      <c r="C1732" s="21"/>
      <c r="D1732" s="21"/>
      <c r="E1732" s="21"/>
      <c r="F1732" s="21"/>
      <c r="G1732" s="21"/>
      <c r="H1732" s="21"/>
      <c r="I1732" s="21"/>
      <c r="J1732" s="21"/>
      <c r="K1732" s="21"/>
      <c r="L1732" s="21"/>
      <c r="M1732" s="21"/>
      <c r="N1732" s="21"/>
      <c r="O1732" s="21"/>
      <c r="P1732" s="21"/>
      <c r="Q1732" s="21"/>
      <c r="R1732" s="21"/>
      <c r="S1732" s="21"/>
      <c r="T1732" s="21"/>
      <c r="U1732" s="21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Z1732" s="296"/>
      <c r="CZ1732" s="296"/>
    </row>
    <row r="1733" spans="3:104" s="19" customFormat="1" ht="12"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  <c r="N1733" s="21"/>
      <c r="O1733" s="21"/>
      <c r="P1733" s="21"/>
      <c r="Q1733" s="21"/>
      <c r="R1733" s="21"/>
      <c r="S1733" s="21"/>
      <c r="T1733" s="21"/>
      <c r="U1733" s="21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Z1733" s="296"/>
      <c r="CZ1733" s="296"/>
    </row>
    <row r="1734" spans="3:104" s="19" customFormat="1" ht="12">
      <c r="C1734" s="21"/>
      <c r="D1734" s="21"/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Z1734" s="296"/>
      <c r="CZ1734" s="296"/>
    </row>
    <row r="1735" spans="3:104" s="19" customFormat="1" ht="12"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Z1735" s="296"/>
      <c r="CZ1735" s="296"/>
    </row>
    <row r="1736" spans="3:104" s="19" customFormat="1" ht="12">
      <c r="C1736" s="21"/>
      <c r="D1736" s="21"/>
      <c r="E1736" s="21"/>
      <c r="F1736" s="21"/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Z1736" s="296"/>
      <c r="CZ1736" s="296"/>
    </row>
    <row r="1737" spans="3:104" s="19" customFormat="1" ht="12"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  <c r="N1737" s="21"/>
      <c r="O1737" s="21"/>
      <c r="P1737" s="21"/>
      <c r="Q1737" s="21"/>
      <c r="R1737" s="21"/>
      <c r="S1737" s="21"/>
      <c r="T1737" s="21"/>
      <c r="U1737" s="21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Z1737" s="296"/>
      <c r="CZ1737" s="296"/>
    </row>
    <row r="1738" spans="3:104" s="19" customFormat="1" ht="12">
      <c r="C1738" s="21"/>
      <c r="D1738" s="21"/>
      <c r="E1738" s="21"/>
      <c r="F1738" s="21"/>
      <c r="G1738" s="21"/>
      <c r="H1738" s="21"/>
      <c r="I1738" s="21"/>
      <c r="J1738" s="21"/>
      <c r="K1738" s="21"/>
      <c r="L1738" s="21"/>
      <c r="M1738" s="21"/>
      <c r="N1738" s="21"/>
      <c r="O1738" s="21"/>
      <c r="P1738" s="21"/>
      <c r="Q1738" s="21"/>
      <c r="R1738" s="21"/>
      <c r="S1738" s="21"/>
      <c r="T1738" s="21"/>
      <c r="U1738" s="21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Z1738" s="296"/>
      <c r="CZ1738" s="296"/>
    </row>
    <row r="1739" spans="3:104" s="19" customFormat="1" ht="12"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  <c r="N1739" s="21"/>
      <c r="O1739" s="21"/>
      <c r="P1739" s="21"/>
      <c r="Q1739" s="21"/>
      <c r="R1739" s="21"/>
      <c r="S1739" s="21"/>
      <c r="T1739" s="21"/>
      <c r="U1739" s="21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Z1739" s="296"/>
      <c r="CZ1739" s="296"/>
    </row>
    <row r="1740" spans="3:104" s="19" customFormat="1" ht="12"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  <c r="N1740" s="21"/>
      <c r="O1740" s="21"/>
      <c r="P1740" s="21"/>
      <c r="Q1740" s="21"/>
      <c r="R1740" s="21"/>
      <c r="S1740" s="21"/>
      <c r="T1740" s="21"/>
      <c r="U1740" s="21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Z1740" s="296"/>
      <c r="CZ1740" s="296"/>
    </row>
    <row r="1741" spans="3:104" s="19" customFormat="1" ht="12"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Z1741" s="296"/>
      <c r="CZ1741" s="296"/>
    </row>
    <row r="1742" spans="3:104" s="19" customFormat="1" ht="12">
      <c r="C1742" s="21"/>
      <c r="D1742" s="21"/>
      <c r="E1742" s="21"/>
      <c r="F1742" s="21"/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Z1742" s="296"/>
      <c r="CZ1742" s="296"/>
    </row>
    <row r="1743" spans="3:104" s="19" customFormat="1" ht="12"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Z1743" s="296"/>
      <c r="CZ1743" s="296"/>
    </row>
    <row r="1744" spans="3:104" s="19" customFormat="1" ht="12">
      <c r="C1744" s="21"/>
      <c r="D1744" s="21"/>
      <c r="E1744" s="21"/>
      <c r="F1744" s="21"/>
      <c r="G1744" s="21"/>
      <c r="H1744" s="21"/>
      <c r="I1744" s="21"/>
      <c r="J1744" s="21"/>
      <c r="K1744" s="21"/>
      <c r="L1744" s="21"/>
      <c r="M1744" s="21"/>
      <c r="N1744" s="21"/>
      <c r="O1744" s="21"/>
      <c r="P1744" s="21"/>
      <c r="Q1744" s="21"/>
      <c r="R1744" s="21"/>
      <c r="S1744" s="21"/>
      <c r="T1744" s="21"/>
      <c r="U1744" s="21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Z1744" s="296"/>
      <c r="CZ1744" s="296"/>
    </row>
    <row r="1745" spans="3:104" s="19" customFormat="1" ht="12"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  <c r="N1745" s="21"/>
      <c r="O1745" s="21"/>
      <c r="P1745" s="21"/>
      <c r="Q1745" s="21"/>
      <c r="R1745" s="21"/>
      <c r="S1745" s="21"/>
      <c r="T1745" s="21"/>
      <c r="U1745" s="21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Z1745" s="296"/>
      <c r="CZ1745" s="296"/>
    </row>
    <row r="1746" spans="3:104" s="19" customFormat="1" ht="12">
      <c r="C1746" s="21"/>
      <c r="D1746" s="21"/>
      <c r="E1746" s="21"/>
      <c r="F1746" s="21"/>
      <c r="G1746" s="21"/>
      <c r="H1746" s="21"/>
      <c r="I1746" s="21"/>
      <c r="J1746" s="21"/>
      <c r="K1746" s="21"/>
      <c r="L1746" s="21"/>
      <c r="M1746" s="21"/>
      <c r="N1746" s="21"/>
      <c r="O1746" s="21"/>
      <c r="P1746" s="21"/>
      <c r="Q1746" s="21"/>
      <c r="R1746" s="21"/>
      <c r="S1746" s="21"/>
      <c r="T1746" s="21"/>
      <c r="U1746" s="21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Z1746" s="296"/>
      <c r="CZ1746" s="296"/>
    </row>
    <row r="1747" spans="3:104" s="19" customFormat="1" ht="12"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  <c r="N1747" s="21"/>
      <c r="O1747" s="21"/>
      <c r="P1747" s="21"/>
      <c r="Q1747" s="21"/>
      <c r="R1747" s="21"/>
      <c r="S1747" s="21"/>
      <c r="T1747" s="21"/>
      <c r="U1747" s="21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Z1747" s="296"/>
      <c r="CZ1747" s="296"/>
    </row>
    <row r="1748" spans="3:104" s="19" customFormat="1" ht="12">
      <c r="C1748" s="21"/>
      <c r="D1748" s="21"/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Z1748" s="296"/>
      <c r="CZ1748" s="296"/>
    </row>
    <row r="1749" spans="3:104" s="19" customFormat="1" ht="12"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Z1749" s="296"/>
      <c r="CZ1749" s="296"/>
    </row>
    <row r="1750" spans="3:104" s="19" customFormat="1" ht="12">
      <c r="C1750" s="21"/>
      <c r="D1750" s="21"/>
      <c r="E1750" s="21"/>
      <c r="F1750" s="21"/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Z1750" s="296"/>
      <c r="CZ1750" s="296"/>
    </row>
    <row r="1751" spans="3:104" s="19" customFormat="1" ht="12"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  <c r="N1751" s="21"/>
      <c r="O1751" s="21"/>
      <c r="P1751" s="21"/>
      <c r="Q1751" s="21"/>
      <c r="R1751" s="21"/>
      <c r="S1751" s="21"/>
      <c r="T1751" s="21"/>
      <c r="U1751" s="21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Z1751" s="296"/>
      <c r="CZ1751" s="296"/>
    </row>
    <row r="1752" spans="3:104" s="19" customFormat="1" ht="12">
      <c r="C1752" s="21"/>
      <c r="D1752" s="21"/>
      <c r="E1752" s="21"/>
      <c r="F1752" s="21"/>
      <c r="G1752" s="21"/>
      <c r="H1752" s="21"/>
      <c r="I1752" s="21"/>
      <c r="J1752" s="21"/>
      <c r="K1752" s="21"/>
      <c r="L1752" s="21"/>
      <c r="M1752" s="21"/>
      <c r="N1752" s="21"/>
      <c r="O1752" s="21"/>
      <c r="P1752" s="21"/>
      <c r="Q1752" s="21"/>
      <c r="R1752" s="21"/>
      <c r="S1752" s="21"/>
      <c r="T1752" s="21"/>
      <c r="U1752" s="21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Z1752" s="296"/>
      <c r="CZ1752" s="296"/>
    </row>
    <row r="1753" spans="3:104" s="19" customFormat="1" ht="12"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  <c r="N1753" s="21"/>
      <c r="O1753" s="21"/>
      <c r="P1753" s="21"/>
      <c r="Q1753" s="21"/>
      <c r="R1753" s="21"/>
      <c r="S1753" s="21"/>
      <c r="T1753" s="21"/>
      <c r="U1753" s="21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Z1753" s="296"/>
      <c r="CZ1753" s="296"/>
    </row>
    <row r="1754" spans="3:104" s="19" customFormat="1" ht="12">
      <c r="C1754" s="21"/>
      <c r="D1754" s="21"/>
      <c r="E1754" s="21"/>
      <c r="F1754" s="21"/>
      <c r="G1754" s="21"/>
      <c r="H1754" s="21"/>
      <c r="I1754" s="21"/>
      <c r="J1754" s="21"/>
      <c r="K1754" s="21"/>
      <c r="L1754" s="21"/>
      <c r="M1754" s="21"/>
      <c r="N1754" s="21"/>
      <c r="O1754" s="21"/>
      <c r="P1754" s="21"/>
      <c r="Q1754" s="21"/>
      <c r="R1754" s="21"/>
      <c r="S1754" s="21"/>
      <c r="T1754" s="21"/>
      <c r="U1754" s="21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Z1754" s="296"/>
      <c r="CZ1754" s="296"/>
    </row>
    <row r="1755" spans="3:104" s="19" customFormat="1" ht="12"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Z1755" s="296"/>
      <c r="CZ1755" s="296"/>
    </row>
    <row r="1756" spans="3:104" s="19" customFormat="1" ht="12">
      <c r="C1756" s="21"/>
      <c r="D1756" s="21"/>
      <c r="E1756" s="21"/>
      <c r="F1756" s="21"/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Z1756" s="296"/>
      <c r="CZ1756" s="296"/>
    </row>
    <row r="1757" spans="3:104" s="19" customFormat="1" ht="12"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Z1757" s="296"/>
      <c r="CZ1757" s="296"/>
    </row>
    <row r="1758" spans="3:104" s="19" customFormat="1" ht="12">
      <c r="C1758" s="21"/>
      <c r="D1758" s="21"/>
      <c r="E1758" s="21"/>
      <c r="F1758" s="21"/>
      <c r="G1758" s="21"/>
      <c r="H1758" s="21"/>
      <c r="I1758" s="21"/>
      <c r="J1758" s="21"/>
      <c r="K1758" s="21"/>
      <c r="L1758" s="21"/>
      <c r="M1758" s="21"/>
      <c r="N1758" s="21"/>
      <c r="O1758" s="21"/>
      <c r="P1758" s="21"/>
      <c r="Q1758" s="21"/>
      <c r="R1758" s="21"/>
      <c r="S1758" s="21"/>
      <c r="T1758" s="21"/>
      <c r="U1758" s="21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Z1758" s="296"/>
      <c r="CZ1758" s="296"/>
    </row>
    <row r="1759" spans="3:104" s="19" customFormat="1" ht="12"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  <c r="N1759" s="21"/>
      <c r="O1759" s="21"/>
      <c r="P1759" s="21"/>
      <c r="Q1759" s="21"/>
      <c r="R1759" s="21"/>
      <c r="S1759" s="21"/>
      <c r="T1759" s="21"/>
      <c r="U1759" s="21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Z1759" s="296"/>
      <c r="CZ1759" s="296"/>
    </row>
    <row r="1760" spans="3:104" s="19" customFormat="1" ht="12">
      <c r="C1760" s="21"/>
      <c r="D1760" s="21"/>
      <c r="E1760" s="21"/>
      <c r="F1760" s="21"/>
      <c r="G1760" s="21"/>
      <c r="H1760" s="21"/>
      <c r="I1760" s="21"/>
      <c r="J1760" s="21"/>
      <c r="K1760" s="21"/>
      <c r="L1760" s="21"/>
      <c r="M1760" s="21"/>
      <c r="N1760" s="21"/>
      <c r="O1760" s="21"/>
      <c r="P1760" s="21"/>
      <c r="Q1760" s="21"/>
      <c r="R1760" s="21"/>
      <c r="S1760" s="21"/>
      <c r="T1760" s="21"/>
      <c r="U1760" s="21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Z1760" s="296"/>
      <c r="CZ1760" s="296"/>
    </row>
    <row r="1761" spans="3:104" s="19" customFormat="1" ht="12"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  <c r="N1761" s="21"/>
      <c r="O1761" s="21"/>
      <c r="P1761" s="21"/>
      <c r="Q1761" s="21"/>
      <c r="R1761" s="21"/>
      <c r="S1761" s="21"/>
      <c r="T1761" s="21"/>
      <c r="U1761" s="21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Z1761" s="296"/>
      <c r="CZ1761" s="296"/>
    </row>
    <row r="1762" spans="3:104" s="19" customFormat="1" ht="12"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Z1762" s="296"/>
      <c r="CZ1762" s="296"/>
    </row>
    <row r="1763" spans="3:104" s="19" customFormat="1" ht="12"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Z1763" s="296"/>
      <c r="CZ1763" s="296"/>
    </row>
    <row r="1764" spans="3:104" s="19" customFormat="1" ht="12">
      <c r="C1764" s="21"/>
      <c r="D1764" s="21"/>
      <c r="E1764" s="21"/>
      <c r="F1764" s="21"/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Z1764" s="296"/>
      <c r="CZ1764" s="296"/>
    </row>
    <row r="1765" spans="3:104" s="19" customFormat="1" ht="12"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  <c r="N1765" s="21"/>
      <c r="O1765" s="21"/>
      <c r="P1765" s="21"/>
      <c r="Q1765" s="21"/>
      <c r="R1765" s="21"/>
      <c r="S1765" s="21"/>
      <c r="T1765" s="21"/>
      <c r="U1765" s="21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Z1765" s="296"/>
      <c r="CZ1765" s="296"/>
    </row>
    <row r="1766" spans="3:104" s="19" customFormat="1" ht="12">
      <c r="C1766" s="21"/>
      <c r="D1766" s="21"/>
      <c r="E1766" s="21"/>
      <c r="F1766" s="21"/>
      <c r="G1766" s="21"/>
      <c r="H1766" s="21"/>
      <c r="I1766" s="21"/>
      <c r="J1766" s="21"/>
      <c r="K1766" s="21"/>
      <c r="L1766" s="21"/>
      <c r="M1766" s="21"/>
      <c r="N1766" s="21"/>
      <c r="O1766" s="21"/>
      <c r="P1766" s="21"/>
      <c r="Q1766" s="21"/>
      <c r="R1766" s="21"/>
      <c r="S1766" s="21"/>
      <c r="T1766" s="21"/>
      <c r="U1766" s="21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Z1766" s="296"/>
      <c r="CZ1766" s="296"/>
    </row>
    <row r="1767" spans="3:104" s="19" customFormat="1" ht="12"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  <c r="N1767" s="21"/>
      <c r="O1767" s="21"/>
      <c r="P1767" s="21"/>
      <c r="Q1767" s="21"/>
      <c r="R1767" s="21"/>
      <c r="S1767" s="21"/>
      <c r="T1767" s="21"/>
      <c r="U1767" s="21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Z1767" s="296"/>
      <c r="CZ1767" s="296"/>
    </row>
    <row r="1768" spans="3:104" s="19" customFormat="1" ht="12">
      <c r="C1768" s="21"/>
      <c r="D1768" s="21"/>
      <c r="E1768" s="21"/>
      <c r="F1768" s="21"/>
      <c r="G1768" s="21"/>
      <c r="H1768" s="21"/>
      <c r="I1768" s="21"/>
      <c r="J1768" s="21"/>
      <c r="K1768" s="21"/>
      <c r="L1768" s="21"/>
      <c r="M1768" s="21"/>
      <c r="N1768" s="21"/>
      <c r="O1768" s="21"/>
      <c r="P1768" s="21"/>
      <c r="Q1768" s="21"/>
      <c r="R1768" s="21"/>
      <c r="S1768" s="21"/>
      <c r="T1768" s="21"/>
      <c r="U1768" s="21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Z1768" s="296"/>
      <c r="CZ1768" s="296"/>
    </row>
    <row r="1769" spans="3:104" s="19" customFormat="1" ht="12"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Z1769" s="296"/>
      <c r="CZ1769" s="296"/>
    </row>
    <row r="1770" spans="3:104" s="19" customFormat="1" ht="12">
      <c r="C1770" s="21"/>
      <c r="D1770" s="21"/>
      <c r="E1770" s="21"/>
      <c r="F1770" s="21"/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Z1770" s="296"/>
      <c r="CZ1770" s="296"/>
    </row>
    <row r="1771" spans="3:104" s="19" customFormat="1" ht="12"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Z1771" s="296"/>
      <c r="CZ1771" s="296"/>
    </row>
    <row r="1772" spans="3:104" s="19" customFormat="1" ht="12">
      <c r="C1772" s="21"/>
      <c r="D1772" s="21"/>
      <c r="E1772" s="21"/>
      <c r="F1772" s="21"/>
      <c r="G1772" s="21"/>
      <c r="H1772" s="21"/>
      <c r="I1772" s="21"/>
      <c r="J1772" s="21"/>
      <c r="K1772" s="21"/>
      <c r="L1772" s="21"/>
      <c r="M1772" s="21"/>
      <c r="N1772" s="21"/>
      <c r="O1772" s="21"/>
      <c r="P1772" s="21"/>
      <c r="Q1772" s="21"/>
      <c r="R1772" s="21"/>
      <c r="S1772" s="21"/>
      <c r="T1772" s="21"/>
      <c r="U1772" s="21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Z1772" s="296"/>
      <c r="CZ1772" s="296"/>
    </row>
    <row r="1773" spans="3:104" s="19" customFormat="1" ht="12"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  <c r="N1773" s="21"/>
      <c r="O1773" s="21"/>
      <c r="P1773" s="21"/>
      <c r="Q1773" s="21"/>
      <c r="R1773" s="21"/>
      <c r="S1773" s="21"/>
      <c r="T1773" s="21"/>
      <c r="U1773" s="21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Z1773" s="296"/>
      <c r="CZ1773" s="296"/>
    </row>
    <row r="1774" spans="3:104" s="19" customFormat="1" ht="12">
      <c r="C1774" s="21"/>
      <c r="D1774" s="21"/>
      <c r="E1774" s="21"/>
      <c r="F1774" s="21"/>
      <c r="G1774" s="21"/>
      <c r="H1774" s="21"/>
      <c r="I1774" s="21"/>
      <c r="J1774" s="21"/>
      <c r="K1774" s="21"/>
      <c r="L1774" s="21"/>
      <c r="M1774" s="21"/>
      <c r="N1774" s="21"/>
      <c r="O1774" s="21"/>
      <c r="P1774" s="21"/>
      <c r="Q1774" s="21"/>
      <c r="R1774" s="21"/>
      <c r="S1774" s="21"/>
      <c r="T1774" s="21"/>
      <c r="U1774" s="21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Z1774" s="296"/>
      <c r="CZ1774" s="296"/>
    </row>
    <row r="1775" spans="3:104" s="19" customFormat="1" ht="12"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  <c r="N1775" s="21"/>
      <c r="O1775" s="21"/>
      <c r="P1775" s="21"/>
      <c r="Q1775" s="21"/>
      <c r="R1775" s="21"/>
      <c r="S1775" s="21"/>
      <c r="T1775" s="21"/>
      <c r="U1775" s="21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Z1775" s="296"/>
      <c r="CZ1775" s="296"/>
    </row>
    <row r="1776" spans="3:104" s="19" customFormat="1" ht="12">
      <c r="C1776" s="21"/>
      <c r="D1776" s="21"/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Z1776" s="296"/>
      <c r="CZ1776" s="296"/>
    </row>
    <row r="1777" spans="3:104" s="19" customFormat="1" ht="12"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Z1777" s="296"/>
      <c r="CZ1777" s="296"/>
    </row>
    <row r="1778" spans="3:104" s="19" customFormat="1" ht="12">
      <c r="C1778" s="21"/>
      <c r="D1778" s="21"/>
      <c r="E1778" s="21"/>
      <c r="F1778" s="21"/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Z1778" s="296"/>
      <c r="CZ1778" s="296"/>
    </row>
    <row r="1779" spans="3:104" s="19" customFormat="1" ht="12"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  <c r="N1779" s="21"/>
      <c r="O1779" s="21"/>
      <c r="P1779" s="21"/>
      <c r="Q1779" s="21"/>
      <c r="R1779" s="21"/>
      <c r="S1779" s="21"/>
      <c r="T1779" s="21"/>
      <c r="U1779" s="21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Z1779" s="296"/>
      <c r="CZ1779" s="296"/>
    </row>
    <row r="1780" spans="3:104" s="19" customFormat="1" ht="12">
      <c r="C1780" s="21"/>
      <c r="D1780" s="21"/>
      <c r="E1780" s="21"/>
      <c r="F1780" s="21"/>
      <c r="G1780" s="21"/>
      <c r="H1780" s="21"/>
      <c r="I1780" s="21"/>
      <c r="J1780" s="21"/>
      <c r="K1780" s="21"/>
      <c r="L1780" s="21"/>
      <c r="M1780" s="21"/>
      <c r="N1780" s="21"/>
      <c r="O1780" s="21"/>
      <c r="P1780" s="21"/>
      <c r="Q1780" s="21"/>
      <c r="R1780" s="21"/>
      <c r="S1780" s="21"/>
      <c r="T1780" s="21"/>
      <c r="U1780" s="21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Z1780" s="296"/>
      <c r="CZ1780" s="296"/>
    </row>
    <row r="1781" spans="3:104" s="19" customFormat="1" ht="12"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  <c r="N1781" s="21"/>
      <c r="O1781" s="21"/>
      <c r="P1781" s="21"/>
      <c r="Q1781" s="21"/>
      <c r="R1781" s="21"/>
      <c r="S1781" s="21"/>
      <c r="T1781" s="21"/>
      <c r="U1781" s="21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Z1781" s="296"/>
      <c r="CZ1781" s="296"/>
    </row>
    <row r="1782" spans="3:104" s="19" customFormat="1" ht="12">
      <c r="C1782" s="21"/>
      <c r="D1782" s="21"/>
      <c r="E1782" s="21"/>
      <c r="F1782" s="21"/>
      <c r="G1782" s="21"/>
      <c r="H1782" s="21"/>
      <c r="I1782" s="21"/>
      <c r="J1782" s="21"/>
      <c r="K1782" s="21"/>
      <c r="L1782" s="21"/>
      <c r="M1782" s="21"/>
      <c r="N1782" s="21"/>
      <c r="O1782" s="21"/>
      <c r="P1782" s="21"/>
      <c r="Q1782" s="21"/>
      <c r="R1782" s="21"/>
      <c r="S1782" s="21"/>
      <c r="T1782" s="21"/>
      <c r="U1782" s="21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Z1782" s="296"/>
      <c r="CZ1782" s="296"/>
    </row>
    <row r="1783" spans="3:104" s="19" customFormat="1" ht="12"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Z1783" s="296"/>
      <c r="CZ1783" s="296"/>
    </row>
    <row r="1784" spans="3:104" s="19" customFormat="1" ht="12"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Z1784" s="296"/>
      <c r="CZ1784" s="296"/>
    </row>
    <row r="1785" spans="3:104" s="19" customFormat="1" ht="12"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Z1785" s="296"/>
      <c r="CZ1785" s="296"/>
    </row>
    <row r="1786" spans="3:104" s="19" customFormat="1" ht="12">
      <c r="C1786" s="21"/>
      <c r="D1786" s="21"/>
      <c r="E1786" s="21"/>
      <c r="F1786" s="21"/>
      <c r="G1786" s="21"/>
      <c r="H1786" s="21"/>
      <c r="I1786" s="21"/>
      <c r="J1786" s="21"/>
      <c r="K1786" s="21"/>
      <c r="L1786" s="21"/>
      <c r="M1786" s="21"/>
      <c r="N1786" s="21"/>
      <c r="O1786" s="21"/>
      <c r="P1786" s="21"/>
      <c r="Q1786" s="21"/>
      <c r="R1786" s="21"/>
      <c r="S1786" s="21"/>
      <c r="T1786" s="21"/>
      <c r="U1786" s="21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Z1786" s="296"/>
      <c r="CZ1786" s="296"/>
    </row>
    <row r="1787" spans="3:104" s="19" customFormat="1" ht="12"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  <c r="N1787" s="21"/>
      <c r="O1787" s="21"/>
      <c r="P1787" s="21"/>
      <c r="Q1787" s="21"/>
      <c r="R1787" s="21"/>
      <c r="S1787" s="21"/>
      <c r="T1787" s="21"/>
      <c r="U1787" s="21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Z1787" s="296"/>
      <c r="CZ1787" s="296"/>
    </row>
    <row r="1788" spans="3:104" s="19" customFormat="1" ht="12">
      <c r="C1788" s="21"/>
      <c r="D1788" s="21"/>
      <c r="E1788" s="21"/>
      <c r="F1788" s="21"/>
      <c r="G1788" s="21"/>
      <c r="H1788" s="21"/>
      <c r="I1788" s="21"/>
      <c r="J1788" s="21"/>
      <c r="K1788" s="21"/>
      <c r="L1788" s="21"/>
      <c r="M1788" s="21"/>
      <c r="N1788" s="21"/>
      <c r="O1788" s="21"/>
      <c r="P1788" s="21"/>
      <c r="Q1788" s="21"/>
      <c r="R1788" s="21"/>
      <c r="S1788" s="21"/>
      <c r="T1788" s="21"/>
      <c r="U1788" s="21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Z1788" s="296"/>
      <c r="CZ1788" s="296"/>
    </row>
    <row r="1789" spans="3:104" s="19" customFormat="1" ht="12"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  <c r="N1789" s="21"/>
      <c r="O1789" s="21"/>
      <c r="P1789" s="21"/>
      <c r="Q1789" s="21"/>
      <c r="R1789" s="21"/>
      <c r="S1789" s="21"/>
      <c r="T1789" s="21"/>
      <c r="U1789" s="21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Z1789" s="296"/>
      <c r="CZ1789" s="296"/>
    </row>
    <row r="1790" spans="3:104" s="19" customFormat="1" ht="12">
      <c r="C1790" s="21"/>
      <c r="D1790" s="21"/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Z1790" s="296"/>
      <c r="CZ1790" s="296"/>
    </row>
    <row r="1791" spans="3:104" s="19" customFormat="1" ht="12"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Z1791" s="296"/>
      <c r="CZ1791" s="296"/>
    </row>
    <row r="1792" spans="3:104" s="19" customFormat="1" ht="12">
      <c r="C1792" s="21"/>
      <c r="D1792" s="21"/>
      <c r="E1792" s="21"/>
      <c r="F1792" s="21"/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Z1792" s="296"/>
      <c r="CZ1792" s="296"/>
    </row>
    <row r="1793" spans="3:104" s="19" customFormat="1" ht="12"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  <c r="N1793" s="21"/>
      <c r="O1793" s="21"/>
      <c r="P1793" s="21"/>
      <c r="Q1793" s="21"/>
      <c r="R1793" s="21"/>
      <c r="S1793" s="21"/>
      <c r="T1793" s="21"/>
      <c r="U1793" s="21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Z1793" s="296"/>
      <c r="CZ1793" s="296"/>
    </row>
    <row r="1794" spans="3:104" s="19" customFormat="1" ht="12">
      <c r="C1794" s="21"/>
      <c r="D1794" s="21"/>
      <c r="E1794" s="21"/>
      <c r="F1794" s="21"/>
      <c r="G1794" s="21"/>
      <c r="H1794" s="21"/>
      <c r="I1794" s="21"/>
      <c r="J1794" s="21"/>
      <c r="K1794" s="21"/>
      <c r="L1794" s="21"/>
      <c r="M1794" s="21"/>
      <c r="N1794" s="21"/>
      <c r="O1794" s="21"/>
      <c r="P1794" s="21"/>
      <c r="Q1794" s="21"/>
      <c r="R1794" s="21"/>
      <c r="S1794" s="21"/>
      <c r="T1794" s="21"/>
      <c r="U1794" s="21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Z1794" s="296"/>
      <c r="CZ1794" s="296"/>
    </row>
    <row r="1795" spans="3:104" s="19" customFormat="1" ht="12"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  <c r="N1795" s="21"/>
      <c r="O1795" s="21"/>
      <c r="P1795" s="21"/>
      <c r="Q1795" s="21"/>
      <c r="R1795" s="21"/>
      <c r="S1795" s="21"/>
      <c r="T1795" s="21"/>
      <c r="U1795" s="21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Z1795" s="296"/>
      <c r="CZ1795" s="296"/>
    </row>
    <row r="1796" spans="3:104" s="19" customFormat="1" ht="12">
      <c r="C1796" s="21"/>
      <c r="D1796" s="21"/>
      <c r="E1796" s="21"/>
      <c r="F1796" s="21"/>
      <c r="G1796" s="21"/>
      <c r="H1796" s="21"/>
      <c r="I1796" s="21"/>
      <c r="J1796" s="21"/>
      <c r="K1796" s="21"/>
      <c r="L1796" s="21"/>
      <c r="M1796" s="21"/>
      <c r="N1796" s="21"/>
      <c r="O1796" s="21"/>
      <c r="P1796" s="21"/>
      <c r="Q1796" s="21"/>
      <c r="R1796" s="21"/>
      <c r="S1796" s="21"/>
      <c r="T1796" s="21"/>
      <c r="U1796" s="21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Z1796" s="296"/>
      <c r="CZ1796" s="296"/>
    </row>
    <row r="1797" spans="3:104" s="19" customFormat="1" ht="12"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Z1797" s="296"/>
      <c r="CZ1797" s="296"/>
    </row>
    <row r="1798" spans="3:104" s="19" customFormat="1" ht="12">
      <c r="C1798" s="21"/>
      <c r="D1798" s="21"/>
      <c r="E1798" s="21"/>
      <c r="F1798" s="21"/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Z1798" s="296"/>
      <c r="CZ1798" s="296"/>
    </row>
    <row r="1799" spans="3:104" s="19" customFormat="1" ht="12"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Z1799" s="296"/>
      <c r="CZ1799" s="296"/>
    </row>
    <row r="1800" spans="3:104" s="19" customFormat="1" ht="12">
      <c r="C1800" s="21"/>
      <c r="D1800" s="21"/>
      <c r="E1800" s="21"/>
      <c r="F1800" s="21"/>
      <c r="G1800" s="21"/>
      <c r="H1800" s="21"/>
      <c r="I1800" s="21"/>
      <c r="J1800" s="21"/>
      <c r="K1800" s="21"/>
      <c r="L1800" s="21"/>
      <c r="M1800" s="21"/>
      <c r="N1800" s="21"/>
      <c r="O1800" s="21"/>
      <c r="P1800" s="21"/>
      <c r="Q1800" s="21"/>
      <c r="R1800" s="21"/>
      <c r="S1800" s="21"/>
      <c r="T1800" s="21"/>
      <c r="U1800" s="21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Z1800" s="296"/>
      <c r="CZ1800" s="296"/>
    </row>
    <row r="1801" spans="3:104" s="19" customFormat="1" ht="12"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  <c r="N1801" s="21"/>
      <c r="O1801" s="21"/>
      <c r="P1801" s="21"/>
      <c r="Q1801" s="21"/>
      <c r="R1801" s="21"/>
      <c r="S1801" s="21"/>
      <c r="T1801" s="21"/>
      <c r="U1801" s="21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Z1801" s="296"/>
      <c r="CZ1801" s="296"/>
    </row>
    <row r="1802" spans="3:104" s="19" customFormat="1" ht="12">
      <c r="C1802" s="21"/>
      <c r="D1802" s="21"/>
      <c r="E1802" s="21"/>
      <c r="F1802" s="21"/>
      <c r="G1802" s="21"/>
      <c r="H1802" s="21"/>
      <c r="I1802" s="21"/>
      <c r="J1802" s="21"/>
      <c r="K1802" s="21"/>
      <c r="L1802" s="21"/>
      <c r="M1802" s="21"/>
      <c r="N1802" s="21"/>
      <c r="O1802" s="21"/>
      <c r="P1802" s="21"/>
      <c r="Q1802" s="21"/>
      <c r="R1802" s="21"/>
      <c r="S1802" s="21"/>
      <c r="T1802" s="21"/>
      <c r="U1802" s="21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Z1802" s="296"/>
      <c r="CZ1802" s="296"/>
    </row>
    <row r="1803" spans="3:104" s="19" customFormat="1" ht="12"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  <c r="N1803" s="21"/>
      <c r="O1803" s="21"/>
      <c r="P1803" s="21"/>
      <c r="Q1803" s="21"/>
      <c r="R1803" s="21"/>
      <c r="S1803" s="21"/>
      <c r="T1803" s="21"/>
      <c r="U1803" s="21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Z1803" s="296"/>
      <c r="CZ1803" s="296"/>
    </row>
    <row r="1804" spans="3:104" s="19" customFormat="1" ht="12">
      <c r="C1804" s="21"/>
      <c r="D1804" s="21"/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Z1804" s="296"/>
      <c r="CZ1804" s="296"/>
    </row>
    <row r="1805" spans="3:104" s="19" customFormat="1" ht="12"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Z1805" s="296"/>
      <c r="CZ1805" s="296"/>
    </row>
    <row r="1806" spans="3:104" s="19" customFormat="1" ht="12"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Z1806" s="296"/>
      <c r="CZ1806" s="296"/>
    </row>
    <row r="1807" spans="3:104" s="19" customFormat="1" ht="12"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  <c r="N1807" s="21"/>
      <c r="O1807" s="21"/>
      <c r="P1807" s="21"/>
      <c r="Q1807" s="21"/>
      <c r="R1807" s="21"/>
      <c r="S1807" s="21"/>
      <c r="T1807" s="21"/>
      <c r="U1807" s="21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Z1807" s="296"/>
      <c r="CZ1807" s="296"/>
    </row>
    <row r="1808" spans="3:104" s="19" customFormat="1" ht="12">
      <c r="C1808" s="21"/>
      <c r="D1808" s="21"/>
      <c r="E1808" s="21"/>
      <c r="F1808" s="21"/>
      <c r="G1808" s="21"/>
      <c r="H1808" s="21"/>
      <c r="I1808" s="21"/>
      <c r="J1808" s="21"/>
      <c r="K1808" s="21"/>
      <c r="L1808" s="21"/>
      <c r="M1808" s="21"/>
      <c r="N1808" s="21"/>
      <c r="O1808" s="21"/>
      <c r="P1808" s="21"/>
      <c r="Q1808" s="21"/>
      <c r="R1808" s="21"/>
      <c r="S1808" s="21"/>
      <c r="T1808" s="21"/>
      <c r="U1808" s="21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Z1808" s="296"/>
      <c r="CZ1808" s="296"/>
    </row>
    <row r="1809" spans="3:104" s="19" customFormat="1" ht="12"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  <c r="N1809" s="21"/>
      <c r="O1809" s="21"/>
      <c r="P1809" s="21"/>
      <c r="Q1809" s="21"/>
      <c r="R1809" s="21"/>
      <c r="S1809" s="21"/>
      <c r="T1809" s="21"/>
      <c r="U1809" s="21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Z1809" s="296"/>
      <c r="CZ1809" s="296"/>
    </row>
    <row r="1810" spans="3:104" s="19" customFormat="1" ht="12">
      <c r="C1810" s="21"/>
      <c r="D1810" s="21"/>
      <c r="E1810" s="21"/>
      <c r="F1810" s="21"/>
      <c r="G1810" s="21"/>
      <c r="H1810" s="21"/>
      <c r="I1810" s="21"/>
      <c r="J1810" s="21"/>
      <c r="K1810" s="21"/>
      <c r="L1810" s="21"/>
      <c r="M1810" s="21"/>
      <c r="N1810" s="21"/>
      <c r="O1810" s="21"/>
      <c r="P1810" s="21"/>
      <c r="Q1810" s="21"/>
      <c r="R1810" s="21"/>
      <c r="S1810" s="21"/>
      <c r="T1810" s="21"/>
      <c r="U1810" s="21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Z1810" s="296"/>
      <c r="CZ1810" s="296"/>
    </row>
    <row r="1811" spans="3:104" s="19" customFormat="1" ht="12"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Z1811" s="296"/>
      <c r="CZ1811" s="296"/>
    </row>
    <row r="1812" spans="3:104" s="19" customFormat="1" ht="12">
      <c r="C1812" s="21"/>
      <c r="D1812" s="21"/>
      <c r="E1812" s="21"/>
      <c r="F1812" s="21"/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Z1812" s="296"/>
      <c r="CZ1812" s="296"/>
    </row>
    <row r="1813" spans="3:104" s="19" customFormat="1" ht="12"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Z1813" s="296"/>
      <c r="CZ1813" s="296"/>
    </row>
    <row r="1814" spans="3:104" s="19" customFormat="1" ht="12">
      <c r="C1814" s="21"/>
      <c r="D1814" s="21"/>
      <c r="E1814" s="21"/>
      <c r="F1814" s="21"/>
      <c r="G1814" s="21"/>
      <c r="H1814" s="21"/>
      <c r="I1814" s="21"/>
      <c r="J1814" s="21"/>
      <c r="K1814" s="21"/>
      <c r="L1814" s="21"/>
      <c r="M1814" s="21"/>
      <c r="N1814" s="21"/>
      <c r="O1814" s="21"/>
      <c r="P1814" s="21"/>
      <c r="Q1814" s="21"/>
      <c r="R1814" s="21"/>
      <c r="S1814" s="21"/>
      <c r="T1814" s="21"/>
      <c r="U1814" s="21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Z1814" s="296"/>
      <c r="CZ1814" s="296"/>
    </row>
    <row r="1815" spans="3:104" s="19" customFormat="1" ht="12"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  <c r="N1815" s="21"/>
      <c r="O1815" s="21"/>
      <c r="P1815" s="21"/>
      <c r="Q1815" s="21"/>
      <c r="R1815" s="21"/>
      <c r="S1815" s="21"/>
      <c r="T1815" s="21"/>
      <c r="U1815" s="21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Z1815" s="296"/>
      <c r="CZ1815" s="296"/>
    </row>
    <row r="1816" spans="3:104" s="19" customFormat="1" ht="12">
      <c r="C1816" s="21"/>
      <c r="D1816" s="21"/>
      <c r="E1816" s="21"/>
      <c r="F1816" s="21"/>
      <c r="G1816" s="21"/>
      <c r="H1816" s="21"/>
      <c r="I1816" s="21"/>
      <c r="J1816" s="21"/>
      <c r="K1816" s="21"/>
      <c r="L1816" s="21"/>
      <c r="M1816" s="21"/>
      <c r="N1816" s="21"/>
      <c r="O1816" s="21"/>
      <c r="P1816" s="21"/>
      <c r="Q1816" s="21"/>
      <c r="R1816" s="21"/>
      <c r="S1816" s="21"/>
      <c r="T1816" s="21"/>
      <c r="U1816" s="21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Z1816" s="296"/>
      <c r="CZ1816" s="296"/>
    </row>
    <row r="1817" spans="3:104" s="19" customFormat="1" ht="12"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  <c r="N1817" s="21"/>
      <c r="O1817" s="21"/>
      <c r="P1817" s="21"/>
      <c r="Q1817" s="21"/>
      <c r="R1817" s="21"/>
      <c r="S1817" s="21"/>
      <c r="T1817" s="21"/>
      <c r="U1817" s="21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Z1817" s="296"/>
      <c r="CZ1817" s="296"/>
    </row>
    <row r="1818" spans="3:104" s="19" customFormat="1" ht="12">
      <c r="C1818" s="21"/>
      <c r="D1818" s="21"/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Z1818" s="296"/>
      <c r="CZ1818" s="296"/>
    </row>
    <row r="1819" spans="3:104" s="19" customFormat="1" ht="12"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Z1819" s="296"/>
      <c r="CZ1819" s="296"/>
    </row>
    <row r="1820" spans="3:104" s="19" customFormat="1" ht="12">
      <c r="C1820" s="21"/>
      <c r="D1820" s="21"/>
      <c r="E1820" s="21"/>
      <c r="F1820" s="21"/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Z1820" s="296"/>
      <c r="CZ1820" s="296"/>
    </row>
    <row r="1821" spans="3:104" s="19" customFormat="1" ht="12"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  <c r="N1821" s="21"/>
      <c r="O1821" s="21"/>
      <c r="P1821" s="21"/>
      <c r="Q1821" s="21"/>
      <c r="R1821" s="21"/>
      <c r="S1821" s="21"/>
      <c r="T1821" s="21"/>
      <c r="U1821" s="21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Z1821" s="296"/>
      <c r="CZ1821" s="296"/>
    </row>
    <row r="1822" spans="3:104" s="19" customFormat="1" ht="12">
      <c r="C1822" s="21"/>
      <c r="D1822" s="21"/>
      <c r="E1822" s="21"/>
      <c r="F1822" s="21"/>
      <c r="G1822" s="21"/>
      <c r="H1822" s="21"/>
      <c r="I1822" s="21"/>
      <c r="J1822" s="21"/>
      <c r="K1822" s="21"/>
      <c r="L1822" s="21"/>
      <c r="M1822" s="21"/>
      <c r="N1822" s="21"/>
      <c r="O1822" s="21"/>
      <c r="P1822" s="21"/>
      <c r="Q1822" s="21"/>
      <c r="R1822" s="21"/>
      <c r="S1822" s="21"/>
      <c r="T1822" s="21"/>
      <c r="U1822" s="21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Z1822" s="296"/>
      <c r="CZ1822" s="296"/>
    </row>
    <row r="1823" spans="3:104" s="19" customFormat="1" ht="12"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  <c r="N1823" s="21"/>
      <c r="O1823" s="21"/>
      <c r="P1823" s="21"/>
      <c r="Q1823" s="21"/>
      <c r="R1823" s="21"/>
      <c r="S1823" s="21"/>
      <c r="T1823" s="21"/>
      <c r="U1823" s="21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Z1823" s="296"/>
      <c r="CZ1823" s="296"/>
    </row>
    <row r="1824" spans="3:104" s="19" customFormat="1" ht="12">
      <c r="C1824" s="21"/>
      <c r="D1824" s="21"/>
      <c r="E1824" s="21"/>
      <c r="F1824" s="21"/>
      <c r="G1824" s="21"/>
      <c r="H1824" s="21"/>
      <c r="I1824" s="21"/>
      <c r="J1824" s="21"/>
      <c r="K1824" s="21"/>
      <c r="L1824" s="21"/>
      <c r="M1824" s="21"/>
      <c r="N1824" s="21"/>
      <c r="O1824" s="21"/>
      <c r="P1824" s="21"/>
      <c r="Q1824" s="21"/>
      <c r="R1824" s="21"/>
      <c r="S1824" s="21"/>
      <c r="T1824" s="21"/>
      <c r="U1824" s="21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Z1824" s="296"/>
      <c r="CZ1824" s="296"/>
    </row>
    <row r="1825" spans="3:104" s="19" customFormat="1" ht="12"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Z1825" s="296"/>
      <c r="CZ1825" s="296"/>
    </row>
    <row r="1826" spans="3:104" s="19" customFormat="1" ht="12">
      <c r="C1826" s="21"/>
      <c r="D1826" s="21"/>
      <c r="E1826" s="21"/>
      <c r="F1826" s="21"/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Z1826" s="296"/>
      <c r="CZ1826" s="296"/>
    </row>
    <row r="1827" spans="3:104" s="19" customFormat="1" ht="12"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Z1827" s="296"/>
      <c r="CZ1827" s="296"/>
    </row>
    <row r="1828" spans="3:104" s="19" customFormat="1" ht="12"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  <c r="N1828" s="21"/>
      <c r="O1828" s="21"/>
      <c r="P1828" s="21"/>
      <c r="Q1828" s="21"/>
      <c r="R1828" s="21"/>
      <c r="S1828" s="21"/>
      <c r="T1828" s="21"/>
      <c r="U1828" s="21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Z1828" s="296"/>
      <c r="CZ1828" s="296"/>
    </row>
    <row r="1829" spans="3:104" s="19" customFormat="1" ht="12"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  <c r="N1829" s="21"/>
      <c r="O1829" s="21"/>
      <c r="P1829" s="21"/>
      <c r="Q1829" s="21"/>
      <c r="R1829" s="21"/>
      <c r="S1829" s="21"/>
      <c r="T1829" s="21"/>
      <c r="U1829" s="21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Z1829" s="296"/>
      <c r="CZ1829" s="296"/>
    </row>
    <row r="1830" spans="3:104" s="19" customFormat="1" ht="12">
      <c r="C1830" s="21"/>
      <c r="D1830" s="21"/>
      <c r="E1830" s="21"/>
      <c r="F1830" s="21"/>
      <c r="G1830" s="21"/>
      <c r="H1830" s="21"/>
      <c r="I1830" s="21"/>
      <c r="J1830" s="21"/>
      <c r="K1830" s="21"/>
      <c r="L1830" s="21"/>
      <c r="M1830" s="21"/>
      <c r="N1830" s="21"/>
      <c r="O1830" s="21"/>
      <c r="P1830" s="21"/>
      <c r="Q1830" s="21"/>
      <c r="R1830" s="21"/>
      <c r="S1830" s="21"/>
      <c r="T1830" s="21"/>
      <c r="U1830" s="21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Z1830" s="296"/>
      <c r="CZ1830" s="296"/>
    </row>
    <row r="1831" spans="3:104" s="19" customFormat="1" ht="12"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  <c r="N1831" s="21"/>
      <c r="O1831" s="21"/>
      <c r="P1831" s="21"/>
      <c r="Q1831" s="21"/>
      <c r="R1831" s="21"/>
      <c r="S1831" s="21"/>
      <c r="T1831" s="21"/>
      <c r="U1831" s="21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Z1831" s="296"/>
      <c r="CZ1831" s="296"/>
    </row>
    <row r="1832" spans="3:104" s="19" customFormat="1" ht="12">
      <c r="C1832" s="21"/>
      <c r="D1832" s="21"/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Z1832" s="296"/>
      <c r="CZ1832" s="296"/>
    </row>
    <row r="1833" spans="3:104" s="19" customFormat="1" ht="12"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Z1833" s="296"/>
      <c r="CZ1833" s="296"/>
    </row>
    <row r="1834" spans="3:104" s="19" customFormat="1" ht="12">
      <c r="C1834" s="21"/>
      <c r="D1834" s="21"/>
      <c r="E1834" s="21"/>
      <c r="F1834" s="21"/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Z1834" s="296"/>
      <c r="CZ1834" s="296"/>
    </row>
    <row r="1835" spans="3:104" s="19" customFormat="1" ht="12"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  <c r="N1835" s="21"/>
      <c r="O1835" s="21"/>
      <c r="P1835" s="21"/>
      <c r="Q1835" s="21"/>
      <c r="R1835" s="21"/>
      <c r="S1835" s="21"/>
      <c r="T1835" s="21"/>
      <c r="U1835" s="21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Z1835" s="296"/>
      <c r="CZ1835" s="296"/>
    </row>
    <row r="1836" spans="3:104" s="19" customFormat="1" ht="12">
      <c r="C1836" s="21"/>
      <c r="D1836" s="21"/>
      <c r="E1836" s="21"/>
      <c r="F1836" s="21"/>
      <c r="G1836" s="21"/>
      <c r="H1836" s="21"/>
      <c r="I1836" s="21"/>
      <c r="J1836" s="21"/>
      <c r="K1836" s="21"/>
      <c r="L1836" s="21"/>
      <c r="M1836" s="21"/>
      <c r="N1836" s="21"/>
      <c r="O1836" s="21"/>
      <c r="P1836" s="21"/>
      <c r="Q1836" s="21"/>
      <c r="R1836" s="21"/>
      <c r="S1836" s="21"/>
      <c r="T1836" s="21"/>
      <c r="U1836" s="21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Z1836" s="296"/>
      <c r="CZ1836" s="296"/>
    </row>
    <row r="1837" spans="3:104" s="19" customFormat="1" ht="12"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  <c r="N1837" s="21"/>
      <c r="O1837" s="21"/>
      <c r="P1837" s="21"/>
      <c r="Q1837" s="21"/>
      <c r="R1837" s="21"/>
      <c r="S1837" s="21"/>
      <c r="T1837" s="21"/>
      <c r="U1837" s="21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Z1837" s="296"/>
      <c r="CZ1837" s="296"/>
    </row>
    <row r="1838" spans="3:104" s="19" customFormat="1" ht="12">
      <c r="C1838" s="21"/>
      <c r="D1838" s="21"/>
      <c r="E1838" s="21"/>
      <c r="F1838" s="21"/>
      <c r="G1838" s="21"/>
      <c r="H1838" s="21"/>
      <c r="I1838" s="21"/>
      <c r="J1838" s="21"/>
      <c r="K1838" s="21"/>
      <c r="L1838" s="21"/>
      <c r="M1838" s="21"/>
      <c r="N1838" s="21"/>
      <c r="O1838" s="21"/>
      <c r="P1838" s="21"/>
      <c r="Q1838" s="21"/>
      <c r="R1838" s="21"/>
      <c r="S1838" s="21"/>
      <c r="T1838" s="21"/>
      <c r="U1838" s="21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Z1838" s="296"/>
      <c r="CZ1838" s="296"/>
    </row>
    <row r="1839" spans="3:104" s="19" customFormat="1" ht="12"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Z1839" s="296"/>
      <c r="CZ1839" s="296"/>
    </row>
    <row r="1840" spans="3:104" s="19" customFormat="1" ht="12">
      <c r="C1840" s="21"/>
      <c r="D1840" s="21"/>
      <c r="E1840" s="21"/>
      <c r="F1840" s="21"/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Z1840" s="296"/>
      <c r="CZ1840" s="296"/>
    </row>
    <row r="1841" spans="3:104" s="19" customFormat="1" ht="12"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Z1841" s="296"/>
      <c r="CZ1841" s="296"/>
    </row>
    <row r="1842" spans="3:104" s="19" customFormat="1" ht="12">
      <c r="C1842" s="21"/>
      <c r="D1842" s="21"/>
      <c r="E1842" s="21"/>
      <c r="F1842" s="21"/>
      <c r="G1842" s="21"/>
      <c r="H1842" s="21"/>
      <c r="I1842" s="21"/>
      <c r="J1842" s="21"/>
      <c r="K1842" s="21"/>
      <c r="L1842" s="21"/>
      <c r="M1842" s="21"/>
      <c r="N1842" s="21"/>
      <c r="O1842" s="21"/>
      <c r="P1842" s="21"/>
      <c r="Q1842" s="21"/>
      <c r="R1842" s="21"/>
      <c r="S1842" s="21"/>
      <c r="T1842" s="21"/>
      <c r="U1842" s="21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Z1842" s="296"/>
      <c r="CZ1842" s="296"/>
    </row>
    <row r="1843" spans="3:104" s="19" customFormat="1" ht="12"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  <c r="N1843" s="21"/>
      <c r="O1843" s="21"/>
      <c r="P1843" s="21"/>
      <c r="Q1843" s="21"/>
      <c r="R1843" s="21"/>
      <c r="S1843" s="21"/>
      <c r="T1843" s="21"/>
      <c r="U1843" s="21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Z1843" s="296"/>
      <c r="CZ1843" s="296"/>
    </row>
    <row r="1844" spans="3:104" s="19" customFormat="1" ht="12">
      <c r="C1844" s="21"/>
      <c r="D1844" s="21"/>
      <c r="E1844" s="21"/>
      <c r="F1844" s="21"/>
      <c r="G1844" s="21"/>
      <c r="H1844" s="21"/>
      <c r="I1844" s="21"/>
      <c r="J1844" s="21"/>
      <c r="K1844" s="21"/>
      <c r="L1844" s="21"/>
      <c r="M1844" s="21"/>
      <c r="N1844" s="21"/>
      <c r="O1844" s="21"/>
      <c r="P1844" s="21"/>
      <c r="Q1844" s="21"/>
      <c r="R1844" s="21"/>
      <c r="S1844" s="21"/>
      <c r="T1844" s="21"/>
      <c r="U1844" s="21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Z1844" s="296"/>
      <c r="CZ1844" s="296"/>
    </row>
    <row r="1845" spans="3:104" s="19" customFormat="1" ht="12"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  <c r="N1845" s="21"/>
      <c r="O1845" s="21"/>
      <c r="P1845" s="21"/>
      <c r="Q1845" s="21"/>
      <c r="R1845" s="21"/>
      <c r="S1845" s="21"/>
      <c r="T1845" s="21"/>
      <c r="U1845" s="21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Z1845" s="296"/>
      <c r="CZ1845" s="296"/>
    </row>
    <row r="1846" spans="3:104" s="19" customFormat="1" ht="12">
      <c r="C1846" s="21"/>
      <c r="D1846" s="21"/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Z1846" s="296"/>
      <c r="CZ1846" s="296"/>
    </row>
    <row r="1847" spans="3:104" s="19" customFormat="1" ht="12"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Z1847" s="296"/>
      <c r="CZ1847" s="296"/>
    </row>
    <row r="1848" spans="3:104" s="19" customFormat="1" ht="12">
      <c r="C1848" s="21"/>
      <c r="D1848" s="21"/>
      <c r="E1848" s="21"/>
      <c r="F1848" s="21"/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Z1848" s="296"/>
      <c r="CZ1848" s="296"/>
    </row>
    <row r="1849" spans="3:104" s="19" customFormat="1" ht="12"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  <c r="N1849" s="21"/>
      <c r="O1849" s="21"/>
      <c r="P1849" s="21"/>
      <c r="Q1849" s="21"/>
      <c r="R1849" s="21"/>
      <c r="S1849" s="21"/>
      <c r="T1849" s="21"/>
      <c r="U1849" s="21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Z1849" s="296"/>
      <c r="CZ1849" s="296"/>
    </row>
    <row r="1850" spans="3:104" s="19" customFormat="1" ht="12"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  <c r="N1850" s="21"/>
      <c r="O1850" s="21"/>
      <c r="P1850" s="21"/>
      <c r="Q1850" s="21"/>
      <c r="R1850" s="21"/>
      <c r="S1850" s="21"/>
      <c r="T1850" s="21"/>
      <c r="U1850" s="21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Z1850" s="296"/>
      <c r="CZ1850" s="296"/>
    </row>
    <row r="1851" spans="3:104" s="19" customFormat="1" ht="12"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  <c r="N1851" s="21"/>
      <c r="O1851" s="21"/>
      <c r="P1851" s="21"/>
      <c r="Q1851" s="21"/>
      <c r="R1851" s="21"/>
      <c r="S1851" s="21"/>
      <c r="T1851" s="21"/>
      <c r="U1851" s="21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Z1851" s="296"/>
      <c r="CZ1851" s="296"/>
    </row>
    <row r="1852" spans="3:104" s="19" customFormat="1" ht="12">
      <c r="C1852" s="21"/>
      <c r="D1852" s="21"/>
      <c r="E1852" s="21"/>
      <c r="F1852" s="21"/>
      <c r="G1852" s="21"/>
      <c r="H1852" s="21"/>
      <c r="I1852" s="21"/>
      <c r="J1852" s="21"/>
      <c r="K1852" s="21"/>
      <c r="L1852" s="21"/>
      <c r="M1852" s="21"/>
      <c r="N1852" s="21"/>
      <c r="O1852" s="21"/>
      <c r="P1852" s="21"/>
      <c r="Q1852" s="21"/>
      <c r="R1852" s="21"/>
      <c r="S1852" s="21"/>
      <c r="T1852" s="21"/>
      <c r="U1852" s="21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Z1852" s="296"/>
      <c r="CZ1852" s="296"/>
    </row>
    <row r="1853" spans="3:104" s="19" customFormat="1" ht="12"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Z1853" s="296"/>
      <c r="CZ1853" s="296"/>
    </row>
    <row r="1854" spans="3:104" s="19" customFormat="1" ht="12">
      <c r="C1854" s="21"/>
      <c r="D1854" s="21"/>
      <c r="E1854" s="21"/>
      <c r="F1854" s="21"/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Z1854" s="296"/>
      <c r="CZ1854" s="296"/>
    </row>
    <row r="1855" spans="3:104" s="19" customFormat="1" ht="12"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Z1855" s="296"/>
      <c r="CZ1855" s="296"/>
    </row>
    <row r="1856" spans="3:104" s="19" customFormat="1" ht="12">
      <c r="C1856" s="21"/>
      <c r="D1856" s="21"/>
      <c r="E1856" s="21"/>
      <c r="F1856" s="21"/>
      <c r="G1856" s="21"/>
      <c r="H1856" s="21"/>
      <c r="I1856" s="21"/>
      <c r="J1856" s="21"/>
      <c r="K1856" s="21"/>
      <c r="L1856" s="21"/>
      <c r="M1856" s="21"/>
      <c r="N1856" s="21"/>
      <c r="O1856" s="21"/>
      <c r="P1856" s="21"/>
      <c r="Q1856" s="21"/>
      <c r="R1856" s="21"/>
      <c r="S1856" s="21"/>
      <c r="T1856" s="21"/>
      <c r="U1856" s="21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Z1856" s="296"/>
      <c r="CZ1856" s="296"/>
    </row>
    <row r="1857" spans="3:104" s="19" customFormat="1" ht="12"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  <c r="N1857" s="21"/>
      <c r="O1857" s="21"/>
      <c r="P1857" s="21"/>
      <c r="Q1857" s="21"/>
      <c r="R1857" s="21"/>
      <c r="S1857" s="21"/>
      <c r="T1857" s="21"/>
      <c r="U1857" s="21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Z1857" s="296"/>
      <c r="CZ1857" s="296"/>
    </row>
    <row r="1858" spans="3:104" s="19" customFormat="1" ht="12">
      <c r="C1858" s="21"/>
      <c r="D1858" s="21"/>
      <c r="E1858" s="21"/>
      <c r="F1858" s="21"/>
      <c r="G1858" s="21"/>
      <c r="H1858" s="21"/>
      <c r="I1858" s="21"/>
      <c r="J1858" s="21"/>
      <c r="K1858" s="21"/>
      <c r="L1858" s="21"/>
      <c r="M1858" s="21"/>
      <c r="N1858" s="21"/>
      <c r="O1858" s="21"/>
      <c r="P1858" s="21"/>
      <c r="Q1858" s="21"/>
      <c r="R1858" s="21"/>
      <c r="S1858" s="21"/>
      <c r="T1858" s="21"/>
      <c r="U1858" s="21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Z1858" s="296"/>
      <c r="CZ1858" s="296"/>
    </row>
    <row r="1859" spans="3:104" s="19" customFormat="1" ht="12"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  <c r="N1859" s="21"/>
      <c r="O1859" s="21"/>
      <c r="P1859" s="21"/>
      <c r="Q1859" s="21"/>
      <c r="R1859" s="21"/>
      <c r="S1859" s="21"/>
      <c r="T1859" s="21"/>
      <c r="U1859" s="21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Z1859" s="296"/>
      <c r="CZ1859" s="296"/>
    </row>
    <row r="1860" spans="3:104" s="19" customFormat="1" ht="12">
      <c r="C1860" s="21"/>
      <c r="D1860" s="21"/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Z1860" s="296"/>
      <c r="CZ1860" s="296"/>
    </row>
    <row r="1861" spans="3:104" s="19" customFormat="1" ht="12"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Z1861" s="296"/>
      <c r="CZ1861" s="296"/>
    </row>
    <row r="1862" spans="3:104" s="19" customFormat="1" ht="12">
      <c r="C1862" s="21"/>
      <c r="D1862" s="21"/>
      <c r="E1862" s="21"/>
      <c r="F1862" s="21"/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Z1862" s="296"/>
      <c r="CZ1862" s="296"/>
    </row>
    <row r="1863" spans="3:104" s="19" customFormat="1" ht="12"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  <c r="N1863" s="21"/>
      <c r="O1863" s="21"/>
      <c r="P1863" s="21"/>
      <c r="Q1863" s="21"/>
      <c r="R1863" s="21"/>
      <c r="S1863" s="21"/>
      <c r="T1863" s="21"/>
      <c r="U1863" s="21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Z1863" s="296"/>
      <c r="CZ1863" s="296"/>
    </row>
    <row r="1864" spans="3:104" s="19" customFormat="1" ht="12">
      <c r="C1864" s="21"/>
      <c r="D1864" s="21"/>
      <c r="E1864" s="21"/>
      <c r="F1864" s="21"/>
      <c r="G1864" s="21"/>
      <c r="H1864" s="21"/>
      <c r="I1864" s="21"/>
      <c r="J1864" s="21"/>
      <c r="K1864" s="21"/>
      <c r="L1864" s="21"/>
      <c r="M1864" s="21"/>
      <c r="N1864" s="21"/>
      <c r="O1864" s="21"/>
      <c r="P1864" s="21"/>
      <c r="Q1864" s="21"/>
      <c r="R1864" s="21"/>
      <c r="S1864" s="21"/>
      <c r="T1864" s="21"/>
      <c r="U1864" s="21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Z1864" s="296"/>
      <c r="CZ1864" s="296"/>
    </row>
    <row r="1865" spans="3:104" s="19" customFormat="1" ht="12"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  <c r="N1865" s="21"/>
      <c r="O1865" s="21"/>
      <c r="P1865" s="21"/>
      <c r="Q1865" s="21"/>
      <c r="R1865" s="21"/>
      <c r="S1865" s="21"/>
      <c r="T1865" s="21"/>
      <c r="U1865" s="21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Z1865" s="296"/>
      <c r="CZ1865" s="296"/>
    </row>
    <row r="1866" spans="3:104" s="19" customFormat="1" ht="12">
      <c r="C1866" s="21"/>
      <c r="D1866" s="21"/>
      <c r="E1866" s="21"/>
      <c r="F1866" s="21"/>
      <c r="G1866" s="21"/>
      <c r="H1866" s="21"/>
      <c r="I1866" s="21"/>
      <c r="J1866" s="21"/>
      <c r="K1866" s="21"/>
      <c r="L1866" s="21"/>
      <c r="M1866" s="21"/>
      <c r="N1866" s="21"/>
      <c r="O1866" s="21"/>
      <c r="P1866" s="21"/>
      <c r="Q1866" s="21"/>
      <c r="R1866" s="21"/>
      <c r="S1866" s="21"/>
      <c r="T1866" s="21"/>
      <c r="U1866" s="21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Z1866" s="296"/>
      <c r="CZ1866" s="296"/>
    </row>
    <row r="1867" spans="3:104" s="19" customFormat="1" ht="12"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Z1867" s="296"/>
      <c r="CZ1867" s="296"/>
    </row>
    <row r="1868" spans="3:104" s="19" customFormat="1" ht="12">
      <c r="C1868" s="21"/>
      <c r="D1868" s="21"/>
      <c r="E1868" s="21"/>
      <c r="F1868" s="21"/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Z1868" s="296"/>
      <c r="CZ1868" s="296"/>
    </row>
    <row r="1869" spans="3:104" s="19" customFormat="1" ht="12"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Z1869" s="296"/>
      <c r="CZ1869" s="296"/>
    </row>
    <row r="1870" spans="3:104" s="19" customFormat="1" ht="12">
      <c r="C1870" s="21"/>
      <c r="D1870" s="21"/>
      <c r="E1870" s="21"/>
      <c r="F1870" s="21"/>
      <c r="G1870" s="21"/>
      <c r="H1870" s="21"/>
      <c r="I1870" s="21"/>
      <c r="J1870" s="21"/>
      <c r="K1870" s="21"/>
      <c r="L1870" s="21"/>
      <c r="M1870" s="21"/>
      <c r="N1870" s="21"/>
      <c r="O1870" s="21"/>
      <c r="P1870" s="21"/>
      <c r="Q1870" s="21"/>
      <c r="R1870" s="21"/>
      <c r="S1870" s="21"/>
      <c r="T1870" s="21"/>
      <c r="U1870" s="21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Z1870" s="296"/>
      <c r="CZ1870" s="296"/>
    </row>
    <row r="1871" spans="3:104" s="19" customFormat="1" ht="12"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  <c r="N1871" s="21"/>
      <c r="O1871" s="21"/>
      <c r="P1871" s="21"/>
      <c r="Q1871" s="21"/>
      <c r="R1871" s="21"/>
      <c r="S1871" s="21"/>
      <c r="T1871" s="21"/>
      <c r="U1871" s="21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Z1871" s="296"/>
      <c r="CZ1871" s="296"/>
    </row>
    <row r="1872" spans="3:104" s="19" customFormat="1" ht="12"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  <c r="N1872" s="21"/>
      <c r="O1872" s="21"/>
      <c r="P1872" s="21"/>
      <c r="Q1872" s="21"/>
      <c r="R1872" s="21"/>
      <c r="S1872" s="21"/>
      <c r="T1872" s="21"/>
      <c r="U1872" s="21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Z1872" s="296"/>
      <c r="CZ1872" s="296"/>
    </row>
    <row r="1873" spans="3:104" s="19" customFormat="1" ht="12"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  <c r="N1873" s="21"/>
      <c r="O1873" s="21"/>
      <c r="P1873" s="21"/>
      <c r="Q1873" s="21"/>
      <c r="R1873" s="21"/>
      <c r="S1873" s="21"/>
      <c r="T1873" s="21"/>
      <c r="U1873" s="21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Z1873" s="296"/>
      <c r="CZ1873" s="296"/>
    </row>
    <row r="1874" spans="3:104" s="19" customFormat="1" ht="12">
      <c r="C1874" s="21"/>
      <c r="D1874" s="21"/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Z1874" s="296"/>
      <c r="CZ1874" s="296"/>
    </row>
    <row r="1875" spans="3:104" s="19" customFormat="1" ht="12"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Z1875" s="296"/>
      <c r="CZ1875" s="296"/>
    </row>
    <row r="1876" spans="3:104" s="19" customFormat="1" ht="12">
      <c r="C1876" s="21"/>
      <c r="D1876" s="21"/>
      <c r="E1876" s="21"/>
      <c r="F1876" s="21"/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Z1876" s="296"/>
      <c r="CZ1876" s="296"/>
    </row>
    <row r="1877" spans="3:104" s="19" customFormat="1" ht="12"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  <c r="N1877" s="21"/>
      <c r="O1877" s="21"/>
      <c r="P1877" s="21"/>
      <c r="Q1877" s="21"/>
      <c r="R1877" s="21"/>
      <c r="S1877" s="21"/>
      <c r="T1877" s="21"/>
      <c r="U1877" s="21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Z1877" s="296"/>
      <c r="CZ1877" s="296"/>
    </row>
    <row r="1878" spans="3:104" s="19" customFormat="1" ht="12">
      <c r="C1878" s="21"/>
      <c r="D1878" s="21"/>
      <c r="E1878" s="21"/>
      <c r="F1878" s="21"/>
      <c r="G1878" s="21"/>
      <c r="H1878" s="21"/>
      <c r="I1878" s="21"/>
      <c r="J1878" s="21"/>
      <c r="K1878" s="21"/>
      <c r="L1878" s="21"/>
      <c r="M1878" s="21"/>
      <c r="N1878" s="21"/>
      <c r="O1878" s="21"/>
      <c r="P1878" s="21"/>
      <c r="Q1878" s="21"/>
      <c r="R1878" s="21"/>
      <c r="S1878" s="21"/>
      <c r="T1878" s="21"/>
      <c r="U1878" s="21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Z1878" s="296"/>
      <c r="CZ1878" s="296"/>
    </row>
    <row r="1879" spans="3:104" s="19" customFormat="1" ht="12"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  <c r="N1879" s="21"/>
      <c r="O1879" s="21"/>
      <c r="P1879" s="21"/>
      <c r="Q1879" s="21"/>
      <c r="R1879" s="21"/>
      <c r="S1879" s="21"/>
      <c r="T1879" s="21"/>
      <c r="U1879" s="21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Z1879" s="296"/>
      <c r="CZ1879" s="296"/>
    </row>
    <row r="1880" spans="3:104" s="19" customFormat="1" ht="12">
      <c r="C1880" s="21"/>
      <c r="D1880" s="21"/>
      <c r="E1880" s="21"/>
      <c r="F1880" s="21"/>
      <c r="G1880" s="21"/>
      <c r="H1880" s="21"/>
      <c r="I1880" s="21"/>
      <c r="J1880" s="21"/>
      <c r="K1880" s="21"/>
      <c r="L1880" s="21"/>
      <c r="M1880" s="21"/>
      <c r="N1880" s="21"/>
      <c r="O1880" s="21"/>
      <c r="P1880" s="21"/>
      <c r="Q1880" s="21"/>
      <c r="R1880" s="21"/>
      <c r="S1880" s="21"/>
      <c r="T1880" s="21"/>
      <c r="U1880" s="21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Z1880" s="296"/>
      <c r="CZ1880" s="296"/>
    </row>
    <row r="1881" spans="3:104" s="19" customFormat="1" ht="12"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Z1881" s="296"/>
      <c r="CZ1881" s="296"/>
    </row>
    <row r="1882" spans="3:104" s="19" customFormat="1" ht="12">
      <c r="C1882" s="21"/>
      <c r="D1882" s="21"/>
      <c r="E1882" s="21"/>
      <c r="F1882" s="21"/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Z1882" s="296"/>
      <c r="CZ1882" s="296"/>
    </row>
    <row r="1883" spans="3:104" s="19" customFormat="1" ht="12"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Z1883" s="296"/>
      <c r="CZ1883" s="296"/>
    </row>
    <row r="1884" spans="3:104" s="19" customFormat="1" ht="12">
      <c r="C1884" s="21"/>
      <c r="D1884" s="21"/>
      <c r="E1884" s="21"/>
      <c r="F1884" s="21"/>
      <c r="G1884" s="21"/>
      <c r="H1884" s="21"/>
      <c r="I1884" s="21"/>
      <c r="J1884" s="21"/>
      <c r="K1884" s="21"/>
      <c r="L1884" s="21"/>
      <c r="M1884" s="21"/>
      <c r="N1884" s="21"/>
      <c r="O1884" s="21"/>
      <c r="P1884" s="21"/>
      <c r="Q1884" s="21"/>
      <c r="R1884" s="21"/>
      <c r="S1884" s="21"/>
      <c r="T1884" s="21"/>
      <c r="U1884" s="21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Z1884" s="296"/>
      <c r="CZ1884" s="296"/>
    </row>
    <row r="1885" spans="3:104" s="19" customFormat="1" ht="12"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  <c r="N1885" s="21"/>
      <c r="O1885" s="21"/>
      <c r="P1885" s="21"/>
      <c r="Q1885" s="21"/>
      <c r="R1885" s="21"/>
      <c r="S1885" s="21"/>
      <c r="T1885" s="21"/>
      <c r="U1885" s="21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Z1885" s="296"/>
      <c r="CZ1885" s="296"/>
    </row>
    <row r="1886" spans="3:104" s="19" customFormat="1" ht="12">
      <c r="C1886" s="21"/>
      <c r="D1886" s="21"/>
      <c r="E1886" s="21"/>
      <c r="F1886" s="21"/>
      <c r="G1886" s="21"/>
      <c r="H1886" s="21"/>
      <c r="I1886" s="21"/>
      <c r="J1886" s="21"/>
      <c r="K1886" s="21"/>
      <c r="L1886" s="21"/>
      <c r="M1886" s="21"/>
      <c r="N1886" s="21"/>
      <c r="O1886" s="21"/>
      <c r="P1886" s="21"/>
      <c r="Q1886" s="21"/>
      <c r="R1886" s="21"/>
      <c r="S1886" s="21"/>
      <c r="T1886" s="21"/>
      <c r="U1886" s="21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Z1886" s="296"/>
      <c r="CZ1886" s="296"/>
    </row>
    <row r="1887" spans="3:104" s="19" customFormat="1" ht="12"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  <c r="N1887" s="21"/>
      <c r="O1887" s="21"/>
      <c r="P1887" s="21"/>
      <c r="Q1887" s="21"/>
      <c r="R1887" s="21"/>
      <c r="S1887" s="21"/>
      <c r="T1887" s="21"/>
      <c r="U1887" s="21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Z1887" s="296"/>
      <c r="CZ1887" s="296"/>
    </row>
    <row r="1888" spans="3:104" s="19" customFormat="1" ht="12">
      <c r="C1888" s="21"/>
      <c r="D1888" s="21"/>
      <c r="E1888" s="21"/>
      <c r="F1888" s="21"/>
      <c r="G1888" s="21"/>
      <c r="H1888" s="21"/>
      <c r="I1888" s="21"/>
      <c r="J1888" s="21"/>
      <c r="K1888" s="21"/>
      <c r="L1888" s="21"/>
      <c r="M1888" s="21"/>
      <c r="N1888" s="21"/>
      <c r="O1888" s="21"/>
      <c r="P1888" s="21"/>
      <c r="Q1888" s="21"/>
      <c r="R1888" s="21"/>
      <c r="S1888" s="21"/>
      <c r="T1888" s="21"/>
      <c r="U1888" s="21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Z1888" s="296"/>
      <c r="CZ1888" s="296"/>
    </row>
    <row r="1889" spans="3:104" s="19" customFormat="1" ht="12"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  <c r="N1889" s="21"/>
      <c r="O1889" s="21"/>
      <c r="P1889" s="21"/>
      <c r="Q1889" s="21"/>
      <c r="R1889" s="21"/>
      <c r="S1889" s="21"/>
      <c r="T1889" s="21"/>
      <c r="U1889" s="21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Z1889" s="296"/>
      <c r="CZ1889" s="296"/>
    </row>
    <row r="1890" spans="3:104" s="19" customFormat="1" ht="12">
      <c r="C1890" s="21"/>
      <c r="D1890" s="21"/>
      <c r="E1890" s="21"/>
      <c r="F1890" s="21"/>
      <c r="G1890" s="21"/>
      <c r="H1890" s="21"/>
      <c r="I1890" s="21"/>
      <c r="J1890" s="21"/>
      <c r="K1890" s="21"/>
      <c r="L1890" s="21"/>
      <c r="M1890" s="21"/>
      <c r="N1890" s="21"/>
      <c r="O1890" s="21"/>
      <c r="P1890" s="21"/>
      <c r="Q1890" s="21"/>
      <c r="R1890" s="21"/>
      <c r="S1890" s="21"/>
      <c r="T1890" s="21"/>
      <c r="U1890" s="21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Z1890" s="296"/>
      <c r="CZ1890" s="296"/>
    </row>
    <row r="1891" spans="3:104" s="19" customFormat="1" ht="12"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  <c r="N1891" s="21"/>
      <c r="O1891" s="21"/>
      <c r="P1891" s="21"/>
      <c r="Q1891" s="21"/>
      <c r="R1891" s="21"/>
      <c r="S1891" s="21"/>
      <c r="T1891" s="21"/>
      <c r="U1891" s="21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Z1891" s="296"/>
      <c r="CZ1891" s="296"/>
    </row>
    <row r="1892" spans="3:104" s="19" customFormat="1" ht="12">
      <c r="C1892" s="21"/>
      <c r="D1892" s="21"/>
      <c r="E1892" s="21"/>
      <c r="F1892" s="21"/>
      <c r="G1892" s="21"/>
      <c r="H1892" s="21"/>
      <c r="I1892" s="21"/>
      <c r="J1892" s="21"/>
      <c r="K1892" s="21"/>
      <c r="L1892" s="21"/>
      <c r="M1892" s="21"/>
      <c r="N1892" s="21"/>
      <c r="O1892" s="21"/>
      <c r="P1892" s="21"/>
      <c r="Q1892" s="21"/>
      <c r="R1892" s="21"/>
      <c r="S1892" s="21"/>
      <c r="T1892" s="21"/>
      <c r="U1892" s="21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Z1892" s="296"/>
      <c r="CZ1892" s="296"/>
    </row>
    <row r="1893" spans="3:104" s="19" customFormat="1" ht="12"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  <c r="N1893" s="21"/>
      <c r="O1893" s="21"/>
      <c r="P1893" s="21"/>
      <c r="Q1893" s="21"/>
      <c r="R1893" s="21"/>
      <c r="S1893" s="21"/>
      <c r="T1893" s="21"/>
      <c r="U1893" s="21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Z1893" s="296"/>
      <c r="CZ1893" s="296"/>
    </row>
    <row r="1894" spans="3:104" s="19" customFormat="1" ht="12"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  <c r="N1894" s="21"/>
      <c r="O1894" s="21"/>
      <c r="P1894" s="21"/>
      <c r="Q1894" s="21"/>
      <c r="R1894" s="21"/>
      <c r="S1894" s="21"/>
      <c r="T1894" s="21"/>
      <c r="U1894" s="21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Z1894" s="296"/>
      <c r="CZ1894" s="296"/>
    </row>
    <row r="1895" spans="3:104" s="19" customFormat="1" ht="12"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  <c r="N1895" s="21"/>
      <c r="O1895" s="21"/>
      <c r="P1895" s="21"/>
      <c r="Q1895" s="21"/>
      <c r="R1895" s="21"/>
      <c r="S1895" s="21"/>
      <c r="T1895" s="21"/>
      <c r="U1895" s="21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Z1895" s="296"/>
      <c r="CZ1895" s="296"/>
    </row>
    <row r="1896" spans="3:104" s="19" customFormat="1" ht="12">
      <c r="C1896" s="21"/>
      <c r="D1896" s="21"/>
      <c r="E1896" s="21"/>
      <c r="F1896" s="21"/>
      <c r="G1896" s="21"/>
      <c r="H1896" s="21"/>
      <c r="I1896" s="21"/>
      <c r="J1896" s="21"/>
      <c r="K1896" s="21"/>
      <c r="L1896" s="21"/>
      <c r="M1896" s="21"/>
      <c r="N1896" s="21"/>
      <c r="O1896" s="21"/>
      <c r="P1896" s="21"/>
      <c r="Q1896" s="21"/>
      <c r="R1896" s="21"/>
      <c r="S1896" s="21"/>
      <c r="T1896" s="21"/>
      <c r="U1896" s="21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Z1896" s="296"/>
      <c r="CZ1896" s="296"/>
    </row>
    <row r="1897" spans="3:104" s="19" customFormat="1" ht="12"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  <c r="N1897" s="21"/>
      <c r="O1897" s="21"/>
      <c r="P1897" s="21"/>
      <c r="Q1897" s="21"/>
      <c r="R1897" s="21"/>
      <c r="S1897" s="21"/>
      <c r="T1897" s="21"/>
      <c r="U1897" s="21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Z1897" s="296"/>
      <c r="CZ1897" s="296"/>
    </row>
    <row r="1898" spans="3:104" s="19" customFormat="1" ht="12">
      <c r="C1898" s="21"/>
      <c r="D1898" s="21"/>
      <c r="E1898" s="21"/>
      <c r="F1898" s="21"/>
      <c r="G1898" s="21"/>
      <c r="H1898" s="21"/>
      <c r="I1898" s="21"/>
      <c r="J1898" s="21"/>
      <c r="K1898" s="21"/>
      <c r="L1898" s="21"/>
      <c r="M1898" s="21"/>
      <c r="N1898" s="21"/>
      <c r="O1898" s="21"/>
      <c r="P1898" s="21"/>
      <c r="Q1898" s="21"/>
      <c r="R1898" s="21"/>
      <c r="S1898" s="21"/>
      <c r="T1898" s="21"/>
      <c r="U1898" s="21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Z1898" s="296"/>
      <c r="CZ1898" s="296"/>
    </row>
    <row r="1899" spans="3:104" s="19" customFormat="1" ht="12"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  <c r="N1899" s="21"/>
      <c r="O1899" s="21"/>
      <c r="P1899" s="21"/>
      <c r="Q1899" s="21"/>
      <c r="R1899" s="21"/>
      <c r="S1899" s="21"/>
      <c r="T1899" s="21"/>
      <c r="U1899" s="21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Z1899" s="296"/>
      <c r="CZ1899" s="296"/>
    </row>
    <row r="1900" spans="3:104" s="19" customFormat="1" ht="12">
      <c r="C1900" s="21"/>
      <c r="D1900" s="21"/>
      <c r="E1900" s="21"/>
      <c r="F1900" s="21"/>
      <c r="G1900" s="21"/>
      <c r="H1900" s="21"/>
      <c r="I1900" s="21"/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Z1900" s="296"/>
      <c r="CZ1900" s="296"/>
    </row>
    <row r="1901" spans="3:104" s="19" customFormat="1" ht="12"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Z1901" s="296"/>
      <c r="CZ1901" s="296"/>
    </row>
    <row r="1902" spans="3:104" s="19" customFormat="1" ht="12">
      <c r="C1902" s="21"/>
      <c r="D1902" s="21"/>
      <c r="E1902" s="21"/>
      <c r="F1902" s="21"/>
      <c r="G1902" s="21"/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Z1902" s="296"/>
      <c r="CZ1902" s="296"/>
    </row>
    <row r="1903" spans="3:104" s="19" customFormat="1" ht="12"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  <c r="N1903" s="21"/>
      <c r="O1903" s="21"/>
      <c r="P1903" s="21"/>
      <c r="Q1903" s="21"/>
      <c r="R1903" s="21"/>
      <c r="S1903" s="21"/>
      <c r="T1903" s="21"/>
      <c r="U1903" s="21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Z1903" s="296"/>
      <c r="CZ1903" s="296"/>
    </row>
    <row r="1904" spans="3:104" s="19" customFormat="1" ht="12">
      <c r="C1904" s="21"/>
      <c r="D1904" s="21"/>
      <c r="E1904" s="21"/>
      <c r="F1904" s="21"/>
      <c r="G1904" s="21"/>
      <c r="H1904" s="21"/>
      <c r="I1904" s="21"/>
      <c r="J1904" s="21"/>
      <c r="K1904" s="21"/>
      <c r="L1904" s="21"/>
      <c r="M1904" s="21"/>
      <c r="N1904" s="21"/>
      <c r="O1904" s="21"/>
      <c r="P1904" s="21"/>
      <c r="Q1904" s="21"/>
      <c r="R1904" s="21"/>
      <c r="S1904" s="21"/>
      <c r="T1904" s="21"/>
      <c r="U1904" s="21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Z1904" s="296"/>
      <c r="CZ1904" s="296"/>
    </row>
    <row r="1905" spans="3:104" s="19" customFormat="1" ht="12"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  <c r="N1905" s="21"/>
      <c r="O1905" s="21"/>
      <c r="P1905" s="21"/>
      <c r="Q1905" s="21"/>
      <c r="R1905" s="21"/>
      <c r="S1905" s="21"/>
      <c r="T1905" s="21"/>
      <c r="U1905" s="21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Z1905" s="296"/>
      <c r="CZ1905" s="296"/>
    </row>
    <row r="1906" spans="3:104" s="19" customFormat="1" ht="12">
      <c r="C1906" s="21"/>
      <c r="D1906" s="21"/>
      <c r="E1906" s="21"/>
      <c r="F1906" s="21"/>
      <c r="G1906" s="21"/>
      <c r="H1906" s="21"/>
      <c r="I1906" s="21"/>
      <c r="J1906" s="21"/>
      <c r="K1906" s="21"/>
      <c r="L1906" s="21"/>
      <c r="M1906" s="21"/>
      <c r="N1906" s="21"/>
      <c r="O1906" s="21"/>
      <c r="P1906" s="21"/>
      <c r="Q1906" s="21"/>
      <c r="R1906" s="21"/>
      <c r="S1906" s="21"/>
      <c r="T1906" s="21"/>
      <c r="U1906" s="21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Z1906" s="296"/>
      <c r="CZ1906" s="296"/>
    </row>
    <row r="1907" spans="3:104" s="19" customFormat="1" ht="12"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Z1907" s="296"/>
      <c r="CZ1907" s="296"/>
    </row>
    <row r="1908" spans="3:104" s="19" customFormat="1" ht="12">
      <c r="C1908" s="21"/>
      <c r="D1908" s="21"/>
      <c r="E1908" s="21"/>
      <c r="F1908" s="21"/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Z1908" s="296"/>
      <c r="CZ1908" s="296"/>
    </row>
    <row r="1909" spans="3:104" s="19" customFormat="1" ht="12"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Z1909" s="296"/>
      <c r="CZ1909" s="296"/>
    </row>
    <row r="1910" spans="3:104" s="19" customFormat="1" ht="12">
      <c r="C1910" s="21"/>
      <c r="D1910" s="21"/>
      <c r="E1910" s="21"/>
      <c r="F1910" s="21"/>
      <c r="G1910" s="21"/>
      <c r="H1910" s="21"/>
      <c r="I1910" s="21"/>
      <c r="J1910" s="21"/>
      <c r="K1910" s="21"/>
      <c r="L1910" s="21"/>
      <c r="M1910" s="21"/>
      <c r="N1910" s="21"/>
      <c r="O1910" s="21"/>
      <c r="P1910" s="21"/>
      <c r="Q1910" s="21"/>
      <c r="R1910" s="21"/>
      <c r="S1910" s="21"/>
      <c r="T1910" s="21"/>
      <c r="U1910" s="21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Z1910" s="296"/>
      <c r="CZ1910" s="296"/>
    </row>
    <row r="1911" spans="3:104" s="19" customFormat="1" ht="12"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  <c r="N1911" s="21"/>
      <c r="O1911" s="21"/>
      <c r="P1911" s="21"/>
      <c r="Q1911" s="21"/>
      <c r="R1911" s="21"/>
      <c r="S1911" s="21"/>
      <c r="T1911" s="21"/>
      <c r="U1911" s="21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Z1911" s="296"/>
      <c r="CZ1911" s="296"/>
    </row>
    <row r="1912" spans="3:104" s="19" customFormat="1" ht="12">
      <c r="C1912" s="21"/>
      <c r="D1912" s="21"/>
      <c r="E1912" s="21"/>
      <c r="F1912" s="21"/>
      <c r="G1912" s="21"/>
      <c r="H1912" s="21"/>
      <c r="I1912" s="21"/>
      <c r="J1912" s="21"/>
      <c r="K1912" s="21"/>
      <c r="L1912" s="21"/>
      <c r="M1912" s="21"/>
      <c r="N1912" s="21"/>
      <c r="O1912" s="21"/>
      <c r="P1912" s="21"/>
      <c r="Q1912" s="21"/>
      <c r="R1912" s="21"/>
      <c r="S1912" s="21"/>
      <c r="T1912" s="21"/>
      <c r="U1912" s="21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Z1912" s="296"/>
      <c r="CZ1912" s="296"/>
    </row>
    <row r="1913" spans="3:104" s="19" customFormat="1" ht="12"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  <c r="N1913" s="21"/>
      <c r="O1913" s="21"/>
      <c r="P1913" s="21"/>
      <c r="Q1913" s="21"/>
      <c r="R1913" s="21"/>
      <c r="S1913" s="21"/>
      <c r="T1913" s="21"/>
      <c r="U1913" s="21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Z1913" s="296"/>
      <c r="CZ1913" s="296"/>
    </row>
    <row r="1914" spans="3:104" s="19" customFormat="1" ht="12">
      <c r="C1914" s="21"/>
      <c r="D1914" s="21"/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Z1914" s="296"/>
      <c r="CZ1914" s="296"/>
    </row>
    <row r="1915" spans="3:104" s="19" customFormat="1" ht="12"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Z1915" s="296"/>
      <c r="CZ1915" s="296"/>
    </row>
    <row r="1916" spans="3:104" s="19" customFormat="1" ht="12"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Z1916" s="296"/>
      <c r="CZ1916" s="296"/>
    </row>
    <row r="1917" spans="3:104" s="19" customFormat="1" ht="12"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  <c r="N1917" s="21"/>
      <c r="O1917" s="21"/>
      <c r="P1917" s="21"/>
      <c r="Q1917" s="21"/>
      <c r="R1917" s="21"/>
      <c r="S1917" s="21"/>
      <c r="T1917" s="21"/>
      <c r="U1917" s="21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Z1917" s="296"/>
      <c r="CZ1917" s="296"/>
    </row>
    <row r="1918" spans="3:104" s="19" customFormat="1" ht="12">
      <c r="C1918" s="21"/>
      <c r="D1918" s="21"/>
      <c r="E1918" s="21"/>
      <c r="F1918" s="21"/>
      <c r="G1918" s="21"/>
      <c r="H1918" s="21"/>
      <c r="I1918" s="21"/>
      <c r="J1918" s="21"/>
      <c r="K1918" s="21"/>
      <c r="L1918" s="21"/>
      <c r="M1918" s="21"/>
      <c r="N1918" s="21"/>
      <c r="O1918" s="21"/>
      <c r="P1918" s="21"/>
      <c r="Q1918" s="21"/>
      <c r="R1918" s="21"/>
      <c r="S1918" s="21"/>
      <c r="T1918" s="21"/>
      <c r="U1918" s="21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Z1918" s="296"/>
      <c r="CZ1918" s="296"/>
    </row>
    <row r="1919" spans="3:104" s="19" customFormat="1" ht="12"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  <c r="N1919" s="21"/>
      <c r="O1919" s="21"/>
      <c r="P1919" s="21"/>
      <c r="Q1919" s="21"/>
      <c r="R1919" s="21"/>
      <c r="S1919" s="21"/>
      <c r="T1919" s="21"/>
      <c r="U1919" s="21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Z1919" s="296"/>
      <c r="CZ1919" s="296"/>
    </row>
    <row r="1920" spans="3:104" s="19" customFormat="1" ht="12">
      <c r="C1920" s="21"/>
      <c r="D1920" s="21"/>
      <c r="E1920" s="21"/>
      <c r="F1920" s="21"/>
      <c r="G1920" s="21"/>
      <c r="H1920" s="21"/>
      <c r="I1920" s="21"/>
      <c r="J1920" s="21"/>
      <c r="K1920" s="21"/>
      <c r="L1920" s="21"/>
      <c r="M1920" s="21"/>
      <c r="N1920" s="21"/>
      <c r="O1920" s="21"/>
      <c r="P1920" s="21"/>
      <c r="Q1920" s="21"/>
      <c r="R1920" s="21"/>
      <c r="S1920" s="21"/>
      <c r="T1920" s="21"/>
      <c r="U1920" s="21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Z1920" s="296"/>
      <c r="CZ1920" s="296"/>
    </row>
    <row r="1921" spans="3:104" s="19" customFormat="1" ht="12"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Z1921" s="296"/>
      <c r="CZ1921" s="296"/>
    </row>
    <row r="1922" spans="3:104" s="19" customFormat="1" ht="12">
      <c r="C1922" s="21"/>
      <c r="D1922" s="21"/>
      <c r="E1922" s="21"/>
      <c r="F1922" s="21"/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Z1922" s="296"/>
      <c r="CZ1922" s="296"/>
    </row>
    <row r="1923" spans="3:104" s="19" customFormat="1" ht="12"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Z1923" s="296"/>
      <c r="CZ1923" s="296"/>
    </row>
    <row r="1924" spans="3:104" s="19" customFormat="1" ht="12">
      <c r="C1924" s="21"/>
      <c r="D1924" s="21"/>
      <c r="E1924" s="21"/>
      <c r="F1924" s="21"/>
      <c r="G1924" s="21"/>
      <c r="H1924" s="21"/>
      <c r="I1924" s="21"/>
      <c r="J1924" s="21"/>
      <c r="K1924" s="21"/>
      <c r="L1924" s="21"/>
      <c r="M1924" s="21"/>
      <c r="N1924" s="21"/>
      <c r="O1924" s="21"/>
      <c r="P1924" s="21"/>
      <c r="Q1924" s="21"/>
      <c r="R1924" s="21"/>
      <c r="S1924" s="21"/>
      <c r="T1924" s="21"/>
      <c r="U1924" s="21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Z1924" s="296"/>
      <c r="CZ1924" s="296"/>
    </row>
    <row r="1925" spans="3:104" s="19" customFormat="1" ht="12"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  <c r="N1925" s="21"/>
      <c r="O1925" s="21"/>
      <c r="P1925" s="21"/>
      <c r="Q1925" s="21"/>
      <c r="R1925" s="21"/>
      <c r="S1925" s="21"/>
      <c r="T1925" s="21"/>
      <c r="U1925" s="21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Z1925" s="296"/>
      <c r="CZ1925" s="296"/>
    </row>
    <row r="1926" spans="3:104" s="19" customFormat="1" ht="12">
      <c r="C1926" s="21"/>
      <c r="D1926" s="21"/>
      <c r="E1926" s="21"/>
      <c r="F1926" s="21"/>
      <c r="G1926" s="21"/>
      <c r="H1926" s="21"/>
      <c r="I1926" s="21"/>
      <c r="J1926" s="21"/>
      <c r="K1926" s="21"/>
      <c r="L1926" s="21"/>
      <c r="M1926" s="21"/>
      <c r="N1926" s="21"/>
      <c r="O1926" s="21"/>
      <c r="P1926" s="21"/>
      <c r="Q1926" s="21"/>
      <c r="R1926" s="21"/>
      <c r="S1926" s="21"/>
      <c r="T1926" s="21"/>
      <c r="U1926" s="21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Z1926" s="296"/>
      <c r="CZ1926" s="296"/>
    </row>
    <row r="1927" spans="3:104" s="19" customFormat="1" ht="12"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  <c r="N1927" s="21"/>
      <c r="O1927" s="21"/>
      <c r="P1927" s="21"/>
      <c r="Q1927" s="21"/>
      <c r="R1927" s="21"/>
      <c r="S1927" s="21"/>
      <c r="T1927" s="21"/>
      <c r="U1927" s="21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Z1927" s="296"/>
      <c r="CZ1927" s="296"/>
    </row>
    <row r="1928" spans="3:104" s="19" customFormat="1" ht="12">
      <c r="C1928" s="21"/>
      <c r="D1928" s="21"/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Z1928" s="296"/>
      <c r="CZ1928" s="296"/>
    </row>
    <row r="1929" spans="3:104" s="19" customFormat="1" ht="12"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Z1929" s="296"/>
      <c r="CZ1929" s="296"/>
    </row>
    <row r="1930" spans="3:104" s="19" customFormat="1" ht="12">
      <c r="C1930" s="21"/>
      <c r="D1930" s="21"/>
      <c r="E1930" s="21"/>
      <c r="F1930" s="21"/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Z1930" s="296"/>
      <c r="CZ1930" s="296"/>
    </row>
    <row r="1931" spans="3:104" s="19" customFormat="1" ht="12"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  <c r="N1931" s="21"/>
      <c r="O1931" s="21"/>
      <c r="P1931" s="21"/>
      <c r="Q1931" s="21"/>
      <c r="R1931" s="21"/>
      <c r="S1931" s="21"/>
      <c r="T1931" s="21"/>
      <c r="U1931" s="21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Z1931" s="296"/>
      <c r="CZ1931" s="296"/>
    </row>
    <row r="1932" spans="3:104" s="19" customFormat="1" ht="12">
      <c r="C1932" s="21"/>
      <c r="D1932" s="21"/>
      <c r="E1932" s="21"/>
      <c r="F1932" s="21"/>
      <c r="G1932" s="21"/>
      <c r="H1932" s="21"/>
      <c r="I1932" s="21"/>
      <c r="J1932" s="21"/>
      <c r="K1932" s="21"/>
      <c r="L1932" s="21"/>
      <c r="M1932" s="21"/>
      <c r="N1932" s="21"/>
      <c r="O1932" s="21"/>
      <c r="P1932" s="21"/>
      <c r="Q1932" s="21"/>
      <c r="R1932" s="21"/>
      <c r="S1932" s="21"/>
      <c r="T1932" s="21"/>
      <c r="U1932" s="21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Z1932" s="296"/>
      <c r="CZ1932" s="296"/>
    </row>
    <row r="1933" spans="3:104" s="19" customFormat="1" ht="12"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  <c r="N1933" s="21"/>
      <c r="O1933" s="21"/>
      <c r="P1933" s="21"/>
      <c r="Q1933" s="21"/>
      <c r="R1933" s="21"/>
      <c r="S1933" s="21"/>
      <c r="T1933" s="21"/>
      <c r="U1933" s="21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Z1933" s="296"/>
      <c r="CZ1933" s="296"/>
    </row>
    <row r="1934" spans="3:104" s="19" customFormat="1" ht="12">
      <c r="C1934" s="21"/>
      <c r="D1934" s="21"/>
      <c r="E1934" s="21"/>
      <c r="F1934" s="21"/>
      <c r="G1934" s="21"/>
      <c r="H1934" s="21"/>
      <c r="I1934" s="21"/>
      <c r="J1934" s="21"/>
      <c r="K1934" s="21"/>
      <c r="L1934" s="21"/>
      <c r="M1934" s="21"/>
      <c r="N1934" s="21"/>
      <c r="O1934" s="21"/>
      <c r="P1934" s="21"/>
      <c r="Q1934" s="21"/>
      <c r="R1934" s="21"/>
      <c r="S1934" s="21"/>
      <c r="T1934" s="21"/>
      <c r="U1934" s="21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Z1934" s="296"/>
      <c r="CZ1934" s="296"/>
    </row>
    <row r="1935" spans="3:104" s="19" customFormat="1" ht="12"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  <c r="N1935" s="21"/>
      <c r="O1935" s="21"/>
      <c r="P1935" s="21"/>
      <c r="Q1935" s="21"/>
      <c r="R1935" s="21"/>
      <c r="S1935" s="21"/>
      <c r="T1935" s="21"/>
      <c r="U1935" s="21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Z1935" s="296"/>
      <c r="CZ1935" s="296"/>
    </row>
    <row r="1936" spans="3:104" s="19" customFormat="1" ht="12">
      <c r="C1936" s="21"/>
      <c r="D1936" s="21"/>
      <c r="E1936" s="21"/>
      <c r="F1936" s="21"/>
      <c r="G1936" s="21"/>
      <c r="H1936" s="21"/>
      <c r="I1936" s="21"/>
      <c r="J1936" s="21"/>
      <c r="K1936" s="21"/>
      <c r="L1936" s="21"/>
      <c r="M1936" s="21"/>
      <c r="N1936" s="21"/>
      <c r="O1936" s="21"/>
      <c r="P1936" s="21"/>
      <c r="Q1936" s="21"/>
      <c r="R1936" s="21"/>
      <c r="S1936" s="21"/>
      <c r="T1936" s="21"/>
      <c r="U1936" s="21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Z1936" s="296"/>
      <c r="CZ1936" s="296"/>
    </row>
    <row r="1937" spans="3:104" s="19" customFormat="1" ht="12"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  <c r="N1937" s="21"/>
      <c r="O1937" s="21"/>
      <c r="P1937" s="21"/>
      <c r="Q1937" s="21"/>
      <c r="R1937" s="21"/>
      <c r="S1937" s="21"/>
      <c r="T1937" s="21"/>
      <c r="U1937" s="21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Z1937" s="296"/>
      <c r="CZ1937" s="296"/>
    </row>
    <row r="1938" spans="3:104" s="19" customFormat="1" ht="12"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  <c r="N1938" s="21"/>
      <c r="O1938" s="21"/>
      <c r="P1938" s="21"/>
      <c r="Q1938" s="21"/>
      <c r="R1938" s="21"/>
      <c r="S1938" s="21"/>
      <c r="T1938" s="21"/>
      <c r="U1938" s="21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Z1938" s="296"/>
      <c r="CZ1938" s="296"/>
    </row>
    <row r="1939" spans="3:104" s="19" customFormat="1" ht="12"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  <c r="N1939" s="21"/>
      <c r="O1939" s="21"/>
      <c r="P1939" s="21"/>
      <c r="Q1939" s="21"/>
      <c r="R1939" s="21"/>
      <c r="S1939" s="21"/>
      <c r="T1939" s="21"/>
      <c r="U1939" s="21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Z1939" s="296"/>
      <c r="CZ1939" s="296"/>
    </row>
    <row r="1940" spans="3:104" s="19" customFormat="1" ht="12">
      <c r="C1940" s="21"/>
      <c r="D1940" s="21"/>
      <c r="E1940" s="21"/>
      <c r="F1940" s="21"/>
      <c r="G1940" s="21"/>
      <c r="H1940" s="21"/>
      <c r="I1940" s="21"/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Z1940" s="296"/>
      <c r="CZ1940" s="296"/>
    </row>
    <row r="1941" spans="3:104" s="19" customFormat="1" ht="12"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Z1941" s="296"/>
      <c r="CZ1941" s="296"/>
    </row>
    <row r="1942" spans="3:104" s="19" customFormat="1" ht="12">
      <c r="C1942" s="21"/>
      <c r="D1942" s="21"/>
      <c r="E1942" s="21"/>
      <c r="F1942" s="21"/>
      <c r="G1942" s="21"/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Z1942" s="296"/>
      <c r="CZ1942" s="296"/>
    </row>
    <row r="1943" spans="3:104" s="19" customFormat="1" ht="12"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  <c r="N1943" s="21"/>
      <c r="O1943" s="21"/>
      <c r="P1943" s="21"/>
      <c r="Q1943" s="21"/>
      <c r="R1943" s="21"/>
      <c r="S1943" s="21"/>
      <c r="T1943" s="21"/>
      <c r="U1943" s="21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Z1943" s="296"/>
      <c r="CZ1943" s="296"/>
    </row>
    <row r="1944" spans="3:104" s="19" customFormat="1" ht="12">
      <c r="C1944" s="21"/>
      <c r="D1944" s="21"/>
      <c r="E1944" s="21"/>
      <c r="F1944" s="21"/>
      <c r="G1944" s="21"/>
      <c r="H1944" s="21"/>
      <c r="I1944" s="21"/>
      <c r="J1944" s="21"/>
      <c r="K1944" s="21"/>
      <c r="L1944" s="21"/>
      <c r="M1944" s="21"/>
      <c r="N1944" s="21"/>
      <c r="O1944" s="21"/>
      <c r="P1944" s="21"/>
      <c r="Q1944" s="21"/>
      <c r="R1944" s="21"/>
      <c r="S1944" s="21"/>
      <c r="T1944" s="21"/>
      <c r="U1944" s="21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Z1944" s="296"/>
      <c r="CZ1944" s="296"/>
    </row>
    <row r="1945" spans="3:104" s="19" customFormat="1" ht="12"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  <c r="N1945" s="21"/>
      <c r="O1945" s="21"/>
      <c r="P1945" s="21"/>
      <c r="Q1945" s="21"/>
      <c r="R1945" s="21"/>
      <c r="S1945" s="21"/>
      <c r="T1945" s="21"/>
      <c r="U1945" s="21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Z1945" s="296"/>
      <c r="CZ1945" s="296"/>
    </row>
    <row r="1946" spans="3:104" s="19" customFormat="1" ht="12">
      <c r="C1946" s="21"/>
      <c r="D1946" s="21"/>
      <c r="E1946" s="21"/>
      <c r="F1946" s="21"/>
      <c r="G1946" s="21"/>
      <c r="H1946" s="21"/>
      <c r="I1946" s="21"/>
      <c r="J1946" s="21"/>
      <c r="K1946" s="21"/>
      <c r="L1946" s="21"/>
      <c r="M1946" s="21"/>
      <c r="N1946" s="21"/>
      <c r="O1946" s="21"/>
      <c r="P1946" s="21"/>
      <c r="Q1946" s="21"/>
      <c r="R1946" s="21"/>
      <c r="S1946" s="21"/>
      <c r="T1946" s="21"/>
      <c r="U1946" s="21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Z1946" s="296"/>
      <c r="CZ1946" s="296"/>
    </row>
    <row r="1947" spans="3:104" s="19" customFormat="1" ht="12"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Z1947" s="296"/>
      <c r="CZ1947" s="296"/>
    </row>
    <row r="1948" spans="3:104" s="19" customFormat="1" ht="12">
      <c r="C1948" s="21"/>
      <c r="D1948" s="21"/>
      <c r="E1948" s="21"/>
      <c r="F1948" s="21"/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Z1948" s="296"/>
      <c r="CZ1948" s="296"/>
    </row>
    <row r="1949" spans="3:104" s="19" customFormat="1" ht="12"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Z1949" s="296"/>
      <c r="CZ1949" s="296"/>
    </row>
    <row r="1950" spans="3:104" s="19" customFormat="1" ht="12">
      <c r="C1950" s="21"/>
      <c r="D1950" s="21"/>
      <c r="E1950" s="21"/>
      <c r="F1950" s="21"/>
      <c r="G1950" s="21"/>
      <c r="H1950" s="21"/>
      <c r="I1950" s="21"/>
      <c r="J1950" s="21"/>
      <c r="K1950" s="21"/>
      <c r="L1950" s="21"/>
      <c r="M1950" s="21"/>
      <c r="N1950" s="21"/>
      <c r="O1950" s="21"/>
      <c r="P1950" s="21"/>
      <c r="Q1950" s="21"/>
      <c r="R1950" s="21"/>
      <c r="S1950" s="21"/>
      <c r="T1950" s="21"/>
      <c r="U1950" s="21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Z1950" s="296"/>
      <c r="CZ1950" s="296"/>
    </row>
    <row r="1951" spans="3:104" s="19" customFormat="1" ht="12"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  <c r="N1951" s="21"/>
      <c r="O1951" s="21"/>
      <c r="P1951" s="21"/>
      <c r="Q1951" s="21"/>
      <c r="R1951" s="21"/>
      <c r="S1951" s="21"/>
      <c r="T1951" s="21"/>
      <c r="U1951" s="21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Z1951" s="296"/>
      <c r="CZ1951" s="296"/>
    </row>
    <row r="1952" spans="3:104" s="19" customFormat="1" ht="12">
      <c r="C1952" s="21"/>
      <c r="D1952" s="21"/>
      <c r="E1952" s="21"/>
      <c r="F1952" s="21"/>
      <c r="G1952" s="21"/>
      <c r="H1952" s="21"/>
      <c r="I1952" s="21"/>
      <c r="J1952" s="21"/>
      <c r="K1952" s="21"/>
      <c r="L1952" s="21"/>
      <c r="M1952" s="21"/>
      <c r="N1952" s="21"/>
      <c r="O1952" s="21"/>
      <c r="P1952" s="21"/>
      <c r="Q1952" s="21"/>
      <c r="R1952" s="21"/>
      <c r="S1952" s="21"/>
      <c r="T1952" s="21"/>
      <c r="U1952" s="21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Z1952" s="296"/>
      <c r="CZ1952" s="296"/>
    </row>
    <row r="1953" spans="3:104" s="19" customFormat="1" ht="12"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  <c r="N1953" s="21"/>
      <c r="O1953" s="21"/>
      <c r="P1953" s="21"/>
      <c r="Q1953" s="21"/>
      <c r="R1953" s="21"/>
      <c r="S1953" s="21"/>
      <c r="T1953" s="21"/>
      <c r="U1953" s="21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Z1953" s="296"/>
      <c r="CZ1953" s="296"/>
    </row>
    <row r="1954" spans="3:104" s="19" customFormat="1" ht="12">
      <c r="C1954" s="21"/>
      <c r="D1954" s="21"/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Z1954" s="296"/>
      <c r="CZ1954" s="296"/>
    </row>
    <row r="1955" spans="3:104" s="19" customFormat="1" ht="12"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Z1955" s="296"/>
      <c r="CZ1955" s="296"/>
    </row>
    <row r="1956" spans="3:104" s="19" customFormat="1" ht="12">
      <c r="C1956" s="21"/>
      <c r="D1956" s="21"/>
      <c r="E1956" s="21"/>
      <c r="F1956" s="21"/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Z1956" s="296"/>
      <c r="CZ1956" s="296"/>
    </row>
    <row r="1957" spans="3:104" s="19" customFormat="1" ht="12"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  <c r="N1957" s="21"/>
      <c r="O1957" s="21"/>
      <c r="P1957" s="21"/>
      <c r="Q1957" s="21"/>
      <c r="R1957" s="21"/>
      <c r="S1957" s="21"/>
      <c r="T1957" s="21"/>
      <c r="U1957" s="21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Z1957" s="296"/>
      <c r="CZ1957" s="296"/>
    </row>
    <row r="1958" spans="3:104" s="19" customFormat="1" ht="12">
      <c r="C1958" s="21"/>
      <c r="D1958" s="21"/>
      <c r="E1958" s="21"/>
      <c r="F1958" s="21"/>
      <c r="G1958" s="21"/>
      <c r="H1958" s="21"/>
      <c r="I1958" s="21"/>
      <c r="J1958" s="21"/>
      <c r="K1958" s="21"/>
      <c r="L1958" s="21"/>
      <c r="M1958" s="21"/>
      <c r="N1958" s="21"/>
      <c r="O1958" s="21"/>
      <c r="P1958" s="21"/>
      <c r="Q1958" s="21"/>
      <c r="R1958" s="21"/>
      <c r="S1958" s="21"/>
      <c r="T1958" s="21"/>
      <c r="U1958" s="21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Z1958" s="296"/>
      <c r="CZ1958" s="296"/>
    </row>
    <row r="1959" spans="3:104" s="19" customFormat="1" ht="12"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  <c r="N1959" s="21"/>
      <c r="O1959" s="21"/>
      <c r="P1959" s="21"/>
      <c r="Q1959" s="21"/>
      <c r="R1959" s="21"/>
      <c r="S1959" s="21"/>
      <c r="T1959" s="21"/>
      <c r="U1959" s="21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Z1959" s="296"/>
      <c r="CZ1959" s="296"/>
    </row>
    <row r="1960" spans="3:104" s="19" customFormat="1" ht="12"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  <c r="N1960" s="21"/>
      <c r="O1960" s="21"/>
      <c r="P1960" s="21"/>
      <c r="Q1960" s="21"/>
      <c r="R1960" s="21"/>
      <c r="S1960" s="21"/>
      <c r="T1960" s="21"/>
      <c r="U1960" s="21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Z1960" s="296"/>
      <c r="CZ1960" s="296"/>
    </row>
    <row r="1961" spans="3:104" s="19" customFormat="1" ht="12"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Z1961" s="296"/>
      <c r="CZ1961" s="296"/>
    </row>
    <row r="1962" spans="3:104" s="19" customFormat="1" ht="12">
      <c r="C1962" s="21"/>
      <c r="D1962" s="21"/>
      <c r="E1962" s="21"/>
      <c r="F1962" s="21"/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Z1962" s="296"/>
      <c r="CZ1962" s="296"/>
    </row>
    <row r="1963" spans="3:104" s="19" customFormat="1" ht="12"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Z1963" s="296"/>
      <c r="CZ1963" s="296"/>
    </row>
    <row r="1964" spans="3:104" s="19" customFormat="1" ht="12">
      <c r="C1964" s="21"/>
      <c r="D1964" s="21"/>
      <c r="E1964" s="21"/>
      <c r="F1964" s="21"/>
      <c r="G1964" s="21"/>
      <c r="H1964" s="21"/>
      <c r="I1964" s="21"/>
      <c r="J1964" s="21"/>
      <c r="K1964" s="21"/>
      <c r="L1964" s="21"/>
      <c r="M1964" s="21"/>
      <c r="N1964" s="21"/>
      <c r="O1964" s="21"/>
      <c r="P1964" s="21"/>
      <c r="Q1964" s="21"/>
      <c r="R1964" s="21"/>
      <c r="S1964" s="21"/>
      <c r="T1964" s="21"/>
      <c r="U1964" s="21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Z1964" s="296"/>
      <c r="CZ1964" s="296"/>
    </row>
    <row r="1965" spans="3:104" s="19" customFormat="1" ht="12"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  <c r="N1965" s="21"/>
      <c r="O1965" s="21"/>
      <c r="P1965" s="21"/>
      <c r="Q1965" s="21"/>
      <c r="R1965" s="21"/>
      <c r="S1965" s="21"/>
      <c r="T1965" s="21"/>
      <c r="U1965" s="21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Z1965" s="296"/>
      <c r="CZ1965" s="296"/>
    </row>
    <row r="1966" spans="3:104" s="19" customFormat="1" ht="12">
      <c r="C1966" s="21"/>
      <c r="D1966" s="21"/>
      <c r="E1966" s="21"/>
      <c r="F1966" s="21"/>
      <c r="G1966" s="21"/>
      <c r="H1966" s="21"/>
      <c r="I1966" s="21"/>
      <c r="J1966" s="21"/>
      <c r="K1966" s="21"/>
      <c r="L1966" s="21"/>
      <c r="M1966" s="21"/>
      <c r="N1966" s="21"/>
      <c r="O1966" s="21"/>
      <c r="P1966" s="21"/>
      <c r="Q1966" s="21"/>
      <c r="R1966" s="21"/>
      <c r="S1966" s="21"/>
      <c r="T1966" s="21"/>
      <c r="U1966" s="21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Z1966" s="296"/>
      <c r="CZ1966" s="296"/>
    </row>
    <row r="1967" spans="3:104" s="19" customFormat="1" ht="12"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  <c r="N1967" s="21"/>
      <c r="O1967" s="21"/>
      <c r="P1967" s="21"/>
      <c r="Q1967" s="21"/>
      <c r="R1967" s="21"/>
      <c r="S1967" s="21"/>
      <c r="T1967" s="21"/>
      <c r="U1967" s="21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Z1967" s="296"/>
      <c r="CZ1967" s="296"/>
    </row>
    <row r="1968" spans="3:104" s="19" customFormat="1" ht="12">
      <c r="C1968" s="21"/>
      <c r="D1968" s="21"/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Z1968" s="296"/>
      <c r="CZ1968" s="296"/>
    </row>
    <row r="1969" spans="3:104" s="19" customFormat="1" ht="12"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Z1969" s="296"/>
      <c r="CZ1969" s="296"/>
    </row>
    <row r="1970" spans="3:104" s="19" customFormat="1" ht="12">
      <c r="C1970" s="21"/>
      <c r="D1970" s="21"/>
      <c r="E1970" s="21"/>
      <c r="F1970" s="21"/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Z1970" s="296"/>
      <c r="CZ1970" s="296"/>
    </row>
    <row r="1971" spans="3:104" s="19" customFormat="1" ht="12"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  <c r="N1971" s="21"/>
      <c r="O1971" s="21"/>
      <c r="P1971" s="21"/>
      <c r="Q1971" s="21"/>
      <c r="R1971" s="21"/>
      <c r="S1971" s="21"/>
      <c r="T1971" s="21"/>
      <c r="U1971" s="21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Z1971" s="296"/>
      <c r="CZ1971" s="296"/>
    </row>
    <row r="1972" spans="3:104" s="19" customFormat="1" ht="12">
      <c r="C1972" s="21"/>
      <c r="D1972" s="21"/>
      <c r="E1972" s="21"/>
      <c r="F1972" s="21"/>
      <c r="G1972" s="21"/>
      <c r="H1972" s="21"/>
      <c r="I1972" s="21"/>
      <c r="J1972" s="21"/>
      <c r="K1972" s="21"/>
      <c r="L1972" s="21"/>
      <c r="M1972" s="21"/>
      <c r="N1972" s="21"/>
      <c r="O1972" s="21"/>
      <c r="P1972" s="21"/>
      <c r="Q1972" s="21"/>
      <c r="R1972" s="21"/>
      <c r="S1972" s="21"/>
      <c r="T1972" s="21"/>
      <c r="U1972" s="21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Z1972" s="296"/>
      <c r="CZ1972" s="296"/>
    </row>
    <row r="1973" spans="3:104" s="19" customFormat="1" ht="12"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  <c r="N1973" s="21"/>
      <c r="O1973" s="21"/>
      <c r="P1973" s="21"/>
      <c r="Q1973" s="21"/>
      <c r="R1973" s="21"/>
      <c r="S1973" s="21"/>
      <c r="T1973" s="21"/>
      <c r="U1973" s="21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Z1973" s="296"/>
      <c r="CZ1973" s="296"/>
    </row>
    <row r="1974" spans="3:104" s="19" customFormat="1" ht="12">
      <c r="C1974" s="21"/>
      <c r="D1974" s="21"/>
      <c r="E1974" s="21"/>
      <c r="F1974" s="21"/>
      <c r="G1974" s="21"/>
      <c r="H1974" s="21"/>
      <c r="I1974" s="21"/>
      <c r="J1974" s="21"/>
      <c r="K1974" s="21"/>
      <c r="L1974" s="21"/>
      <c r="M1974" s="21"/>
      <c r="N1974" s="21"/>
      <c r="O1974" s="21"/>
      <c r="P1974" s="21"/>
      <c r="Q1974" s="21"/>
      <c r="R1974" s="21"/>
      <c r="S1974" s="21"/>
      <c r="T1974" s="21"/>
      <c r="U1974" s="21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Z1974" s="296"/>
      <c r="CZ1974" s="296"/>
    </row>
    <row r="1975" spans="3:104" s="19" customFormat="1" ht="12"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Z1975" s="296"/>
      <c r="CZ1975" s="296"/>
    </row>
    <row r="1976" spans="3:104" s="19" customFormat="1" ht="12">
      <c r="C1976" s="21"/>
      <c r="D1976" s="21"/>
      <c r="E1976" s="21"/>
      <c r="F1976" s="21"/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Z1976" s="296"/>
      <c r="CZ1976" s="296"/>
    </row>
    <row r="1977" spans="3:104" s="19" customFormat="1" ht="12"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Z1977" s="296"/>
      <c r="CZ1977" s="296"/>
    </row>
    <row r="1978" spans="3:104" s="19" customFormat="1" ht="12">
      <c r="C1978" s="21"/>
      <c r="D1978" s="21"/>
      <c r="E1978" s="21"/>
      <c r="F1978" s="21"/>
      <c r="G1978" s="21"/>
      <c r="H1978" s="21"/>
      <c r="I1978" s="21"/>
      <c r="J1978" s="21"/>
      <c r="K1978" s="21"/>
      <c r="L1978" s="21"/>
      <c r="M1978" s="21"/>
      <c r="N1978" s="21"/>
      <c r="O1978" s="21"/>
      <c r="P1978" s="21"/>
      <c r="Q1978" s="21"/>
      <c r="R1978" s="21"/>
      <c r="S1978" s="21"/>
      <c r="T1978" s="21"/>
      <c r="U1978" s="21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Z1978" s="296"/>
      <c r="CZ1978" s="296"/>
    </row>
    <row r="1979" spans="3:104" s="19" customFormat="1" ht="12"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  <c r="N1979" s="21"/>
      <c r="O1979" s="21"/>
      <c r="P1979" s="21"/>
      <c r="Q1979" s="21"/>
      <c r="R1979" s="21"/>
      <c r="S1979" s="21"/>
      <c r="T1979" s="21"/>
      <c r="U1979" s="21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Z1979" s="296"/>
      <c r="CZ1979" s="296"/>
    </row>
    <row r="1980" spans="3:104" s="19" customFormat="1" ht="12"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  <c r="N1980" s="21"/>
      <c r="O1980" s="21"/>
      <c r="P1980" s="21"/>
      <c r="Q1980" s="21"/>
      <c r="R1980" s="21"/>
      <c r="S1980" s="21"/>
      <c r="T1980" s="21"/>
      <c r="U1980" s="21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Z1980" s="296"/>
      <c r="CZ1980" s="296"/>
    </row>
    <row r="1981" spans="3:104" s="19" customFormat="1" ht="12"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  <c r="Q1981" s="21"/>
      <c r="R1981" s="21"/>
      <c r="S1981" s="21"/>
      <c r="T1981" s="21"/>
      <c r="U1981" s="21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Z1981" s="296"/>
      <c r="CZ1981" s="296"/>
    </row>
    <row r="1982" spans="3:104" s="19" customFormat="1" ht="12"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Z1982" s="296"/>
      <c r="CZ1982" s="296"/>
    </row>
    <row r="1983" spans="3:104" s="19" customFormat="1" ht="12"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Z1983" s="296"/>
      <c r="CZ1983" s="296"/>
    </row>
    <row r="1984" spans="3:104" s="19" customFormat="1" ht="12"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Z1984" s="296"/>
      <c r="CZ1984" s="296"/>
    </row>
    <row r="1985" spans="3:104" s="19" customFormat="1" ht="12"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  <c r="Q1985" s="21"/>
      <c r="R1985" s="21"/>
      <c r="S1985" s="21"/>
      <c r="T1985" s="21"/>
      <c r="U1985" s="21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Z1985" s="296"/>
      <c r="CZ1985" s="296"/>
    </row>
    <row r="1986" spans="3:104" s="19" customFormat="1" ht="12"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  <c r="N1986" s="21"/>
      <c r="O1986" s="21"/>
      <c r="P1986" s="21"/>
      <c r="Q1986" s="21"/>
      <c r="R1986" s="21"/>
      <c r="S1986" s="21"/>
      <c r="T1986" s="21"/>
      <c r="U1986" s="21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Z1986" s="296"/>
      <c r="CZ1986" s="296"/>
    </row>
    <row r="1987" spans="3:104" s="19" customFormat="1" ht="12"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  <c r="Q1987" s="21"/>
      <c r="R1987" s="21"/>
      <c r="S1987" s="21"/>
      <c r="T1987" s="21"/>
      <c r="U1987" s="21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Z1987" s="296"/>
      <c r="CZ1987" s="296"/>
    </row>
    <row r="1988" spans="3:104" s="19" customFormat="1" ht="12"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  <c r="N1988" s="21"/>
      <c r="O1988" s="21"/>
      <c r="P1988" s="21"/>
      <c r="Q1988" s="21"/>
      <c r="R1988" s="21"/>
      <c r="S1988" s="21"/>
      <c r="T1988" s="21"/>
      <c r="U1988" s="21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Z1988" s="296"/>
      <c r="CZ1988" s="296"/>
    </row>
    <row r="1989" spans="3:104" s="19" customFormat="1" ht="12"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Z1989" s="296"/>
      <c r="CZ1989" s="296"/>
    </row>
    <row r="1990" spans="3:104" s="19" customFormat="1" ht="12"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Z1990" s="296"/>
      <c r="CZ1990" s="296"/>
    </row>
    <row r="1991" spans="3:104" s="19" customFormat="1" ht="12"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Z1991" s="296"/>
      <c r="CZ1991" s="296"/>
    </row>
    <row r="1992" spans="3:104" s="19" customFormat="1" ht="12"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  <c r="N1992" s="21"/>
      <c r="O1992" s="21"/>
      <c r="P1992" s="21"/>
      <c r="Q1992" s="21"/>
      <c r="R1992" s="21"/>
      <c r="S1992" s="21"/>
      <c r="T1992" s="21"/>
      <c r="U1992" s="21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Z1992" s="296"/>
      <c r="CZ1992" s="296"/>
    </row>
    <row r="1993" spans="3:104" s="19" customFormat="1" ht="12"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  <c r="Q1993" s="21"/>
      <c r="R1993" s="21"/>
      <c r="S1993" s="21"/>
      <c r="T1993" s="21"/>
      <c r="U1993" s="21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Z1993" s="296"/>
      <c r="CZ1993" s="296"/>
    </row>
    <row r="1994" spans="3:104" s="19" customFormat="1" ht="12"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  <c r="N1994" s="21"/>
      <c r="O1994" s="21"/>
      <c r="P1994" s="21"/>
      <c r="Q1994" s="21"/>
      <c r="R1994" s="21"/>
      <c r="S1994" s="21"/>
      <c r="T1994" s="21"/>
      <c r="U1994" s="21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Z1994" s="296"/>
      <c r="CZ1994" s="296"/>
    </row>
    <row r="1995" spans="3:104" s="19" customFormat="1" ht="12"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  <c r="Q1995" s="21"/>
      <c r="R1995" s="21"/>
      <c r="S1995" s="21"/>
      <c r="T1995" s="21"/>
      <c r="U1995" s="21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Z1995" s="296"/>
      <c r="CZ1995" s="296"/>
    </row>
    <row r="1996" spans="3:104" s="19" customFormat="1" ht="12"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Z1996" s="296"/>
      <c r="CZ1996" s="296"/>
    </row>
    <row r="1997" spans="3:104" s="19" customFormat="1" ht="12"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Z1997" s="296"/>
      <c r="CZ1997" s="296"/>
    </row>
    <row r="1998" spans="3:104" s="19" customFormat="1" ht="12"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Z1998" s="296"/>
      <c r="CZ1998" s="296"/>
    </row>
    <row r="1999" spans="3:104" s="19" customFormat="1" ht="12"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Z1999" s="296"/>
      <c r="CZ1999" s="296"/>
    </row>
    <row r="2000" spans="3:104" s="19" customFormat="1" ht="12"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  <c r="N2000" s="21"/>
      <c r="O2000" s="21"/>
      <c r="P2000" s="21"/>
      <c r="Q2000" s="21"/>
      <c r="R2000" s="21"/>
      <c r="S2000" s="21"/>
      <c r="T2000" s="21"/>
      <c r="U2000" s="21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Z2000" s="296"/>
      <c r="CZ2000" s="296"/>
    </row>
    <row r="2001" spans="3:104" s="19" customFormat="1" ht="12"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  <c r="Q2001" s="21"/>
      <c r="R2001" s="21"/>
      <c r="S2001" s="21"/>
      <c r="T2001" s="21"/>
      <c r="U2001" s="21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Z2001" s="296"/>
      <c r="CZ2001" s="296"/>
    </row>
    <row r="2002" spans="3:104" s="19" customFormat="1" ht="12"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  <c r="N2002" s="21"/>
      <c r="O2002" s="21"/>
      <c r="P2002" s="21"/>
      <c r="Q2002" s="21"/>
      <c r="R2002" s="21"/>
      <c r="S2002" s="21"/>
      <c r="T2002" s="21"/>
      <c r="U2002" s="21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Z2002" s="296"/>
      <c r="CZ2002" s="296"/>
    </row>
    <row r="2003" spans="3:104" s="19" customFormat="1" ht="12"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Z2003" s="296"/>
      <c r="CZ2003" s="296"/>
    </row>
    <row r="2004" spans="3:104" s="19" customFormat="1" ht="12"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Z2004" s="296"/>
      <c r="CZ2004" s="296"/>
    </row>
    <row r="2005" spans="3:104" s="19" customFormat="1" ht="12"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Z2005" s="296"/>
      <c r="CZ2005" s="296"/>
    </row>
    <row r="2006" spans="3:104" s="19" customFormat="1" ht="12"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  <c r="N2006" s="21"/>
      <c r="O2006" s="21"/>
      <c r="P2006" s="21"/>
      <c r="Q2006" s="21"/>
      <c r="R2006" s="21"/>
      <c r="S2006" s="21"/>
      <c r="T2006" s="21"/>
      <c r="U2006" s="21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Z2006" s="296"/>
      <c r="CZ2006" s="296"/>
    </row>
    <row r="2007" spans="3:104" s="19" customFormat="1" ht="12"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  <c r="Q2007" s="21"/>
      <c r="R2007" s="21"/>
      <c r="S2007" s="21"/>
      <c r="T2007" s="21"/>
      <c r="U2007" s="21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Z2007" s="296"/>
      <c r="CZ2007" s="296"/>
    </row>
    <row r="2008" spans="3:104" s="19" customFormat="1" ht="12"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  <c r="N2008" s="21"/>
      <c r="O2008" s="21"/>
      <c r="P2008" s="21"/>
      <c r="Q2008" s="21"/>
      <c r="R2008" s="21"/>
      <c r="S2008" s="21"/>
      <c r="T2008" s="21"/>
      <c r="U2008" s="21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Z2008" s="296"/>
      <c r="CZ2008" s="296"/>
    </row>
    <row r="2009" spans="3:104" s="19" customFormat="1" ht="12"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  <c r="Q2009" s="21"/>
      <c r="R2009" s="21"/>
      <c r="S2009" s="21"/>
      <c r="T2009" s="21"/>
      <c r="U2009" s="21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Z2009" s="296"/>
      <c r="CZ2009" s="296"/>
    </row>
    <row r="2010" spans="3:104" s="19" customFormat="1" ht="12"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  <c r="N2010" s="21"/>
      <c r="O2010" s="21"/>
      <c r="P2010" s="21"/>
      <c r="Q2010" s="21"/>
      <c r="R2010" s="21"/>
      <c r="S2010" s="21"/>
      <c r="T2010" s="21"/>
      <c r="U2010" s="21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Z2010" s="296"/>
      <c r="CZ2010" s="296"/>
    </row>
    <row r="2011" spans="3:104" s="19" customFormat="1" ht="12"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  <c r="Q2011" s="21"/>
      <c r="R2011" s="21"/>
      <c r="S2011" s="21"/>
      <c r="T2011" s="21"/>
      <c r="U2011" s="21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Z2011" s="296"/>
      <c r="CZ2011" s="296"/>
    </row>
    <row r="2012" spans="3:104" s="19" customFormat="1" ht="12"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  <c r="N2012" s="21"/>
      <c r="O2012" s="21"/>
      <c r="P2012" s="21"/>
      <c r="Q2012" s="21"/>
      <c r="R2012" s="21"/>
      <c r="S2012" s="21"/>
      <c r="T2012" s="21"/>
      <c r="U2012" s="21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Z2012" s="296"/>
      <c r="CZ2012" s="296"/>
    </row>
    <row r="2013" spans="3:104" s="19" customFormat="1" ht="12"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  <c r="Q2013" s="21"/>
      <c r="R2013" s="21"/>
      <c r="S2013" s="21"/>
      <c r="T2013" s="21"/>
      <c r="U2013" s="21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Z2013" s="296"/>
      <c r="CZ2013" s="296"/>
    </row>
    <row r="2014" spans="3:104" s="19" customFormat="1" ht="12"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  <c r="N2014" s="21"/>
      <c r="O2014" s="21"/>
      <c r="P2014" s="21"/>
      <c r="Q2014" s="21"/>
      <c r="R2014" s="21"/>
      <c r="S2014" s="21"/>
      <c r="T2014" s="21"/>
      <c r="U2014" s="21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Z2014" s="296"/>
      <c r="CZ2014" s="296"/>
    </row>
    <row r="2015" spans="3:104" s="19" customFormat="1" ht="12"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Z2015" s="296"/>
      <c r="CZ2015" s="296"/>
    </row>
    <row r="2016" spans="3:104" s="19" customFormat="1" ht="12"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Z2016" s="296"/>
      <c r="CZ2016" s="296"/>
    </row>
    <row r="2017" spans="3:104" s="19" customFormat="1" ht="12"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Z2017" s="296"/>
      <c r="CZ2017" s="296"/>
    </row>
    <row r="2018" spans="3:104" s="19" customFormat="1" ht="12"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  <c r="N2018" s="21"/>
      <c r="O2018" s="21"/>
      <c r="P2018" s="21"/>
      <c r="Q2018" s="21"/>
      <c r="R2018" s="21"/>
      <c r="S2018" s="21"/>
      <c r="T2018" s="21"/>
      <c r="U2018" s="21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Z2018" s="296"/>
      <c r="CZ2018" s="296"/>
    </row>
    <row r="2019" spans="3:104" s="19" customFormat="1" ht="12"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  <c r="Q2019" s="21"/>
      <c r="R2019" s="21"/>
      <c r="S2019" s="21"/>
      <c r="T2019" s="21"/>
      <c r="U2019" s="21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Z2019" s="296"/>
      <c r="CZ2019" s="296"/>
    </row>
    <row r="2020" spans="3:104" s="19" customFormat="1" ht="12"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  <c r="N2020" s="21"/>
      <c r="O2020" s="21"/>
      <c r="P2020" s="21"/>
      <c r="Q2020" s="21"/>
      <c r="R2020" s="21"/>
      <c r="S2020" s="21"/>
      <c r="T2020" s="21"/>
      <c r="U2020" s="21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Z2020" s="296"/>
      <c r="CZ2020" s="296"/>
    </row>
    <row r="2021" spans="3:104" s="19" customFormat="1" ht="12"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  <c r="Q2021" s="21"/>
      <c r="R2021" s="21"/>
      <c r="S2021" s="21"/>
      <c r="T2021" s="21"/>
      <c r="U2021" s="21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Z2021" s="296"/>
      <c r="CZ2021" s="296"/>
    </row>
    <row r="2022" spans="3:104" s="19" customFormat="1" ht="12"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Z2022" s="296"/>
      <c r="CZ2022" s="296"/>
    </row>
    <row r="2023" spans="3:104" s="19" customFormat="1" ht="12"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Z2023" s="296"/>
      <c r="CZ2023" s="296"/>
    </row>
    <row r="2024" spans="3:104" s="19" customFormat="1" ht="12"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Z2024" s="296"/>
      <c r="CZ2024" s="296"/>
    </row>
    <row r="2025" spans="3:104" s="19" customFormat="1" ht="12"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  <c r="Q2025" s="21"/>
      <c r="R2025" s="21"/>
      <c r="S2025" s="21"/>
      <c r="T2025" s="21"/>
      <c r="U2025" s="21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Z2025" s="296"/>
      <c r="CZ2025" s="296"/>
    </row>
    <row r="2026" spans="3:104" s="19" customFormat="1" ht="12"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1"/>
      <c r="P2026" s="21"/>
      <c r="Q2026" s="21"/>
      <c r="R2026" s="21"/>
      <c r="S2026" s="21"/>
      <c r="T2026" s="21"/>
      <c r="U2026" s="21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Z2026" s="296"/>
      <c r="CZ2026" s="296"/>
    </row>
    <row r="2027" spans="3:104" s="19" customFormat="1" ht="12"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  <c r="Q2027" s="21"/>
      <c r="R2027" s="21"/>
      <c r="S2027" s="21"/>
      <c r="T2027" s="21"/>
      <c r="U2027" s="21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Z2027" s="296"/>
      <c r="CZ2027" s="296"/>
    </row>
    <row r="2028" spans="3:104" s="19" customFormat="1" ht="12"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  <c r="N2028" s="21"/>
      <c r="O2028" s="21"/>
      <c r="P2028" s="21"/>
      <c r="Q2028" s="21"/>
      <c r="R2028" s="21"/>
      <c r="S2028" s="21"/>
      <c r="T2028" s="21"/>
      <c r="U2028" s="21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Z2028" s="296"/>
      <c r="CZ2028" s="296"/>
    </row>
    <row r="2029" spans="3:104" s="19" customFormat="1" ht="12"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Z2029" s="296"/>
      <c r="CZ2029" s="296"/>
    </row>
    <row r="2030" spans="3:104" s="19" customFormat="1" ht="12"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Z2030" s="296"/>
      <c r="CZ2030" s="296"/>
    </row>
    <row r="2031" spans="3:104" s="19" customFormat="1" ht="12"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Z2031" s="296"/>
      <c r="CZ2031" s="296"/>
    </row>
    <row r="2032" spans="3:104" s="19" customFormat="1" ht="12"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  <c r="N2032" s="21"/>
      <c r="O2032" s="21"/>
      <c r="P2032" s="21"/>
      <c r="Q2032" s="21"/>
      <c r="R2032" s="21"/>
      <c r="S2032" s="21"/>
      <c r="T2032" s="21"/>
      <c r="U2032" s="21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Z2032" s="296"/>
      <c r="CZ2032" s="296"/>
    </row>
    <row r="2033" spans="3:104" s="19" customFormat="1" ht="12"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  <c r="Q2033" s="21"/>
      <c r="R2033" s="21"/>
      <c r="S2033" s="21"/>
      <c r="T2033" s="21"/>
      <c r="U2033" s="21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Z2033" s="296"/>
      <c r="CZ2033" s="296"/>
    </row>
    <row r="2034" spans="3:104" s="19" customFormat="1" ht="12"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  <c r="N2034" s="21"/>
      <c r="O2034" s="21"/>
      <c r="P2034" s="21"/>
      <c r="Q2034" s="21"/>
      <c r="R2034" s="21"/>
      <c r="S2034" s="21"/>
      <c r="T2034" s="21"/>
      <c r="U2034" s="21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Z2034" s="296"/>
      <c r="CZ2034" s="296"/>
    </row>
    <row r="2035" spans="3:104" s="19" customFormat="1" ht="12"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  <c r="Q2035" s="21"/>
      <c r="R2035" s="21"/>
      <c r="S2035" s="21"/>
      <c r="T2035" s="21"/>
      <c r="U2035" s="21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Z2035" s="296"/>
      <c r="CZ2035" s="296"/>
    </row>
    <row r="2036" spans="3:104" s="19" customFormat="1" ht="12"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Z2036" s="296"/>
      <c r="CZ2036" s="296"/>
    </row>
    <row r="2037" spans="3:104" s="19" customFormat="1" ht="12"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Z2037" s="296"/>
      <c r="CZ2037" s="296"/>
    </row>
    <row r="2038" spans="3:104" s="19" customFormat="1" ht="12"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Z2038" s="296"/>
      <c r="CZ2038" s="296"/>
    </row>
    <row r="2039" spans="3:104" s="19" customFormat="1" ht="12"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  <c r="Q2039" s="21"/>
      <c r="R2039" s="21"/>
      <c r="S2039" s="21"/>
      <c r="T2039" s="21"/>
      <c r="U2039" s="21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Z2039" s="296"/>
      <c r="CZ2039" s="296"/>
    </row>
    <row r="2040" spans="3:104" s="19" customFormat="1" ht="12"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  <c r="N2040" s="21"/>
      <c r="O2040" s="21"/>
      <c r="P2040" s="21"/>
      <c r="Q2040" s="21"/>
      <c r="R2040" s="21"/>
      <c r="S2040" s="21"/>
      <c r="T2040" s="21"/>
      <c r="U2040" s="21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Z2040" s="296"/>
      <c r="CZ2040" s="296"/>
    </row>
    <row r="2041" spans="3:104" s="19" customFormat="1" ht="12"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  <c r="Q2041" s="21"/>
      <c r="R2041" s="21"/>
      <c r="S2041" s="21"/>
      <c r="T2041" s="21"/>
      <c r="U2041" s="21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Z2041" s="296"/>
      <c r="CZ2041" s="296"/>
    </row>
    <row r="2042" spans="3:104" s="19" customFormat="1" ht="12"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  <c r="N2042" s="21"/>
      <c r="O2042" s="21"/>
      <c r="P2042" s="21"/>
      <c r="Q2042" s="21"/>
      <c r="R2042" s="21"/>
      <c r="S2042" s="21"/>
      <c r="T2042" s="21"/>
      <c r="U2042" s="21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Z2042" s="296"/>
      <c r="CZ2042" s="296"/>
    </row>
    <row r="2043" spans="3:104" s="19" customFormat="1" ht="12"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Z2043" s="296"/>
      <c r="CZ2043" s="296"/>
    </row>
    <row r="2044" spans="3:104" s="19" customFormat="1" ht="12"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Z2044" s="296"/>
      <c r="CZ2044" s="296"/>
    </row>
    <row r="2045" spans="3:104" s="19" customFormat="1" ht="12"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Z2045" s="296"/>
      <c r="CZ2045" s="296"/>
    </row>
    <row r="2046" spans="3:104" s="19" customFormat="1" ht="12"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  <c r="N2046" s="21"/>
      <c r="O2046" s="21"/>
      <c r="P2046" s="21"/>
      <c r="Q2046" s="21"/>
      <c r="R2046" s="21"/>
      <c r="S2046" s="21"/>
      <c r="T2046" s="21"/>
      <c r="U2046" s="21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Z2046" s="296"/>
      <c r="CZ2046" s="296"/>
    </row>
    <row r="2047" spans="3:104" s="19" customFormat="1" ht="12"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  <c r="Q2047" s="21"/>
      <c r="R2047" s="21"/>
      <c r="S2047" s="21"/>
      <c r="T2047" s="21"/>
      <c r="U2047" s="21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Z2047" s="296"/>
      <c r="CZ2047" s="296"/>
    </row>
    <row r="2048" spans="3:104" s="19" customFormat="1" ht="12"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1"/>
      <c r="P2048" s="21"/>
      <c r="Q2048" s="21"/>
      <c r="R2048" s="21"/>
      <c r="S2048" s="21"/>
      <c r="T2048" s="21"/>
      <c r="U2048" s="21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Z2048" s="296"/>
      <c r="CZ2048" s="296"/>
    </row>
    <row r="2049" spans="3:104" s="19" customFormat="1" ht="12"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  <c r="Q2049" s="21"/>
      <c r="R2049" s="21"/>
      <c r="S2049" s="21"/>
      <c r="T2049" s="21"/>
      <c r="U2049" s="21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Z2049" s="296"/>
      <c r="CZ2049" s="296"/>
    </row>
    <row r="2050" spans="3:104" s="19" customFormat="1" ht="12"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Z2050" s="296"/>
      <c r="CZ2050" s="296"/>
    </row>
    <row r="2051" spans="3:104" s="19" customFormat="1" ht="12"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Z2051" s="296"/>
      <c r="CZ2051" s="296"/>
    </row>
    <row r="2052" spans="3:104" s="19" customFormat="1" ht="12"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Z2052" s="296"/>
      <c r="CZ2052" s="296"/>
    </row>
    <row r="2053" spans="3:104" s="19" customFormat="1" ht="12"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  <c r="Q2053" s="21"/>
      <c r="R2053" s="21"/>
      <c r="S2053" s="21"/>
      <c r="T2053" s="21"/>
      <c r="U2053" s="21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Z2053" s="296"/>
      <c r="CZ2053" s="296"/>
    </row>
    <row r="2054" spans="3:104" s="19" customFormat="1" ht="12"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  <c r="N2054" s="21"/>
      <c r="O2054" s="21"/>
      <c r="P2054" s="21"/>
      <c r="Q2054" s="21"/>
      <c r="R2054" s="21"/>
      <c r="S2054" s="21"/>
      <c r="T2054" s="21"/>
      <c r="U2054" s="21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Z2054" s="296"/>
      <c r="CZ2054" s="296"/>
    </row>
    <row r="2055" spans="3:104" s="19" customFormat="1" ht="12"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  <c r="Q2055" s="21"/>
      <c r="R2055" s="21"/>
      <c r="S2055" s="21"/>
      <c r="T2055" s="21"/>
      <c r="U2055" s="21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Z2055" s="296"/>
      <c r="CZ2055" s="296"/>
    </row>
    <row r="2056" spans="3:104" s="19" customFormat="1" ht="12"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  <c r="N2056" s="21"/>
      <c r="O2056" s="21"/>
      <c r="P2056" s="21"/>
      <c r="Q2056" s="21"/>
      <c r="R2056" s="21"/>
      <c r="S2056" s="21"/>
      <c r="T2056" s="21"/>
      <c r="U2056" s="21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Z2056" s="296"/>
      <c r="CZ2056" s="296"/>
    </row>
    <row r="2057" spans="3:104" s="19" customFormat="1" ht="12"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Z2057" s="296"/>
      <c r="CZ2057" s="296"/>
    </row>
    <row r="2058" spans="3:104" s="19" customFormat="1" ht="12"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Z2058" s="296"/>
      <c r="CZ2058" s="296"/>
    </row>
    <row r="2059" spans="3:104" s="19" customFormat="1" ht="12"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Z2059" s="296"/>
      <c r="CZ2059" s="296"/>
    </row>
    <row r="2060" spans="3:104" s="19" customFormat="1" ht="12"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  <c r="N2060" s="21"/>
      <c r="O2060" s="21"/>
      <c r="P2060" s="21"/>
      <c r="Q2060" s="21"/>
      <c r="R2060" s="21"/>
      <c r="S2060" s="21"/>
      <c r="T2060" s="21"/>
      <c r="U2060" s="21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Z2060" s="296"/>
      <c r="CZ2060" s="296"/>
    </row>
    <row r="2061" spans="3:104" s="19" customFormat="1" ht="12"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  <c r="Q2061" s="21"/>
      <c r="R2061" s="21"/>
      <c r="S2061" s="21"/>
      <c r="T2061" s="21"/>
      <c r="U2061" s="21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Z2061" s="296"/>
      <c r="CZ2061" s="296"/>
    </row>
    <row r="2062" spans="3:104" s="19" customFormat="1" ht="12"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  <c r="N2062" s="21"/>
      <c r="O2062" s="21"/>
      <c r="P2062" s="21"/>
      <c r="Q2062" s="21"/>
      <c r="R2062" s="21"/>
      <c r="S2062" s="21"/>
      <c r="T2062" s="21"/>
      <c r="U2062" s="21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Z2062" s="296"/>
      <c r="CZ2062" s="296"/>
    </row>
    <row r="2063" spans="3:104" s="19" customFormat="1" ht="12"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  <c r="Q2063" s="21"/>
      <c r="R2063" s="21"/>
      <c r="S2063" s="21"/>
      <c r="T2063" s="21"/>
      <c r="U2063" s="21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Z2063" s="296"/>
      <c r="CZ2063" s="296"/>
    </row>
    <row r="2064" spans="3:104" s="19" customFormat="1" ht="12"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Z2064" s="296"/>
      <c r="CZ2064" s="296"/>
    </row>
    <row r="2065" spans="3:104" s="19" customFormat="1" ht="12"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Z2065" s="296"/>
      <c r="CZ2065" s="296"/>
    </row>
    <row r="2066" spans="3:104" s="19" customFormat="1" ht="12"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Z2066" s="296"/>
      <c r="CZ2066" s="296"/>
    </row>
    <row r="2067" spans="3:104" s="19" customFormat="1" ht="12"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  <c r="Q2067" s="21"/>
      <c r="R2067" s="21"/>
      <c r="S2067" s="21"/>
      <c r="T2067" s="21"/>
      <c r="U2067" s="21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Z2067" s="296"/>
      <c r="CZ2067" s="296"/>
    </row>
    <row r="2068" spans="3:104" s="19" customFormat="1" ht="12"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  <c r="N2068" s="21"/>
      <c r="O2068" s="21"/>
      <c r="P2068" s="21"/>
      <c r="Q2068" s="21"/>
      <c r="R2068" s="21"/>
      <c r="S2068" s="21"/>
      <c r="T2068" s="21"/>
      <c r="U2068" s="21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Z2068" s="296"/>
      <c r="CZ2068" s="296"/>
    </row>
    <row r="2069" spans="3:104" s="19" customFormat="1" ht="12"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  <c r="Q2069" s="21"/>
      <c r="R2069" s="21"/>
      <c r="S2069" s="21"/>
      <c r="T2069" s="21"/>
      <c r="U2069" s="21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Z2069" s="296"/>
      <c r="CZ2069" s="296"/>
    </row>
    <row r="2070" spans="3:104" s="19" customFormat="1" ht="12"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1"/>
      <c r="P2070" s="21"/>
      <c r="Q2070" s="21"/>
      <c r="R2070" s="21"/>
      <c r="S2070" s="21"/>
      <c r="T2070" s="21"/>
      <c r="U2070" s="21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Z2070" s="296"/>
      <c r="CZ2070" s="296"/>
    </row>
    <row r="2071" spans="3:104" s="19" customFormat="1" ht="12"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Z2071" s="296"/>
      <c r="CZ2071" s="296"/>
    </row>
    <row r="2072" spans="3:104" s="19" customFormat="1" ht="12"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Z2072" s="296"/>
      <c r="CZ2072" s="296"/>
    </row>
    <row r="2073" spans="3:104" s="19" customFormat="1" ht="12"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Z2073" s="296"/>
      <c r="CZ2073" s="296"/>
    </row>
    <row r="2074" spans="3:104" s="19" customFormat="1" ht="12"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  <c r="N2074" s="21"/>
      <c r="O2074" s="21"/>
      <c r="P2074" s="21"/>
      <c r="Q2074" s="21"/>
      <c r="R2074" s="21"/>
      <c r="S2074" s="21"/>
      <c r="T2074" s="21"/>
      <c r="U2074" s="21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Z2074" s="296"/>
      <c r="CZ2074" s="296"/>
    </row>
    <row r="2075" spans="3:104" s="19" customFormat="1" ht="12"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  <c r="Q2075" s="21"/>
      <c r="R2075" s="21"/>
      <c r="S2075" s="21"/>
      <c r="T2075" s="21"/>
      <c r="U2075" s="21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Z2075" s="296"/>
      <c r="CZ2075" s="296"/>
    </row>
    <row r="2076" spans="3:104" s="19" customFormat="1" ht="12"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  <c r="N2076" s="21"/>
      <c r="O2076" s="21"/>
      <c r="P2076" s="21"/>
      <c r="Q2076" s="21"/>
      <c r="R2076" s="21"/>
      <c r="S2076" s="21"/>
      <c r="T2076" s="21"/>
      <c r="U2076" s="21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Z2076" s="296"/>
      <c r="CZ2076" s="296"/>
    </row>
    <row r="2077" spans="3:104" s="19" customFormat="1" ht="12"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  <c r="Q2077" s="21"/>
      <c r="R2077" s="21"/>
      <c r="S2077" s="21"/>
      <c r="T2077" s="21"/>
      <c r="U2077" s="21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Z2077" s="296"/>
      <c r="CZ2077" s="296"/>
    </row>
    <row r="2078" spans="3:104" s="19" customFormat="1" ht="12"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Z2078" s="296"/>
      <c r="CZ2078" s="296"/>
    </row>
    <row r="2079" spans="3:104" s="19" customFormat="1" ht="12"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Z2079" s="296"/>
      <c r="CZ2079" s="296"/>
    </row>
    <row r="2080" spans="3:104" s="19" customFormat="1" ht="12"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Z2080" s="296"/>
      <c r="CZ2080" s="296"/>
    </row>
    <row r="2081" spans="3:104" s="19" customFormat="1" ht="12"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  <c r="Q2081" s="21"/>
      <c r="R2081" s="21"/>
      <c r="S2081" s="21"/>
      <c r="T2081" s="21"/>
      <c r="U2081" s="21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Z2081" s="296"/>
      <c r="CZ2081" s="296"/>
    </row>
    <row r="2082" spans="3:104" s="19" customFormat="1" ht="12"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  <c r="N2082" s="21"/>
      <c r="O2082" s="21"/>
      <c r="P2082" s="21"/>
      <c r="Q2082" s="21"/>
      <c r="R2082" s="21"/>
      <c r="S2082" s="21"/>
      <c r="T2082" s="21"/>
      <c r="U2082" s="21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Z2082" s="296"/>
      <c r="CZ2082" s="296"/>
    </row>
    <row r="2083" spans="3:104" s="19" customFormat="1" ht="12"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  <c r="Q2083" s="21"/>
      <c r="R2083" s="21"/>
      <c r="S2083" s="21"/>
      <c r="T2083" s="21"/>
      <c r="U2083" s="21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Z2083" s="296"/>
      <c r="CZ2083" s="296"/>
    </row>
    <row r="2084" spans="3:104" s="19" customFormat="1" ht="12"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  <c r="N2084" s="21"/>
      <c r="O2084" s="21"/>
      <c r="P2084" s="21"/>
      <c r="Q2084" s="21"/>
      <c r="R2084" s="21"/>
      <c r="S2084" s="21"/>
      <c r="T2084" s="21"/>
      <c r="U2084" s="21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Z2084" s="296"/>
      <c r="CZ2084" s="296"/>
    </row>
    <row r="2085" spans="3:104" s="19" customFormat="1" ht="12"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  <c r="Q2085" s="21"/>
      <c r="R2085" s="21"/>
      <c r="S2085" s="21"/>
      <c r="T2085" s="21"/>
      <c r="U2085" s="21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Z2085" s="296"/>
      <c r="CZ2085" s="296"/>
    </row>
    <row r="2086" spans="3:104" s="19" customFormat="1" ht="12"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  <c r="N2086" s="21"/>
      <c r="O2086" s="21"/>
      <c r="P2086" s="21"/>
      <c r="Q2086" s="21"/>
      <c r="R2086" s="21"/>
      <c r="S2086" s="21"/>
      <c r="T2086" s="21"/>
      <c r="U2086" s="21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Z2086" s="296"/>
      <c r="CZ2086" s="296"/>
    </row>
    <row r="2087" spans="3:104" s="19" customFormat="1" ht="12"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  <c r="Q2087" s="21"/>
      <c r="R2087" s="21"/>
      <c r="S2087" s="21"/>
      <c r="T2087" s="21"/>
      <c r="U2087" s="21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Z2087" s="296"/>
      <c r="CZ2087" s="296"/>
    </row>
    <row r="2088" spans="3:104" s="19" customFormat="1" ht="12"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  <c r="N2088" s="21"/>
      <c r="O2088" s="21"/>
      <c r="P2088" s="21"/>
      <c r="Q2088" s="21"/>
      <c r="R2088" s="21"/>
      <c r="S2088" s="21"/>
      <c r="T2088" s="21"/>
      <c r="U2088" s="21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Z2088" s="296"/>
      <c r="CZ2088" s="296"/>
    </row>
    <row r="2089" spans="3:104" s="19" customFormat="1" ht="12"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  <c r="Q2089" s="21"/>
      <c r="R2089" s="21"/>
      <c r="S2089" s="21"/>
      <c r="T2089" s="21"/>
      <c r="U2089" s="21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Z2089" s="296"/>
      <c r="CZ2089" s="296"/>
    </row>
    <row r="2090" spans="3:104" s="19" customFormat="1" ht="12"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  <c r="N2090" s="21"/>
      <c r="O2090" s="21"/>
      <c r="P2090" s="21"/>
      <c r="Q2090" s="21"/>
      <c r="R2090" s="21"/>
      <c r="S2090" s="21"/>
      <c r="T2090" s="21"/>
      <c r="U2090" s="21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Z2090" s="296"/>
      <c r="CZ2090" s="296"/>
    </row>
    <row r="2091" spans="3:104" s="19" customFormat="1" ht="12"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  <c r="Q2091" s="21"/>
      <c r="R2091" s="21"/>
      <c r="S2091" s="21"/>
      <c r="T2091" s="21"/>
      <c r="U2091" s="21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Z2091" s="296"/>
      <c r="CZ2091" s="296"/>
    </row>
    <row r="2092" spans="3:104" s="19" customFormat="1" ht="12"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1"/>
      <c r="P2092" s="21"/>
      <c r="Q2092" s="21"/>
      <c r="R2092" s="21"/>
      <c r="S2092" s="21"/>
      <c r="T2092" s="21"/>
      <c r="U2092" s="21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Z2092" s="296"/>
      <c r="CZ2092" s="296"/>
    </row>
    <row r="2093" spans="3:104" s="19" customFormat="1" ht="12"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  <c r="Q2093" s="21"/>
      <c r="R2093" s="21"/>
      <c r="S2093" s="21"/>
      <c r="T2093" s="21"/>
      <c r="U2093" s="21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Z2093" s="296"/>
      <c r="CZ2093" s="296"/>
    </row>
    <row r="2094" spans="3:104" s="19" customFormat="1" ht="12"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  <c r="N2094" s="21"/>
      <c r="O2094" s="21"/>
      <c r="P2094" s="21"/>
      <c r="Q2094" s="21"/>
      <c r="R2094" s="21"/>
      <c r="S2094" s="21"/>
      <c r="T2094" s="21"/>
      <c r="U2094" s="21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Z2094" s="296"/>
      <c r="CZ2094" s="296"/>
    </row>
    <row r="2095" spans="3:104" s="19" customFormat="1" ht="12"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  <c r="Q2095" s="21"/>
      <c r="R2095" s="21"/>
      <c r="S2095" s="21"/>
      <c r="T2095" s="21"/>
      <c r="U2095" s="21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Z2095" s="296"/>
      <c r="CZ2095" s="296"/>
    </row>
    <row r="2096" spans="3:104" s="19" customFormat="1" ht="12"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  <c r="N2096" s="21"/>
      <c r="O2096" s="21"/>
      <c r="P2096" s="21"/>
      <c r="Q2096" s="21"/>
      <c r="R2096" s="21"/>
      <c r="S2096" s="21"/>
      <c r="T2096" s="21"/>
      <c r="U2096" s="21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Z2096" s="296"/>
      <c r="CZ2096" s="296"/>
    </row>
    <row r="2097" spans="3:104" s="19" customFormat="1" ht="12"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  <c r="Q2097" s="21"/>
      <c r="R2097" s="21"/>
      <c r="S2097" s="21"/>
      <c r="T2097" s="21"/>
      <c r="U2097" s="21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Z2097" s="296"/>
      <c r="CZ2097" s="296"/>
    </row>
    <row r="2098" spans="3:104" s="19" customFormat="1" ht="12"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  <c r="N2098" s="21"/>
      <c r="O2098" s="21"/>
      <c r="P2098" s="21"/>
      <c r="Q2098" s="21"/>
      <c r="R2098" s="21"/>
      <c r="S2098" s="21"/>
      <c r="T2098" s="21"/>
      <c r="U2098" s="21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Z2098" s="296"/>
      <c r="CZ2098" s="296"/>
    </row>
    <row r="2099" spans="3:104" s="19" customFormat="1" ht="12"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  <c r="Q2099" s="21"/>
      <c r="R2099" s="21"/>
      <c r="S2099" s="21"/>
      <c r="T2099" s="21"/>
      <c r="U2099" s="21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Z2099" s="296"/>
      <c r="CZ2099" s="296"/>
    </row>
    <row r="2100" spans="3:104" s="19" customFormat="1" ht="12"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  <c r="N2100" s="21"/>
      <c r="O2100" s="21"/>
      <c r="P2100" s="21"/>
      <c r="Q2100" s="21"/>
      <c r="R2100" s="21"/>
      <c r="S2100" s="21"/>
      <c r="T2100" s="21"/>
      <c r="U2100" s="21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Z2100" s="296"/>
      <c r="CZ2100" s="296"/>
    </row>
    <row r="2101" spans="3:104" s="19" customFormat="1" ht="12"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  <c r="Q2101" s="21"/>
      <c r="R2101" s="21"/>
      <c r="S2101" s="21"/>
      <c r="T2101" s="21"/>
      <c r="U2101" s="21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Z2101" s="296"/>
      <c r="CZ2101" s="296"/>
    </row>
    <row r="2102" spans="3:104" s="19" customFormat="1" ht="12"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  <c r="N2102" s="21"/>
      <c r="O2102" s="21"/>
      <c r="P2102" s="21"/>
      <c r="Q2102" s="21"/>
      <c r="R2102" s="21"/>
      <c r="S2102" s="21"/>
      <c r="T2102" s="21"/>
      <c r="U2102" s="21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Z2102" s="296"/>
      <c r="CZ2102" s="296"/>
    </row>
    <row r="2103" spans="3:104" s="19" customFormat="1" ht="12"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  <c r="Q2103" s="21"/>
      <c r="R2103" s="21"/>
      <c r="S2103" s="21"/>
      <c r="T2103" s="21"/>
      <c r="U2103" s="21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Z2103" s="296"/>
      <c r="CZ2103" s="296"/>
    </row>
    <row r="2104" spans="3:104" s="19" customFormat="1" ht="12"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  <c r="N2104" s="21"/>
      <c r="O2104" s="21"/>
      <c r="P2104" s="21"/>
      <c r="Q2104" s="21"/>
      <c r="R2104" s="21"/>
      <c r="S2104" s="21"/>
      <c r="T2104" s="21"/>
      <c r="U2104" s="21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Z2104" s="296"/>
      <c r="CZ2104" s="296"/>
    </row>
    <row r="2105" spans="3:104" s="19" customFormat="1" ht="12"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  <c r="Q2105" s="21"/>
      <c r="R2105" s="21"/>
      <c r="S2105" s="21"/>
      <c r="T2105" s="21"/>
      <c r="U2105" s="21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Z2105" s="296"/>
      <c r="CZ2105" s="296"/>
    </row>
    <row r="2106" spans="3:104" s="19" customFormat="1" ht="12"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  <c r="N2106" s="21"/>
      <c r="O2106" s="21"/>
      <c r="P2106" s="21"/>
      <c r="Q2106" s="21"/>
      <c r="R2106" s="21"/>
      <c r="S2106" s="21"/>
      <c r="T2106" s="21"/>
      <c r="U2106" s="21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Z2106" s="296"/>
      <c r="CZ2106" s="296"/>
    </row>
    <row r="2107" spans="3:104" s="19" customFormat="1" ht="12"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  <c r="Q2107" s="21"/>
      <c r="R2107" s="21"/>
      <c r="S2107" s="21"/>
      <c r="T2107" s="21"/>
      <c r="U2107" s="21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Z2107" s="296"/>
      <c r="CZ2107" s="296"/>
    </row>
    <row r="2108" spans="3:104" s="19" customFormat="1" ht="12"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  <c r="N2108" s="21"/>
      <c r="O2108" s="21"/>
      <c r="P2108" s="21"/>
      <c r="Q2108" s="21"/>
      <c r="R2108" s="21"/>
      <c r="S2108" s="21"/>
      <c r="T2108" s="21"/>
      <c r="U2108" s="21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Z2108" s="296"/>
      <c r="CZ2108" s="296"/>
    </row>
    <row r="2109" spans="3:104" s="19" customFormat="1" ht="12"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  <c r="Q2109" s="21"/>
      <c r="R2109" s="21"/>
      <c r="S2109" s="21"/>
      <c r="T2109" s="21"/>
      <c r="U2109" s="21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Z2109" s="296"/>
      <c r="CZ2109" s="296"/>
    </row>
    <row r="2110" spans="3:104" s="19" customFormat="1" ht="12"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  <c r="N2110" s="21"/>
      <c r="O2110" s="21"/>
      <c r="P2110" s="21"/>
      <c r="Q2110" s="21"/>
      <c r="R2110" s="21"/>
      <c r="S2110" s="21"/>
      <c r="T2110" s="21"/>
      <c r="U2110" s="21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Z2110" s="296"/>
      <c r="CZ2110" s="296"/>
    </row>
    <row r="2111" spans="3:104" s="19" customFormat="1" ht="12"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  <c r="Q2111" s="21"/>
      <c r="R2111" s="21"/>
      <c r="S2111" s="21"/>
      <c r="T2111" s="21"/>
      <c r="U2111" s="21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Z2111" s="296"/>
      <c r="CZ2111" s="296"/>
    </row>
    <row r="2112" spans="3:104" s="19" customFormat="1" ht="12"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  <c r="N2112" s="21"/>
      <c r="O2112" s="21"/>
      <c r="P2112" s="21"/>
      <c r="Q2112" s="21"/>
      <c r="R2112" s="21"/>
      <c r="S2112" s="21"/>
      <c r="T2112" s="21"/>
      <c r="U2112" s="21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Z2112" s="296"/>
      <c r="CZ2112" s="296"/>
    </row>
    <row r="2113" spans="3:104" s="19" customFormat="1" ht="12"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  <c r="Q2113" s="21"/>
      <c r="R2113" s="21"/>
      <c r="S2113" s="21"/>
      <c r="T2113" s="21"/>
      <c r="U2113" s="21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Z2113" s="296"/>
      <c r="CZ2113" s="296"/>
    </row>
    <row r="2114" spans="3:104" s="19" customFormat="1" ht="12"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1"/>
      <c r="P2114" s="21"/>
      <c r="Q2114" s="21"/>
      <c r="R2114" s="21"/>
      <c r="S2114" s="21"/>
      <c r="T2114" s="21"/>
      <c r="U2114" s="21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Z2114" s="296"/>
      <c r="CZ2114" s="296"/>
    </row>
    <row r="2115" spans="3:104" s="19" customFormat="1" ht="12"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  <c r="Q2115" s="21"/>
      <c r="R2115" s="21"/>
      <c r="S2115" s="21"/>
      <c r="T2115" s="21"/>
      <c r="U2115" s="21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Z2115" s="296"/>
      <c r="CZ2115" s="296"/>
    </row>
    <row r="2116" spans="3:104" s="19" customFormat="1" ht="12"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  <c r="N2116" s="21"/>
      <c r="O2116" s="21"/>
      <c r="P2116" s="21"/>
      <c r="Q2116" s="21"/>
      <c r="R2116" s="21"/>
      <c r="S2116" s="21"/>
      <c r="T2116" s="21"/>
      <c r="U2116" s="21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Z2116" s="296"/>
      <c r="CZ2116" s="296"/>
    </row>
    <row r="2117" spans="3:104" s="19" customFormat="1" ht="12"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  <c r="Q2117" s="21"/>
      <c r="R2117" s="21"/>
      <c r="S2117" s="21"/>
      <c r="T2117" s="21"/>
      <c r="U2117" s="21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Z2117" s="296"/>
      <c r="CZ2117" s="296"/>
    </row>
    <row r="2118" spans="3:104" s="19" customFormat="1" ht="12"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  <c r="N2118" s="21"/>
      <c r="O2118" s="21"/>
      <c r="P2118" s="21"/>
      <c r="Q2118" s="21"/>
      <c r="R2118" s="21"/>
      <c r="S2118" s="21"/>
      <c r="T2118" s="21"/>
      <c r="U2118" s="21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Z2118" s="296"/>
      <c r="CZ2118" s="296"/>
    </row>
    <row r="2119" spans="3:104" s="19" customFormat="1" ht="12"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  <c r="Q2119" s="21"/>
      <c r="R2119" s="21"/>
      <c r="S2119" s="21"/>
      <c r="T2119" s="21"/>
      <c r="U2119" s="21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Z2119" s="296"/>
      <c r="CZ2119" s="296"/>
    </row>
    <row r="2120" spans="3:104" s="19" customFormat="1" ht="12"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  <c r="N2120" s="21"/>
      <c r="O2120" s="21"/>
      <c r="P2120" s="21"/>
      <c r="Q2120" s="21"/>
      <c r="R2120" s="21"/>
      <c r="S2120" s="21"/>
      <c r="T2120" s="21"/>
      <c r="U2120" s="21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Z2120" s="296"/>
      <c r="CZ2120" s="296"/>
    </row>
    <row r="2121" spans="3:104" s="19" customFormat="1" ht="12"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  <c r="Q2121" s="21"/>
      <c r="R2121" s="21"/>
      <c r="S2121" s="21"/>
      <c r="T2121" s="21"/>
      <c r="U2121" s="21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Z2121" s="296"/>
      <c r="CZ2121" s="296"/>
    </row>
    <row r="2122" spans="3:104" s="19" customFormat="1" ht="12"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  <c r="N2122" s="21"/>
      <c r="O2122" s="21"/>
      <c r="P2122" s="21"/>
      <c r="Q2122" s="21"/>
      <c r="R2122" s="21"/>
      <c r="S2122" s="21"/>
      <c r="T2122" s="21"/>
      <c r="U2122" s="21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Z2122" s="296"/>
      <c r="CZ2122" s="296"/>
    </row>
    <row r="2123" spans="3:104" s="19" customFormat="1" ht="12"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  <c r="Q2123" s="21"/>
      <c r="R2123" s="21"/>
      <c r="S2123" s="21"/>
      <c r="T2123" s="21"/>
      <c r="U2123" s="21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Z2123" s="296"/>
      <c r="CZ2123" s="296"/>
    </row>
    <row r="2124" spans="3:104" s="19" customFormat="1" ht="12"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  <c r="N2124" s="21"/>
      <c r="O2124" s="21"/>
      <c r="P2124" s="21"/>
      <c r="Q2124" s="21"/>
      <c r="R2124" s="21"/>
      <c r="S2124" s="21"/>
      <c r="T2124" s="21"/>
      <c r="U2124" s="21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Z2124" s="296"/>
      <c r="CZ2124" s="296"/>
    </row>
    <row r="2125" spans="3:104" s="19" customFormat="1" ht="12"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  <c r="Q2125" s="21"/>
      <c r="R2125" s="21"/>
      <c r="S2125" s="21"/>
      <c r="T2125" s="21"/>
      <c r="U2125" s="21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Z2125" s="296"/>
      <c r="CZ2125" s="296"/>
    </row>
    <row r="2126" spans="3:104" s="19" customFormat="1" ht="12"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  <c r="N2126" s="21"/>
      <c r="O2126" s="21"/>
      <c r="P2126" s="21"/>
      <c r="Q2126" s="21"/>
      <c r="R2126" s="21"/>
      <c r="S2126" s="21"/>
      <c r="T2126" s="21"/>
      <c r="U2126" s="21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Z2126" s="296"/>
      <c r="CZ2126" s="296"/>
    </row>
    <row r="2127" spans="3:104" s="19" customFormat="1" ht="12"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  <c r="Q2127" s="21"/>
      <c r="R2127" s="21"/>
      <c r="S2127" s="21"/>
      <c r="T2127" s="21"/>
      <c r="U2127" s="21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Z2127" s="296"/>
      <c r="CZ2127" s="296"/>
    </row>
    <row r="2128" spans="3:104" s="19" customFormat="1" ht="12"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  <c r="N2128" s="21"/>
      <c r="O2128" s="21"/>
      <c r="P2128" s="21"/>
      <c r="Q2128" s="21"/>
      <c r="R2128" s="21"/>
      <c r="S2128" s="21"/>
      <c r="T2128" s="21"/>
      <c r="U2128" s="21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Z2128" s="296"/>
      <c r="CZ2128" s="296"/>
    </row>
    <row r="2129" spans="3:104" s="19" customFormat="1" ht="12"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  <c r="Q2129" s="21"/>
      <c r="R2129" s="21"/>
      <c r="S2129" s="21"/>
      <c r="T2129" s="21"/>
      <c r="U2129" s="21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Z2129" s="296"/>
      <c r="CZ2129" s="296"/>
    </row>
    <row r="2130" spans="3:104" s="19" customFormat="1" ht="12"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  <c r="N2130" s="21"/>
      <c r="O2130" s="21"/>
      <c r="P2130" s="21"/>
      <c r="Q2130" s="21"/>
      <c r="R2130" s="21"/>
      <c r="S2130" s="21"/>
      <c r="T2130" s="21"/>
      <c r="U2130" s="21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Z2130" s="296"/>
      <c r="CZ2130" s="296"/>
    </row>
    <row r="2131" spans="3:104" s="19" customFormat="1" ht="12"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  <c r="Q2131" s="21"/>
      <c r="R2131" s="21"/>
      <c r="S2131" s="21"/>
      <c r="T2131" s="21"/>
      <c r="U2131" s="21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Z2131" s="296"/>
      <c r="CZ2131" s="296"/>
    </row>
    <row r="2132" spans="3:104" s="19" customFormat="1" ht="12"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  <c r="N2132" s="21"/>
      <c r="O2132" s="21"/>
      <c r="P2132" s="21"/>
      <c r="Q2132" s="21"/>
      <c r="R2132" s="21"/>
      <c r="S2132" s="21"/>
      <c r="T2132" s="21"/>
      <c r="U2132" s="21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Z2132" s="296"/>
      <c r="CZ2132" s="296"/>
    </row>
    <row r="2133" spans="3:104" s="19" customFormat="1" ht="12"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  <c r="Q2133" s="21"/>
      <c r="R2133" s="21"/>
      <c r="S2133" s="21"/>
      <c r="T2133" s="21"/>
      <c r="U2133" s="21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Z2133" s="296"/>
      <c r="CZ2133" s="296"/>
    </row>
    <row r="2134" spans="3:104" s="19" customFormat="1" ht="12"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  <c r="N2134" s="21"/>
      <c r="O2134" s="21"/>
      <c r="P2134" s="21"/>
      <c r="Q2134" s="21"/>
      <c r="R2134" s="21"/>
      <c r="S2134" s="21"/>
      <c r="T2134" s="21"/>
      <c r="U2134" s="21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Z2134" s="296"/>
      <c r="CZ2134" s="296"/>
    </row>
    <row r="2135" spans="3:104" s="19" customFormat="1" ht="12"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  <c r="Q2135" s="21"/>
      <c r="R2135" s="21"/>
      <c r="S2135" s="21"/>
      <c r="T2135" s="21"/>
      <c r="U2135" s="21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Z2135" s="296"/>
      <c r="CZ2135" s="296"/>
    </row>
    <row r="2136" spans="3:104" s="19" customFormat="1" ht="12"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1"/>
      <c r="P2136" s="21"/>
      <c r="Q2136" s="21"/>
      <c r="R2136" s="21"/>
      <c r="S2136" s="21"/>
      <c r="T2136" s="21"/>
      <c r="U2136" s="21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Z2136" s="296"/>
      <c r="CZ2136" s="296"/>
    </row>
    <row r="2137" spans="3:104" s="19" customFormat="1" ht="12"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  <c r="Q2137" s="21"/>
      <c r="R2137" s="21"/>
      <c r="S2137" s="21"/>
      <c r="T2137" s="21"/>
      <c r="U2137" s="21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Z2137" s="296"/>
      <c r="CZ2137" s="296"/>
    </row>
    <row r="2138" spans="3:104" s="19" customFormat="1" ht="12"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  <c r="N2138" s="21"/>
      <c r="O2138" s="21"/>
      <c r="P2138" s="21"/>
      <c r="Q2138" s="21"/>
      <c r="R2138" s="21"/>
      <c r="S2138" s="21"/>
      <c r="T2138" s="21"/>
      <c r="U2138" s="21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Z2138" s="296"/>
      <c r="CZ2138" s="296"/>
    </row>
    <row r="2139" spans="3:104" s="19" customFormat="1" ht="12"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  <c r="Q2139" s="21"/>
      <c r="R2139" s="21"/>
      <c r="S2139" s="21"/>
      <c r="T2139" s="21"/>
      <c r="U2139" s="21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Z2139" s="296"/>
      <c r="CZ2139" s="296"/>
    </row>
    <row r="2140" spans="3:104" s="19" customFormat="1" ht="12"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  <c r="N2140" s="21"/>
      <c r="O2140" s="21"/>
      <c r="P2140" s="21"/>
      <c r="Q2140" s="21"/>
      <c r="R2140" s="21"/>
      <c r="S2140" s="21"/>
      <c r="T2140" s="21"/>
      <c r="U2140" s="21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Z2140" s="296"/>
      <c r="CZ2140" s="296"/>
    </row>
    <row r="2141" spans="3:104" s="19" customFormat="1" ht="12"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  <c r="Q2141" s="21"/>
      <c r="R2141" s="21"/>
      <c r="S2141" s="21"/>
      <c r="T2141" s="21"/>
      <c r="U2141" s="21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Z2141" s="296"/>
      <c r="CZ2141" s="296"/>
    </row>
    <row r="2142" spans="3:104" s="19" customFormat="1" ht="12"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  <c r="N2142" s="21"/>
      <c r="O2142" s="21"/>
      <c r="P2142" s="21"/>
      <c r="Q2142" s="21"/>
      <c r="R2142" s="21"/>
      <c r="S2142" s="21"/>
      <c r="T2142" s="21"/>
      <c r="U2142" s="21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Z2142" s="296"/>
      <c r="CZ2142" s="296"/>
    </row>
    <row r="2143" spans="3:104" s="19" customFormat="1" ht="12"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  <c r="Q2143" s="21"/>
      <c r="R2143" s="21"/>
      <c r="S2143" s="21"/>
      <c r="T2143" s="21"/>
      <c r="U2143" s="21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Z2143" s="296"/>
      <c r="CZ2143" s="296"/>
    </row>
    <row r="2144" spans="3:104" s="19" customFormat="1" ht="12"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  <c r="N2144" s="21"/>
      <c r="O2144" s="21"/>
      <c r="P2144" s="21"/>
      <c r="Q2144" s="21"/>
      <c r="R2144" s="21"/>
      <c r="S2144" s="21"/>
      <c r="T2144" s="21"/>
      <c r="U2144" s="21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Z2144" s="296"/>
      <c r="CZ2144" s="296"/>
    </row>
    <row r="2145" spans="3:104" s="19" customFormat="1" ht="12"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  <c r="Q2145" s="21"/>
      <c r="R2145" s="21"/>
      <c r="S2145" s="21"/>
      <c r="T2145" s="21"/>
      <c r="U2145" s="21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Z2145" s="296"/>
      <c r="CZ2145" s="296"/>
    </row>
    <row r="2146" spans="3:104" s="19" customFormat="1" ht="12"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  <c r="N2146" s="21"/>
      <c r="O2146" s="21"/>
      <c r="P2146" s="21"/>
      <c r="Q2146" s="21"/>
      <c r="R2146" s="21"/>
      <c r="S2146" s="21"/>
      <c r="T2146" s="21"/>
      <c r="U2146" s="21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Z2146" s="296"/>
      <c r="CZ2146" s="296"/>
    </row>
    <row r="2147" spans="3:104" s="19" customFormat="1" ht="12"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  <c r="Q2147" s="21"/>
      <c r="R2147" s="21"/>
      <c r="S2147" s="21"/>
      <c r="T2147" s="21"/>
      <c r="U2147" s="21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Z2147" s="296"/>
      <c r="CZ2147" s="296"/>
    </row>
    <row r="2148" spans="3:104" s="19" customFormat="1" ht="12"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  <c r="N2148" s="21"/>
      <c r="O2148" s="21"/>
      <c r="P2148" s="21"/>
      <c r="Q2148" s="21"/>
      <c r="R2148" s="21"/>
      <c r="S2148" s="21"/>
      <c r="T2148" s="21"/>
      <c r="U2148" s="21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Z2148" s="296"/>
      <c r="CZ2148" s="296"/>
    </row>
    <row r="2149" spans="3:104" s="19" customFormat="1" ht="12"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  <c r="Q2149" s="21"/>
      <c r="R2149" s="21"/>
      <c r="S2149" s="21"/>
      <c r="T2149" s="21"/>
      <c r="U2149" s="21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Z2149" s="296"/>
      <c r="CZ2149" s="296"/>
    </row>
    <row r="2150" spans="3:104" s="19" customFormat="1" ht="12"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  <c r="N2150" s="21"/>
      <c r="O2150" s="21"/>
      <c r="P2150" s="21"/>
      <c r="Q2150" s="21"/>
      <c r="R2150" s="21"/>
      <c r="S2150" s="21"/>
      <c r="T2150" s="21"/>
      <c r="U2150" s="21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Z2150" s="296"/>
      <c r="CZ2150" s="296"/>
    </row>
    <row r="2151" spans="3:104" s="19" customFormat="1" ht="12"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  <c r="Q2151" s="21"/>
      <c r="R2151" s="21"/>
      <c r="S2151" s="21"/>
      <c r="T2151" s="21"/>
      <c r="U2151" s="21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Z2151" s="296"/>
      <c r="CZ2151" s="296"/>
    </row>
    <row r="2152" spans="3:104" s="19" customFormat="1" ht="12"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  <c r="N2152" s="21"/>
      <c r="O2152" s="21"/>
      <c r="P2152" s="21"/>
      <c r="Q2152" s="21"/>
      <c r="R2152" s="21"/>
      <c r="S2152" s="21"/>
      <c r="T2152" s="21"/>
      <c r="U2152" s="21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Z2152" s="296"/>
      <c r="CZ2152" s="296"/>
    </row>
    <row r="2153" spans="3:104" s="19" customFormat="1" ht="12"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  <c r="Q2153" s="21"/>
      <c r="R2153" s="21"/>
      <c r="S2153" s="21"/>
      <c r="T2153" s="21"/>
      <c r="U2153" s="21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Z2153" s="296"/>
      <c r="CZ2153" s="296"/>
    </row>
    <row r="2154" spans="3:104" s="19" customFormat="1" ht="12"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  <c r="N2154" s="21"/>
      <c r="O2154" s="21"/>
      <c r="P2154" s="21"/>
      <c r="Q2154" s="21"/>
      <c r="R2154" s="21"/>
      <c r="S2154" s="21"/>
      <c r="T2154" s="21"/>
      <c r="U2154" s="21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Z2154" s="296"/>
      <c r="CZ2154" s="296"/>
    </row>
    <row r="2155" spans="3:104" s="19" customFormat="1" ht="12"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  <c r="Q2155" s="21"/>
      <c r="R2155" s="21"/>
      <c r="S2155" s="21"/>
      <c r="T2155" s="21"/>
      <c r="U2155" s="21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Z2155" s="296"/>
      <c r="CZ2155" s="296"/>
    </row>
    <row r="2156" spans="3:104" s="19" customFormat="1" ht="12"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  <c r="N2156" s="21"/>
      <c r="O2156" s="21"/>
      <c r="P2156" s="21"/>
      <c r="Q2156" s="21"/>
      <c r="R2156" s="21"/>
      <c r="S2156" s="21"/>
      <c r="T2156" s="21"/>
      <c r="U2156" s="21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Z2156" s="296"/>
      <c r="CZ2156" s="296"/>
    </row>
    <row r="2157" spans="3:104" s="19" customFormat="1" ht="12"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  <c r="Q2157" s="21"/>
      <c r="R2157" s="21"/>
      <c r="S2157" s="21"/>
      <c r="T2157" s="21"/>
      <c r="U2157" s="21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Z2157" s="296"/>
      <c r="CZ2157" s="296"/>
    </row>
    <row r="2158" spans="3:104" s="19" customFormat="1" ht="12"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1"/>
      <c r="P2158" s="21"/>
      <c r="Q2158" s="21"/>
      <c r="R2158" s="21"/>
      <c r="S2158" s="21"/>
      <c r="T2158" s="21"/>
      <c r="U2158" s="21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Z2158" s="296"/>
      <c r="CZ2158" s="296"/>
    </row>
    <row r="2159" spans="3:104" s="19" customFormat="1" ht="12"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  <c r="Q2159" s="21"/>
      <c r="R2159" s="21"/>
      <c r="S2159" s="21"/>
      <c r="T2159" s="21"/>
      <c r="U2159" s="21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Z2159" s="296"/>
      <c r="CZ2159" s="296"/>
    </row>
    <row r="2160" spans="3:104" s="19" customFormat="1" ht="12"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  <c r="N2160" s="21"/>
      <c r="O2160" s="21"/>
      <c r="P2160" s="21"/>
      <c r="Q2160" s="21"/>
      <c r="R2160" s="21"/>
      <c r="S2160" s="21"/>
      <c r="T2160" s="21"/>
      <c r="U2160" s="21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Z2160" s="296"/>
      <c r="CZ2160" s="296"/>
    </row>
    <row r="2161" spans="3:104" s="19" customFormat="1" ht="12"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  <c r="Q2161" s="21"/>
      <c r="R2161" s="21"/>
      <c r="S2161" s="21"/>
      <c r="T2161" s="21"/>
      <c r="U2161" s="21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Z2161" s="296"/>
      <c r="CZ2161" s="296"/>
    </row>
    <row r="2162" spans="3:104" s="19" customFormat="1" ht="12"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  <c r="N2162" s="21"/>
      <c r="O2162" s="21"/>
      <c r="P2162" s="21"/>
      <c r="Q2162" s="21"/>
      <c r="R2162" s="21"/>
      <c r="S2162" s="21"/>
      <c r="T2162" s="21"/>
      <c r="U2162" s="21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Z2162" s="296"/>
      <c r="CZ2162" s="296"/>
    </row>
    <row r="2163" spans="3:104" s="19" customFormat="1" ht="12"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  <c r="Q2163" s="21"/>
      <c r="R2163" s="21"/>
      <c r="S2163" s="21"/>
      <c r="T2163" s="21"/>
      <c r="U2163" s="21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Z2163" s="296"/>
      <c r="CZ2163" s="296"/>
    </row>
    <row r="2164" spans="3:104" s="19" customFormat="1" ht="12"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  <c r="N2164" s="21"/>
      <c r="O2164" s="21"/>
      <c r="P2164" s="21"/>
      <c r="Q2164" s="21"/>
      <c r="R2164" s="21"/>
      <c r="S2164" s="21"/>
      <c r="T2164" s="21"/>
      <c r="U2164" s="21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Z2164" s="296"/>
      <c r="CZ2164" s="296"/>
    </row>
    <row r="2165" spans="3:104" s="19" customFormat="1" ht="12"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  <c r="Q2165" s="21"/>
      <c r="R2165" s="21"/>
      <c r="S2165" s="21"/>
      <c r="T2165" s="21"/>
      <c r="U2165" s="21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Z2165" s="296"/>
      <c r="CZ2165" s="296"/>
    </row>
    <row r="2166" spans="3:104" s="19" customFormat="1" ht="12"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  <c r="N2166" s="21"/>
      <c r="O2166" s="21"/>
      <c r="P2166" s="21"/>
      <c r="Q2166" s="21"/>
      <c r="R2166" s="21"/>
      <c r="S2166" s="21"/>
      <c r="T2166" s="21"/>
      <c r="U2166" s="21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Z2166" s="296"/>
      <c r="CZ2166" s="296"/>
    </row>
    <row r="2167" spans="3:104" s="19" customFormat="1" ht="12"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  <c r="Q2167" s="21"/>
      <c r="R2167" s="21"/>
      <c r="S2167" s="21"/>
      <c r="T2167" s="21"/>
      <c r="U2167" s="21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Z2167" s="296"/>
      <c r="CZ2167" s="296"/>
    </row>
    <row r="2168" spans="3:104" s="19" customFormat="1" ht="12"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  <c r="N2168" s="21"/>
      <c r="O2168" s="21"/>
      <c r="P2168" s="21"/>
      <c r="Q2168" s="21"/>
      <c r="R2168" s="21"/>
      <c r="S2168" s="21"/>
      <c r="T2168" s="21"/>
      <c r="U2168" s="21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Z2168" s="296"/>
      <c r="CZ2168" s="296"/>
    </row>
    <row r="2169" spans="3:104" s="19" customFormat="1" ht="12"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  <c r="Q2169" s="21"/>
      <c r="R2169" s="21"/>
      <c r="S2169" s="21"/>
      <c r="T2169" s="21"/>
      <c r="U2169" s="21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Z2169" s="296"/>
      <c r="CZ2169" s="296"/>
    </row>
    <row r="2170" spans="3:104" s="19" customFormat="1" ht="12"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  <c r="N2170" s="21"/>
      <c r="O2170" s="21"/>
      <c r="P2170" s="21"/>
      <c r="Q2170" s="21"/>
      <c r="R2170" s="21"/>
      <c r="S2170" s="21"/>
      <c r="T2170" s="21"/>
      <c r="U2170" s="21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Z2170" s="296"/>
      <c r="CZ2170" s="296"/>
    </row>
    <row r="2171" spans="3:104" s="19" customFormat="1" ht="12"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  <c r="Q2171" s="21"/>
      <c r="R2171" s="21"/>
      <c r="S2171" s="21"/>
      <c r="T2171" s="21"/>
      <c r="U2171" s="21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Z2171" s="296"/>
      <c r="CZ2171" s="296"/>
    </row>
    <row r="2172" spans="3:104" s="19" customFormat="1" ht="12"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  <c r="N2172" s="21"/>
      <c r="O2172" s="21"/>
      <c r="P2172" s="21"/>
      <c r="Q2172" s="21"/>
      <c r="R2172" s="21"/>
      <c r="S2172" s="21"/>
      <c r="T2172" s="21"/>
      <c r="U2172" s="21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Z2172" s="296"/>
      <c r="CZ2172" s="296"/>
    </row>
    <row r="2173" spans="3:104" s="19" customFormat="1" ht="12"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  <c r="Q2173" s="21"/>
      <c r="R2173" s="21"/>
      <c r="S2173" s="21"/>
      <c r="T2173" s="21"/>
      <c r="U2173" s="21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Z2173" s="296"/>
      <c r="CZ2173" s="296"/>
    </row>
    <row r="2174" spans="3:104" s="19" customFormat="1" ht="12"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  <c r="N2174" s="21"/>
      <c r="O2174" s="21"/>
      <c r="P2174" s="21"/>
      <c r="Q2174" s="21"/>
      <c r="R2174" s="21"/>
      <c r="S2174" s="21"/>
      <c r="T2174" s="21"/>
      <c r="U2174" s="21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Z2174" s="296"/>
      <c r="CZ2174" s="296"/>
    </row>
    <row r="2175" spans="3:104" s="19" customFormat="1" ht="12"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  <c r="Q2175" s="21"/>
      <c r="R2175" s="21"/>
      <c r="S2175" s="21"/>
      <c r="T2175" s="21"/>
      <c r="U2175" s="21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Z2175" s="296"/>
      <c r="CZ2175" s="296"/>
    </row>
    <row r="2176" spans="3:104" s="19" customFormat="1" ht="12"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  <c r="N2176" s="21"/>
      <c r="O2176" s="21"/>
      <c r="P2176" s="21"/>
      <c r="Q2176" s="21"/>
      <c r="R2176" s="21"/>
      <c r="S2176" s="21"/>
      <c r="T2176" s="21"/>
      <c r="U2176" s="21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Z2176" s="296"/>
      <c r="CZ2176" s="296"/>
    </row>
    <row r="2177" spans="3:104" s="19" customFormat="1" ht="12"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  <c r="Q2177" s="21"/>
      <c r="R2177" s="21"/>
      <c r="S2177" s="21"/>
      <c r="T2177" s="21"/>
      <c r="U2177" s="21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Z2177" s="296"/>
      <c r="CZ2177" s="296"/>
    </row>
    <row r="2178" spans="3:104" s="19" customFormat="1" ht="12"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  <c r="N2178" s="21"/>
      <c r="O2178" s="21"/>
      <c r="P2178" s="21"/>
      <c r="Q2178" s="21"/>
      <c r="R2178" s="21"/>
      <c r="S2178" s="21"/>
      <c r="T2178" s="21"/>
      <c r="U2178" s="21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Z2178" s="296"/>
      <c r="CZ2178" s="296"/>
    </row>
    <row r="2179" spans="3:104" s="19" customFormat="1" ht="12"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  <c r="Q2179" s="21"/>
      <c r="R2179" s="21"/>
      <c r="S2179" s="21"/>
      <c r="T2179" s="21"/>
      <c r="U2179" s="21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Z2179" s="296"/>
      <c r="CZ2179" s="296"/>
    </row>
    <row r="2180" spans="3:104" s="19" customFormat="1" ht="12"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1"/>
      <c r="P2180" s="21"/>
      <c r="Q2180" s="21"/>
      <c r="R2180" s="21"/>
      <c r="S2180" s="21"/>
      <c r="T2180" s="21"/>
      <c r="U2180" s="21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Z2180" s="296"/>
      <c r="CZ2180" s="296"/>
    </row>
    <row r="2181" spans="3:104" s="19" customFormat="1" ht="12"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  <c r="Q2181" s="21"/>
      <c r="R2181" s="21"/>
      <c r="S2181" s="21"/>
      <c r="T2181" s="21"/>
      <c r="U2181" s="21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Z2181" s="296"/>
      <c r="CZ2181" s="296"/>
    </row>
    <row r="2182" spans="3:104" s="19" customFormat="1" ht="12"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  <c r="N2182" s="21"/>
      <c r="O2182" s="21"/>
      <c r="P2182" s="21"/>
      <c r="Q2182" s="21"/>
      <c r="R2182" s="21"/>
      <c r="S2182" s="21"/>
      <c r="T2182" s="21"/>
      <c r="U2182" s="21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Z2182" s="296"/>
      <c r="CZ2182" s="296"/>
    </row>
    <row r="2183" spans="3:104" s="19" customFormat="1" ht="12"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  <c r="Q2183" s="21"/>
      <c r="R2183" s="21"/>
      <c r="S2183" s="21"/>
      <c r="T2183" s="21"/>
      <c r="U2183" s="21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Z2183" s="296"/>
      <c r="CZ2183" s="296"/>
    </row>
    <row r="2184" spans="3:104" s="19" customFormat="1" ht="12"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  <c r="N2184" s="21"/>
      <c r="O2184" s="21"/>
      <c r="P2184" s="21"/>
      <c r="Q2184" s="21"/>
      <c r="R2184" s="21"/>
      <c r="S2184" s="21"/>
      <c r="T2184" s="21"/>
      <c r="U2184" s="21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Z2184" s="296"/>
      <c r="CZ2184" s="296"/>
    </row>
    <row r="2185" spans="3:104" s="19" customFormat="1" ht="12"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  <c r="Q2185" s="21"/>
      <c r="R2185" s="21"/>
      <c r="S2185" s="21"/>
      <c r="T2185" s="21"/>
      <c r="U2185" s="21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Z2185" s="296"/>
      <c r="CZ2185" s="296"/>
    </row>
    <row r="2186" spans="3:104" s="19" customFormat="1" ht="12"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  <c r="N2186" s="21"/>
      <c r="O2186" s="21"/>
      <c r="P2186" s="21"/>
      <c r="Q2186" s="21"/>
      <c r="R2186" s="21"/>
      <c r="S2186" s="21"/>
      <c r="T2186" s="21"/>
      <c r="U2186" s="21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Z2186" s="296"/>
      <c r="CZ2186" s="296"/>
    </row>
    <row r="2187" spans="3:104" s="19" customFormat="1" ht="12"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  <c r="Q2187" s="21"/>
      <c r="R2187" s="21"/>
      <c r="S2187" s="21"/>
      <c r="T2187" s="21"/>
      <c r="U2187" s="21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Z2187" s="296"/>
      <c r="CZ2187" s="296"/>
    </row>
    <row r="2188" spans="3:104" s="19" customFormat="1" ht="12"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  <c r="N2188" s="21"/>
      <c r="O2188" s="21"/>
      <c r="P2188" s="21"/>
      <c r="Q2188" s="21"/>
      <c r="R2188" s="21"/>
      <c r="S2188" s="21"/>
      <c r="T2188" s="21"/>
      <c r="U2188" s="21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Z2188" s="296"/>
      <c r="CZ2188" s="296"/>
    </row>
    <row r="2189" spans="3:104" s="19" customFormat="1" ht="12"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  <c r="Q2189" s="21"/>
      <c r="R2189" s="21"/>
      <c r="S2189" s="21"/>
      <c r="T2189" s="21"/>
      <c r="U2189" s="21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Z2189" s="296"/>
      <c r="CZ2189" s="296"/>
    </row>
    <row r="2190" spans="3:104" s="19" customFormat="1" ht="12"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  <c r="N2190" s="21"/>
      <c r="O2190" s="21"/>
      <c r="P2190" s="21"/>
      <c r="Q2190" s="21"/>
      <c r="R2190" s="21"/>
      <c r="S2190" s="21"/>
      <c r="T2190" s="21"/>
      <c r="U2190" s="21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Z2190" s="296"/>
      <c r="CZ2190" s="296"/>
    </row>
    <row r="2191" spans="3:104" s="19" customFormat="1" ht="12"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  <c r="Q2191" s="21"/>
      <c r="R2191" s="21"/>
      <c r="S2191" s="21"/>
      <c r="T2191" s="21"/>
      <c r="U2191" s="21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Z2191" s="296"/>
      <c r="CZ2191" s="296"/>
    </row>
    <row r="2192" spans="3:104" s="19" customFormat="1" ht="12"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  <c r="N2192" s="21"/>
      <c r="O2192" s="21"/>
      <c r="P2192" s="21"/>
      <c r="Q2192" s="21"/>
      <c r="R2192" s="21"/>
      <c r="S2192" s="21"/>
      <c r="T2192" s="21"/>
      <c r="U2192" s="21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Z2192" s="296"/>
      <c r="CZ2192" s="296"/>
    </row>
    <row r="2193" spans="3:104" s="19" customFormat="1" ht="12"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  <c r="Q2193" s="21"/>
      <c r="R2193" s="21"/>
      <c r="S2193" s="21"/>
      <c r="T2193" s="21"/>
      <c r="U2193" s="21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Z2193" s="296"/>
      <c r="CZ2193" s="296"/>
    </row>
    <row r="2194" spans="3:104" s="19" customFormat="1" ht="12"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  <c r="N2194" s="21"/>
      <c r="O2194" s="21"/>
      <c r="P2194" s="21"/>
      <c r="Q2194" s="21"/>
      <c r="R2194" s="21"/>
      <c r="S2194" s="21"/>
      <c r="T2194" s="21"/>
      <c r="U2194" s="21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Z2194" s="296"/>
      <c r="CZ2194" s="296"/>
    </row>
    <row r="2195" spans="3:104" s="19" customFormat="1" ht="12"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  <c r="Q2195" s="21"/>
      <c r="R2195" s="21"/>
      <c r="S2195" s="21"/>
      <c r="T2195" s="21"/>
      <c r="U2195" s="21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Z2195" s="296"/>
      <c r="CZ2195" s="296"/>
    </row>
    <row r="2196" spans="3:104" s="19" customFormat="1" ht="12"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  <c r="N2196" s="21"/>
      <c r="O2196" s="21"/>
      <c r="P2196" s="21"/>
      <c r="Q2196" s="21"/>
      <c r="R2196" s="21"/>
      <c r="S2196" s="21"/>
      <c r="T2196" s="21"/>
      <c r="U2196" s="21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Z2196" s="296"/>
      <c r="CZ2196" s="296"/>
    </row>
    <row r="2197" spans="3:104" s="19" customFormat="1" ht="12"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  <c r="Q2197" s="21"/>
      <c r="R2197" s="21"/>
      <c r="S2197" s="21"/>
      <c r="T2197" s="21"/>
      <c r="U2197" s="21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Z2197" s="296"/>
      <c r="CZ2197" s="296"/>
    </row>
    <row r="2198" spans="3:104" s="19" customFormat="1" ht="12"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  <c r="N2198" s="21"/>
      <c r="O2198" s="21"/>
      <c r="P2198" s="21"/>
      <c r="Q2198" s="21"/>
      <c r="R2198" s="21"/>
      <c r="S2198" s="21"/>
      <c r="T2198" s="21"/>
      <c r="U2198" s="21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Z2198" s="296"/>
      <c r="CZ2198" s="296"/>
    </row>
    <row r="2199" spans="3:104" s="19" customFormat="1" ht="12"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  <c r="Q2199" s="21"/>
      <c r="R2199" s="21"/>
      <c r="S2199" s="21"/>
      <c r="T2199" s="21"/>
      <c r="U2199" s="21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Z2199" s="296"/>
      <c r="CZ2199" s="296"/>
    </row>
    <row r="2200" spans="3:104" s="19" customFormat="1" ht="12"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  <c r="N2200" s="21"/>
      <c r="O2200" s="21"/>
      <c r="P2200" s="21"/>
      <c r="Q2200" s="21"/>
      <c r="R2200" s="21"/>
      <c r="S2200" s="21"/>
      <c r="T2200" s="21"/>
      <c r="U2200" s="21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Z2200" s="296"/>
      <c r="CZ2200" s="296"/>
    </row>
    <row r="2201" spans="3:104" s="19" customFormat="1" ht="12"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  <c r="Q2201" s="21"/>
      <c r="R2201" s="21"/>
      <c r="S2201" s="21"/>
      <c r="T2201" s="21"/>
      <c r="U2201" s="21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Z2201" s="296"/>
      <c r="CZ2201" s="296"/>
    </row>
    <row r="2202" spans="3:104" s="19" customFormat="1" ht="12"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1"/>
      <c r="P2202" s="21"/>
      <c r="Q2202" s="21"/>
      <c r="R2202" s="21"/>
      <c r="S2202" s="21"/>
      <c r="T2202" s="21"/>
      <c r="U2202" s="21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Z2202" s="296"/>
      <c r="CZ2202" s="296"/>
    </row>
    <row r="2203" spans="3:104" s="19" customFormat="1" ht="12"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  <c r="Q2203" s="21"/>
      <c r="R2203" s="21"/>
      <c r="S2203" s="21"/>
      <c r="T2203" s="21"/>
      <c r="U2203" s="21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Z2203" s="296"/>
      <c r="CZ2203" s="296"/>
    </row>
    <row r="2204" spans="3:104" s="19" customFormat="1" ht="12"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  <c r="N2204" s="21"/>
      <c r="O2204" s="21"/>
      <c r="P2204" s="21"/>
      <c r="Q2204" s="21"/>
      <c r="R2204" s="21"/>
      <c r="S2204" s="21"/>
      <c r="T2204" s="21"/>
      <c r="U2204" s="21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Z2204" s="296"/>
      <c r="CZ2204" s="296"/>
    </row>
    <row r="2205" spans="3:104" s="19" customFormat="1" ht="12"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  <c r="Q2205" s="21"/>
      <c r="R2205" s="21"/>
      <c r="S2205" s="21"/>
      <c r="T2205" s="21"/>
      <c r="U2205" s="21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Z2205" s="296"/>
      <c r="CZ2205" s="296"/>
    </row>
    <row r="2206" spans="3:104" s="19" customFormat="1" ht="12"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  <c r="N2206" s="21"/>
      <c r="O2206" s="21"/>
      <c r="P2206" s="21"/>
      <c r="Q2206" s="21"/>
      <c r="R2206" s="21"/>
      <c r="S2206" s="21"/>
      <c r="T2206" s="21"/>
      <c r="U2206" s="21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Z2206" s="296"/>
      <c r="CZ2206" s="296"/>
    </row>
    <row r="2207" spans="3:104" s="19" customFormat="1" ht="12"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  <c r="Q2207" s="21"/>
      <c r="R2207" s="21"/>
      <c r="S2207" s="21"/>
      <c r="T2207" s="21"/>
      <c r="U2207" s="21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Z2207" s="296"/>
      <c r="CZ2207" s="296"/>
    </row>
    <row r="2208" spans="3:104" s="19" customFormat="1" ht="12"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  <c r="N2208" s="21"/>
      <c r="O2208" s="21"/>
      <c r="P2208" s="21"/>
      <c r="Q2208" s="21"/>
      <c r="R2208" s="21"/>
      <c r="S2208" s="21"/>
      <c r="T2208" s="21"/>
      <c r="U2208" s="21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Z2208" s="296"/>
      <c r="CZ2208" s="296"/>
    </row>
    <row r="2209" spans="3:104" s="19" customFormat="1" ht="12"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  <c r="Q2209" s="21"/>
      <c r="R2209" s="21"/>
      <c r="S2209" s="21"/>
      <c r="T2209" s="21"/>
      <c r="U2209" s="21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Z2209" s="296"/>
      <c r="CZ2209" s="296"/>
    </row>
    <row r="2210" spans="3:104" s="19" customFormat="1" ht="12"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  <c r="N2210" s="21"/>
      <c r="O2210" s="21"/>
      <c r="P2210" s="21"/>
      <c r="Q2210" s="21"/>
      <c r="R2210" s="21"/>
      <c r="S2210" s="21"/>
      <c r="T2210" s="21"/>
      <c r="U2210" s="21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Z2210" s="296"/>
      <c r="CZ2210" s="296"/>
    </row>
    <row r="2211" spans="3:104" s="19" customFormat="1" ht="12"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  <c r="Q2211" s="21"/>
      <c r="R2211" s="21"/>
      <c r="S2211" s="21"/>
      <c r="T2211" s="21"/>
      <c r="U2211" s="21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Z2211" s="296"/>
      <c r="CZ2211" s="296"/>
    </row>
    <row r="2212" spans="3:104" s="19" customFormat="1" ht="12"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  <c r="N2212" s="21"/>
      <c r="O2212" s="21"/>
      <c r="P2212" s="21"/>
      <c r="Q2212" s="21"/>
      <c r="R2212" s="21"/>
      <c r="S2212" s="21"/>
      <c r="T2212" s="21"/>
      <c r="U2212" s="21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Z2212" s="296"/>
      <c r="CZ2212" s="296"/>
    </row>
    <row r="2213" spans="3:104" s="19" customFormat="1" ht="12"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  <c r="Q2213" s="21"/>
      <c r="R2213" s="21"/>
      <c r="S2213" s="21"/>
      <c r="T2213" s="21"/>
      <c r="U2213" s="21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Z2213" s="296"/>
      <c r="CZ2213" s="296"/>
    </row>
    <row r="2214" spans="3:104" s="19" customFormat="1" ht="12"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  <c r="N2214" s="21"/>
      <c r="O2214" s="21"/>
      <c r="P2214" s="21"/>
      <c r="Q2214" s="21"/>
      <c r="R2214" s="21"/>
      <c r="S2214" s="21"/>
      <c r="T2214" s="21"/>
      <c r="U2214" s="21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Z2214" s="296"/>
      <c r="CZ2214" s="296"/>
    </row>
    <row r="2215" spans="3:104" s="19" customFormat="1" ht="12"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  <c r="Q2215" s="21"/>
      <c r="R2215" s="21"/>
      <c r="S2215" s="21"/>
      <c r="T2215" s="21"/>
      <c r="U2215" s="21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Z2215" s="296"/>
      <c r="CZ2215" s="296"/>
    </row>
    <row r="2216" spans="3:104" s="19" customFormat="1" ht="12"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  <c r="N2216" s="21"/>
      <c r="O2216" s="21"/>
      <c r="P2216" s="21"/>
      <c r="Q2216" s="21"/>
      <c r="R2216" s="21"/>
      <c r="S2216" s="21"/>
      <c r="T2216" s="21"/>
      <c r="U2216" s="21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Z2216" s="296"/>
      <c r="CZ2216" s="296"/>
    </row>
    <row r="2217" spans="3:104" s="19" customFormat="1" ht="12"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  <c r="Q2217" s="21"/>
      <c r="R2217" s="21"/>
      <c r="S2217" s="21"/>
      <c r="T2217" s="21"/>
      <c r="U2217" s="21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Z2217" s="296"/>
      <c r="CZ2217" s="296"/>
    </row>
    <row r="2218" spans="3:104" s="19" customFormat="1" ht="12"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  <c r="N2218" s="21"/>
      <c r="O2218" s="21"/>
      <c r="P2218" s="21"/>
      <c r="Q2218" s="21"/>
      <c r="R2218" s="21"/>
      <c r="S2218" s="21"/>
      <c r="T2218" s="21"/>
      <c r="U2218" s="21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Z2218" s="296"/>
      <c r="CZ2218" s="296"/>
    </row>
    <row r="2219" spans="3:104" s="19" customFormat="1" ht="12"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  <c r="Q2219" s="21"/>
      <c r="R2219" s="21"/>
      <c r="S2219" s="21"/>
      <c r="T2219" s="21"/>
      <c r="U2219" s="21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Z2219" s="296"/>
      <c r="CZ2219" s="296"/>
    </row>
    <row r="2220" spans="3:104" s="19" customFormat="1" ht="12"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  <c r="N2220" s="21"/>
      <c r="O2220" s="21"/>
      <c r="P2220" s="21"/>
      <c r="Q2220" s="21"/>
      <c r="R2220" s="21"/>
      <c r="S2220" s="21"/>
      <c r="T2220" s="21"/>
      <c r="U2220" s="21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Z2220" s="296"/>
      <c r="CZ2220" s="296"/>
    </row>
    <row r="2221" spans="3:104" s="19" customFormat="1" ht="12"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  <c r="Q2221" s="21"/>
      <c r="R2221" s="21"/>
      <c r="S2221" s="21"/>
      <c r="T2221" s="21"/>
      <c r="U2221" s="21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Z2221" s="296"/>
      <c r="CZ2221" s="296"/>
    </row>
    <row r="2222" spans="3:104" s="19" customFormat="1" ht="12"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  <c r="N2222" s="21"/>
      <c r="O2222" s="21"/>
      <c r="P2222" s="21"/>
      <c r="Q2222" s="21"/>
      <c r="R2222" s="21"/>
      <c r="S2222" s="21"/>
      <c r="T2222" s="21"/>
      <c r="U2222" s="21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Z2222" s="296"/>
      <c r="CZ2222" s="296"/>
    </row>
    <row r="2223" spans="3:104" s="19" customFormat="1" ht="12"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  <c r="Q2223" s="21"/>
      <c r="R2223" s="21"/>
      <c r="S2223" s="21"/>
      <c r="T2223" s="21"/>
      <c r="U2223" s="21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Z2223" s="296"/>
      <c r="CZ2223" s="296"/>
    </row>
    <row r="2224" spans="3:104" s="19" customFormat="1" ht="12"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1"/>
      <c r="P2224" s="21"/>
      <c r="Q2224" s="21"/>
      <c r="R2224" s="21"/>
      <c r="S2224" s="21"/>
      <c r="T2224" s="21"/>
      <c r="U2224" s="21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Z2224" s="296"/>
      <c r="CZ2224" s="296"/>
    </row>
    <row r="2225" spans="3:104" s="19" customFormat="1" ht="12"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  <c r="Q2225" s="21"/>
      <c r="R2225" s="21"/>
      <c r="S2225" s="21"/>
      <c r="T2225" s="21"/>
      <c r="U2225" s="21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Z2225" s="296"/>
      <c r="CZ2225" s="296"/>
    </row>
    <row r="2226" spans="3:104" s="19" customFormat="1" ht="12"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  <c r="N2226" s="21"/>
      <c r="O2226" s="21"/>
      <c r="P2226" s="21"/>
      <c r="Q2226" s="21"/>
      <c r="R2226" s="21"/>
      <c r="S2226" s="21"/>
      <c r="T2226" s="21"/>
      <c r="U2226" s="21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Z2226" s="296"/>
      <c r="CZ2226" s="296"/>
    </row>
    <row r="2227" spans="3:104" s="19" customFormat="1" ht="12"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  <c r="Q2227" s="21"/>
      <c r="R2227" s="21"/>
      <c r="S2227" s="21"/>
      <c r="T2227" s="21"/>
      <c r="U2227" s="21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Z2227" s="296"/>
      <c r="CZ2227" s="296"/>
    </row>
    <row r="2228" spans="3:104" s="19" customFormat="1" ht="12"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  <c r="N2228" s="21"/>
      <c r="O2228" s="21"/>
      <c r="P2228" s="21"/>
      <c r="Q2228" s="21"/>
      <c r="R2228" s="21"/>
      <c r="S2228" s="21"/>
      <c r="T2228" s="21"/>
      <c r="U2228" s="21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Z2228" s="296"/>
      <c r="CZ2228" s="296"/>
    </row>
    <row r="2229" spans="3:104" s="19" customFormat="1" ht="12"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  <c r="Q2229" s="21"/>
      <c r="R2229" s="21"/>
      <c r="S2229" s="21"/>
      <c r="T2229" s="21"/>
      <c r="U2229" s="21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Z2229" s="296"/>
      <c r="CZ2229" s="296"/>
    </row>
    <row r="2230" spans="3:104" s="19" customFormat="1" ht="12"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  <c r="N2230" s="21"/>
      <c r="O2230" s="21"/>
      <c r="P2230" s="21"/>
      <c r="Q2230" s="21"/>
      <c r="R2230" s="21"/>
      <c r="S2230" s="21"/>
      <c r="T2230" s="21"/>
      <c r="U2230" s="21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Z2230" s="296"/>
      <c r="CZ2230" s="296"/>
    </row>
    <row r="2231" spans="3:104" s="19" customFormat="1" ht="12"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  <c r="Q2231" s="21"/>
      <c r="R2231" s="21"/>
      <c r="S2231" s="21"/>
      <c r="T2231" s="21"/>
      <c r="U2231" s="21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Z2231" s="296"/>
      <c r="CZ2231" s="296"/>
    </row>
    <row r="2232" spans="3:104" s="19" customFormat="1" ht="12"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  <c r="N2232" s="21"/>
      <c r="O2232" s="21"/>
      <c r="P2232" s="21"/>
      <c r="Q2232" s="21"/>
      <c r="R2232" s="21"/>
      <c r="S2232" s="21"/>
      <c r="T2232" s="21"/>
      <c r="U2232" s="21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Z2232" s="296"/>
      <c r="CZ2232" s="296"/>
    </row>
    <row r="2233" spans="3:104" s="19" customFormat="1" ht="12"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  <c r="Q2233" s="21"/>
      <c r="R2233" s="21"/>
      <c r="S2233" s="21"/>
      <c r="T2233" s="21"/>
      <c r="U2233" s="21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Z2233" s="296"/>
      <c r="CZ2233" s="296"/>
    </row>
    <row r="2234" spans="3:104" s="19" customFormat="1" ht="12"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  <c r="N2234" s="21"/>
      <c r="O2234" s="21"/>
      <c r="P2234" s="21"/>
      <c r="Q2234" s="21"/>
      <c r="R2234" s="21"/>
      <c r="S2234" s="21"/>
      <c r="T2234" s="21"/>
      <c r="U2234" s="21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Z2234" s="296"/>
      <c r="CZ2234" s="296"/>
    </row>
    <row r="2235" spans="3:104" s="19" customFormat="1" ht="12"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  <c r="Q2235" s="21"/>
      <c r="R2235" s="21"/>
      <c r="S2235" s="21"/>
      <c r="T2235" s="21"/>
      <c r="U2235" s="21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Z2235" s="296"/>
      <c r="CZ2235" s="296"/>
    </row>
    <row r="2236" spans="3:104" s="19" customFormat="1" ht="12"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  <c r="N2236" s="21"/>
      <c r="O2236" s="21"/>
      <c r="P2236" s="21"/>
      <c r="Q2236" s="21"/>
      <c r="R2236" s="21"/>
      <c r="S2236" s="21"/>
      <c r="T2236" s="21"/>
      <c r="U2236" s="21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Z2236" s="296"/>
      <c r="CZ2236" s="296"/>
    </row>
    <row r="2237" spans="3:104" s="19" customFormat="1" ht="12"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  <c r="Q2237" s="21"/>
      <c r="R2237" s="21"/>
      <c r="S2237" s="21"/>
      <c r="T2237" s="21"/>
      <c r="U2237" s="21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Z2237" s="296"/>
      <c r="CZ2237" s="296"/>
    </row>
    <row r="2238" spans="3:104" s="19" customFormat="1" ht="12"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  <c r="N2238" s="21"/>
      <c r="O2238" s="21"/>
      <c r="P2238" s="21"/>
      <c r="Q2238" s="21"/>
      <c r="R2238" s="21"/>
      <c r="S2238" s="21"/>
      <c r="T2238" s="21"/>
      <c r="U2238" s="21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Z2238" s="296"/>
      <c r="CZ2238" s="296"/>
    </row>
    <row r="2239" spans="3:104" s="19" customFormat="1" ht="12"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  <c r="Q2239" s="21"/>
      <c r="R2239" s="21"/>
      <c r="S2239" s="21"/>
      <c r="T2239" s="21"/>
      <c r="U2239" s="21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Z2239" s="296"/>
      <c r="CZ2239" s="296"/>
    </row>
    <row r="2240" spans="3:104" s="19" customFormat="1" ht="12"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  <c r="N2240" s="21"/>
      <c r="O2240" s="21"/>
      <c r="P2240" s="21"/>
      <c r="Q2240" s="21"/>
      <c r="R2240" s="21"/>
      <c r="S2240" s="21"/>
      <c r="T2240" s="21"/>
      <c r="U2240" s="21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Z2240" s="296"/>
      <c r="CZ2240" s="296"/>
    </row>
    <row r="2241" spans="3:104" s="19" customFormat="1" ht="12"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  <c r="Q2241" s="21"/>
      <c r="R2241" s="21"/>
      <c r="S2241" s="21"/>
      <c r="T2241" s="21"/>
      <c r="U2241" s="21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Z2241" s="296"/>
      <c r="CZ2241" s="296"/>
    </row>
    <row r="2242" spans="3:104" s="19" customFormat="1" ht="12"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  <c r="N2242" s="21"/>
      <c r="O2242" s="21"/>
      <c r="P2242" s="21"/>
      <c r="Q2242" s="21"/>
      <c r="R2242" s="21"/>
      <c r="S2242" s="21"/>
      <c r="T2242" s="21"/>
      <c r="U2242" s="21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Z2242" s="296"/>
      <c r="CZ2242" s="296"/>
    </row>
    <row r="2243" spans="3:104" s="19" customFormat="1" ht="12"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  <c r="Q2243" s="21"/>
      <c r="R2243" s="21"/>
      <c r="S2243" s="21"/>
      <c r="T2243" s="21"/>
      <c r="U2243" s="21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Z2243" s="296"/>
      <c r="CZ2243" s="296"/>
    </row>
    <row r="2244" spans="3:104" s="19" customFormat="1" ht="12"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  <c r="N2244" s="21"/>
      <c r="O2244" s="21"/>
      <c r="P2244" s="21"/>
      <c r="Q2244" s="21"/>
      <c r="R2244" s="21"/>
      <c r="S2244" s="21"/>
      <c r="T2244" s="21"/>
      <c r="U2244" s="21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Z2244" s="296"/>
      <c r="CZ2244" s="296"/>
    </row>
    <row r="2245" spans="3:104" s="19" customFormat="1" ht="12"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  <c r="Q2245" s="21"/>
      <c r="R2245" s="21"/>
      <c r="S2245" s="21"/>
      <c r="T2245" s="21"/>
      <c r="U2245" s="21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Z2245" s="296"/>
      <c r="CZ2245" s="296"/>
    </row>
    <row r="2246" spans="3:104" s="19" customFormat="1" ht="12"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1"/>
      <c r="P2246" s="21"/>
      <c r="Q2246" s="21"/>
      <c r="R2246" s="21"/>
      <c r="S2246" s="21"/>
      <c r="T2246" s="21"/>
      <c r="U2246" s="21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Z2246" s="296"/>
      <c r="CZ2246" s="296"/>
    </row>
    <row r="2247" spans="3:104" s="19" customFormat="1" ht="12"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  <c r="Q2247" s="21"/>
      <c r="R2247" s="21"/>
      <c r="S2247" s="21"/>
      <c r="T2247" s="21"/>
      <c r="U2247" s="21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Z2247" s="296"/>
      <c r="CZ2247" s="296"/>
    </row>
    <row r="2248" spans="3:104" s="19" customFormat="1" ht="12"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  <c r="N2248" s="21"/>
      <c r="O2248" s="21"/>
      <c r="P2248" s="21"/>
      <c r="Q2248" s="21"/>
      <c r="R2248" s="21"/>
      <c r="S2248" s="21"/>
      <c r="T2248" s="21"/>
      <c r="U2248" s="21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Z2248" s="296"/>
      <c r="CZ2248" s="296"/>
    </row>
    <row r="2249" spans="3:104" s="19" customFormat="1" ht="12"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  <c r="Q2249" s="21"/>
      <c r="R2249" s="21"/>
      <c r="S2249" s="21"/>
      <c r="T2249" s="21"/>
      <c r="U2249" s="21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Z2249" s="296"/>
      <c r="CZ2249" s="296"/>
    </row>
    <row r="2250" spans="3:104" s="19" customFormat="1" ht="12"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  <c r="N2250" s="21"/>
      <c r="O2250" s="21"/>
      <c r="P2250" s="21"/>
      <c r="Q2250" s="21"/>
      <c r="R2250" s="21"/>
      <c r="S2250" s="21"/>
      <c r="T2250" s="21"/>
      <c r="U2250" s="21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Z2250" s="296"/>
      <c r="CZ2250" s="296"/>
    </row>
    <row r="2251" spans="3:104" s="19" customFormat="1" ht="12"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  <c r="Q2251" s="21"/>
      <c r="R2251" s="21"/>
      <c r="S2251" s="21"/>
      <c r="T2251" s="21"/>
      <c r="U2251" s="21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Z2251" s="296"/>
      <c r="CZ2251" s="296"/>
    </row>
    <row r="2252" spans="3:104" s="19" customFormat="1" ht="12"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  <c r="N2252" s="21"/>
      <c r="O2252" s="21"/>
      <c r="P2252" s="21"/>
      <c r="Q2252" s="21"/>
      <c r="R2252" s="21"/>
      <c r="S2252" s="21"/>
      <c r="T2252" s="21"/>
      <c r="U2252" s="21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Z2252" s="296"/>
      <c r="CZ2252" s="296"/>
    </row>
    <row r="2253" spans="3:104" s="19" customFormat="1" ht="12"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  <c r="Q2253" s="21"/>
      <c r="R2253" s="21"/>
      <c r="S2253" s="21"/>
      <c r="T2253" s="21"/>
      <c r="U2253" s="21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Z2253" s="296"/>
      <c r="CZ2253" s="296"/>
    </row>
    <row r="2254" spans="3:104" s="19" customFormat="1" ht="12"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  <c r="N2254" s="21"/>
      <c r="O2254" s="21"/>
      <c r="P2254" s="21"/>
      <c r="Q2254" s="21"/>
      <c r="R2254" s="21"/>
      <c r="S2254" s="21"/>
      <c r="T2254" s="21"/>
      <c r="U2254" s="21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Z2254" s="296"/>
      <c r="CZ2254" s="296"/>
    </row>
    <row r="2255" spans="3:104" s="19" customFormat="1" ht="12"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  <c r="Q2255" s="21"/>
      <c r="R2255" s="21"/>
      <c r="S2255" s="21"/>
      <c r="T2255" s="21"/>
      <c r="U2255" s="21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Z2255" s="296"/>
      <c r="CZ2255" s="296"/>
    </row>
    <row r="2256" spans="3:104" s="19" customFormat="1" ht="12"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  <c r="N2256" s="21"/>
      <c r="O2256" s="21"/>
      <c r="P2256" s="21"/>
      <c r="Q2256" s="21"/>
      <c r="R2256" s="21"/>
      <c r="S2256" s="21"/>
      <c r="T2256" s="21"/>
      <c r="U2256" s="21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Z2256" s="296"/>
      <c r="CZ2256" s="296"/>
    </row>
    <row r="2257" spans="3:104" s="19" customFormat="1" ht="12"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  <c r="Q2257" s="21"/>
      <c r="R2257" s="21"/>
      <c r="S2257" s="21"/>
      <c r="T2257" s="21"/>
      <c r="U2257" s="21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Z2257" s="296"/>
      <c r="CZ2257" s="296"/>
    </row>
    <row r="2258" spans="3:104" s="19" customFormat="1" ht="12"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  <c r="N2258" s="21"/>
      <c r="O2258" s="21"/>
      <c r="P2258" s="21"/>
      <c r="Q2258" s="21"/>
      <c r="R2258" s="21"/>
      <c r="S2258" s="21"/>
      <c r="T2258" s="21"/>
      <c r="U2258" s="21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Z2258" s="296"/>
      <c r="CZ2258" s="296"/>
    </row>
    <row r="2259" spans="3:104" s="19" customFormat="1" ht="12"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  <c r="Q2259" s="21"/>
      <c r="R2259" s="21"/>
      <c r="S2259" s="21"/>
      <c r="T2259" s="21"/>
      <c r="U2259" s="21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Z2259" s="296"/>
      <c r="CZ2259" s="296"/>
    </row>
    <row r="2260" spans="3:104" s="19" customFormat="1" ht="12"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  <c r="N2260" s="21"/>
      <c r="O2260" s="21"/>
      <c r="P2260" s="21"/>
      <c r="Q2260" s="21"/>
      <c r="R2260" s="21"/>
      <c r="S2260" s="21"/>
      <c r="T2260" s="21"/>
      <c r="U2260" s="21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Z2260" s="296"/>
      <c r="CZ2260" s="296"/>
    </row>
    <row r="2261" spans="3:104" s="19" customFormat="1" ht="12"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  <c r="Q2261" s="21"/>
      <c r="R2261" s="21"/>
      <c r="S2261" s="21"/>
      <c r="T2261" s="21"/>
      <c r="U2261" s="21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Z2261" s="296"/>
      <c r="CZ2261" s="296"/>
    </row>
    <row r="2262" spans="3:104" s="19" customFormat="1" ht="12"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  <c r="N2262" s="21"/>
      <c r="O2262" s="21"/>
      <c r="P2262" s="21"/>
      <c r="Q2262" s="21"/>
      <c r="R2262" s="21"/>
      <c r="S2262" s="21"/>
      <c r="T2262" s="21"/>
      <c r="U2262" s="21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Z2262" s="296"/>
      <c r="CZ2262" s="296"/>
    </row>
    <row r="2263" spans="3:104" s="19" customFormat="1" ht="12"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  <c r="Q2263" s="21"/>
      <c r="R2263" s="21"/>
      <c r="S2263" s="21"/>
      <c r="T2263" s="21"/>
      <c r="U2263" s="21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Z2263" s="296"/>
      <c r="CZ2263" s="296"/>
    </row>
    <row r="2264" spans="3:104" s="19" customFormat="1" ht="12"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  <c r="N2264" s="21"/>
      <c r="O2264" s="21"/>
      <c r="P2264" s="21"/>
      <c r="Q2264" s="21"/>
      <c r="R2264" s="21"/>
      <c r="S2264" s="21"/>
      <c r="T2264" s="21"/>
      <c r="U2264" s="21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Z2264" s="296"/>
      <c r="CZ2264" s="296"/>
    </row>
    <row r="2265" spans="3:104" s="19" customFormat="1" ht="12"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  <c r="Q2265" s="21"/>
      <c r="R2265" s="21"/>
      <c r="S2265" s="21"/>
      <c r="T2265" s="21"/>
      <c r="U2265" s="21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Z2265" s="296"/>
      <c r="CZ2265" s="296"/>
    </row>
    <row r="2266" spans="3:104" s="19" customFormat="1" ht="12"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  <c r="N2266" s="21"/>
      <c r="O2266" s="21"/>
      <c r="P2266" s="21"/>
      <c r="Q2266" s="21"/>
      <c r="R2266" s="21"/>
      <c r="S2266" s="21"/>
      <c r="T2266" s="21"/>
      <c r="U2266" s="21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Z2266" s="296"/>
      <c r="CZ2266" s="296"/>
    </row>
    <row r="2267" spans="3:104" s="19" customFormat="1" ht="12"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  <c r="Q2267" s="21"/>
      <c r="R2267" s="21"/>
      <c r="S2267" s="21"/>
      <c r="T2267" s="21"/>
      <c r="U2267" s="21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Z2267" s="296"/>
      <c r="CZ2267" s="296"/>
    </row>
    <row r="2268" spans="3:104" s="19" customFormat="1" ht="12"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1"/>
      <c r="P2268" s="21"/>
      <c r="Q2268" s="21"/>
      <c r="R2268" s="21"/>
      <c r="S2268" s="21"/>
      <c r="T2268" s="21"/>
      <c r="U2268" s="21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Z2268" s="296"/>
      <c r="CZ2268" s="296"/>
    </row>
    <row r="2269" spans="3:104" s="19" customFormat="1" ht="12"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  <c r="Q2269" s="21"/>
      <c r="R2269" s="21"/>
      <c r="S2269" s="21"/>
      <c r="T2269" s="21"/>
      <c r="U2269" s="21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Z2269" s="296"/>
      <c r="CZ2269" s="296"/>
    </row>
    <row r="2270" spans="3:104" s="19" customFormat="1" ht="12"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  <c r="N2270" s="21"/>
      <c r="O2270" s="21"/>
      <c r="P2270" s="21"/>
      <c r="Q2270" s="21"/>
      <c r="R2270" s="21"/>
      <c r="S2270" s="21"/>
      <c r="T2270" s="21"/>
      <c r="U2270" s="21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Z2270" s="296"/>
      <c r="CZ2270" s="296"/>
    </row>
    <row r="2271" spans="3:104" s="19" customFormat="1" ht="12"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  <c r="Q2271" s="21"/>
      <c r="R2271" s="21"/>
      <c r="S2271" s="21"/>
      <c r="T2271" s="21"/>
      <c r="U2271" s="21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Z2271" s="296"/>
      <c r="CZ2271" s="296"/>
    </row>
    <row r="2272" spans="3:104" s="19" customFormat="1" ht="12"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  <c r="N2272" s="21"/>
      <c r="O2272" s="21"/>
      <c r="P2272" s="21"/>
      <c r="Q2272" s="21"/>
      <c r="R2272" s="21"/>
      <c r="S2272" s="21"/>
      <c r="T2272" s="21"/>
      <c r="U2272" s="21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Z2272" s="296"/>
      <c r="CZ2272" s="296"/>
    </row>
    <row r="2273" spans="3:104" s="19" customFormat="1" ht="12"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  <c r="Q2273" s="21"/>
      <c r="R2273" s="21"/>
      <c r="S2273" s="21"/>
      <c r="T2273" s="21"/>
      <c r="U2273" s="21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Z2273" s="296"/>
      <c r="CZ2273" s="296"/>
    </row>
    <row r="2274" spans="3:104" s="19" customFormat="1" ht="12"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  <c r="N2274" s="21"/>
      <c r="O2274" s="21"/>
      <c r="P2274" s="21"/>
      <c r="Q2274" s="21"/>
      <c r="R2274" s="21"/>
      <c r="S2274" s="21"/>
      <c r="T2274" s="21"/>
      <c r="U2274" s="21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Z2274" s="296"/>
      <c r="CZ2274" s="296"/>
    </row>
    <row r="2275" spans="3:104" s="19" customFormat="1" ht="12"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  <c r="Q2275" s="21"/>
      <c r="R2275" s="21"/>
      <c r="S2275" s="21"/>
      <c r="T2275" s="21"/>
      <c r="U2275" s="21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Z2275" s="296"/>
      <c r="CZ2275" s="296"/>
    </row>
    <row r="2276" spans="3:104" s="19" customFormat="1" ht="12"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  <c r="N2276" s="21"/>
      <c r="O2276" s="21"/>
      <c r="P2276" s="21"/>
      <c r="Q2276" s="21"/>
      <c r="R2276" s="21"/>
      <c r="S2276" s="21"/>
      <c r="T2276" s="21"/>
      <c r="U2276" s="21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Z2276" s="296"/>
      <c r="CZ2276" s="296"/>
    </row>
    <row r="2277" spans="3:104" s="19" customFormat="1" ht="12"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  <c r="Q2277" s="21"/>
      <c r="R2277" s="21"/>
      <c r="S2277" s="21"/>
      <c r="T2277" s="21"/>
      <c r="U2277" s="21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Z2277" s="296"/>
      <c r="CZ2277" s="296"/>
    </row>
    <row r="2278" spans="3:104" s="19" customFormat="1" ht="12"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  <c r="N2278" s="21"/>
      <c r="O2278" s="21"/>
      <c r="P2278" s="21"/>
      <c r="Q2278" s="21"/>
      <c r="R2278" s="21"/>
      <c r="S2278" s="21"/>
      <c r="T2278" s="21"/>
      <c r="U2278" s="21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Z2278" s="296"/>
      <c r="CZ2278" s="296"/>
    </row>
    <row r="2279" spans="3:104" s="19" customFormat="1" ht="12"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  <c r="Q2279" s="21"/>
      <c r="R2279" s="21"/>
      <c r="S2279" s="21"/>
      <c r="T2279" s="21"/>
      <c r="U2279" s="21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Z2279" s="296"/>
      <c r="CZ2279" s="296"/>
    </row>
    <row r="2280" spans="3:104" s="19" customFormat="1" ht="12"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  <c r="N2280" s="21"/>
      <c r="O2280" s="21"/>
      <c r="P2280" s="21"/>
      <c r="Q2280" s="21"/>
      <c r="R2280" s="21"/>
      <c r="S2280" s="21"/>
      <c r="T2280" s="21"/>
      <c r="U2280" s="21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Z2280" s="296"/>
      <c r="CZ2280" s="296"/>
    </row>
    <row r="2281" spans="3:104" s="19" customFormat="1" ht="12"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  <c r="Q2281" s="21"/>
      <c r="R2281" s="21"/>
      <c r="S2281" s="21"/>
      <c r="T2281" s="21"/>
      <c r="U2281" s="21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Z2281" s="296"/>
      <c r="CZ2281" s="296"/>
    </row>
    <row r="2282" spans="3:104" s="19" customFormat="1" ht="12"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  <c r="N2282" s="21"/>
      <c r="O2282" s="21"/>
      <c r="P2282" s="21"/>
      <c r="Q2282" s="21"/>
      <c r="R2282" s="21"/>
      <c r="S2282" s="21"/>
      <c r="T2282" s="21"/>
      <c r="U2282" s="21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Z2282" s="296"/>
      <c r="CZ2282" s="296"/>
    </row>
    <row r="2283" spans="3:104" s="19" customFormat="1" ht="12"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  <c r="Q2283" s="21"/>
      <c r="R2283" s="21"/>
      <c r="S2283" s="21"/>
      <c r="T2283" s="21"/>
      <c r="U2283" s="21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Z2283" s="296"/>
      <c r="CZ2283" s="296"/>
    </row>
    <row r="2284" spans="3:104" s="19" customFormat="1" ht="12"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  <c r="N2284" s="21"/>
      <c r="O2284" s="21"/>
      <c r="P2284" s="21"/>
      <c r="Q2284" s="21"/>
      <c r="R2284" s="21"/>
      <c r="S2284" s="21"/>
      <c r="T2284" s="21"/>
      <c r="U2284" s="21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Z2284" s="296"/>
      <c r="CZ2284" s="296"/>
    </row>
    <row r="2285" spans="3:104" s="19" customFormat="1" ht="12"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  <c r="Q2285" s="21"/>
      <c r="R2285" s="21"/>
      <c r="S2285" s="21"/>
      <c r="T2285" s="21"/>
      <c r="U2285" s="21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Z2285" s="296"/>
      <c r="CZ2285" s="296"/>
    </row>
    <row r="2286" spans="3:104" s="19" customFormat="1" ht="12"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  <c r="N2286" s="21"/>
      <c r="O2286" s="21"/>
      <c r="P2286" s="21"/>
      <c r="Q2286" s="21"/>
      <c r="R2286" s="21"/>
      <c r="S2286" s="21"/>
      <c r="T2286" s="21"/>
      <c r="U2286" s="21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Z2286" s="296"/>
      <c r="CZ2286" s="296"/>
    </row>
    <row r="2287" spans="3:104" s="19" customFormat="1" ht="12"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  <c r="Q2287" s="21"/>
      <c r="R2287" s="21"/>
      <c r="S2287" s="21"/>
      <c r="T2287" s="21"/>
      <c r="U2287" s="21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Z2287" s="296"/>
      <c r="CZ2287" s="296"/>
    </row>
    <row r="2288" spans="3:104" s="19" customFormat="1" ht="12"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  <c r="N2288" s="21"/>
      <c r="O2288" s="21"/>
      <c r="P2288" s="21"/>
      <c r="Q2288" s="21"/>
      <c r="R2288" s="21"/>
      <c r="S2288" s="21"/>
      <c r="T2288" s="21"/>
      <c r="U2288" s="21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Z2288" s="296"/>
      <c r="CZ2288" s="296"/>
    </row>
    <row r="2289" spans="3:104" s="19" customFormat="1" ht="12"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  <c r="Q2289" s="21"/>
      <c r="R2289" s="21"/>
      <c r="S2289" s="21"/>
      <c r="T2289" s="21"/>
      <c r="U2289" s="21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Z2289" s="296"/>
      <c r="CZ2289" s="296"/>
    </row>
    <row r="2290" spans="3:104" s="19" customFormat="1" ht="12"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1"/>
      <c r="P2290" s="21"/>
      <c r="Q2290" s="21"/>
      <c r="R2290" s="21"/>
      <c r="S2290" s="21"/>
      <c r="T2290" s="21"/>
      <c r="U2290" s="21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Z2290" s="296"/>
      <c r="CZ2290" s="296"/>
    </row>
    <row r="2291" spans="3:104" s="19" customFormat="1" ht="12"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Z2291" s="296"/>
      <c r="CZ2291" s="296"/>
    </row>
    <row r="2292" spans="3:104" s="19" customFormat="1" ht="12"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  <c r="N2292" s="21"/>
      <c r="O2292" s="21"/>
      <c r="P2292" s="21"/>
      <c r="Q2292" s="21"/>
      <c r="R2292" s="21"/>
      <c r="S2292" s="21"/>
      <c r="T2292" s="21"/>
      <c r="U2292" s="21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Z2292" s="296"/>
      <c r="CZ2292" s="296"/>
    </row>
    <row r="2293" spans="3:104" s="19" customFormat="1" ht="12"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  <c r="Q2293" s="21"/>
      <c r="R2293" s="21"/>
      <c r="S2293" s="21"/>
      <c r="T2293" s="21"/>
      <c r="U2293" s="21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Z2293" s="296"/>
      <c r="CZ2293" s="296"/>
    </row>
    <row r="2294" spans="3:104" s="19" customFormat="1" ht="12"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  <c r="N2294" s="21"/>
      <c r="O2294" s="21"/>
      <c r="P2294" s="21"/>
      <c r="Q2294" s="21"/>
      <c r="R2294" s="21"/>
      <c r="S2294" s="21"/>
      <c r="T2294" s="21"/>
      <c r="U2294" s="21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Z2294" s="296"/>
      <c r="CZ2294" s="296"/>
    </row>
    <row r="2295" spans="3:104" s="19" customFormat="1" ht="12"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  <c r="Q2295" s="21"/>
      <c r="R2295" s="21"/>
      <c r="S2295" s="21"/>
      <c r="T2295" s="21"/>
      <c r="U2295" s="21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Z2295" s="296"/>
      <c r="CZ2295" s="296"/>
    </row>
    <row r="2296" spans="3:104" s="19" customFormat="1" ht="12"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  <c r="N2296" s="21"/>
      <c r="O2296" s="21"/>
      <c r="P2296" s="21"/>
      <c r="Q2296" s="21"/>
      <c r="R2296" s="21"/>
      <c r="S2296" s="21"/>
      <c r="T2296" s="21"/>
      <c r="U2296" s="21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Z2296" s="296"/>
      <c r="CZ2296" s="296"/>
    </row>
    <row r="2297" spans="3:104" s="19" customFormat="1" ht="12"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  <c r="Q2297" s="21"/>
      <c r="R2297" s="21"/>
      <c r="S2297" s="21"/>
      <c r="T2297" s="21"/>
      <c r="U2297" s="21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Z2297" s="296"/>
      <c r="CZ2297" s="296"/>
    </row>
    <row r="2298" spans="3:104" s="19" customFormat="1" ht="12"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  <c r="N2298" s="21"/>
      <c r="O2298" s="21"/>
      <c r="P2298" s="21"/>
      <c r="Q2298" s="21"/>
      <c r="R2298" s="21"/>
      <c r="S2298" s="21"/>
      <c r="T2298" s="21"/>
      <c r="U2298" s="21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Z2298" s="296"/>
      <c r="CZ2298" s="296"/>
    </row>
    <row r="2299" spans="3:104" s="19" customFormat="1" ht="12"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  <c r="Q2299" s="21"/>
      <c r="R2299" s="21"/>
      <c r="S2299" s="21"/>
      <c r="T2299" s="21"/>
      <c r="U2299" s="21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Z2299" s="296"/>
      <c r="CZ2299" s="296"/>
    </row>
    <row r="2300" spans="3:104" s="19" customFormat="1" ht="12"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  <c r="N2300" s="21"/>
      <c r="O2300" s="21"/>
      <c r="P2300" s="21"/>
      <c r="Q2300" s="21"/>
      <c r="R2300" s="21"/>
      <c r="S2300" s="21"/>
      <c r="T2300" s="21"/>
      <c r="U2300" s="21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Z2300" s="296"/>
      <c r="CZ2300" s="296"/>
    </row>
    <row r="2301" spans="3:104" s="19" customFormat="1" ht="12"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  <c r="Q2301" s="21"/>
      <c r="R2301" s="21"/>
      <c r="S2301" s="21"/>
      <c r="T2301" s="21"/>
      <c r="U2301" s="21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Z2301" s="296"/>
      <c r="CZ2301" s="296"/>
    </row>
    <row r="2302" spans="3:104" s="19" customFormat="1" ht="12"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  <c r="N2302" s="21"/>
      <c r="O2302" s="21"/>
      <c r="P2302" s="21"/>
      <c r="Q2302" s="21"/>
      <c r="R2302" s="21"/>
      <c r="S2302" s="21"/>
      <c r="T2302" s="21"/>
      <c r="U2302" s="21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Z2302" s="296"/>
      <c r="CZ2302" s="296"/>
    </row>
    <row r="2303" spans="3:104" s="19" customFormat="1" ht="12"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  <c r="Q2303" s="21"/>
      <c r="R2303" s="21"/>
      <c r="S2303" s="21"/>
      <c r="T2303" s="21"/>
      <c r="U2303" s="21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Z2303" s="296"/>
      <c r="CZ2303" s="296"/>
    </row>
    <row r="2304" spans="3:104" s="19" customFormat="1" ht="12"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  <c r="N2304" s="21"/>
      <c r="O2304" s="21"/>
      <c r="P2304" s="21"/>
      <c r="Q2304" s="21"/>
      <c r="R2304" s="21"/>
      <c r="S2304" s="21"/>
      <c r="T2304" s="21"/>
      <c r="U2304" s="21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Z2304" s="296"/>
      <c r="CZ2304" s="296"/>
    </row>
    <row r="2305" spans="3:104" s="19" customFormat="1" ht="12"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  <c r="Q2305" s="21"/>
      <c r="R2305" s="21"/>
      <c r="S2305" s="21"/>
      <c r="T2305" s="21"/>
      <c r="U2305" s="21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Z2305" s="296"/>
      <c r="CZ2305" s="296"/>
    </row>
    <row r="2306" spans="3:104" s="19" customFormat="1" ht="12"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  <c r="N2306" s="21"/>
      <c r="O2306" s="21"/>
      <c r="P2306" s="21"/>
      <c r="Q2306" s="21"/>
      <c r="R2306" s="21"/>
      <c r="S2306" s="21"/>
      <c r="T2306" s="21"/>
      <c r="U2306" s="21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Z2306" s="296"/>
      <c r="CZ2306" s="296"/>
    </row>
    <row r="2307" spans="3:104" s="19" customFormat="1" ht="12"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  <c r="Q2307" s="21"/>
      <c r="R2307" s="21"/>
      <c r="S2307" s="21"/>
      <c r="T2307" s="21"/>
      <c r="U2307" s="21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Z2307" s="296"/>
      <c r="CZ2307" s="296"/>
    </row>
    <row r="2308" spans="3:104" s="19" customFormat="1" ht="12"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  <c r="N2308" s="21"/>
      <c r="O2308" s="21"/>
      <c r="P2308" s="21"/>
      <c r="Q2308" s="21"/>
      <c r="R2308" s="21"/>
      <c r="S2308" s="21"/>
      <c r="T2308" s="21"/>
      <c r="U2308" s="21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Z2308" s="296"/>
      <c r="CZ2308" s="296"/>
    </row>
    <row r="2309" spans="3:104" s="19" customFormat="1" ht="12"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  <c r="Q2309" s="21"/>
      <c r="R2309" s="21"/>
      <c r="S2309" s="21"/>
      <c r="T2309" s="21"/>
      <c r="U2309" s="21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Z2309" s="296"/>
      <c r="CZ2309" s="296"/>
    </row>
    <row r="2310" spans="3:104" s="19" customFormat="1" ht="12"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  <c r="N2310" s="21"/>
      <c r="O2310" s="21"/>
      <c r="P2310" s="21"/>
      <c r="Q2310" s="21"/>
      <c r="R2310" s="21"/>
      <c r="S2310" s="21"/>
      <c r="T2310" s="21"/>
      <c r="U2310" s="21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Z2310" s="296"/>
      <c r="CZ2310" s="296"/>
    </row>
    <row r="2311" spans="3:104" s="19" customFormat="1" ht="12"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  <c r="Q2311" s="21"/>
      <c r="R2311" s="21"/>
      <c r="S2311" s="21"/>
      <c r="T2311" s="21"/>
      <c r="U2311" s="21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Z2311" s="296"/>
      <c r="CZ2311" s="296"/>
    </row>
    <row r="2312" spans="3:104" s="19" customFormat="1" ht="12"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1"/>
      <c r="P2312" s="21"/>
      <c r="Q2312" s="21"/>
      <c r="R2312" s="21"/>
      <c r="S2312" s="21"/>
      <c r="T2312" s="21"/>
      <c r="U2312" s="21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Z2312" s="296"/>
      <c r="CZ2312" s="296"/>
    </row>
    <row r="2313" spans="3:104" s="19" customFormat="1" ht="12"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  <c r="Q2313" s="21"/>
      <c r="R2313" s="21"/>
      <c r="S2313" s="21"/>
      <c r="T2313" s="21"/>
      <c r="U2313" s="21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Z2313" s="296"/>
      <c r="CZ2313" s="296"/>
    </row>
    <row r="2314" spans="3:104" s="19" customFormat="1" ht="12"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  <c r="N2314" s="21"/>
      <c r="O2314" s="21"/>
      <c r="P2314" s="21"/>
      <c r="Q2314" s="21"/>
      <c r="R2314" s="21"/>
      <c r="S2314" s="21"/>
      <c r="T2314" s="21"/>
      <c r="U2314" s="21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Z2314" s="296"/>
      <c r="CZ2314" s="296"/>
    </row>
    <row r="2315" spans="3:104" s="19" customFormat="1" ht="12"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  <c r="Q2315" s="21"/>
      <c r="R2315" s="21"/>
      <c r="S2315" s="21"/>
      <c r="T2315" s="21"/>
      <c r="U2315" s="21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Z2315" s="296"/>
      <c r="CZ2315" s="296"/>
    </row>
    <row r="2316" spans="3:104" s="19" customFormat="1" ht="12"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  <c r="N2316" s="21"/>
      <c r="O2316" s="21"/>
      <c r="P2316" s="21"/>
      <c r="Q2316" s="21"/>
      <c r="R2316" s="21"/>
      <c r="S2316" s="21"/>
      <c r="T2316" s="21"/>
      <c r="U2316" s="21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Z2316" s="296"/>
      <c r="CZ2316" s="296"/>
    </row>
    <row r="2317" spans="3:104" s="19" customFormat="1" ht="12"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  <c r="Q2317" s="21"/>
      <c r="R2317" s="21"/>
      <c r="S2317" s="21"/>
      <c r="T2317" s="21"/>
      <c r="U2317" s="21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Z2317" s="296"/>
      <c r="CZ2317" s="296"/>
    </row>
    <row r="2318" spans="3:104" s="19" customFormat="1" ht="12"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  <c r="N2318" s="21"/>
      <c r="O2318" s="21"/>
      <c r="P2318" s="21"/>
      <c r="Q2318" s="21"/>
      <c r="R2318" s="21"/>
      <c r="S2318" s="21"/>
      <c r="T2318" s="21"/>
      <c r="U2318" s="21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Z2318" s="296"/>
      <c r="CZ2318" s="296"/>
    </row>
    <row r="2319" spans="3:104" s="19" customFormat="1" ht="12"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  <c r="Q2319" s="21"/>
      <c r="R2319" s="21"/>
      <c r="S2319" s="21"/>
      <c r="T2319" s="21"/>
      <c r="U2319" s="21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Z2319" s="296"/>
      <c r="CZ2319" s="296"/>
    </row>
    <row r="2320" spans="3:104" s="19" customFormat="1" ht="12"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  <c r="N2320" s="21"/>
      <c r="O2320" s="21"/>
      <c r="P2320" s="21"/>
      <c r="Q2320" s="21"/>
      <c r="R2320" s="21"/>
      <c r="S2320" s="21"/>
      <c r="T2320" s="21"/>
      <c r="U2320" s="21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Z2320" s="296"/>
      <c r="CZ2320" s="296"/>
    </row>
    <row r="2321" spans="3:104" s="19" customFormat="1" ht="12"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  <c r="Q2321" s="21"/>
      <c r="R2321" s="21"/>
      <c r="S2321" s="21"/>
      <c r="T2321" s="21"/>
      <c r="U2321" s="21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Z2321" s="296"/>
      <c r="CZ2321" s="296"/>
    </row>
    <row r="2322" spans="3:104" s="19" customFormat="1" ht="12"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  <c r="N2322" s="21"/>
      <c r="O2322" s="21"/>
      <c r="P2322" s="21"/>
      <c r="Q2322" s="21"/>
      <c r="R2322" s="21"/>
      <c r="S2322" s="21"/>
      <c r="T2322" s="21"/>
      <c r="U2322" s="21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Z2322" s="296"/>
      <c r="CZ2322" s="296"/>
    </row>
    <row r="2323" spans="3:104" s="19" customFormat="1" ht="12"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  <c r="Q2323" s="21"/>
      <c r="R2323" s="21"/>
      <c r="S2323" s="21"/>
      <c r="T2323" s="21"/>
      <c r="U2323" s="21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Z2323" s="296"/>
      <c r="CZ2323" s="296"/>
    </row>
    <row r="2324" spans="3:104" s="19" customFormat="1" ht="12"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  <c r="N2324" s="21"/>
      <c r="O2324" s="21"/>
      <c r="P2324" s="21"/>
      <c r="Q2324" s="21"/>
      <c r="R2324" s="21"/>
      <c r="S2324" s="21"/>
      <c r="T2324" s="21"/>
      <c r="U2324" s="21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Z2324" s="296"/>
      <c r="CZ2324" s="296"/>
    </row>
    <row r="2325" spans="3:104" s="19" customFormat="1" ht="12"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  <c r="Q2325" s="21"/>
      <c r="R2325" s="21"/>
      <c r="S2325" s="21"/>
      <c r="T2325" s="21"/>
      <c r="U2325" s="21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Z2325" s="296"/>
      <c r="CZ2325" s="296"/>
    </row>
    <row r="2326" spans="3:104" s="19" customFormat="1" ht="12"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  <c r="N2326" s="21"/>
      <c r="O2326" s="21"/>
      <c r="P2326" s="21"/>
      <c r="Q2326" s="21"/>
      <c r="R2326" s="21"/>
      <c r="S2326" s="21"/>
      <c r="T2326" s="21"/>
      <c r="U2326" s="21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Z2326" s="296"/>
      <c r="CZ2326" s="296"/>
    </row>
    <row r="2327" spans="3:104" s="19" customFormat="1" ht="12"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  <c r="Q2327" s="21"/>
      <c r="R2327" s="21"/>
      <c r="S2327" s="21"/>
      <c r="T2327" s="21"/>
      <c r="U2327" s="21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Z2327" s="296"/>
      <c r="CZ2327" s="296"/>
    </row>
    <row r="2328" spans="3:104" s="19" customFormat="1" ht="12"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  <c r="N2328" s="21"/>
      <c r="O2328" s="21"/>
      <c r="P2328" s="21"/>
      <c r="Q2328" s="21"/>
      <c r="R2328" s="21"/>
      <c r="S2328" s="21"/>
      <c r="T2328" s="21"/>
      <c r="U2328" s="21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Z2328" s="296"/>
      <c r="CZ2328" s="296"/>
    </row>
    <row r="2329" spans="3:104" s="19" customFormat="1" ht="12"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  <c r="Q2329" s="21"/>
      <c r="R2329" s="21"/>
      <c r="S2329" s="21"/>
      <c r="T2329" s="21"/>
      <c r="U2329" s="21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Z2329" s="296"/>
      <c r="CZ2329" s="296"/>
    </row>
    <row r="2330" spans="3:104" s="19" customFormat="1" ht="12"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  <c r="N2330" s="21"/>
      <c r="O2330" s="21"/>
      <c r="P2330" s="21"/>
      <c r="Q2330" s="21"/>
      <c r="R2330" s="21"/>
      <c r="S2330" s="21"/>
      <c r="T2330" s="21"/>
      <c r="U2330" s="21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Z2330" s="296"/>
      <c r="CZ2330" s="296"/>
    </row>
    <row r="2331" spans="3:104" s="19" customFormat="1" ht="12"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  <c r="Q2331" s="21"/>
      <c r="R2331" s="21"/>
      <c r="S2331" s="21"/>
      <c r="T2331" s="21"/>
      <c r="U2331" s="21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Z2331" s="296"/>
      <c r="CZ2331" s="296"/>
    </row>
    <row r="2332" spans="3:104" s="19" customFormat="1" ht="12"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  <c r="N2332" s="21"/>
      <c r="O2332" s="21"/>
      <c r="P2332" s="21"/>
      <c r="Q2332" s="21"/>
      <c r="R2332" s="21"/>
      <c r="S2332" s="21"/>
      <c r="T2332" s="21"/>
      <c r="U2332" s="21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Z2332" s="296"/>
      <c r="CZ2332" s="296"/>
    </row>
    <row r="2333" spans="3:104" s="19" customFormat="1" ht="12"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  <c r="Q2333" s="21"/>
      <c r="R2333" s="21"/>
      <c r="S2333" s="21"/>
      <c r="T2333" s="21"/>
      <c r="U2333" s="21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Z2333" s="296"/>
      <c r="CZ2333" s="296"/>
    </row>
    <row r="2334" spans="3:104" s="19" customFormat="1" ht="12"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  <c r="N2334" s="21"/>
      <c r="O2334" s="21"/>
      <c r="P2334" s="21"/>
      <c r="Q2334" s="21"/>
      <c r="R2334" s="21"/>
      <c r="S2334" s="21"/>
      <c r="T2334" s="21"/>
      <c r="U2334" s="21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Z2334" s="296"/>
      <c r="CZ2334" s="296"/>
    </row>
    <row r="2335" spans="3:104" s="19" customFormat="1" ht="12"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  <c r="Q2335" s="21"/>
      <c r="R2335" s="21"/>
      <c r="S2335" s="21"/>
      <c r="T2335" s="21"/>
      <c r="U2335" s="21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Z2335" s="296"/>
      <c r="CZ2335" s="296"/>
    </row>
    <row r="2336" spans="3:104" s="19" customFormat="1" ht="12"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  <c r="N2336" s="21"/>
      <c r="O2336" s="21"/>
      <c r="P2336" s="21"/>
      <c r="Q2336" s="21"/>
      <c r="R2336" s="21"/>
      <c r="S2336" s="21"/>
      <c r="T2336" s="21"/>
      <c r="U2336" s="21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Z2336" s="296"/>
      <c r="CZ2336" s="296"/>
    </row>
    <row r="2337" spans="3:104" s="19" customFormat="1" ht="12"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  <c r="Q2337" s="21"/>
      <c r="R2337" s="21"/>
      <c r="S2337" s="21"/>
      <c r="T2337" s="21"/>
      <c r="U2337" s="21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Z2337" s="296"/>
      <c r="CZ2337" s="296"/>
    </row>
    <row r="2338" spans="3:104" s="19" customFormat="1" ht="12"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  <c r="N2338" s="21"/>
      <c r="O2338" s="21"/>
      <c r="P2338" s="21"/>
      <c r="Q2338" s="21"/>
      <c r="R2338" s="21"/>
      <c r="S2338" s="21"/>
      <c r="T2338" s="21"/>
      <c r="U2338" s="21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Z2338" s="296"/>
      <c r="CZ2338" s="296"/>
    </row>
    <row r="2339" spans="3:104" s="19" customFormat="1" ht="12"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  <c r="Q2339" s="21"/>
      <c r="R2339" s="21"/>
      <c r="S2339" s="21"/>
      <c r="T2339" s="21"/>
      <c r="U2339" s="21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Z2339" s="296"/>
      <c r="CZ2339" s="296"/>
    </row>
    <row r="2340" spans="3:104" s="19" customFormat="1" ht="12"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  <c r="N2340" s="21"/>
      <c r="O2340" s="21"/>
      <c r="P2340" s="21"/>
      <c r="Q2340" s="21"/>
      <c r="R2340" s="21"/>
      <c r="S2340" s="21"/>
      <c r="T2340" s="21"/>
      <c r="U2340" s="21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Z2340" s="296"/>
      <c r="CZ2340" s="296"/>
    </row>
    <row r="2341" spans="3:104" s="19" customFormat="1" ht="12"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  <c r="Q2341" s="21"/>
      <c r="R2341" s="21"/>
      <c r="S2341" s="21"/>
      <c r="T2341" s="21"/>
      <c r="U2341" s="21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Z2341" s="296"/>
      <c r="CZ2341" s="296"/>
    </row>
    <row r="2342" spans="3:104" s="19" customFormat="1" ht="12"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  <c r="N2342" s="21"/>
      <c r="O2342" s="21"/>
      <c r="P2342" s="21"/>
      <c r="Q2342" s="21"/>
      <c r="R2342" s="21"/>
      <c r="S2342" s="21"/>
      <c r="T2342" s="21"/>
      <c r="U2342" s="21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Z2342" s="296"/>
      <c r="CZ2342" s="296"/>
    </row>
    <row r="2343" spans="3:104" s="19" customFormat="1" ht="12"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  <c r="Q2343" s="21"/>
      <c r="R2343" s="21"/>
      <c r="S2343" s="21"/>
      <c r="T2343" s="21"/>
      <c r="U2343" s="21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Z2343" s="296"/>
      <c r="CZ2343" s="296"/>
    </row>
    <row r="2344" spans="3:104" s="19" customFormat="1" ht="12"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  <c r="N2344" s="21"/>
      <c r="O2344" s="21"/>
      <c r="P2344" s="21"/>
      <c r="Q2344" s="21"/>
      <c r="R2344" s="21"/>
      <c r="S2344" s="21"/>
      <c r="T2344" s="21"/>
      <c r="U2344" s="21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Z2344" s="296"/>
      <c r="CZ2344" s="296"/>
    </row>
    <row r="2345" spans="3:104" s="19" customFormat="1" ht="12"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  <c r="Q2345" s="21"/>
      <c r="R2345" s="21"/>
      <c r="S2345" s="21"/>
      <c r="T2345" s="21"/>
      <c r="U2345" s="21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Z2345" s="296"/>
      <c r="CZ2345" s="296"/>
    </row>
    <row r="2346" spans="3:104" s="19" customFormat="1" ht="12"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  <c r="N2346" s="21"/>
      <c r="O2346" s="21"/>
      <c r="P2346" s="21"/>
      <c r="Q2346" s="21"/>
      <c r="R2346" s="21"/>
      <c r="S2346" s="21"/>
      <c r="T2346" s="21"/>
      <c r="U2346" s="21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Z2346" s="296"/>
      <c r="CZ2346" s="296"/>
    </row>
    <row r="2347" spans="3:104" s="19" customFormat="1" ht="12"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  <c r="Q2347" s="21"/>
      <c r="R2347" s="21"/>
      <c r="S2347" s="21"/>
      <c r="T2347" s="21"/>
      <c r="U2347" s="21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Z2347" s="296"/>
      <c r="CZ2347" s="296"/>
    </row>
    <row r="2348" spans="3:104" s="19" customFormat="1" ht="12"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  <c r="N2348" s="21"/>
      <c r="O2348" s="21"/>
      <c r="P2348" s="21"/>
      <c r="Q2348" s="21"/>
      <c r="R2348" s="21"/>
      <c r="S2348" s="21"/>
      <c r="T2348" s="21"/>
      <c r="U2348" s="21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Z2348" s="296"/>
      <c r="CZ2348" s="296"/>
    </row>
    <row r="2349" spans="3:104" s="19" customFormat="1" ht="12"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  <c r="Q2349" s="21"/>
      <c r="R2349" s="21"/>
      <c r="S2349" s="21"/>
      <c r="T2349" s="21"/>
      <c r="U2349" s="21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Z2349" s="296"/>
      <c r="CZ2349" s="296"/>
    </row>
    <row r="2350" spans="3:104" s="19" customFormat="1" ht="12"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  <c r="N2350" s="21"/>
      <c r="O2350" s="21"/>
      <c r="P2350" s="21"/>
      <c r="Q2350" s="21"/>
      <c r="R2350" s="21"/>
      <c r="S2350" s="21"/>
      <c r="T2350" s="21"/>
      <c r="U2350" s="21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Z2350" s="296"/>
      <c r="CZ2350" s="296"/>
    </row>
    <row r="2351" spans="3:104" s="19" customFormat="1" ht="12"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  <c r="Q2351" s="21"/>
      <c r="R2351" s="21"/>
      <c r="S2351" s="21"/>
      <c r="T2351" s="21"/>
      <c r="U2351" s="21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Z2351" s="296"/>
      <c r="CZ2351" s="296"/>
    </row>
    <row r="2352" spans="3:104" s="19" customFormat="1" ht="12"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  <c r="N2352" s="21"/>
      <c r="O2352" s="21"/>
      <c r="P2352" s="21"/>
      <c r="Q2352" s="21"/>
      <c r="R2352" s="21"/>
      <c r="S2352" s="21"/>
      <c r="T2352" s="21"/>
      <c r="U2352" s="21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Z2352" s="296"/>
      <c r="CZ2352" s="296"/>
    </row>
    <row r="2353" spans="3:104" s="19" customFormat="1" ht="12"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  <c r="Q2353" s="21"/>
      <c r="R2353" s="21"/>
      <c r="S2353" s="21"/>
      <c r="T2353" s="21"/>
      <c r="U2353" s="21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Z2353" s="296"/>
      <c r="CZ2353" s="296"/>
    </row>
    <row r="2354" spans="3:104" s="19" customFormat="1" ht="12"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  <c r="N2354" s="21"/>
      <c r="O2354" s="21"/>
      <c r="P2354" s="21"/>
      <c r="Q2354" s="21"/>
      <c r="R2354" s="21"/>
      <c r="S2354" s="21"/>
      <c r="T2354" s="21"/>
      <c r="U2354" s="21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Z2354" s="296"/>
      <c r="CZ2354" s="296"/>
    </row>
    <row r="2355" spans="3:104" s="19" customFormat="1" ht="12"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  <c r="Q2355" s="21"/>
      <c r="R2355" s="21"/>
      <c r="S2355" s="21"/>
      <c r="T2355" s="21"/>
      <c r="U2355" s="21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Z2355" s="296"/>
      <c r="CZ2355" s="296"/>
    </row>
    <row r="2356" spans="3:104" s="19" customFormat="1" ht="12"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  <c r="N2356" s="21"/>
      <c r="O2356" s="21"/>
      <c r="P2356" s="21"/>
      <c r="Q2356" s="21"/>
      <c r="R2356" s="21"/>
      <c r="S2356" s="21"/>
      <c r="T2356" s="21"/>
      <c r="U2356" s="21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Z2356" s="296"/>
      <c r="CZ2356" s="296"/>
    </row>
    <row r="2357" spans="3:104" s="19" customFormat="1" ht="12"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  <c r="Q2357" s="21"/>
      <c r="R2357" s="21"/>
      <c r="S2357" s="21"/>
      <c r="T2357" s="21"/>
      <c r="U2357" s="21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Z2357" s="296"/>
      <c r="CZ2357" s="296"/>
    </row>
    <row r="2358" spans="3:104" s="19" customFormat="1" ht="12"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  <c r="N2358" s="21"/>
      <c r="O2358" s="21"/>
      <c r="P2358" s="21"/>
      <c r="Q2358" s="21"/>
      <c r="R2358" s="21"/>
      <c r="S2358" s="21"/>
      <c r="T2358" s="21"/>
      <c r="U2358" s="21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Z2358" s="296"/>
      <c r="CZ2358" s="296"/>
    </row>
    <row r="2359" spans="3:104" s="19" customFormat="1" ht="12"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  <c r="Q2359" s="21"/>
      <c r="R2359" s="21"/>
      <c r="S2359" s="21"/>
      <c r="T2359" s="21"/>
      <c r="U2359" s="21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Z2359" s="296"/>
      <c r="CZ2359" s="296"/>
    </row>
    <row r="2360" spans="3:104" s="19" customFormat="1" ht="12"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  <c r="N2360" s="21"/>
      <c r="O2360" s="21"/>
      <c r="P2360" s="21"/>
      <c r="Q2360" s="21"/>
      <c r="R2360" s="21"/>
      <c r="S2360" s="21"/>
      <c r="T2360" s="21"/>
      <c r="U2360" s="21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Z2360" s="296"/>
      <c r="CZ2360" s="296"/>
    </row>
    <row r="2361" spans="3:104" s="19" customFormat="1" ht="12"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  <c r="Q2361" s="21"/>
      <c r="R2361" s="21"/>
      <c r="S2361" s="21"/>
      <c r="T2361" s="21"/>
      <c r="U2361" s="21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Z2361" s="296"/>
      <c r="CZ2361" s="296"/>
    </row>
    <row r="2362" spans="3:104" s="19" customFormat="1" ht="12"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  <c r="N2362" s="21"/>
      <c r="O2362" s="21"/>
      <c r="P2362" s="21"/>
      <c r="Q2362" s="21"/>
      <c r="R2362" s="21"/>
      <c r="S2362" s="21"/>
      <c r="T2362" s="21"/>
      <c r="U2362" s="21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Z2362" s="296"/>
      <c r="CZ2362" s="296"/>
    </row>
    <row r="2363" spans="3:104" s="19" customFormat="1" ht="12"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  <c r="Q2363" s="21"/>
      <c r="R2363" s="21"/>
      <c r="S2363" s="21"/>
      <c r="T2363" s="21"/>
      <c r="U2363" s="21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Z2363" s="296"/>
      <c r="CZ2363" s="296"/>
    </row>
    <row r="2364" spans="3:104" s="19" customFormat="1" ht="12"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  <c r="N2364" s="21"/>
      <c r="O2364" s="21"/>
      <c r="P2364" s="21"/>
      <c r="Q2364" s="21"/>
      <c r="R2364" s="21"/>
      <c r="S2364" s="21"/>
      <c r="T2364" s="21"/>
      <c r="U2364" s="21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Z2364" s="296"/>
      <c r="CZ2364" s="296"/>
    </row>
    <row r="2365" spans="3:104" s="19" customFormat="1" ht="12"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  <c r="Q2365" s="21"/>
      <c r="R2365" s="21"/>
      <c r="S2365" s="21"/>
      <c r="T2365" s="21"/>
      <c r="U2365" s="21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Z2365" s="296"/>
      <c r="CZ2365" s="296"/>
    </row>
    <row r="2366" spans="3:104" s="19" customFormat="1" ht="12"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  <c r="N2366" s="21"/>
      <c r="O2366" s="21"/>
      <c r="P2366" s="21"/>
      <c r="Q2366" s="21"/>
      <c r="R2366" s="21"/>
      <c r="S2366" s="21"/>
      <c r="T2366" s="21"/>
      <c r="U2366" s="21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Z2366" s="296"/>
      <c r="CZ2366" s="296"/>
    </row>
    <row r="2367" spans="3:104" s="19" customFormat="1" ht="12"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  <c r="Q2367" s="21"/>
      <c r="R2367" s="21"/>
      <c r="S2367" s="21"/>
      <c r="T2367" s="21"/>
      <c r="U2367" s="21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Z2367" s="296"/>
      <c r="CZ2367" s="296"/>
    </row>
    <row r="2368" spans="3:104" s="19" customFormat="1" ht="12"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  <c r="N2368" s="21"/>
      <c r="O2368" s="21"/>
      <c r="P2368" s="21"/>
      <c r="Q2368" s="21"/>
      <c r="R2368" s="21"/>
      <c r="S2368" s="21"/>
      <c r="T2368" s="21"/>
      <c r="U2368" s="21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Z2368" s="296"/>
      <c r="CZ2368" s="296"/>
    </row>
    <row r="2369" spans="3:104" s="19" customFormat="1" ht="12"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  <c r="Q2369" s="21"/>
      <c r="R2369" s="21"/>
      <c r="S2369" s="21"/>
      <c r="T2369" s="21"/>
      <c r="U2369" s="21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Z2369" s="296"/>
      <c r="CZ2369" s="296"/>
    </row>
    <row r="2370" spans="3:104" s="19" customFormat="1" ht="12"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  <c r="N2370" s="21"/>
      <c r="O2370" s="21"/>
      <c r="P2370" s="21"/>
      <c r="Q2370" s="21"/>
      <c r="R2370" s="21"/>
      <c r="S2370" s="21"/>
      <c r="T2370" s="21"/>
      <c r="U2370" s="21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Z2370" s="296"/>
      <c r="CZ2370" s="296"/>
    </row>
    <row r="2371" spans="3:104" s="19" customFormat="1" ht="12"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  <c r="Q2371" s="21"/>
      <c r="R2371" s="21"/>
      <c r="S2371" s="21"/>
      <c r="T2371" s="21"/>
      <c r="U2371" s="21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Z2371" s="296"/>
      <c r="CZ2371" s="296"/>
    </row>
    <row r="2372" spans="3:104" s="19" customFormat="1" ht="12"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  <c r="N2372" s="21"/>
      <c r="O2372" s="21"/>
      <c r="P2372" s="21"/>
      <c r="Q2372" s="21"/>
      <c r="R2372" s="21"/>
      <c r="S2372" s="21"/>
      <c r="T2372" s="21"/>
      <c r="U2372" s="21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Z2372" s="296"/>
      <c r="CZ2372" s="296"/>
    </row>
    <row r="2373" spans="3:104" s="19" customFormat="1" ht="12"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  <c r="Q2373" s="21"/>
      <c r="R2373" s="21"/>
      <c r="S2373" s="21"/>
      <c r="T2373" s="21"/>
      <c r="U2373" s="21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Z2373" s="296"/>
      <c r="CZ2373" s="296"/>
    </row>
    <row r="2374" spans="3:104" s="19" customFormat="1" ht="12"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  <c r="N2374" s="21"/>
      <c r="O2374" s="21"/>
      <c r="P2374" s="21"/>
      <c r="Q2374" s="21"/>
      <c r="R2374" s="21"/>
      <c r="S2374" s="21"/>
      <c r="T2374" s="21"/>
      <c r="U2374" s="21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Z2374" s="296"/>
      <c r="CZ2374" s="296"/>
    </row>
    <row r="2375" spans="3:104" s="19" customFormat="1" ht="12"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  <c r="Q2375" s="21"/>
      <c r="R2375" s="21"/>
      <c r="S2375" s="21"/>
      <c r="T2375" s="21"/>
      <c r="U2375" s="21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Z2375" s="296"/>
      <c r="CZ2375" s="296"/>
    </row>
    <row r="2376" spans="3:104" s="19" customFormat="1" ht="12"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  <c r="N2376" s="21"/>
      <c r="O2376" s="21"/>
      <c r="P2376" s="21"/>
      <c r="Q2376" s="21"/>
      <c r="R2376" s="21"/>
      <c r="S2376" s="21"/>
      <c r="T2376" s="21"/>
      <c r="U2376" s="21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Z2376" s="296"/>
      <c r="CZ2376" s="296"/>
    </row>
    <row r="2377" spans="3:104" s="19" customFormat="1" ht="12"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  <c r="Q2377" s="21"/>
      <c r="R2377" s="21"/>
      <c r="S2377" s="21"/>
      <c r="T2377" s="21"/>
      <c r="U2377" s="21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Z2377" s="296"/>
      <c r="CZ2377" s="296"/>
    </row>
    <row r="2378" spans="3:104" s="19" customFormat="1" ht="12"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  <c r="N2378" s="21"/>
      <c r="O2378" s="21"/>
      <c r="P2378" s="21"/>
      <c r="Q2378" s="21"/>
      <c r="R2378" s="21"/>
      <c r="S2378" s="21"/>
      <c r="T2378" s="21"/>
      <c r="U2378" s="21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Z2378" s="296"/>
      <c r="CZ2378" s="296"/>
    </row>
    <row r="2379" spans="3:104" s="19" customFormat="1" ht="12"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  <c r="Q2379" s="21"/>
      <c r="R2379" s="21"/>
      <c r="S2379" s="21"/>
      <c r="T2379" s="21"/>
      <c r="U2379" s="21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Z2379" s="296"/>
      <c r="CZ2379" s="296"/>
    </row>
    <row r="2380" spans="3:104" s="19" customFormat="1" ht="12"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  <c r="N2380" s="21"/>
      <c r="O2380" s="21"/>
      <c r="P2380" s="21"/>
      <c r="Q2380" s="21"/>
      <c r="R2380" s="21"/>
      <c r="S2380" s="21"/>
      <c r="T2380" s="21"/>
      <c r="U2380" s="21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Z2380" s="296"/>
      <c r="CZ2380" s="296"/>
    </row>
    <row r="2381" spans="3:104" s="19" customFormat="1" ht="12"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  <c r="Q2381" s="21"/>
      <c r="R2381" s="21"/>
      <c r="S2381" s="21"/>
      <c r="T2381" s="21"/>
      <c r="U2381" s="21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Z2381" s="296"/>
      <c r="CZ2381" s="296"/>
    </row>
    <row r="2382" spans="3:104" s="19" customFormat="1" ht="12"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  <c r="N2382" s="21"/>
      <c r="O2382" s="21"/>
      <c r="P2382" s="21"/>
      <c r="Q2382" s="21"/>
      <c r="R2382" s="21"/>
      <c r="S2382" s="21"/>
      <c r="T2382" s="21"/>
      <c r="U2382" s="21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Z2382" s="296"/>
      <c r="CZ2382" s="296"/>
    </row>
    <row r="2383" spans="3:104" s="19" customFormat="1" ht="12"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  <c r="Q2383" s="21"/>
      <c r="R2383" s="21"/>
      <c r="S2383" s="21"/>
      <c r="T2383" s="21"/>
      <c r="U2383" s="21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Z2383" s="296"/>
      <c r="CZ2383" s="296"/>
    </row>
    <row r="2384" spans="3:104" s="19" customFormat="1" ht="12"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  <c r="N2384" s="21"/>
      <c r="O2384" s="21"/>
      <c r="P2384" s="21"/>
      <c r="Q2384" s="21"/>
      <c r="R2384" s="21"/>
      <c r="S2384" s="21"/>
      <c r="T2384" s="21"/>
      <c r="U2384" s="21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Z2384" s="296"/>
      <c r="CZ2384" s="296"/>
    </row>
    <row r="2385" spans="3:104" s="19" customFormat="1" ht="12"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  <c r="Q2385" s="21"/>
      <c r="R2385" s="21"/>
      <c r="S2385" s="21"/>
      <c r="T2385" s="21"/>
      <c r="U2385" s="21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Z2385" s="296"/>
      <c r="CZ2385" s="296"/>
    </row>
    <row r="2386" spans="3:104" s="19" customFormat="1" ht="12"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  <c r="N2386" s="21"/>
      <c r="O2386" s="21"/>
      <c r="P2386" s="21"/>
      <c r="Q2386" s="21"/>
      <c r="R2386" s="21"/>
      <c r="S2386" s="21"/>
      <c r="T2386" s="21"/>
      <c r="U2386" s="21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Z2386" s="296"/>
      <c r="CZ2386" s="296"/>
    </row>
    <row r="2387" spans="3:104" s="19" customFormat="1" ht="12"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  <c r="Q2387" s="21"/>
      <c r="R2387" s="21"/>
      <c r="S2387" s="21"/>
      <c r="T2387" s="21"/>
      <c r="U2387" s="21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Z2387" s="296"/>
      <c r="CZ2387" s="296"/>
    </row>
    <row r="2388" spans="3:104" s="19" customFormat="1" ht="12"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  <c r="N2388" s="21"/>
      <c r="O2388" s="21"/>
      <c r="P2388" s="21"/>
      <c r="Q2388" s="21"/>
      <c r="R2388" s="21"/>
      <c r="S2388" s="21"/>
      <c r="T2388" s="21"/>
      <c r="U2388" s="21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Z2388" s="296"/>
      <c r="CZ2388" s="296"/>
    </row>
    <row r="2389" spans="3:104" s="19" customFormat="1" ht="12"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  <c r="Q2389" s="21"/>
      <c r="R2389" s="21"/>
      <c r="S2389" s="21"/>
      <c r="T2389" s="21"/>
      <c r="U2389" s="21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Z2389" s="296"/>
      <c r="CZ2389" s="296"/>
    </row>
    <row r="2390" spans="3:104" s="19" customFormat="1" ht="12"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  <c r="N2390" s="21"/>
      <c r="O2390" s="21"/>
      <c r="P2390" s="21"/>
      <c r="Q2390" s="21"/>
      <c r="R2390" s="21"/>
      <c r="S2390" s="21"/>
      <c r="T2390" s="21"/>
      <c r="U2390" s="21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Z2390" s="296"/>
      <c r="CZ2390" s="296"/>
    </row>
    <row r="2391" spans="3:104" s="19" customFormat="1" ht="12"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  <c r="Q2391" s="21"/>
      <c r="R2391" s="21"/>
      <c r="S2391" s="21"/>
      <c r="T2391" s="21"/>
      <c r="U2391" s="21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Z2391" s="296"/>
      <c r="CZ2391" s="296"/>
    </row>
    <row r="2392" spans="3:104" s="19" customFormat="1" ht="12"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  <c r="N2392" s="21"/>
      <c r="O2392" s="21"/>
      <c r="P2392" s="21"/>
      <c r="Q2392" s="21"/>
      <c r="R2392" s="21"/>
      <c r="S2392" s="21"/>
      <c r="T2392" s="21"/>
      <c r="U2392" s="21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Z2392" s="296"/>
      <c r="CZ2392" s="296"/>
    </row>
    <row r="2393" spans="3:104" s="19" customFormat="1" ht="12"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  <c r="Q2393" s="21"/>
      <c r="R2393" s="21"/>
      <c r="S2393" s="21"/>
      <c r="T2393" s="21"/>
      <c r="U2393" s="21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Z2393" s="296"/>
      <c r="CZ2393" s="296"/>
    </row>
    <row r="2394" spans="3:104" s="19" customFormat="1" ht="12"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  <c r="N2394" s="21"/>
      <c r="O2394" s="21"/>
      <c r="P2394" s="21"/>
      <c r="Q2394" s="21"/>
      <c r="R2394" s="21"/>
      <c r="S2394" s="21"/>
      <c r="T2394" s="21"/>
      <c r="U2394" s="21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Z2394" s="296"/>
      <c r="CZ2394" s="296"/>
    </row>
    <row r="2395" spans="3:104" s="19" customFormat="1" ht="12"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  <c r="Q2395" s="21"/>
      <c r="R2395" s="21"/>
      <c r="S2395" s="21"/>
      <c r="T2395" s="21"/>
      <c r="U2395" s="21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Z2395" s="296"/>
      <c r="CZ2395" s="296"/>
    </row>
    <row r="2396" spans="3:104" s="19" customFormat="1" ht="12"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  <c r="N2396" s="21"/>
      <c r="O2396" s="21"/>
      <c r="P2396" s="21"/>
      <c r="Q2396" s="21"/>
      <c r="R2396" s="21"/>
      <c r="S2396" s="21"/>
      <c r="T2396" s="21"/>
      <c r="U2396" s="21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Z2396" s="296"/>
      <c r="CZ2396" s="296"/>
    </row>
    <row r="2397" spans="3:104" s="19" customFormat="1" ht="12"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  <c r="Q2397" s="21"/>
      <c r="R2397" s="21"/>
      <c r="S2397" s="21"/>
      <c r="T2397" s="21"/>
      <c r="U2397" s="21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Z2397" s="296"/>
      <c r="CZ2397" s="296"/>
    </row>
    <row r="2398" spans="3:104" s="19" customFormat="1" ht="12"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  <c r="N2398" s="21"/>
      <c r="O2398" s="21"/>
      <c r="P2398" s="21"/>
      <c r="Q2398" s="21"/>
      <c r="R2398" s="21"/>
      <c r="S2398" s="21"/>
      <c r="T2398" s="21"/>
      <c r="U2398" s="21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Z2398" s="296"/>
      <c r="CZ2398" s="296"/>
    </row>
    <row r="2399" spans="3:104" s="19" customFormat="1" ht="12"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  <c r="Q2399" s="21"/>
      <c r="R2399" s="21"/>
      <c r="S2399" s="21"/>
      <c r="T2399" s="21"/>
      <c r="U2399" s="21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Z2399" s="296"/>
      <c r="CZ2399" s="296"/>
    </row>
    <row r="2400" spans="3:104" s="19" customFormat="1" ht="12"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  <c r="N2400" s="21"/>
      <c r="O2400" s="21"/>
      <c r="P2400" s="21"/>
      <c r="Q2400" s="21"/>
      <c r="R2400" s="21"/>
      <c r="S2400" s="21"/>
      <c r="T2400" s="21"/>
      <c r="U2400" s="21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Z2400" s="296"/>
      <c r="CZ2400" s="296"/>
    </row>
    <row r="2401" spans="3:104" s="19" customFormat="1" ht="12"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  <c r="Q2401" s="21"/>
      <c r="R2401" s="21"/>
      <c r="S2401" s="21"/>
      <c r="T2401" s="21"/>
      <c r="U2401" s="21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Z2401" s="296"/>
      <c r="CZ2401" s="296"/>
    </row>
    <row r="2402" spans="3:104" s="19" customFormat="1" ht="12"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  <c r="N2402" s="21"/>
      <c r="O2402" s="21"/>
      <c r="P2402" s="21"/>
      <c r="Q2402" s="21"/>
      <c r="R2402" s="21"/>
      <c r="S2402" s="21"/>
      <c r="T2402" s="21"/>
      <c r="U2402" s="21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Z2402" s="296"/>
      <c r="CZ2402" s="296"/>
    </row>
    <row r="2403" spans="3:104" s="19" customFormat="1" ht="12"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  <c r="Q2403" s="21"/>
      <c r="R2403" s="21"/>
      <c r="S2403" s="21"/>
      <c r="T2403" s="21"/>
      <c r="U2403" s="21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Z2403" s="296"/>
      <c r="CZ2403" s="296"/>
    </row>
    <row r="2404" spans="3:104" s="19" customFormat="1" ht="12"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  <c r="N2404" s="21"/>
      <c r="O2404" s="21"/>
      <c r="P2404" s="21"/>
      <c r="Q2404" s="21"/>
      <c r="R2404" s="21"/>
      <c r="S2404" s="21"/>
      <c r="T2404" s="21"/>
      <c r="U2404" s="21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Z2404" s="296"/>
      <c r="CZ2404" s="296"/>
    </row>
    <row r="2405" spans="3:104" s="19" customFormat="1" ht="12"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  <c r="Q2405" s="21"/>
      <c r="R2405" s="21"/>
      <c r="S2405" s="21"/>
      <c r="T2405" s="21"/>
      <c r="U2405" s="21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Z2405" s="296"/>
      <c r="CZ2405" s="296"/>
    </row>
    <row r="2406" spans="3:104" s="19" customFormat="1" ht="12"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  <c r="N2406" s="21"/>
      <c r="O2406" s="21"/>
      <c r="P2406" s="21"/>
      <c r="Q2406" s="21"/>
      <c r="R2406" s="21"/>
      <c r="S2406" s="21"/>
      <c r="T2406" s="21"/>
      <c r="U2406" s="21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Z2406" s="296"/>
      <c r="CZ2406" s="296"/>
    </row>
    <row r="2407" spans="3:104" s="19" customFormat="1" ht="12"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  <c r="Q2407" s="21"/>
      <c r="R2407" s="21"/>
      <c r="S2407" s="21"/>
      <c r="T2407" s="21"/>
      <c r="U2407" s="21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Z2407" s="296"/>
      <c r="CZ2407" s="296"/>
    </row>
    <row r="2408" spans="3:104" s="19" customFormat="1" ht="12"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  <c r="N2408" s="21"/>
      <c r="O2408" s="21"/>
      <c r="P2408" s="21"/>
      <c r="Q2408" s="21"/>
      <c r="R2408" s="21"/>
      <c r="S2408" s="21"/>
      <c r="T2408" s="21"/>
      <c r="U2408" s="21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Z2408" s="296"/>
      <c r="CZ2408" s="296"/>
    </row>
    <row r="2409" spans="3:104" s="19" customFormat="1" ht="12"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  <c r="Q2409" s="21"/>
      <c r="R2409" s="21"/>
      <c r="S2409" s="21"/>
      <c r="T2409" s="21"/>
      <c r="U2409" s="21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Z2409" s="296"/>
      <c r="CZ2409" s="296"/>
    </row>
    <row r="2410" spans="3:104" s="19" customFormat="1" ht="12"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  <c r="N2410" s="21"/>
      <c r="O2410" s="21"/>
      <c r="P2410" s="21"/>
      <c r="Q2410" s="21"/>
      <c r="R2410" s="21"/>
      <c r="S2410" s="21"/>
      <c r="T2410" s="21"/>
      <c r="U2410" s="21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Z2410" s="296"/>
      <c r="CZ2410" s="296"/>
    </row>
    <row r="2411" spans="3:104" s="19" customFormat="1" ht="12"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  <c r="Q2411" s="21"/>
      <c r="R2411" s="21"/>
      <c r="S2411" s="21"/>
      <c r="T2411" s="21"/>
      <c r="U2411" s="21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Z2411" s="296"/>
      <c r="CZ2411" s="296"/>
    </row>
    <row r="2412" spans="3:104" s="19" customFormat="1" ht="12"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  <c r="N2412" s="21"/>
      <c r="O2412" s="21"/>
      <c r="P2412" s="21"/>
      <c r="Q2412" s="21"/>
      <c r="R2412" s="21"/>
      <c r="S2412" s="21"/>
      <c r="T2412" s="21"/>
      <c r="U2412" s="21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Z2412" s="296"/>
      <c r="CZ2412" s="296"/>
    </row>
    <row r="2413" spans="3:104" s="19" customFormat="1" ht="12"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  <c r="Q2413" s="21"/>
      <c r="R2413" s="21"/>
      <c r="S2413" s="21"/>
      <c r="T2413" s="21"/>
      <c r="U2413" s="21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Z2413" s="296"/>
      <c r="CZ2413" s="296"/>
    </row>
    <row r="2414" spans="3:104" s="19" customFormat="1" ht="12"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  <c r="N2414" s="21"/>
      <c r="O2414" s="21"/>
      <c r="P2414" s="21"/>
      <c r="Q2414" s="21"/>
      <c r="R2414" s="21"/>
      <c r="S2414" s="21"/>
      <c r="T2414" s="21"/>
      <c r="U2414" s="21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Z2414" s="296"/>
      <c r="CZ2414" s="296"/>
    </row>
    <row r="2415" spans="3:104" s="19" customFormat="1" ht="12"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  <c r="Q2415" s="21"/>
      <c r="R2415" s="21"/>
      <c r="S2415" s="21"/>
      <c r="T2415" s="21"/>
      <c r="U2415" s="21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Z2415" s="296"/>
      <c r="CZ2415" s="296"/>
    </row>
    <row r="2416" spans="3:104" s="19" customFormat="1" ht="12"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  <c r="N2416" s="21"/>
      <c r="O2416" s="21"/>
      <c r="P2416" s="21"/>
      <c r="Q2416" s="21"/>
      <c r="R2416" s="21"/>
      <c r="S2416" s="21"/>
      <c r="T2416" s="21"/>
      <c r="U2416" s="21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Z2416" s="296"/>
      <c r="CZ2416" s="296"/>
    </row>
    <row r="2417" spans="3:104" s="19" customFormat="1" ht="12"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  <c r="Q2417" s="21"/>
      <c r="R2417" s="21"/>
      <c r="S2417" s="21"/>
      <c r="T2417" s="21"/>
      <c r="U2417" s="21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Z2417" s="296"/>
      <c r="CZ2417" s="296"/>
    </row>
    <row r="2418" spans="3:104" s="19" customFormat="1" ht="12"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  <c r="N2418" s="21"/>
      <c r="O2418" s="21"/>
      <c r="P2418" s="21"/>
      <c r="Q2418" s="21"/>
      <c r="R2418" s="21"/>
      <c r="S2418" s="21"/>
      <c r="T2418" s="21"/>
      <c r="U2418" s="21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Z2418" s="296"/>
      <c r="CZ2418" s="296"/>
    </row>
    <row r="2419" spans="3:104" s="19" customFormat="1" ht="12"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  <c r="Q2419" s="21"/>
      <c r="R2419" s="21"/>
      <c r="S2419" s="21"/>
      <c r="T2419" s="21"/>
      <c r="U2419" s="21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Z2419" s="296"/>
      <c r="CZ2419" s="296"/>
    </row>
    <row r="2420" spans="3:104" s="19" customFormat="1" ht="12"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  <c r="N2420" s="21"/>
      <c r="O2420" s="21"/>
      <c r="P2420" s="21"/>
      <c r="Q2420" s="21"/>
      <c r="R2420" s="21"/>
      <c r="S2420" s="21"/>
      <c r="T2420" s="21"/>
      <c r="U2420" s="21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Z2420" s="296"/>
      <c r="CZ2420" s="296"/>
    </row>
    <row r="2421" spans="3:104" s="19" customFormat="1" ht="12"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  <c r="Q2421" s="21"/>
      <c r="R2421" s="21"/>
      <c r="S2421" s="21"/>
      <c r="T2421" s="21"/>
      <c r="U2421" s="21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Z2421" s="296"/>
      <c r="CZ2421" s="296"/>
    </row>
    <row r="2422" spans="3:104" s="19" customFormat="1" ht="12"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  <c r="N2422" s="21"/>
      <c r="O2422" s="21"/>
      <c r="P2422" s="21"/>
      <c r="Q2422" s="21"/>
      <c r="R2422" s="21"/>
      <c r="S2422" s="21"/>
      <c r="T2422" s="21"/>
      <c r="U2422" s="21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Z2422" s="296"/>
      <c r="CZ2422" s="296"/>
    </row>
    <row r="2423" spans="3:104" s="19" customFormat="1" ht="12"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  <c r="Q2423" s="21"/>
      <c r="R2423" s="21"/>
      <c r="S2423" s="21"/>
      <c r="T2423" s="21"/>
      <c r="U2423" s="21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Z2423" s="296"/>
      <c r="CZ2423" s="296"/>
    </row>
    <row r="2424" spans="3:104" s="19" customFormat="1" ht="12"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  <c r="N2424" s="21"/>
      <c r="O2424" s="21"/>
      <c r="P2424" s="21"/>
      <c r="Q2424" s="21"/>
      <c r="R2424" s="21"/>
      <c r="S2424" s="21"/>
      <c r="T2424" s="21"/>
      <c r="U2424" s="21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Z2424" s="296"/>
      <c r="CZ2424" s="296"/>
    </row>
    <row r="2425" spans="3:104" s="19" customFormat="1" ht="12"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  <c r="Q2425" s="21"/>
      <c r="R2425" s="21"/>
      <c r="S2425" s="21"/>
      <c r="T2425" s="21"/>
      <c r="U2425" s="21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Z2425" s="296"/>
      <c r="CZ2425" s="296"/>
    </row>
    <row r="2426" spans="3:104" s="19" customFormat="1" ht="12"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  <c r="N2426" s="21"/>
      <c r="O2426" s="21"/>
      <c r="P2426" s="21"/>
      <c r="Q2426" s="21"/>
      <c r="R2426" s="21"/>
      <c r="S2426" s="21"/>
      <c r="T2426" s="21"/>
      <c r="U2426" s="21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Z2426" s="296"/>
      <c r="CZ2426" s="296"/>
    </row>
    <row r="2427" spans="3:104" s="19" customFormat="1" ht="12"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  <c r="Q2427" s="21"/>
      <c r="R2427" s="21"/>
      <c r="S2427" s="21"/>
      <c r="T2427" s="21"/>
      <c r="U2427" s="21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Z2427" s="296"/>
      <c r="CZ2427" s="296"/>
    </row>
    <row r="2428" spans="3:104" s="19" customFormat="1" ht="12"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  <c r="N2428" s="21"/>
      <c r="O2428" s="21"/>
      <c r="P2428" s="21"/>
      <c r="Q2428" s="21"/>
      <c r="R2428" s="21"/>
      <c r="S2428" s="21"/>
      <c r="T2428" s="21"/>
      <c r="U2428" s="21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Z2428" s="296"/>
      <c r="CZ2428" s="296"/>
    </row>
    <row r="2429" spans="3:104" s="19" customFormat="1" ht="12"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  <c r="Q2429" s="21"/>
      <c r="R2429" s="21"/>
      <c r="S2429" s="21"/>
      <c r="T2429" s="21"/>
      <c r="U2429" s="21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Z2429" s="296"/>
      <c r="CZ2429" s="296"/>
    </row>
    <row r="2430" spans="3:104" s="19" customFormat="1" ht="12"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  <c r="N2430" s="21"/>
      <c r="O2430" s="21"/>
      <c r="P2430" s="21"/>
      <c r="Q2430" s="21"/>
      <c r="R2430" s="21"/>
      <c r="S2430" s="21"/>
      <c r="T2430" s="21"/>
      <c r="U2430" s="21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Z2430" s="296"/>
      <c r="CZ2430" s="296"/>
    </row>
    <row r="2431" spans="3:104" s="19" customFormat="1" ht="12"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  <c r="Q2431" s="21"/>
      <c r="R2431" s="21"/>
      <c r="S2431" s="21"/>
      <c r="T2431" s="21"/>
      <c r="U2431" s="21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Z2431" s="296"/>
      <c r="CZ2431" s="296"/>
    </row>
    <row r="2432" spans="3:104" s="19" customFormat="1" ht="12"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  <c r="N2432" s="21"/>
      <c r="O2432" s="21"/>
      <c r="P2432" s="21"/>
      <c r="Q2432" s="21"/>
      <c r="R2432" s="21"/>
      <c r="S2432" s="21"/>
      <c r="T2432" s="21"/>
      <c r="U2432" s="21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Z2432" s="296"/>
      <c r="CZ2432" s="296"/>
    </row>
    <row r="2433" spans="3:104" s="19" customFormat="1" ht="12"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  <c r="Q2433" s="21"/>
      <c r="R2433" s="21"/>
      <c r="S2433" s="21"/>
      <c r="T2433" s="21"/>
      <c r="U2433" s="21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Z2433" s="296"/>
      <c r="CZ2433" s="296"/>
    </row>
    <row r="2434" spans="3:104" s="19" customFormat="1" ht="12"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  <c r="N2434" s="21"/>
      <c r="O2434" s="21"/>
      <c r="P2434" s="21"/>
      <c r="Q2434" s="21"/>
      <c r="R2434" s="21"/>
      <c r="S2434" s="21"/>
      <c r="T2434" s="21"/>
      <c r="U2434" s="21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Z2434" s="296"/>
      <c r="CZ2434" s="296"/>
    </row>
    <row r="2435" spans="3:104" s="19" customFormat="1" ht="12"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  <c r="Q2435" s="21"/>
      <c r="R2435" s="21"/>
      <c r="S2435" s="21"/>
      <c r="T2435" s="21"/>
      <c r="U2435" s="21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Z2435" s="296"/>
      <c r="CZ2435" s="296"/>
    </row>
    <row r="2436" spans="3:104" s="19" customFormat="1" ht="12"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  <c r="N2436" s="21"/>
      <c r="O2436" s="21"/>
      <c r="P2436" s="21"/>
      <c r="Q2436" s="21"/>
      <c r="R2436" s="21"/>
      <c r="S2436" s="21"/>
      <c r="T2436" s="21"/>
      <c r="U2436" s="21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Z2436" s="296"/>
      <c r="CZ2436" s="296"/>
    </row>
    <row r="2437" spans="3:104" s="19" customFormat="1" ht="12"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  <c r="Q2437" s="21"/>
      <c r="R2437" s="21"/>
      <c r="S2437" s="21"/>
      <c r="T2437" s="21"/>
      <c r="U2437" s="21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Z2437" s="296"/>
      <c r="CZ2437" s="296"/>
    </row>
    <row r="2438" spans="3:104" s="19" customFormat="1" ht="12"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  <c r="N2438" s="21"/>
      <c r="O2438" s="21"/>
      <c r="P2438" s="21"/>
      <c r="Q2438" s="21"/>
      <c r="R2438" s="21"/>
      <c r="S2438" s="21"/>
      <c r="T2438" s="21"/>
      <c r="U2438" s="21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Z2438" s="296"/>
      <c r="CZ2438" s="296"/>
    </row>
    <row r="2439" spans="3:104" s="19" customFormat="1" ht="12"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  <c r="Q2439" s="21"/>
      <c r="R2439" s="21"/>
      <c r="S2439" s="21"/>
      <c r="T2439" s="21"/>
      <c r="U2439" s="21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Z2439" s="296"/>
      <c r="CZ2439" s="296"/>
    </row>
    <row r="2440" spans="3:104" s="19" customFormat="1" ht="12"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  <c r="N2440" s="21"/>
      <c r="O2440" s="21"/>
      <c r="P2440" s="21"/>
      <c r="Q2440" s="21"/>
      <c r="R2440" s="21"/>
      <c r="S2440" s="21"/>
      <c r="T2440" s="21"/>
      <c r="U2440" s="21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Z2440" s="296"/>
      <c r="CZ2440" s="296"/>
    </row>
    <row r="2441" spans="3:104" s="19" customFormat="1" ht="12"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  <c r="Q2441" s="21"/>
      <c r="R2441" s="21"/>
      <c r="S2441" s="21"/>
      <c r="T2441" s="21"/>
      <c r="U2441" s="21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Z2441" s="296"/>
      <c r="CZ2441" s="296"/>
    </row>
    <row r="2442" spans="3:104" s="19" customFormat="1" ht="12"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  <c r="N2442" s="21"/>
      <c r="O2442" s="21"/>
      <c r="P2442" s="21"/>
      <c r="Q2442" s="21"/>
      <c r="R2442" s="21"/>
      <c r="S2442" s="21"/>
      <c r="T2442" s="21"/>
      <c r="U2442" s="21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Z2442" s="296"/>
      <c r="CZ2442" s="296"/>
    </row>
    <row r="2443" spans="3:104" s="19" customFormat="1" ht="12"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  <c r="Q2443" s="21"/>
      <c r="R2443" s="21"/>
      <c r="S2443" s="21"/>
      <c r="T2443" s="21"/>
      <c r="U2443" s="21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Z2443" s="296"/>
      <c r="CZ2443" s="296"/>
    </row>
    <row r="2444" spans="3:104" s="19" customFormat="1" ht="12"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  <c r="N2444" s="21"/>
      <c r="O2444" s="21"/>
      <c r="P2444" s="21"/>
      <c r="Q2444" s="21"/>
      <c r="R2444" s="21"/>
      <c r="S2444" s="21"/>
      <c r="T2444" s="21"/>
      <c r="U2444" s="21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Z2444" s="296"/>
      <c r="CZ2444" s="296"/>
    </row>
    <row r="2445" spans="3:104" s="19" customFormat="1" ht="12"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  <c r="Q2445" s="21"/>
      <c r="R2445" s="21"/>
      <c r="S2445" s="21"/>
      <c r="T2445" s="21"/>
      <c r="U2445" s="21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Z2445" s="296"/>
      <c r="CZ2445" s="296"/>
    </row>
    <row r="2446" spans="3:104" s="19" customFormat="1" ht="12"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  <c r="N2446" s="21"/>
      <c r="O2446" s="21"/>
      <c r="P2446" s="21"/>
      <c r="Q2446" s="21"/>
      <c r="R2446" s="21"/>
      <c r="S2446" s="21"/>
      <c r="T2446" s="21"/>
      <c r="U2446" s="21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Z2446" s="296"/>
      <c r="CZ2446" s="296"/>
    </row>
    <row r="2447" spans="3:104" s="19" customFormat="1" ht="12"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  <c r="Q2447" s="21"/>
      <c r="R2447" s="21"/>
      <c r="S2447" s="21"/>
      <c r="T2447" s="21"/>
      <c r="U2447" s="21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Z2447" s="296"/>
      <c r="CZ2447" s="296"/>
    </row>
    <row r="2448" spans="3:104" s="19" customFormat="1" ht="12"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  <c r="N2448" s="21"/>
      <c r="O2448" s="21"/>
      <c r="P2448" s="21"/>
      <c r="Q2448" s="21"/>
      <c r="R2448" s="21"/>
      <c r="S2448" s="21"/>
      <c r="T2448" s="21"/>
      <c r="U2448" s="21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Z2448" s="296"/>
      <c r="CZ2448" s="296"/>
    </row>
    <row r="2449" spans="3:104" s="19" customFormat="1" ht="12"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  <c r="Q2449" s="21"/>
      <c r="R2449" s="21"/>
      <c r="S2449" s="21"/>
      <c r="T2449" s="21"/>
      <c r="U2449" s="21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Z2449" s="296"/>
      <c r="CZ2449" s="296"/>
    </row>
    <row r="2450" spans="3:104" s="19" customFormat="1" ht="12"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  <c r="N2450" s="21"/>
      <c r="O2450" s="21"/>
      <c r="P2450" s="21"/>
      <c r="Q2450" s="21"/>
      <c r="R2450" s="21"/>
      <c r="S2450" s="21"/>
      <c r="T2450" s="21"/>
      <c r="U2450" s="21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Z2450" s="296"/>
      <c r="CZ2450" s="296"/>
    </row>
    <row r="2451" spans="3:104" s="19" customFormat="1" ht="12"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  <c r="Q2451" s="21"/>
      <c r="R2451" s="21"/>
      <c r="S2451" s="21"/>
      <c r="T2451" s="21"/>
      <c r="U2451" s="21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Z2451" s="296"/>
      <c r="CZ2451" s="296"/>
    </row>
    <row r="2452" spans="3:104" s="19" customFormat="1" ht="12"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  <c r="N2452" s="21"/>
      <c r="O2452" s="21"/>
      <c r="P2452" s="21"/>
      <c r="Q2452" s="21"/>
      <c r="R2452" s="21"/>
      <c r="S2452" s="21"/>
      <c r="T2452" s="21"/>
      <c r="U2452" s="21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Z2452" s="296"/>
      <c r="CZ2452" s="296"/>
    </row>
    <row r="2453" spans="3:104" s="19" customFormat="1" ht="12"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  <c r="Q2453" s="21"/>
      <c r="R2453" s="21"/>
      <c r="S2453" s="21"/>
      <c r="T2453" s="21"/>
      <c r="U2453" s="21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Z2453" s="296"/>
      <c r="CZ2453" s="296"/>
    </row>
    <row r="2454" spans="3:104" s="19" customFormat="1" ht="12"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  <c r="N2454" s="21"/>
      <c r="O2454" s="21"/>
      <c r="P2454" s="21"/>
      <c r="Q2454" s="21"/>
      <c r="R2454" s="21"/>
      <c r="S2454" s="21"/>
      <c r="T2454" s="21"/>
      <c r="U2454" s="21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Z2454" s="296"/>
      <c r="CZ2454" s="296"/>
    </row>
    <row r="2455" spans="3:104" s="19" customFormat="1" ht="12"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  <c r="Q2455" s="21"/>
      <c r="R2455" s="21"/>
      <c r="S2455" s="21"/>
      <c r="T2455" s="21"/>
      <c r="U2455" s="21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Z2455" s="296"/>
      <c r="CZ2455" s="296"/>
    </row>
    <row r="2456" spans="3:104" s="19" customFormat="1" ht="12"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  <c r="N2456" s="21"/>
      <c r="O2456" s="21"/>
      <c r="P2456" s="21"/>
      <c r="Q2456" s="21"/>
      <c r="R2456" s="21"/>
      <c r="S2456" s="21"/>
      <c r="T2456" s="21"/>
      <c r="U2456" s="21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Z2456" s="296"/>
      <c r="CZ2456" s="296"/>
    </row>
    <row r="2457" spans="3:104" s="19" customFormat="1" ht="12"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  <c r="Q2457" s="21"/>
      <c r="R2457" s="21"/>
      <c r="S2457" s="21"/>
      <c r="T2457" s="21"/>
      <c r="U2457" s="21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Z2457" s="296"/>
      <c r="CZ2457" s="296"/>
    </row>
    <row r="2458" spans="3:104" s="19" customFormat="1" ht="12"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  <c r="N2458" s="21"/>
      <c r="O2458" s="21"/>
      <c r="P2458" s="21"/>
      <c r="Q2458" s="21"/>
      <c r="R2458" s="21"/>
      <c r="S2458" s="21"/>
      <c r="T2458" s="21"/>
      <c r="U2458" s="21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Z2458" s="296"/>
      <c r="CZ2458" s="296"/>
    </row>
    <row r="2459" spans="3:104" s="19" customFormat="1" ht="12"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  <c r="Q2459" s="21"/>
      <c r="R2459" s="21"/>
      <c r="S2459" s="21"/>
      <c r="T2459" s="21"/>
      <c r="U2459" s="21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Z2459" s="296"/>
      <c r="CZ2459" s="296"/>
    </row>
    <row r="2460" spans="3:104" s="19" customFormat="1" ht="12"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  <c r="N2460" s="21"/>
      <c r="O2460" s="21"/>
      <c r="P2460" s="21"/>
      <c r="Q2460" s="21"/>
      <c r="R2460" s="21"/>
      <c r="S2460" s="21"/>
      <c r="T2460" s="21"/>
      <c r="U2460" s="21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Z2460" s="296"/>
      <c r="CZ2460" s="296"/>
    </row>
    <row r="2461" spans="3:104" s="19" customFormat="1" ht="12"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  <c r="Q2461" s="21"/>
      <c r="R2461" s="21"/>
      <c r="S2461" s="21"/>
      <c r="T2461" s="21"/>
      <c r="U2461" s="21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Z2461" s="296"/>
      <c r="CZ2461" s="296"/>
    </row>
    <row r="2462" spans="3:104" s="19" customFormat="1" ht="12"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  <c r="N2462" s="21"/>
      <c r="O2462" s="21"/>
      <c r="P2462" s="21"/>
      <c r="Q2462" s="21"/>
      <c r="R2462" s="21"/>
      <c r="S2462" s="21"/>
      <c r="T2462" s="21"/>
      <c r="U2462" s="21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Z2462" s="296"/>
      <c r="CZ2462" s="296"/>
    </row>
    <row r="2463" spans="3:104" s="19" customFormat="1" ht="12"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  <c r="Q2463" s="21"/>
      <c r="R2463" s="21"/>
      <c r="S2463" s="21"/>
      <c r="T2463" s="21"/>
      <c r="U2463" s="21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Z2463" s="296"/>
      <c r="CZ2463" s="296"/>
    </row>
    <row r="2464" spans="3:104" s="19" customFormat="1" ht="12"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  <c r="N2464" s="21"/>
      <c r="O2464" s="21"/>
      <c r="P2464" s="21"/>
      <c r="Q2464" s="21"/>
      <c r="R2464" s="21"/>
      <c r="S2464" s="21"/>
      <c r="T2464" s="21"/>
      <c r="U2464" s="21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Z2464" s="296"/>
      <c r="CZ2464" s="296"/>
    </row>
    <row r="2465" spans="3:104" s="19" customFormat="1" ht="12"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  <c r="Q2465" s="21"/>
      <c r="R2465" s="21"/>
      <c r="S2465" s="21"/>
      <c r="T2465" s="21"/>
      <c r="U2465" s="21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Z2465" s="296"/>
      <c r="CZ2465" s="296"/>
    </row>
    <row r="2466" spans="3:104" s="19" customFormat="1" ht="12"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  <c r="N2466" s="21"/>
      <c r="O2466" s="21"/>
      <c r="P2466" s="21"/>
      <c r="Q2466" s="21"/>
      <c r="R2466" s="21"/>
      <c r="S2466" s="21"/>
      <c r="T2466" s="21"/>
      <c r="U2466" s="21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Z2466" s="296"/>
      <c r="CZ2466" s="296"/>
    </row>
    <row r="2467" spans="3:104" s="19" customFormat="1" ht="12"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  <c r="Q2467" s="21"/>
      <c r="R2467" s="21"/>
      <c r="S2467" s="21"/>
      <c r="T2467" s="21"/>
      <c r="U2467" s="21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Z2467" s="296"/>
      <c r="CZ2467" s="296"/>
    </row>
    <row r="2468" spans="3:104" s="19" customFormat="1" ht="12"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  <c r="N2468" s="21"/>
      <c r="O2468" s="21"/>
      <c r="P2468" s="21"/>
      <c r="Q2468" s="21"/>
      <c r="R2468" s="21"/>
      <c r="S2468" s="21"/>
      <c r="T2468" s="21"/>
      <c r="U2468" s="21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Z2468" s="296"/>
      <c r="CZ2468" s="296"/>
    </row>
    <row r="2469" spans="3:104" s="19" customFormat="1" ht="12"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  <c r="Q2469" s="21"/>
      <c r="R2469" s="21"/>
      <c r="S2469" s="21"/>
      <c r="T2469" s="21"/>
      <c r="U2469" s="21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Z2469" s="296"/>
      <c r="CZ2469" s="296"/>
    </row>
    <row r="2470" spans="3:104" s="19" customFormat="1" ht="12"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  <c r="N2470" s="21"/>
      <c r="O2470" s="21"/>
      <c r="P2470" s="21"/>
      <c r="Q2470" s="21"/>
      <c r="R2470" s="21"/>
      <c r="S2470" s="21"/>
      <c r="T2470" s="21"/>
      <c r="U2470" s="21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Z2470" s="296"/>
      <c r="CZ2470" s="296"/>
    </row>
    <row r="2471" spans="3:104" s="19" customFormat="1" ht="12"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  <c r="Q2471" s="21"/>
      <c r="R2471" s="21"/>
      <c r="S2471" s="21"/>
      <c r="T2471" s="21"/>
      <c r="U2471" s="21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Z2471" s="296"/>
      <c r="CZ2471" s="296"/>
    </row>
    <row r="2472" spans="3:104" s="19" customFormat="1" ht="12"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  <c r="N2472" s="21"/>
      <c r="O2472" s="21"/>
      <c r="P2472" s="21"/>
      <c r="Q2472" s="21"/>
      <c r="R2472" s="21"/>
      <c r="S2472" s="21"/>
      <c r="T2472" s="21"/>
      <c r="U2472" s="21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Z2472" s="296"/>
      <c r="CZ2472" s="296"/>
    </row>
    <row r="2473" spans="3:104" s="19" customFormat="1" ht="12"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  <c r="Q2473" s="21"/>
      <c r="R2473" s="21"/>
      <c r="S2473" s="21"/>
      <c r="T2473" s="21"/>
      <c r="U2473" s="21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Z2473" s="296"/>
      <c r="CZ2473" s="296"/>
    </row>
    <row r="2474" spans="3:104" s="19" customFormat="1" ht="12"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  <c r="N2474" s="21"/>
      <c r="O2474" s="21"/>
      <c r="P2474" s="21"/>
      <c r="Q2474" s="21"/>
      <c r="R2474" s="21"/>
      <c r="S2474" s="21"/>
      <c r="T2474" s="21"/>
      <c r="U2474" s="21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Z2474" s="296"/>
      <c r="CZ2474" s="296"/>
    </row>
    <row r="2475" spans="3:104" s="19" customFormat="1" ht="12"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  <c r="Q2475" s="21"/>
      <c r="R2475" s="21"/>
      <c r="S2475" s="21"/>
      <c r="T2475" s="21"/>
      <c r="U2475" s="21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Z2475" s="296"/>
      <c r="CZ2475" s="296"/>
    </row>
    <row r="2476" spans="3:104" s="19" customFormat="1" ht="12"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  <c r="N2476" s="21"/>
      <c r="O2476" s="21"/>
      <c r="P2476" s="21"/>
      <c r="Q2476" s="21"/>
      <c r="R2476" s="21"/>
      <c r="S2476" s="21"/>
      <c r="T2476" s="21"/>
      <c r="U2476" s="21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Z2476" s="296"/>
      <c r="CZ2476" s="296"/>
    </row>
    <row r="2477" spans="3:104" s="19" customFormat="1" ht="12"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  <c r="Q2477" s="21"/>
      <c r="R2477" s="21"/>
      <c r="S2477" s="21"/>
      <c r="T2477" s="21"/>
      <c r="U2477" s="21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Z2477" s="296"/>
      <c r="CZ2477" s="296"/>
    </row>
    <row r="2478" spans="3:104" s="19" customFormat="1" ht="12"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  <c r="N2478" s="21"/>
      <c r="O2478" s="21"/>
      <c r="P2478" s="21"/>
      <c r="Q2478" s="21"/>
      <c r="R2478" s="21"/>
      <c r="S2478" s="21"/>
      <c r="T2478" s="21"/>
      <c r="U2478" s="21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Z2478" s="296"/>
      <c r="CZ2478" s="296"/>
    </row>
    <row r="2479" spans="3:104" s="19" customFormat="1" ht="12"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  <c r="Q2479" s="21"/>
      <c r="R2479" s="21"/>
      <c r="S2479" s="21"/>
      <c r="T2479" s="21"/>
      <c r="U2479" s="21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Z2479" s="296"/>
      <c r="CZ2479" s="296"/>
    </row>
    <row r="2480" spans="3:104" s="19" customFormat="1" ht="12"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  <c r="N2480" s="21"/>
      <c r="O2480" s="21"/>
      <c r="P2480" s="21"/>
      <c r="Q2480" s="21"/>
      <c r="R2480" s="21"/>
      <c r="S2480" s="21"/>
      <c r="T2480" s="21"/>
      <c r="U2480" s="21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Z2480" s="296"/>
      <c r="CZ2480" s="296"/>
    </row>
    <row r="2481" spans="3:104" s="19" customFormat="1" ht="12"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  <c r="Q2481" s="21"/>
      <c r="R2481" s="21"/>
      <c r="S2481" s="21"/>
      <c r="T2481" s="21"/>
      <c r="U2481" s="21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Z2481" s="296"/>
      <c r="CZ2481" s="296"/>
    </row>
    <row r="2482" spans="3:104" s="19" customFormat="1" ht="12"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  <c r="N2482" s="21"/>
      <c r="O2482" s="21"/>
      <c r="P2482" s="21"/>
      <c r="Q2482" s="21"/>
      <c r="R2482" s="21"/>
      <c r="S2482" s="21"/>
      <c r="T2482" s="21"/>
      <c r="U2482" s="21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Z2482" s="296"/>
      <c r="CZ2482" s="296"/>
    </row>
    <row r="2483" spans="3:104" s="19" customFormat="1" ht="12"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  <c r="Q2483" s="21"/>
      <c r="R2483" s="21"/>
      <c r="S2483" s="21"/>
      <c r="T2483" s="21"/>
      <c r="U2483" s="21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Z2483" s="296"/>
      <c r="CZ2483" s="296"/>
    </row>
    <row r="2484" spans="3:104" s="19" customFormat="1" ht="12"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  <c r="N2484" s="21"/>
      <c r="O2484" s="21"/>
      <c r="P2484" s="21"/>
      <c r="Q2484" s="21"/>
      <c r="R2484" s="21"/>
      <c r="S2484" s="21"/>
      <c r="T2484" s="21"/>
      <c r="U2484" s="21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Z2484" s="296"/>
      <c r="CZ2484" s="296"/>
    </row>
    <row r="2485" spans="3:104" s="19" customFormat="1" ht="12"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  <c r="Q2485" s="21"/>
      <c r="R2485" s="21"/>
      <c r="S2485" s="21"/>
      <c r="T2485" s="21"/>
      <c r="U2485" s="21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Z2485" s="296"/>
      <c r="CZ2485" s="296"/>
    </row>
    <row r="2486" spans="3:104" s="19" customFormat="1" ht="12"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  <c r="N2486" s="21"/>
      <c r="O2486" s="21"/>
      <c r="P2486" s="21"/>
      <c r="Q2486" s="21"/>
      <c r="R2486" s="21"/>
      <c r="S2486" s="21"/>
      <c r="T2486" s="21"/>
      <c r="U2486" s="21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Z2486" s="296"/>
      <c r="CZ2486" s="296"/>
    </row>
    <row r="2487" spans="3:104" s="19" customFormat="1" ht="12"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  <c r="Q2487" s="21"/>
      <c r="R2487" s="21"/>
      <c r="S2487" s="21"/>
      <c r="T2487" s="21"/>
      <c r="U2487" s="21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Z2487" s="296"/>
      <c r="CZ2487" s="296"/>
    </row>
    <row r="2488" spans="3:104" s="19" customFormat="1" ht="12"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  <c r="N2488" s="21"/>
      <c r="O2488" s="21"/>
      <c r="P2488" s="21"/>
      <c r="Q2488" s="21"/>
      <c r="R2488" s="21"/>
      <c r="S2488" s="21"/>
      <c r="T2488" s="21"/>
      <c r="U2488" s="21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Z2488" s="296"/>
      <c r="CZ2488" s="296"/>
    </row>
    <row r="2489" spans="3:104" s="19" customFormat="1" ht="12"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  <c r="Q2489" s="21"/>
      <c r="R2489" s="21"/>
      <c r="S2489" s="21"/>
      <c r="T2489" s="21"/>
      <c r="U2489" s="21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Z2489" s="296"/>
      <c r="CZ2489" s="296"/>
    </row>
    <row r="2490" spans="3:104" s="19" customFormat="1" ht="12"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  <c r="N2490" s="21"/>
      <c r="O2490" s="21"/>
      <c r="P2490" s="21"/>
      <c r="Q2490" s="21"/>
      <c r="R2490" s="21"/>
      <c r="S2490" s="21"/>
      <c r="T2490" s="21"/>
      <c r="U2490" s="21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Z2490" s="296"/>
      <c r="CZ2490" s="296"/>
    </row>
    <row r="2491" spans="3:104" s="19" customFormat="1" ht="12"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  <c r="Q2491" s="21"/>
      <c r="R2491" s="21"/>
      <c r="S2491" s="21"/>
      <c r="T2491" s="21"/>
      <c r="U2491" s="21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Z2491" s="296"/>
      <c r="CZ2491" s="296"/>
    </row>
    <row r="2492" spans="3:104" s="19" customFormat="1" ht="12"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  <c r="N2492" s="21"/>
      <c r="O2492" s="21"/>
      <c r="P2492" s="21"/>
      <c r="Q2492" s="21"/>
      <c r="R2492" s="21"/>
      <c r="S2492" s="21"/>
      <c r="T2492" s="21"/>
      <c r="U2492" s="21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Z2492" s="296"/>
      <c r="CZ2492" s="296"/>
    </row>
    <row r="2493" spans="3:104" s="19" customFormat="1" ht="12"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  <c r="Q2493" s="21"/>
      <c r="R2493" s="21"/>
      <c r="S2493" s="21"/>
      <c r="T2493" s="21"/>
      <c r="U2493" s="21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Z2493" s="296"/>
      <c r="CZ2493" s="296"/>
    </row>
    <row r="2494" spans="3:104" s="19" customFormat="1" ht="12"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  <c r="N2494" s="21"/>
      <c r="O2494" s="21"/>
      <c r="P2494" s="21"/>
      <c r="Q2494" s="21"/>
      <c r="R2494" s="21"/>
      <c r="S2494" s="21"/>
      <c r="T2494" s="21"/>
      <c r="U2494" s="21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Z2494" s="296"/>
      <c r="CZ2494" s="296"/>
    </row>
    <row r="2495" spans="3:104" s="19" customFormat="1" ht="12"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  <c r="Q2495" s="21"/>
      <c r="R2495" s="21"/>
      <c r="S2495" s="21"/>
      <c r="T2495" s="21"/>
      <c r="U2495" s="21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Z2495" s="296"/>
      <c r="CZ2495" s="296"/>
    </row>
    <row r="2496" spans="3:104" s="19" customFormat="1" ht="12"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  <c r="N2496" s="21"/>
      <c r="O2496" s="21"/>
      <c r="P2496" s="21"/>
      <c r="Q2496" s="21"/>
      <c r="R2496" s="21"/>
      <c r="S2496" s="21"/>
      <c r="T2496" s="21"/>
      <c r="U2496" s="21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Z2496" s="296"/>
      <c r="CZ2496" s="296"/>
    </row>
    <row r="2497" spans="3:104" s="19" customFormat="1" ht="12"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  <c r="Q2497" s="21"/>
      <c r="R2497" s="21"/>
      <c r="S2497" s="21"/>
      <c r="T2497" s="21"/>
      <c r="U2497" s="21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Z2497" s="296"/>
      <c r="CZ2497" s="296"/>
    </row>
    <row r="2498" spans="3:104" s="19" customFormat="1" ht="12"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  <c r="N2498" s="21"/>
      <c r="O2498" s="21"/>
      <c r="P2498" s="21"/>
      <c r="Q2498" s="21"/>
      <c r="R2498" s="21"/>
      <c r="S2498" s="21"/>
      <c r="T2498" s="21"/>
      <c r="U2498" s="21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Z2498" s="296"/>
      <c r="CZ2498" s="296"/>
    </row>
    <row r="2499" spans="3:104" s="19" customFormat="1" ht="12"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  <c r="Q2499" s="21"/>
      <c r="R2499" s="21"/>
      <c r="S2499" s="21"/>
      <c r="T2499" s="21"/>
      <c r="U2499" s="21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Z2499" s="296"/>
      <c r="CZ2499" s="296"/>
    </row>
    <row r="2500" spans="3:104" s="19" customFormat="1" ht="12"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  <c r="N2500" s="21"/>
      <c r="O2500" s="21"/>
      <c r="P2500" s="21"/>
      <c r="Q2500" s="21"/>
      <c r="R2500" s="21"/>
      <c r="S2500" s="21"/>
      <c r="T2500" s="21"/>
      <c r="U2500" s="21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Z2500" s="296"/>
      <c r="CZ2500" s="296"/>
    </row>
    <row r="2501" spans="3:104" s="19" customFormat="1" ht="12"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  <c r="Q2501" s="21"/>
      <c r="R2501" s="21"/>
      <c r="S2501" s="21"/>
      <c r="T2501" s="21"/>
      <c r="U2501" s="21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Z2501" s="296"/>
      <c r="CZ2501" s="296"/>
    </row>
    <row r="2502" spans="3:104" s="19" customFormat="1" ht="12"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  <c r="N2502" s="21"/>
      <c r="O2502" s="21"/>
      <c r="P2502" s="21"/>
      <c r="Q2502" s="21"/>
      <c r="R2502" s="21"/>
      <c r="S2502" s="21"/>
      <c r="T2502" s="21"/>
      <c r="U2502" s="21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Z2502" s="296"/>
      <c r="CZ2502" s="296"/>
    </row>
    <row r="2503" spans="3:104" s="19" customFormat="1" ht="12"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  <c r="Q2503" s="21"/>
      <c r="R2503" s="21"/>
      <c r="S2503" s="21"/>
      <c r="T2503" s="21"/>
      <c r="U2503" s="21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Z2503" s="296"/>
      <c r="CZ2503" s="296"/>
    </row>
    <row r="2504" spans="3:104" s="19" customFormat="1" ht="12"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  <c r="N2504" s="21"/>
      <c r="O2504" s="21"/>
      <c r="P2504" s="21"/>
      <c r="Q2504" s="21"/>
      <c r="R2504" s="21"/>
      <c r="S2504" s="21"/>
      <c r="T2504" s="21"/>
      <c r="U2504" s="21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Z2504" s="296"/>
      <c r="CZ2504" s="296"/>
    </row>
    <row r="2505" spans="3:104" s="19" customFormat="1" ht="12"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  <c r="Q2505" s="21"/>
      <c r="R2505" s="21"/>
      <c r="S2505" s="21"/>
      <c r="T2505" s="21"/>
      <c r="U2505" s="21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Z2505" s="296"/>
      <c r="CZ2505" s="296"/>
    </row>
    <row r="2506" spans="3:104" s="19" customFormat="1" ht="12"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  <c r="N2506" s="21"/>
      <c r="O2506" s="21"/>
      <c r="P2506" s="21"/>
      <c r="Q2506" s="21"/>
      <c r="R2506" s="21"/>
      <c r="S2506" s="21"/>
      <c r="T2506" s="21"/>
      <c r="U2506" s="21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Z2506" s="296"/>
      <c r="CZ2506" s="296"/>
    </row>
    <row r="2507" spans="3:104" s="19" customFormat="1" ht="12"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  <c r="Q2507" s="21"/>
      <c r="R2507" s="21"/>
      <c r="S2507" s="21"/>
      <c r="T2507" s="21"/>
      <c r="U2507" s="21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Z2507" s="296"/>
      <c r="CZ2507" s="296"/>
    </row>
    <row r="2508" spans="3:104" s="19" customFormat="1" ht="12"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  <c r="N2508" s="21"/>
      <c r="O2508" s="21"/>
      <c r="P2508" s="21"/>
      <c r="Q2508" s="21"/>
      <c r="R2508" s="21"/>
      <c r="S2508" s="21"/>
      <c r="T2508" s="21"/>
      <c r="U2508" s="21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Z2508" s="296"/>
      <c r="CZ2508" s="296"/>
    </row>
    <row r="2509" spans="3:104" s="19" customFormat="1" ht="12"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  <c r="Q2509" s="21"/>
      <c r="R2509" s="21"/>
      <c r="S2509" s="21"/>
      <c r="T2509" s="21"/>
      <c r="U2509" s="21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Z2509" s="296"/>
      <c r="CZ2509" s="296"/>
    </row>
    <row r="2510" spans="3:104" s="19" customFormat="1" ht="12"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  <c r="N2510" s="21"/>
      <c r="O2510" s="21"/>
      <c r="P2510" s="21"/>
      <c r="Q2510" s="21"/>
      <c r="R2510" s="21"/>
      <c r="S2510" s="21"/>
      <c r="T2510" s="21"/>
      <c r="U2510" s="21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Z2510" s="296"/>
      <c r="CZ2510" s="296"/>
    </row>
    <row r="2511" spans="3:104" s="19" customFormat="1" ht="12"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  <c r="Q2511" s="21"/>
      <c r="R2511" s="21"/>
      <c r="S2511" s="21"/>
      <c r="T2511" s="21"/>
      <c r="U2511" s="21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Z2511" s="296"/>
      <c r="CZ2511" s="296"/>
    </row>
    <row r="2512" spans="3:104" s="19" customFormat="1" ht="12"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  <c r="N2512" s="21"/>
      <c r="O2512" s="21"/>
      <c r="P2512" s="21"/>
      <c r="Q2512" s="21"/>
      <c r="R2512" s="21"/>
      <c r="S2512" s="21"/>
      <c r="T2512" s="21"/>
      <c r="U2512" s="21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Z2512" s="296"/>
      <c r="CZ2512" s="296"/>
    </row>
    <row r="2513" spans="3:104" s="19" customFormat="1" ht="12"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  <c r="Q2513" s="21"/>
      <c r="R2513" s="21"/>
      <c r="S2513" s="21"/>
      <c r="T2513" s="21"/>
      <c r="U2513" s="21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Z2513" s="296"/>
      <c r="CZ2513" s="296"/>
    </row>
    <row r="2514" spans="3:104" s="19" customFormat="1" ht="12"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  <c r="N2514" s="21"/>
      <c r="O2514" s="21"/>
      <c r="P2514" s="21"/>
      <c r="Q2514" s="21"/>
      <c r="R2514" s="21"/>
      <c r="S2514" s="21"/>
      <c r="T2514" s="21"/>
      <c r="U2514" s="21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Z2514" s="296"/>
      <c r="CZ2514" s="296"/>
    </row>
    <row r="2515" spans="3:104" s="19" customFormat="1" ht="12"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  <c r="Q2515" s="21"/>
      <c r="R2515" s="21"/>
      <c r="S2515" s="21"/>
      <c r="T2515" s="21"/>
      <c r="U2515" s="21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Z2515" s="296"/>
      <c r="CZ2515" s="296"/>
    </row>
    <row r="2516" spans="3:104" s="19" customFormat="1" ht="12"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  <c r="N2516" s="21"/>
      <c r="O2516" s="21"/>
      <c r="P2516" s="21"/>
      <c r="Q2516" s="21"/>
      <c r="R2516" s="21"/>
      <c r="S2516" s="21"/>
      <c r="T2516" s="21"/>
      <c r="U2516" s="21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Z2516" s="296"/>
      <c r="CZ2516" s="296"/>
    </row>
    <row r="2517" spans="3:104" s="19" customFormat="1" ht="12"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  <c r="Q2517" s="21"/>
      <c r="R2517" s="21"/>
      <c r="S2517" s="21"/>
      <c r="T2517" s="21"/>
      <c r="U2517" s="21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Z2517" s="296"/>
      <c r="CZ2517" s="296"/>
    </row>
    <row r="2518" spans="3:104" s="19" customFormat="1" ht="12"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  <c r="N2518" s="21"/>
      <c r="O2518" s="21"/>
      <c r="P2518" s="21"/>
      <c r="Q2518" s="21"/>
      <c r="R2518" s="21"/>
      <c r="S2518" s="21"/>
      <c r="T2518" s="21"/>
      <c r="U2518" s="21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Z2518" s="296"/>
      <c r="CZ2518" s="296"/>
    </row>
    <row r="2519" spans="3:104" s="19" customFormat="1" ht="12"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  <c r="Q2519" s="21"/>
      <c r="R2519" s="21"/>
      <c r="S2519" s="21"/>
      <c r="T2519" s="21"/>
      <c r="U2519" s="21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Z2519" s="296"/>
      <c r="CZ2519" s="296"/>
    </row>
    <row r="2520" spans="3:104" s="19" customFormat="1" ht="12"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  <c r="N2520" s="21"/>
      <c r="O2520" s="21"/>
      <c r="P2520" s="21"/>
      <c r="Q2520" s="21"/>
      <c r="R2520" s="21"/>
      <c r="S2520" s="21"/>
      <c r="T2520" s="21"/>
      <c r="U2520" s="21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Z2520" s="296"/>
      <c r="CZ2520" s="296"/>
    </row>
    <row r="2521" spans="3:104" s="19" customFormat="1" ht="12"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  <c r="Q2521" s="21"/>
      <c r="R2521" s="21"/>
      <c r="S2521" s="21"/>
      <c r="T2521" s="21"/>
      <c r="U2521" s="21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Z2521" s="296"/>
      <c r="CZ2521" s="296"/>
    </row>
    <row r="2522" spans="3:104" s="19" customFormat="1" ht="12"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  <c r="N2522" s="21"/>
      <c r="O2522" s="21"/>
      <c r="P2522" s="21"/>
      <c r="Q2522" s="21"/>
      <c r="R2522" s="21"/>
      <c r="S2522" s="21"/>
      <c r="T2522" s="21"/>
      <c r="U2522" s="21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Z2522" s="296"/>
      <c r="CZ2522" s="296"/>
    </row>
    <row r="2523" spans="3:104" s="19" customFormat="1" ht="12"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  <c r="Q2523" s="21"/>
      <c r="R2523" s="21"/>
      <c r="S2523" s="21"/>
      <c r="T2523" s="21"/>
      <c r="U2523" s="21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Z2523" s="296"/>
      <c r="CZ2523" s="296"/>
    </row>
    <row r="2524" spans="3:104" s="19" customFormat="1" ht="12"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  <c r="N2524" s="21"/>
      <c r="O2524" s="21"/>
      <c r="P2524" s="21"/>
      <c r="Q2524" s="21"/>
      <c r="R2524" s="21"/>
      <c r="S2524" s="21"/>
      <c r="T2524" s="21"/>
      <c r="U2524" s="21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Z2524" s="296"/>
      <c r="CZ2524" s="296"/>
    </row>
    <row r="2525" spans="3:104" s="19" customFormat="1" ht="12"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  <c r="Q2525" s="21"/>
      <c r="R2525" s="21"/>
      <c r="S2525" s="21"/>
      <c r="T2525" s="21"/>
      <c r="U2525" s="21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Z2525" s="296"/>
      <c r="CZ2525" s="296"/>
    </row>
  </sheetData>
  <phoneticPr fontId="11" type="noConversion"/>
  <pageMargins left="0.75" right="0.75" top="1" bottom="1" header="0.5" footer="0.5"/>
  <pageSetup paperSize="9" scale="42" orientation="landscape" r:id="rId1"/>
  <headerFooter alignWithMargins="0"/>
  <rowBreaks count="10" manualBreakCount="10">
    <brk id="90" min="1" max="95" man="1"/>
    <brk id="153" min="1" max="95" man="1"/>
    <brk id="211" min="1" max="95" man="1"/>
    <brk id="268" min="1" max="95" man="1"/>
    <brk id="326" min="1" max="95" man="1"/>
    <brk id="392" min="1" max="95" man="1"/>
    <brk id="530" min="1" max="95" man="1"/>
    <brk id="617" min="1" max="95" man="1"/>
    <brk id="656" min="1" max="95" man="1"/>
    <brk id="726" min="1" max="95" man="1"/>
  </rowBreaks>
  <colBreaks count="1" manualBreakCount="1">
    <brk id="91" max="851" man="1"/>
  </colBreaks>
  <customProperties>
    <customPr name="Qube.Worksheet.Visibility" r:id="rId2"/>
    <customPr name="SHEET_UNIQUE_ID" r:id="rId3"/>
  </customProperties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pageSetUpPr fitToPage="1"/>
  </sheetPr>
  <dimension ref="A1:X84"/>
  <sheetViews>
    <sheetView showGridLines="0" zoomScaleNormal="100" workbookViewId="0">
      <selection activeCell="Q20" sqref="Q20"/>
    </sheetView>
  </sheetViews>
  <sheetFormatPr defaultColWidth="9" defaultRowHeight="12" outlineLevelRow="1" outlineLevelCol="1"/>
  <cols>
    <col min="1" max="1" width="3.625" style="445" customWidth="1"/>
    <col min="2" max="4" width="3.625" style="445" hidden="1" customWidth="1" outlineLevel="1"/>
    <col min="5" max="5" width="32.125" style="445" customWidth="1" collapsed="1"/>
    <col min="6" max="6" width="9.625" style="445" hidden="1" customWidth="1" outlineLevel="1"/>
    <col min="7" max="7" width="9.625" style="445" customWidth="1" collapsed="1"/>
    <col min="8" max="10" width="9.625" style="445" customWidth="1"/>
    <col min="11" max="11" width="1.5" style="445" customWidth="1"/>
    <col min="12" max="12" width="32.125" style="445" customWidth="1"/>
    <col min="13" max="13" width="9.625" style="445" hidden="1" customWidth="1" outlineLevel="1"/>
    <col min="14" max="14" width="9.625" style="445" customWidth="1" collapsed="1"/>
    <col min="15" max="17" width="9.625" style="445" customWidth="1"/>
    <col min="18" max="19" width="3.5" style="131" hidden="1" customWidth="1" outlineLevel="1"/>
    <col min="20" max="20" width="3.5" style="445" hidden="1" customWidth="1" outlineLevel="1"/>
    <col min="21" max="21" width="3.5" style="445" customWidth="1" collapsed="1"/>
    <col min="22" max="16384" width="9" style="445"/>
  </cols>
  <sheetData>
    <row r="1" spans="4:24" outlineLevel="1">
      <c r="F1" s="444">
        <f>EOMONTH(DATE(2000+MID(F$2,3,2),6,15),0)</f>
        <v>45473</v>
      </c>
      <c r="G1" s="444">
        <f>EOMONTH(F1,12)</f>
        <v>45838</v>
      </c>
      <c r="H1" s="444">
        <f>EOMONTH(G1,12)</f>
        <v>46203</v>
      </c>
      <c r="I1" s="444">
        <f>EOMONTH(H1,12)</f>
        <v>46568</v>
      </c>
      <c r="J1" s="444">
        <f>EOMONTH(I1,12)</f>
        <v>46934</v>
      </c>
    </row>
    <row r="2" spans="4:24" outlineLevel="1">
      <c r="F2" s="445" t="str">
        <f>LEFT(G2,2)&amp;TEXT(MID(G2,3,2)-1,"00")&amp;"A"</f>
        <v>FY24A</v>
      </c>
      <c r="G2" s="445" t="str">
        <f>LEFT(H2,2)&amp;TEXT(MID(H2,3,2)-1,"00")&amp;"A"</f>
        <v>FY25A</v>
      </c>
      <c r="H2" s="445" t="s">
        <v>2565</v>
      </c>
      <c r="I2" s="445" t="str">
        <f>LEFT(H2,2)&amp;TEXT(MID(H2,3,2)+1,"00")&amp;"E"</f>
        <v>FY27E</v>
      </c>
      <c r="J2" s="445" t="str">
        <f>LEFT(I2,2)&amp;TEXT(MID(I2,3,2)+1,"00")&amp;"E"</f>
        <v>FY28E</v>
      </c>
    </row>
    <row r="4" spans="4:24">
      <c r="E4" s="446"/>
    </row>
    <row r="5" spans="4:24">
      <c r="E5" s="491" t="s">
        <v>2594</v>
      </c>
      <c r="F5" s="492"/>
      <c r="G5" s="493"/>
      <c r="H5" s="493"/>
      <c r="I5" s="493"/>
      <c r="J5" s="493"/>
      <c r="L5" s="491" t="s">
        <v>2102</v>
      </c>
      <c r="M5" s="492" t="str">
        <f>TEXT(F$1,"mm/yy")</f>
        <v>06/24</v>
      </c>
      <c r="N5" s="493" t="str">
        <f>TEXT(G$1,"mm/yy")</f>
        <v>06/25</v>
      </c>
      <c r="O5" s="493" t="str">
        <f>TEXT(H$1,"mm/yy")&amp;"E"</f>
        <v>06/26E</v>
      </c>
      <c r="P5" s="493" t="str">
        <f>TEXT(I$1,"mm/yy")&amp;"E"</f>
        <v>06/27E</v>
      </c>
      <c r="Q5" s="493" t="str">
        <f>TEXT(J$1,"mm/yy")&amp;"E"</f>
        <v>06/28E</v>
      </c>
    </row>
    <row r="6" spans="4:24">
      <c r="E6" s="445" t="s">
        <v>296</v>
      </c>
      <c r="G6" s="447" t="str">
        <f>Summary!C2</f>
        <v>JDO</v>
      </c>
      <c r="H6" s="445" t="s">
        <v>2103</v>
      </c>
      <c r="J6" s="448" t="e">
        <f>IF(INDEX(#REF!,MATCH("Australia/NZ Investment List",#REF!,0))="","Neutral",IF(INDEX(#REF!,MATCH("Australia/NZ Conviction List",#REF!,0))="",INDEX(#REF!,MATCH("Australia/NZ Investment List",#REF!,0)),INDEX(#REF!,MATCH("Australia/NZ Conviction List",#REF!,0))&amp;" (CL)"))&amp;"  "</f>
        <v>#REF!</v>
      </c>
      <c r="L6" s="446" t="s">
        <v>469</v>
      </c>
      <c r="M6" s="449">
        <f>VLOOKUP($R6,Model!$1:$1048576,MATCH(FinSum!F$2,Model!$1:$1,0),FALSE)</f>
        <v>13130</v>
      </c>
      <c r="N6" s="449">
        <f>VLOOKUP($R6,Model!$1:$1048576,MATCH(FinSum!G$2,Model!$1:$1,0),FALSE)</f>
        <v>13918.161643835616</v>
      </c>
      <c r="O6" s="449">
        <f>VLOOKUP($R6,Model!$1:$1048576,MATCH(FinSum!H$2,Model!$1:$1,0),FALSE)</f>
        <v>16064.106111372053</v>
      </c>
      <c r="P6" s="449">
        <f>VLOOKUP($R6,Model!$1:$1048576,MATCH(FinSum!I$2,Model!$1:$1,0),FALSE)</f>
        <v>18491.235945503497</v>
      </c>
      <c r="Q6" s="449">
        <f>VLOOKUP($R6,Model!$1:$1048576,MATCH(FinSum!J$2,Model!$1:$1,0),FALSE)</f>
        <v>21084.634811143165</v>
      </c>
      <c r="R6" s="131" t="s">
        <v>1058</v>
      </c>
    </row>
    <row r="7" spans="4:24">
      <c r="E7" s="445" t="s">
        <v>298</v>
      </c>
      <c r="G7" s="447" t="str">
        <f>$G$6&amp;" AU"</f>
        <v>JDO AU</v>
      </c>
      <c r="H7" s="445" t="s">
        <v>2104</v>
      </c>
      <c r="J7" s="448" t="str">
        <f>Summary!G3&amp;"  "</f>
        <v xml:space="preserve">FY34E  </v>
      </c>
      <c r="L7" s="445" t="s">
        <v>1092</v>
      </c>
      <c r="M7" s="450">
        <f>VLOOKUP($R7,Model!$1:$1048576,MATCH(FinSum!F$2,Model!$1:$1,0),FALSE)</f>
        <v>2.933242144458376E-2</v>
      </c>
      <c r="N7" s="450">
        <f>VLOOKUP($R7,Model!$1:$1048576,MATCH(FinSum!G$2,Model!$1:$1,0),FALSE)</f>
        <v>2.9259006501203264E-2</v>
      </c>
      <c r="O7" s="450">
        <f>VLOOKUP($R7,Model!$1:$1048576,MATCH(FinSum!H$2,Model!$1:$1,0),FALSE)</f>
        <v>3.0906833146576291E-2</v>
      </c>
      <c r="P7" s="450">
        <f>VLOOKUP($R7,Model!$1:$1048576,MATCH(FinSum!I$2,Model!$1:$1,0),FALSE)</f>
        <v>3.1820960953146585E-2</v>
      </c>
      <c r="Q7" s="450">
        <f>VLOOKUP($R7,Model!$1:$1048576,MATCH(FinSum!J$2,Model!$1:$1,0),FALSE)</f>
        <v>3.2068547637801613E-2</v>
      </c>
      <c r="R7" s="131" t="s">
        <v>924</v>
      </c>
      <c r="X7" s="500"/>
    </row>
    <row r="8" spans="4:24">
      <c r="E8" s="445" t="s">
        <v>204</v>
      </c>
      <c r="G8" s="447" t="str">
        <f>$G$6&amp;".AX"</f>
        <v>JDO.AX</v>
      </c>
      <c r="H8" s="445" t="s">
        <v>2105</v>
      </c>
      <c r="J8" s="451">
        <f>Summary!G2</f>
        <v>46265</v>
      </c>
      <c r="L8" s="452" t="s">
        <v>482</v>
      </c>
      <c r="M8" s="453">
        <f>VLOOKUP($R8,Model!$1:$1048576,MATCH(FinSum!F$2,Model!$1:$1,0),FALSE)</f>
        <v>386</v>
      </c>
      <c r="N8" s="593">
        <f>VLOOKUP($R8,Model!$1:$1048576,MATCH(FinSum!G$2,Model!$1:$1,0),FALSE)</f>
        <v>407.30000000000007</v>
      </c>
      <c r="O8" s="593">
        <f>VLOOKUP($R8,Model!$1:$1048576,MATCH(FinSum!H$2,Model!$1:$1,0),FALSE)</f>
        <v>496.65588082654779</v>
      </c>
      <c r="P8" s="593">
        <f>VLOOKUP($R8,Model!$1:$1048576,MATCH(FinSum!I$2,Model!$1:$1,0),FALSE)</f>
        <v>588.58658057956927</v>
      </c>
      <c r="Q8" s="593">
        <f>VLOOKUP($R8,Model!$1:$1048576,MATCH(FinSum!J$2,Model!$1:$1,0),FALSE)</f>
        <v>676.28219589083756</v>
      </c>
      <c r="R8" s="131" t="s">
        <v>239</v>
      </c>
    </row>
    <row r="9" spans="4:24">
      <c r="E9" s="445" t="s">
        <v>2106</v>
      </c>
      <c r="G9" s="454">
        <f>Summary!C5</f>
        <v>1.895</v>
      </c>
      <c r="H9" s="445" t="s">
        <v>856</v>
      </c>
      <c r="J9" s="455">
        <f ca="1">Summary!G9</f>
        <v>2.1845499990329853</v>
      </c>
      <c r="L9" s="445" t="s">
        <v>533</v>
      </c>
      <c r="M9" s="456">
        <f>VLOOKUP($R9,Model!$1:$1048576,MATCH(FinSum!F$2,Model!$1:$1,0),FALSE)</f>
        <v>0</v>
      </c>
      <c r="N9" s="594">
        <f>VLOOKUP($R9,Model!$1:$1048576,MATCH(FinSum!G$2,Model!$1:$1,0),FALSE)</f>
        <v>0</v>
      </c>
      <c r="O9" s="594">
        <f>VLOOKUP($R9,Model!$1:$1048576,MATCH(FinSum!H$2,Model!$1:$1,0),FALSE)</f>
        <v>0</v>
      </c>
      <c r="P9" s="594">
        <f>VLOOKUP($R9,Model!$1:$1048576,MATCH(FinSum!I$2,Model!$1:$1,0),FALSE)</f>
        <v>0</v>
      </c>
      <c r="Q9" s="594">
        <f>VLOOKUP($R9,Model!$1:$1048576,MATCH(FinSum!J$2,Model!$1:$1,0),FALSE)</f>
        <v>0</v>
      </c>
      <c r="R9" s="131" t="s">
        <v>993</v>
      </c>
    </row>
    <row r="10" spans="4:24">
      <c r="E10" s="445" t="s">
        <v>2107</v>
      </c>
      <c r="G10" s="457">
        <f>Summary!C6</f>
        <v>2124.4124900000002</v>
      </c>
      <c r="H10" s="445" t="s">
        <v>2108</v>
      </c>
      <c r="J10" s="455">
        <f>Summary!G10</f>
        <v>2.1845499990329853</v>
      </c>
      <c r="L10" s="445" t="s">
        <v>534</v>
      </c>
      <c r="M10" s="456">
        <f>VLOOKUP($R10,Model!$1:$1048576,MATCH(FinSum!F$2,Model!$1:$1,0),FALSE)</f>
        <v>6.2</v>
      </c>
      <c r="N10" s="594">
        <f>VLOOKUP($R10,Model!$1:$1048576,MATCH(FinSum!G$2,Model!$1:$1,0),FALSE)</f>
        <v>9.1999999999999993</v>
      </c>
      <c r="O10" s="594">
        <f>VLOOKUP($R10,Model!$1:$1048576,MATCH(FinSum!H$2,Model!$1:$1,0),FALSE)</f>
        <v>12.709503677336699</v>
      </c>
      <c r="P10" s="594">
        <f>VLOOKUP($R10,Model!$1:$1048576,MATCH(FinSum!I$2,Model!$1:$1,0),FALSE)</f>
        <v>15.271071386891737</v>
      </c>
      <c r="Q10" s="594">
        <f>VLOOKUP($R10,Model!$1:$1048576,MATCH(FinSum!J$2,Model!$1:$1,0),FALSE)</f>
        <v>18.15550656753976</v>
      </c>
      <c r="R10" s="131" t="s">
        <v>994</v>
      </c>
    </row>
    <row r="11" spans="4:24">
      <c r="E11" s="445" t="s">
        <v>2109</v>
      </c>
      <c r="G11" s="457">
        <f>G10/G9</f>
        <v>1121.0620000000001</v>
      </c>
      <c r="H11" s="445" t="s">
        <v>2110</v>
      </c>
      <c r="J11" s="458">
        <f>J10/G9-1</f>
        <v>0.15279683326278914</v>
      </c>
      <c r="L11" s="445" t="s">
        <v>535</v>
      </c>
      <c r="M11" s="456">
        <f>VLOOKUP($R11,Model!$1:$1048576,MATCH(FinSum!F$2,Model!$1:$1,0),FALSE)</f>
        <v>0</v>
      </c>
      <c r="N11" s="594">
        <f>VLOOKUP($R11,Model!$1:$1048576,MATCH(FinSum!G$2,Model!$1:$1,0),FALSE)</f>
        <v>0</v>
      </c>
      <c r="O11" s="594">
        <f>VLOOKUP($R11,Model!$1:$1048576,MATCH(FinSum!H$2,Model!$1:$1,0),FALSE)</f>
        <v>0</v>
      </c>
      <c r="P11" s="594">
        <f>VLOOKUP($R11,Model!$1:$1048576,MATCH(FinSum!I$2,Model!$1:$1,0),FALSE)</f>
        <v>0</v>
      </c>
      <c r="Q11" s="594">
        <f>VLOOKUP($R11,Model!$1:$1048576,MATCH(FinSum!J$2,Model!$1:$1,0),FALSE)</f>
        <v>0</v>
      </c>
      <c r="R11" s="131" t="s">
        <v>995</v>
      </c>
    </row>
    <row r="12" spans="4:24">
      <c r="E12" s="445" t="s">
        <v>2111</v>
      </c>
      <c r="G12" s="447" t="s">
        <v>2597</v>
      </c>
      <c r="H12" s="445" t="s">
        <v>2112</v>
      </c>
      <c r="J12" s="459">
        <f ca="1">$J$10/Summary!$E$122</f>
        <v>16.209139189092014</v>
      </c>
      <c r="L12" s="445" t="s">
        <v>431</v>
      </c>
      <c r="M12" s="456">
        <f>VLOOKUP($R12,Model!$1:$1048576,MATCH(FinSum!F$2,Model!$1:$1,0),FALSE)</f>
        <v>0</v>
      </c>
      <c r="N12" s="594">
        <f>VLOOKUP($R12,Model!$1:$1048576,MATCH(FinSum!G$2,Model!$1:$1,0),FALSE)</f>
        <v>0</v>
      </c>
      <c r="O12" s="594">
        <f>VLOOKUP($R12,Model!$1:$1048576,MATCH(FinSum!H$2,Model!$1:$1,0),FALSE)</f>
        <v>0</v>
      </c>
      <c r="P12" s="594">
        <f>VLOOKUP($R12,Model!$1:$1048576,MATCH(FinSum!I$2,Model!$1:$1,0),FALSE)</f>
        <v>0</v>
      </c>
      <c r="Q12" s="594">
        <f>VLOOKUP($R12,Model!$1:$1048576,MATCH(FinSum!J$2,Model!$1:$1,0),FALSE)</f>
        <v>0</v>
      </c>
      <c r="R12" s="131" t="s">
        <v>996</v>
      </c>
    </row>
    <row r="13" spans="4:24">
      <c r="J13" s="460"/>
      <c r="L13" s="445" t="s">
        <v>780</v>
      </c>
      <c r="M13" s="456">
        <f>VLOOKUP($R13,Model!$1:$1048576,MATCH(FinSum!F$2,Model!$1:$1,0),FALSE)+VLOOKUP($S13,Model!$1:$1048576,MATCH(FinSum!F$2,Model!$1:$1,0),FALSE)</f>
        <v>0</v>
      </c>
      <c r="N13" s="594">
        <f>VLOOKUP($R13,Model!$1:$1048576,MATCH(FinSum!G$2,Model!$1:$1,0),FALSE)+VLOOKUP($S13,Model!$1:$1048576,MATCH(FinSum!G$2,Model!$1:$1,0),FALSE)</f>
        <v>0</v>
      </c>
      <c r="O13" s="594">
        <f>VLOOKUP($R13,Model!$1:$1048576,MATCH(FinSum!H$2,Model!$1:$1,0),FALSE)+VLOOKUP($S13,Model!$1:$1048576,MATCH(FinSum!H$2,Model!$1:$1,0),FALSE)</f>
        <v>0</v>
      </c>
      <c r="P13" s="594">
        <f>VLOOKUP($R13,Model!$1:$1048576,MATCH(FinSum!I$2,Model!$1:$1,0),FALSE)+VLOOKUP($S13,Model!$1:$1048576,MATCH(FinSum!I$2,Model!$1:$1,0),FALSE)</f>
        <v>0</v>
      </c>
      <c r="Q13" s="594">
        <f>VLOOKUP($R13,Model!$1:$1048576,MATCH(FinSum!J$2,Model!$1:$1,0),FALSE)+VLOOKUP($S13,Model!$1:$1048576,MATCH(FinSum!J$2,Model!$1:$1,0),FALSE)</f>
        <v>0</v>
      </c>
      <c r="R13" s="131" t="s">
        <v>997</v>
      </c>
      <c r="S13" s="131" t="s">
        <v>804</v>
      </c>
    </row>
    <row r="14" spans="4:24">
      <c r="E14" s="491" t="s">
        <v>2113</v>
      </c>
      <c r="F14" s="492" t="str">
        <f>TEXT(F$1,"mm/yy")</f>
        <v>06/24</v>
      </c>
      <c r="G14" s="493" t="str">
        <f>TEXT(G$1,"mm/yy")</f>
        <v>06/25</v>
      </c>
      <c r="H14" s="493" t="str">
        <f>TEXT(H$1,"mm/yy")&amp;RIGHT(H$2,1)</f>
        <v>06/26E</v>
      </c>
      <c r="I14" s="493" t="str">
        <f>TEXT(I$1,"mm/yy")&amp;RIGHT(I$2,1)</f>
        <v>06/27E</v>
      </c>
      <c r="J14" s="493" t="str">
        <f>TEXT(J$1,"mm/yy")&amp;RIGHT(J$2,1)</f>
        <v>06/28E</v>
      </c>
      <c r="L14" s="445" t="s">
        <v>655</v>
      </c>
      <c r="M14" s="456">
        <f>VLOOKUP($R14,Model!$1:$1048576,MATCH(FinSum!F$2,Model!$1:$1,0),FALSE)-SUM(M9:M13)</f>
        <v>4.4999999999999991</v>
      </c>
      <c r="N14" s="594">
        <f>VLOOKUP($R14,Model!$1:$1048576,MATCH(FinSum!G$2,Model!$1:$1,0),FALSE)-SUM(N9:N13)</f>
        <v>6.4000000000000021</v>
      </c>
      <c r="O14" s="594">
        <f>VLOOKUP($R14,Model!$1:$1048576,MATCH(FinSum!H$2,Model!$1:$1,0),FALSE)-SUM(O9:O13)</f>
        <v>8.3230000000000004</v>
      </c>
      <c r="P14" s="594">
        <f>VLOOKUP($R14,Model!$1:$1048576,MATCH(FinSum!I$2,Model!$1:$1,0),FALSE)-SUM(P9:P13)</f>
        <v>8.8298706999999972</v>
      </c>
      <c r="Q14" s="594">
        <f>VLOOKUP($R14,Model!$1:$1048576,MATCH(FinSum!J$2,Model!$1:$1,0),FALSE)-SUM(Q9:Q13)</f>
        <v>9.3676098256300051</v>
      </c>
      <c r="R14" s="131" t="s">
        <v>992</v>
      </c>
    </row>
    <row r="15" spans="4:24">
      <c r="E15" s="445" t="s">
        <v>2114</v>
      </c>
      <c r="F15" s="456">
        <f>M17</f>
        <v>174.39999999999998</v>
      </c>
      <c r="G15" s="594">
        <f>N17</f>
        <v>201.10000000000008</v>
      </c>
      <c r="H15" s="594">
        <f>O17</f>
        <v>276.50939024320218</v>
      </c>
      <c r="I15" s="594">
        <f>P17</f>
        <v>351.65716775982105</v>
      </c>
      <c r="J15" s="594">
        <f>Q17</f>
        <v>424.56118783926854</v>
      </c>
      <c r="L15" s="452" t="s">
        <v>2115</v>
      </c>
      <c r="M15" s="453">
        <f>VLOOKUP($R15,Model!$1:$1048576,MATCH(FinSum!F$2,Model!$1:$1,0),FALSE)</f>
        <v>396.7</v>
      </c>
      <c r="N15" s="593">
        <f>VLOOKUP($R15,Model!$1:$1048576,MATCH(FinSum!G$2,Model!$1:$1,0),FALSE)</f>
        <v>422.90000000000009</v>
      </c>
      <c r="O15" s="593">
        <f>VLOOKUP($R15,Model!$1:$1048576,MATCH(FinSum!H$2,Model!$1:$1,0),FALSE)</f>
        <v>517.68838450388444</v>
      </c>
      <c r="P15" s="593">
        <f>VLOOKUP($R15,Model!$1:$1048576,MATCH(FinSum!I$2,Model!$1:$1,0),FALSE)</f>
        <v>612.68752266646106</v>
      </c>
      <c r="Q15" s="593">
        <f>VLOOKUP($R15,Model!$1:$1048576,MATCH(FinSum!J$2,Model!$1:$1,0),FALSE)</f>
        <v>703.8053122840073</v>
      </c>
      <c r="R15" s="131" t="s">
        <v>810</v>
      </c>
    </row>
    <row r="16" spans="4:24">
      <c r="D16" s="131" t="s">
        <v>951</v>
      </c>
      <c r="E16" s="446" t="s">
        <v>2116</v>
      </c>
      <c r="F16" s="461">
        <f>VLOOKUP($D16,Model!$1:$1048576,MATCH(FinSum!F$2,Model!$1:$1,0),FALSE)*100</f>
        <v>15.735242320661072</v>
      </c>
      <c r="G16" s="461">
        <f>VLOOKUP($D16,Model!$1:$1048576,MATCH(FinSum!G$2,Model!$1:$1,0),FALSE)*100</f>
        <v>18.029099025407554</v>
      </c>
      <c r="H16" s="461">
        <f>VLOOKUP($D16,Model!$1:$1048576,MATCH(FinSum!H$2,Model!$1:$1,0),FALSE)*100</f>
        <v>24.680486081703272</v>
      </c>
      <c r="I16" s="461">
        <f>VLOOKUP($D16,Model!$1:$1048576,MATCH(FinSum!I$2,Model!$1:$1,0),FALSE)*100</f>
        <v>31.364539730929032</v>
      </c>
      <c r="J16" s="461">
        <f>VLOOKUP($D16,Model!$1:$1048576,MATCH(FinSum!J$2,Model!$1:$1,0),FALSE)*100</f>
        <v>36.169952086132398</v>
      </c>
      <c r="L16" s="445" t="s">
        <v>2117</v>
      </c>
      <c r="M16" s="456">
        <f>VLOOKUP($R16,Model!$1:$1048576,MATCH(FinSum!F$2,Model!$1:$1,0),FALSE)</f>
        <v>-222.3</v>
      </c>
      <c r="N16" s="594">
        <f>VLOOKUP($R16,Model!$1:$1048576,MATCH(FinSum!G$2,Model!$1:$1,0),FALSE)</f>
        <v>-221.8</v>
      </c>
      <c r="O16" s="594">
        <f>VLOOKUP($R16,Model!$1:$1048576,MATCH(FinSum!H$2,Model!$1:$1,0),FALSE)</f>
        <v>-241.17899426068226</v>
      </c>
      <c r="P16" s="594">
        <f>VLOOKUP($R16,Model!$1:$1048576,MATCH(FinSum!I$2,Model!$1:$1,0),FALSE)</f>
        <v>-261.03035490664001</v>
      </c>
      <c r="Q16" s="594">
        <f>VLOOKUP($R16,Model!$1:$1048576,MATCH(FinSum!J$2,Model!$1:$1,0),FALSE)</f>
        <v>-279.24412444473876</v>
      </c>
      <c r="R16" s="131" t="s">
        <v>668</v>
      </c>
    </row>
    <row r="17" spans="1:19">
      <c r="E17" s="462" t="s">
        <v>2118</v>
      </c>
      <c r="F17" s="463"/>
      <c r="G17" s="595">
        <f>IF(ISERROR(G16/F16-1),"n.a.",G16/F16-1)</f>
        <v>0.14577828914236335</v>
      </c>
      <c r="H17" s="463">
        <f>H16/G16-1</f>
        <v>0.36892509420033881</v>
      </c>
      <c r="I17" s="463">
        <f>I16/H16-1</f>
        <v>0.27082342005334104</v>
      </c>
      <c r="J17" s="463">
        <f>J16/I16-1</f>
        <v>0.15321163315094588</v>
      </c>
      <c r="L17" s="452" t="s">
        <v>2119</v>
      </c>
      <c r="M17" s="453">
        <f>M15+M16</f>
        <v>174.39999999999998</v>
      </c>
      <c r="N17" s="593">
        <f>N15+N16</f>
        <v>201.10000000000008</v>
      </c>
      <c r="O17" s="593">
        <f>O15+O16</f>
        <v>276.50939024320218</v>
      </c>
      <c r="P17" s="593">
        <f>P15+P16</f>
        <v>351.65716775982105</v>
      </c>
      <c r="Q17" s="593">
        <f>Q15+Q16</f>
        <v>424.56118783926854</v>
      </c>
      <c r="R17" s="131" t="s">
        <v>98</v>
      </c>
    </row>
    <row r="18" spans="1:19">
      <c r="A18" s="446"/>
      <c r="B18" s="446"/>
      <c r="C18" s="446"/>
      <c r="D18" s="446"/>
      <c r="E18" s="446" t="s">
        <v>2120</v>
      </c>
      <c r="F18" s="449">
        <f>M24</f>
        <v>69.899999999999977</v>
      </c>
      <c r="G18" s="596">
        <f>N24</f>
        <v>86.400000000000091</v>
      </c>
      <c r="H18" s="596">
        <f>O24</f>
        <v>133.36232151403254</v>
      </c>
      <c r="I18" s="596">
        <f>P24</f>
        <v>162.56371468668044</v>
      </c>
      <c r="J18" s="596">
        <f>Q24</f>
        <v>202.83855971008754</v>
      </c>
      <c r="L18" s="445" t="s">
        <v>2121</v>
      </c>
      <c r="M18" s="456">
        <f>VLOOKUP($R18,Model!$1:$1048576,MATCH(FinSum!F$2,Model!$1:$1,0),FALSE)</f>
        <v>-30.9</v>
      </c>
      <c r="N18" s="594">
        <f>VLOOKUP($R18,Model!$1:$1048576,MATCH(FinSum!G$2,Model!$1:$1,0),FALSE)</f>
        <v>-38.700000000000003</v>
      </c>
      <c r="O18" s="594">
        <f>VLOOKUP($R18,Model!$1:$1048576,MATCH(FinSum!H$2,Model!$1:$1,0),FALSE)</f>
        <v>-72.866158587184032</v>
      </c>
      <c r="P18" s="594">
        <f>VLOOKUP($R18,Model!$1:$1048576,MATCH(FinSum!I$2,Model!$1:$1,0),FALSE)</f>
        <v>-96.641797687239489</v>
      </c>
      <c r="Q18" s="594">
        <f>VLOOKUP($R18,Model!$1:$1048576,MATCH(FinSum!J$2,Model!$1:$1,0),FALSE)</f>
        <v>-124.00437869540191</v>
      </c>
      <c r="R18" s="131" t="s">
        <v>683</v>
      </c>
    </row>
    <row r="19" spans="1:19">
      <c r="E19" s="462" t="s">
        <v>2118</v>
      </c>
      <c r="F19" s="463"/>
      <c r="G19" s="463">
        <f>G18/F18-1</f>
        <v>0.23605150214592441</v>
      </c>
      <c r="H19" s="463">
        <f>H18/G18-1</f>
        <v>0.54354538789389362</v>
      </c>
      <c r="I19" s="463">
        <f>I18/H18-1</f>
        <v>0.21896284378624364</v>
      </c>
      <c r="J19" s="463">
        <f>J18/I18-1</f>
        <v>0.24774806051295895</v>
      </c>
      <c r="L19" s="445" t="s">
        <v>478</v>
      </c>
      <c r="M19" s="456">
        <f>VLOOKUP($R19,Model!$1:$1048576,MATCH(FinSum!F$2,Model!$1:$1,0),FALSE)</f>
        <v>-39.199999999999996</v>
      </c>
      <c r="N19" s="594">
        <f>VLOOKUP($R19,Model!$1:$1048576,MATCH(FinSum!G$2,Model!$1:$1,0),FALSE)</f>
        <v>-36.799999999999997</v>
      </c>
      <c r="O19" s="594">
        <f>VLOOKUP($R19,Model!$1:$1048576,MATCH(FinSum!H$2,Model!$1:$1,0),FALSE)</f>
        <v>-11.211216769938531</v>
      </c>
      <c r="P19" s="594">
        <f>VLOOKUP($R19,Model!$1:$1048576,MATCH(FinSum!I$2,Model!$1:$1,0),FALSE)</f>
        <v>-21.108724273101927</v>
      </c>
      <c r="Q19" s="594">
        <f>VLOOKUP($R19,Model!$1:$1048576,MATCH(FinSum!J$2,Model!$1:$1,0),FALSE)</f>
        <v>-9.5431444528853859</v>
      </c>
      <c r="R19" s="131" t="s">
        <v>684</v>
      </c>
    </row>
    <row r="20" spans="1:19">
      <c r="D20" s="131" t="s">
        <v>949</v>
      </c>
      <c r="E20" s="446" t="s">
        <v>2122</v>
      </c>
      <c r="F20" s="461">
        <f>VLOOKUP($D20,Model!$1:$1048576,MATCH(FinSum!F$2,Model!$1:$1,0),FALSE)*100</f>
        <v>6.3067284301273441</v>
      </c>
      <c r="G20" s="461">
        <f>VLOOKUP($D20,Model!$1:$1048576,MATCH(FinSum!G$2,Model!$1:$1,0),FALSE)*100</f>
        <v>7.745967955222345</v>
      </c>
      <c r="H20" s="461">
        <f>VLOOKUP($D20,Model!$1:$1048576,MATCH(FinSum!H$2,Model!$1:$1,0),FALSE)*100</f>
        <v>11.903562902712791</v>
      </c>
      <c r="I20" s="461">
        <f>VLOOKUP($D20,Model!$1:$1048576,MATCH(FinSum!I$2,Model!$1:$1,0),FALSE)*100</f>
        <v>14.499167244559608</v>
      </c>
      <c r="J20" s="461">
        <f>VLOOKUP($D20,Model!$1:$1048576,MATCH(FinSum!J$2,Model!$1:$1,0),FALSE)*100</f>
        <v>17.280573910377093</v>
      </c>
      <c r="L20" s="452" t="s">
        <v>1311</v>
      </c>
      <c r="M20" s="453">
        <f>M17+M18+M19</f>
        <v>104.29999999999998</v>
      </c>
      <c r="N20" s="593">
        <f>N17+N18+N19</f>
        <v>125.60000000000009</v>
      </c>
      <c r="O20" s="593">
        <f>O17+O18+O19</f>
        <v>192.43201488607963</v>
      </c>
      <c r="P20" s="593">
        <f>P17+P18+P19</f>
        <v>233.90664579947963</v>
      </c>
      <c r="Q20" s="593">
        <f>Q17+Q18+Q19</f>
        <v>291.01366469098127</v>
      </c>
      <c r="R20" s="131" t="s">
        <v>286</v>
      </c>
    </row>
    <row r="21" spans="1:19">
      <c r="E21" s="462" t="s">
        <v>2118</v>
      </c>
      <c r="F21" s="463"/>
      <c r="G21" s="595">
        <f>IF(ISERROR(G20/F20-1),"n.a.",G20/F20-1)</f>
        <v>0.22820699211016127</v>
      </c>
      <c r="H21" s="463">
        <f>H20/G20-1</f>
        <v>0.53674311222619875</v>
      </c>
      <c r="I21" s="463">
        <f>I20/H20-1</f>
        <v>0.21805272615103211</v>
      </c>
      <c r="J21" s="463">
        <f>J20/I20-1</f>
        <v>0.19183216655847102</v>
      </c>
      <c r="L21" s="445" t="s">
        <v>75</v>
      </c>
      <c r="M21" s="456">
        <f>VLOOKUP($R21,Model!$1:$1048576,MATCH(FinSum!F$2,Model!$1:$1,0),FALSE)</f>
        <v>-34.4</v>
      </c>
      <c r="N21" s="594">
        <f>VLOOKUP($R21,Model!$1:$1048576,MATCH(FinSum!G$2,Model!$1:$1,0),FALSE)</f>
        <v>-39.200000000000003</v>
      </c>
      <c r="O21" s="594">
        <f>VLOOKUP($R21,Model!$1:$1048576,MATCH(FinSum!H$2,Model!$1:$1,0),FALSE)</f>
        <v>-59.069693372047098</v>
      </c>
      <c r="P21" s="594">
        <f>VLOOKUP($R21,Model!$1:$1048576,MATCH(FinSum!I$2,Model!$1:$1,0),FALSE)</f>
        <v>-71.342931112799178</v>
      </c>
      <c r="Q21" s="594">
        <f>VLOOKUP($R21,Model!$1:$1048576,MATCH(FinSum!J$2,Model!$1:$1,0),FALSE)</f>
        <v>-88.175104980893735</v>
      </c>
      <c r="R21" s="131" t="s">
        <v>688</v>
      </c>
    </row>
    <row r="22" spans="1:19">
      <c r="D22" s="131" t="s">
        <v>107</v>
      </c>
      <c r="E22" s="446" t="s">
        <v>2123</v>
      </c>
      <c r="F22" s="461">
        <f>VLOOKUP($D22,Model!$1:$1048576,MATCH(FinSum!F$2,Model!$1:$1,0),FALSE)*100</f>
        <v>6.0559567749303165</v>
      </c>
      <c r="G22" s="461">
        <f>VLOOKUP($D22,Model!$1:$1048576,MATCH(FinSum!G$2,Model!$1:$1,0),FALSE)*100</f>
        <v>7.2957769283680616</v>
      </c>
      <c r="H22" s="461">
        <f>VLOOKUP($D22,Model!$1:$1048576,MATCH(FinSum!H$2,Model!$1:$1,0),FALSE)*100</f>
        <v>10.762263375075417</v>
      </c>
      <c r="I22" s="461">
        <f>VLOOKUP($D22,Model!$1:$1048576,MATCH(FinSum!I$2,Model!$1:$1,0),FALSE)*100</f>
        <v>13.060581349162787</v>
      </c>
      <c r="J22" s="461">
        <f>VLOOKUP($D22,Model!$1:$1048576,MATCH(FinSum!J$2,Model!$1:$1,0),FALSE)*100</f>
        <v>15.513687586165492</v>
      </c>
      <c r="L22" s="445" t="s">
        <v>2124</v>
      </c>
      <c r="M22" s="456">
        <f>VLOOKUP($R22,Model!$1:$1048576,MATCH(FinSum!F$2,Model!$1:$1,0),FALSE)</f>
        <v>0</v>
      </c>
      <c r="N22" s="594">
        <f>VLOOKUP($R22,Model!$1:$1048576,MATCH(FinSum!G$2,Model!$1:$1,0),FALSE)</f>
        <v>0</v>
      </c>
      <c r="O22" s="594">
        <f>VLOOKUP($R22,Model!$1:$1048576,MATCH(FinSum!H$2,Model!$1:$1,0),FALSE)</f>
        <v>0</v>
      </c>
      <c r="P22" s="594">
        <f>VLOOKUP($R22,Model!$1:$1048576,MATCH(FinSum!I$2,Model!$1:$1,0),FALSE)</f>
        <v>0</v>
      </c>
      <c r="Q22" s="594">
        <f>VLOOKUP($R22,Model!$1:$1048576,MATCH(FinSum!J$2,Model!$1:$1,0),FALSE)</f>
        <v>0</v>
      </c>
      <c r="R22" s="131" t="s">
        <v>689</v>
      </c>
    </row>
    <row r="23" spans="1:19">
      <c r="E23" s="462" t="s">
        <v>2118</v>
      </c>
      <c r="F23" s="463"/>
      <c r="G23" s="595">
        <f>IF(ISERROR(G22/F22-1),"n.a.",G22/F22-1)</f>
        <v>0.20472737826831855</v>
      </c>
      <c r="H23" s="463">
        <f>H22/G22-1</f>
        <v>0.47513602468143823</v>
      </c>
      <c r="I23" s="463">
        <f>I22/H22-1</f>
        <v>0.21355340359074471</v>
      </c>
      <c r="J23" s="463">
        <f>J22/I22-1</f>
        <v>0.18782519486852367</v>
      </c>
      <c r="L23" s="445" t="s">
        <v>2125</v>
      </c>
      <c r="M23" s="456">
        <f>VLOOKUP($R23,Model!$1:$1048576,MATCH(FinSum!F$2,Model!$1:$1,0),FALSE)</f>
        <v>0</v>
      </c>
      <c r="N23" s="594">
        <f>VLOOKUP($R23,Model!$1:$1048576,MATCH(FinSum!G$2,Model!$1:$1,0),FALSE)</f>
        <v>0</v>
      </c>
      <c r="O23" s="594">
        <f>VLOOKUP($R23,Model!$1:$1048576,MATCH(FinSum!H$2,Model!$1:$1,0),FALSE)</f>
        <v>0</v>
      </c>
      <c r="P23" s="594">
        <f>VLOOKUP($R23,Model!$1:$1048576,MATCH(FinSum!I$2,Model!$1:$1,0),FALSE)</f>
        <v>0</v>
      </c>
      <c r="Q23" s="594">
        <f>VLOOKUP($R23,Model!$1:$1048576,MATCH(FinSum!J$2,Model!$1:$1,0),FALSE)</f>
        <v>0</v>
      </c>
      <c r="R23" s="131" t="s">
        <v>690</v>
      </c>
    </row>
    <row r="24" spans="1:19">
      <c r="E24" s="446" t="s">
        <v>2126</v>
      </c>
      <c r="F24" s="449">
        <f>M28</f>
        <v>69.899999999999977</v>
      </c>
      <c r="G24" s="596">
        <f>N28</f>
        <v>86.400000000000091</v>
      </c>
      <c r="H24" s="596">
        <f>O28</f>
        <v>133.36232151403254</v>
      </c>
      <c r="I24" s="596">
        <f>P28</f>
        <v>162.56371468668044</v>
      </c>
      <c r="J24" s="596">
        <f>Q28</f>
        <v>202.83855971008754</v>
      </c>
      <c r="L24" s="452" t="s">
        <v>2127</v>
      </c>
      <c r="M24" s="453">
        <f>M20+M21+M22+M23</f>
        <v>69.899999999999977</v>
      </c>
      <c r="N24" s="593">
        <f>N20+N21+N22+N23</f>
        <v>86.400000000000091</v>
      </c>
      <c r="O24" s="593">
        <f>O20+O21+O22+O23</f>
        <v>133.36232151403254</v>
      </c>
      <c r="P24" s="593">
        <f>P20+P21+P22+P23</f>
        <v>162.56371468668044</v>
      </c>
      <c r="Q24" s="593">
        <f>Q20+Q21+Q22+Q23</f>
        <v>202.83855971008754</v>
      </c>
    </row>
    <row r="25" spans="1:19">
      <c r="E25" s="462" t="s">
        <v>2118</v>
      </c>
      <c r="F25" s="463"/>
      <c r="G25" s="463">
        <f>G24/F24-1</f>
        <v>0.23605150214592441</v>
      </c>
      <c r="H25" s="463">
        <f>H24/G24-1</f>
        <v>0.54354538789389362</v>
      </c>
      <c r="I25" s="463">
        <f>I24/H24-1</f>
        <v>0.21896284378624364</v>
      </c>
      <c r="J25" s="463">
        <f>J24/I24-1</f>
        <v>0.24774806051295895</v>
      </c>
      <c r="L25" s="445" t="s">
        <v>2125</v>
      </c>
      <c r="M25" s="456">
        <f>VLOOKUP($R25,Model!$1:$1048576,MATCH(FinSum!F$2,Model!$1:$1,0),FALSE)</f>
        <v>0</v>
      </c>
      <c r="N25" s="594">
        <f>VLOOKUP($R25,Model!$1:$1048576,MATCH(FinSum!G$2,Model!$1:$1,0),FALSE)</f>
        <v>0</v>
      </c>
      <c r="O25" s="594">
        <f>VLOOKUP($R25,Model!$1:$1048576,MATCH(FinSum!H$2,Model!$1:$1,0),FALSE)</f>
        <v>0</v>
      </c>
      <c r="P25" s="594">
        <f>VLOOKUP($R25,Model!$1:$1048576,MATCH(FinSum!I$2,Model!$1:$1,0),FALSE)</f>
        <v>0</v>
      </c>
      <c r="Q25" s="594">
        <f>VLOOKUP($R25,Model!$1:$1048576,MATCH(FinSum!J$2,Model!$1:$1,0),FALSE)</f>
        <v>0</v>
      </c>
      <c r="R25" s="131" t="s">
        <v>958</v>
      </c>
    </row>
    <row r="26" spans="1:19">
      <c r="D26" s="131" t="s">
        <v>947</v>
      </c>
      <c r="E26" s="446" t="s">
        <v>2128</v>
      </c>
      <c r="F26" s="461">
        <f>VLOOKUP($D26,Model!$1:$1048576,MATCH(FinSum!F$2,Model!$1:$1,0),FALSE)*100</f>
        <v>6.3067284301273476</v>
      </c>
      <c r="G26" s="461">
        <f>VLOOKUP($D26,Model!$1:$1048576,MATCH(FinSum!G$2,Model!$1:$1,0),FALSE)*100</f>
        <v>7.7459679552223406</v>
      </c>
      <c r="H26" s="461">
        <f>VLOOKUP($D26,Model!$1:$1048576,MATCH(FinSum!H$2,Model!$1:$1,0),FALSE)*100</f>
        <v>11.903562902712794</v>
      </c>
      <c r="I26" s="461">
        <f>VLOOKUP($D26,Model!$1:$1048576,MATCH(FinSum!I$2,Model!$1:$1,0),FALSE)*100</f>
        <v>14.499167244559597</v>
      </c>
      <c r="J26" s="461">
        <f>VLOOKUP($D26,Model!$1:$1048576,MATCH(FinSum!J$2,Model!$1:$1,0),FALSE)*100</f>
        <v>17.28057391037709</v>
      </c>
      <c r="L26" s="445" t="s">
        <v>2129</v>
      </c>
      <c r="M26" s="456">
        <f>VLOOKUP($R26,Model!$1:$1048576,MATCH(FinSum!F$2,Model!$1:$1,0),FALSE)</f>
        <v>0</v>
      </c>
      <c r="N26" s="594">
        <f>VLOOKUP($R26,Model!$1:$1048576,MATCH(FinSum!G$2,Model!$1:$1,0),FALSE)</f>
        <v>0</v>
      </c>
      <c r="O26" s="594">
        <f>VLOOKUP($R26,Model!$1:$1048576,MATCH(FinSum!H$2,Model!$1:$1,0),FALSE)</f>
        <v>0</v>
      </c>
      <c r="P26" s="594">
        <f>VLOOKUP($R26,Model!$1:$1048576,MATCH(FinSum!I$2,Model!$1:$1,0),FALSE)</f>
        <v>0</v>
      </c>
      <c r="Q26" s="594">
        <f>VLOOKUP($R26,Model!$1:$1048576,MATCH(FinSum!J$2,Model!$1:$1,0),FALSE)</f>
        <v>0</v>
      </c>
      <c r="R26" s="131" t="s">
        <v>832</v>
      </c>
    </row>
    <row r="27" spans="1:19">
      <c r="E27" s="462" t="s">
        <v>2118</v>
      </c>
      <c r="F27" s="463"/>
      <c r="G27" s="595">
        <f>IF(ISERROR(G26/F26-1),"n.a.",G26/F26-1)</f>
        <v>0.22820699211015993</v>
      </c>
      <c r="H27" s="463">
        <f>H26/G26-1</f>
        <v>0.53674311222620008</v>
      </c>
      <c r="I27" s="463">
        <f>I26/H26-1</f>
        <v>0.21805272615103077</v>
      </c>
      <c r="J27" s="463">
        <f>J26/I26-1</f>
        <v>0.19183216655847168</v>
      </c>
      <c r="L27" s="464" t="s">
        <v>278</v>
      </c>
      <c r="M27" s="465">
        <f>VLOOKUP($R27,Model!$1:$1048576,MATCH(FinSum!F$2,Model!$1:$1,0),FALSE)</f>
        <v>0</v>
      </c>
      <c r="N27" s="597">
        <f>VLOOKUP($R27,Model!$1:$1048576,MATCH(FinSum!G$2,Model!$1:$1,0),FALSE)</f>
        <v>0</v>
      </c>
      <c r="O27" s="597">
        <f>VLOOKUP($R27,Model!$1:$1048576,MATCH(FinSum!H$2,Model!$1:$1,0),FALSE)</f>
        <v>0</v>
      </c>
      <c r="P27" s="597">
        <f>VLOOKUP($R27,Model!$1:$1048576,MATCH(FinSum!I$2,Model!$1:$1,0),FALSE)</f>
        <v>0</v>
      </c>
      <c r="Q27" s="597">
        <f>VLOOKUP($R27,Model!$1:$1048576,MATCH(FinSum!J$2,Model!$1:$1,0),FALSE)</f>
        <v>0</v>
      </c>
      <c r="R27" s="131" t="s">
        <v>831</v>
      </c>
    </row>
    <row r="28" spans="1:19">
      <c r="D28" s="131" t="s">
        <v>766</v>
      </c>
      <c r="E28" s="446" t="s">
        <v>2130</v>
      </c>
      <c r="F28" s="461">
        <f>VLOOKUP($D28,Model!$1:$1048576,MATCH(FinSum!F$2,Model!$1:$1,0),FALSE)*100</f>
        <v>0</v>
      </c>
      <c r="G28" s="461">
        <f>VLOOKUP($D28,Model!$1:$1048576,MATCH(FinSum!G$2,Model!$1:$1,0),FALSE)*100</f>
        <v>0</v>
      </c>
      <c r="H28" s="461">
        <f>VLOOKUP($D28,Model!$1:$1048576,MATCH(FinSum!H$2,Model!$1:$1,0),FALSE)*100</f>
        <v>0</v>
      </c>
      <c r="I28" s="461">
        <f>VLOOKUP($D28,Model!$1:$1048576,MATCH(FinSum!I$2,Model!$1:$1,0),FALSE)*100</f>
        <v>0</v>
      </c>
      <c r="J28" s="461">
        <f>VLOOKUP($D28,Model!$1:$1048576,MATCH(FinSum!J$2,Model!$1:$1,0),FALSE)*100</f>
        <v>0</v>
      </c>
      <c r="L28" s="452" t="s">
        <v>2131</v>
      </c>
      <c r="M28" s="453">
        <f>+M24+M25+M26+M27</f>
        <v>69.899999999999977</v>
      </c>
      <c r="N28" s="593">
        <f>+N24+N25+N26+N27</f>
        <v>86.400000000000091</v>
      </c>
      <c r="O28" s="593">
        <f>+O24+O25+O26+O27</f>
        <v>133.36232151403254</v>
      </c>
      <c r="P28" s="593">
        <f>+P24+P25+P26+P27</f>
        <v>162.56371468668044</v>
      </c>
      <c r="Q28" s="593">
        <f>+Q24+Q25+Q26+Q27</f>
        <v>202.83855971008754</v>
      </c>
    </row>
    <row r="29" spans="1:19">
      <c r="E29" s="462" t="s">
        <v>2118</v>
      </c>
      <c r="F29" s="463"/>
      <c r="G29" s="595" t="str">
        <f>IF(ISERROR(G28/F28-1),"n.a.",G28/F28-1)</f>
        <v>n.a.</v>
      </c>
      <c r="H29" s="595" t="str">
        <f t="shared" ref="H29:J29" si="0">IF(ISERROR(H28/G28-1),"n.a.",H28/G28-1)</f>
        <v>n.a.</v>
      </c>
      <c r="I29" s="595" t="str">
        <f t="shared" si="0"/>
        <v>n.a.</v>
      </c>
      <c r="J29" s="595" t="str">
        <f t="shared" si="0"/>
        <v>n.a.</v>
      </c>
    </row>
    <row r="30" spans="1:19">
      <c r="D30" s="131" t="s">
        <v>904</v>
      </c>
      <c r="E30" s="445" t="s">
        <v>2132</v>
      </c>
      <c r="F30" s="466">
        <f>VLOOKUP($D30,Model!$1:$1048576,MATCH(FinSum!F$2,Model!$1:$1,0),FALSE)</f>
        <v>0</v>
      </c>
      <c r="G30" s="466">
        <f>VLOOKUP($D30,Model!$1:$1048576,MATCH(FinSum!G$2,Model!$1:$1,0),FALSE)</f>
        <v>0</v>
      </c>
      <c r="H30" s="466">
        <f>VLOOKUP($D30,Model!$1:$1048576,MATCH(FinSum!H$2,Model!$1:$1,0),FALSE)</f>
        <v>0</v>
      </c>
      <c r="I30" s="466">
        <f>VLOOKUP($D30,Model!$1:$1048576,MATCH(FinSum!I$2,Model!$1:$1,0),FALSE)</f>
        <v>0</v>
      </c>
      <c r="J30" s="466">
        <f>VLOOKUP($D30,Model!$1:$1048576,MATCH(FinSum!J$2,Model!$1:$1,0),FALSE)</f>
        <v>0</v>
      </c>
    </row>
    <row r="31" spans="1:19">
      <c r="D31" s="131" t="s">
        <v>767</v>
      </c>
      <c r="E31" s="445" t="s">
        <v>2133</v>
      </c>
      <c r="F31" s="463">
        <f>VLOOKUP($D31,Model!$1:$1048576,MATCH(FinSum!F$2,Model!$1:$1,0),FALSE)</f>
        <v>0</v>
      </c>
      <c r="G31" s="466">
        <f>VLOOKUP($D31,Model!$1:$1048576,MATCH(FinSum!G$2,Model!$1:$1,0),FALSE)</f>
        <v>0</v>
      </c>
      <c r="H31" s="466">
        <f>VLOOKUP($D31,Model!$1:$1048576,MATCH(FinSum!H$2,Model!$1:$1,0),FALSE)</f>
        <v>0</v>
      </c>
      <c r="I31" s="466">
        <f>VLOOKUP($D31,Model!$1:$1048576,MATCH(FinSum!I$2,Model!$1:$1,0),FALSE)</f>
        <v>0</v>
      </c>
      <c r="J31" s="466">
        <f>VLOOKUP($D31,Model!$1:$1048576,MATCH(FinSum!J$2,Model!$1:$1,0),FALSE)</f>
        <v>0</v>
      </c>
      <c r="R31" s="445"/>
      <c r="S31" s="445"/>
    </row>
    <row r="32" spans="1:19">
      <c r="A32" s="19"/>
      <c r="B32" s="19"/>
      <c r="C32" s="19"/>
      <c r="D32" s="1" t="s">
        <v>768</v>
      </c>
      <c r="E32" s="19" t="s">
        <v>2211</v>
      </c>
      <c r="F32" s="456">
        <f>VLOOKUP($D32,Model!$1:$1048576,MATCH(FinSum!F$2,Model!$1:$1,0),FALSE)</f>
        <v>75.5</v>
      </c>
      <c r="G32" s="456">
        <f>VLOOKUP($D32,Model!$1:$1048576,MATCH(FinSum!G$2,Model!$1:$1,0),FALSE)</f>
        <v>0</v>
      </c>
      <c r="H32" s="456">
        <f>VLOOKUP($D32,Model!$1:$1048576,MATCH(FinSum!H$2,Model!$1:$1,0),FALSE)</f>
        <v>32.469693372047097</v>
      </c>
      <c r="I32" s="456">
        <f>VLOOKUP($D32,Model!$1:$1048576,MATCH(FinSum!I$2,Model!$1:$1,0),FALSE)</f>
        <v>103.81262448484628</v>
      </c>
      <c r="J32" s="456">
        <f>VLOOKUP($D32,Model!$1:$1048576,MATCH(FinSum!J$2,Model!$1:$1,0),FALSE)</f>
        <v>191.98772946574002</v>
      </c>
      <c r="L32" s="491" t="s">
        <v>2134</v>
      </c>
      <c r="M32" s="492" t="str">
        <f>M$5</f>
        <v>06/24</v>
      </c>
      <c r="N32" s="493" t="str">
        <f>N$5</f>
        <v>06/25</v>
      </c>
      <c r="O32" s="493" t="str">
        <f>O$5</f>
        <v>06/26E</v>
      </c>
      <c r="P32" s="493" t="str">
        <f>P$5</f>
        <v>06/27E</v>
      </c>
      <c r="Q32" s="493" t="str">
        <f>Q$5</f>
        <v>06/28E</v>
      </c>
    </row>
    <row r="33" spans="4:18">
      <c r="D33" s="131" t="s">
        <v>963</v>
      </c>
      <c r="E33" s="446" t="s">
        <v>2135</v>
      </c>
      <c r="F33" s="467">
        <f>VLOOKUP($D33,Model!$1:$1048576,MATCH(FinSum!F$2,Model!$1:$1,0),FALSE)</f>
        <v>1.367528045478354</v>
      </c>
      <c r="G33" s="467">
        <f>VLOOKUP($D33,Model!$1:$1048576,MATCH(FinSum!G$2,Model!$1:$1,0),FALSE)</f>
        <v>1.4663334195149795</v>
      </c>
      <c r="H33" s="467">
        <f>VLOOKUP($D33,Model!$1:$1048576,MATCH(FinSum!H$2,Model!$1:$1,0),FALSE)</f>
        <v>1.5650900140132109</v>
      </c>
      <c r="I33" s="467">
        <f>VLOOKUP($D33,Model!$1:$1048576,MATCH(FinSum!I$2,Model!$1:$1,0),FALSE)</f>
        <v>1.7100987397662342</v>
      </c>
      <c r="J33" s="467">
        <f>VLOOKUP($D33,Model!$1:$1048576,MATCH(FinSum!J$2,Model!$1:$1,0),FALSE)</f>
        <v>1.9010528298562672</v>
      </c>
      <c r="L33" s="446" t="s">
        <v>644</v>
      </c>
    </row>
    <row r="34" spans="4:18">
      <c r="D34" s="131" t="s">
        <v>962</v>
      </c>
      <c r="E34" s="446" t="s">
        <v>2136</v>
      </c>
      <c r="F34" s="467">
        <f>VLOOKUP($D34,Model!$1:$1048576,MATCH(FinSum!F$2,Model!$1:$1,0),FALSE)</f>
        <v>1.4110689845664255</v>
      </c>
      <c r="G34" s="467">
        <f>VLOOKUP($D34,Model!$1:$1048576,MATCH(FinSum!G$2,Model!$1:$1,0),FALSE)</f>
        <v>1.5090108886167335</v>
      </c>
      <c r="H34" s="467">
        <f>VLOOKUP($D34,Model!$1:$1048576,MATCH(FinSum!H$2,Model!$1:$1,0),FALSE)</f>
        <v>1.6045169285041652</v>
      </c>
      <c r="I34" s="467">
        <f>VLOOKUP($D34,Model!$1:$1048576,MATCH(FinSum!I$2,Model!$1:$1,0),FALSE)</f>
        <v>1.7495256542571884</v>
      </c>
      <c r="J34" s="467">
        <f>VLOOKUP($D34,Model!$1:$1048576,MATCH(FinSum!J$2,Model!$1:$1,0),FALSE)</f>
        <v>1.9381625812339969</v>
      </c>
      <c r="L34" s="445" t="s">
        <v>2137</v>
      </c>
      <c r="M34" s="468">
        <f>VLOOKUP($R34,Model!$1:$1048576,MATCH(FinSum!F$2,Model!$1:$1,0),FALSE)/1000</f>
        <v>1.1422000000000001</v>
      </c>
      <c r="N34" s="468">
        <f>VLOOKUP($R34,Model!$1:$1048576,MATCH(FinSum!G$2,Model!$1:$1,0),FALSE)/1000</f>
        <v>1.1569</v>
      </c>
      <c r="O34" s="468">
        <f>VLOOKUP($R34,Model!$1:$1048576,MATCH(FinSum!H$2,Model!$1:$1,0),FALSE)/1000</f>
        <v>1.1832639524000002</v>
      </c>
      <c r="P34" s="468">
        <f>VLOOKUP($R34,Model!$1:$1048576,MATCH(FinSum!I$2,Model!$1:$1,0),FALSE)/1000</f>
        <v>1.2310678160769601</v>
      </c>
      <c r="Q34" s="468">
        <f>VLOOKUP($R34,Model!$1:$1048576,MATCH(FinSum!J$2,Model!$1:$1,0),FALSE)/1000</f>
        <v>1.3040378081353179</v>
      </c>
      <c r="R34" s="131" t="s">
        <v>886</v>
      </c>
    </row>
    <row r="35" spans="4:18">
      <c r="D35" s="131" t="s">
        <v>1007</v>
      </c>
      <c r="E35" s="445" t="s">
        <v>2138</v>
      </c>
      <c r="F35" s="456">
        <f>VLOOKUP($D35,Model!$1:$1048576,MATCH(FinSum!F$2,Model!$1:$1,0),FALSE)</f>
        <v>1109.300833</v>
      </c>
      <c r="G35" s="456">
        <f>VLOOKUP($D35,Model!$1:$1048576,MATCH(FinSum!G$2,Model!$1:$1,0),FALSE)</f>
        <v>1117.685772</v>
      </c>
      <c r="H35" s="456">
        <f>VLOOKUP($D35,Model!$1:$1048576,MATCH(FinSum!H$2,Model!$1:$1,0),FALSE)</f>
        <v>1121.061604</v>
      </c>
      <c r="I35" s="456">
        <f>VLOOKUP($D35,Model!$1:$1048576,MATCH(FinSum!I$2,Model!$1:$1,0),FALSE)</f>
        <v>1121.061604</v>
      </c>
      <c r="J35" s="456">
        <f>VLOOKUP($D35,Model!$1:$1048576,MATCH(FinSum!J$2,Model!$1:$1,0),FALSE)</f>
        <v>1191.061604</v>
      </c>
      <c r="L35" s="445" t="s">
        <v>2139</v>
      </c>
      <c r="M35" s="468">
        <f>M37-M34-M36</f>
        <v>9.5691999999999986</v>
      </c>
      <c r="N35" s="468">
        <f>N37-N34-N36</f>
        <v>11.308399999999999</v>
      </c>
      <c r="O35" s="468">
        <f>O37-O34-O36</f>
        <v>13.347843599999999</v>
      </c>
      <c r="P35" s="468">
        <f>P37-P34-P36</f>
        <v>15.429005646780793</v>
      </c>
      <c r="Q35" s="468">
        <f>Q37-Q34-Q36</f>
        <v>17.671135668202893</v>
      </c>
    </row>
    <row r="36" spans="4:18">
      <c r="D36" s="131" t="s">
        <v>1015</v>
      </c>
      <c r="E36" s="445" t="s">
        <v>2140</v>
      </c>
      <c r="F36" s="456">
        <f>VLOOKUP($D36,Model!$1:$1048576,MATCH(FinSum!F$2,Model!$1:$1,0),FALSE)</f>
        <v>1212.0297869999999</v>
      </c>
      <c r="G36" s="456">
        <f>VLOOKUP($D36,Model!$1:$1048576,MATCH(FinSum!G$2,Model!$1:$1,0),FALSE)</f>
        <v>1217.1424766938851</v>
      </c>
      <c r="H36" s="456">
        <f>VLOOKUP($D36,Model!$1:$1048576,MATCH(FinSum!H$2,Model!$1:$1,0),FALSE)</f>
        <v>1265.1829524017603</v>
      </c>
      <c r="I36" s="456">
        <f>VLOOKUP($D36,Model!$1:$1048576,MATCH(FinSum!I$2,Model!$1:$1,0),FALSE)</f>
        <v>1266.1282853024047</v>
      </c>
      <c r="J36" s="456">
        <f>VLOOKUP($D36,Model!$1:$1048576,MATCH(FinSum!J$2,Model!$1:$1,0),FALSE)</f>
        <v>1325.5298494825181</v>
      </c>
      <c r="L36" s="445" t="s">
        <v>2141</v>
      </c>
      <c r="M36" s="468">
        <f>VLOOKUP($R36,Model!$1:$1048576,MATCH(FinSum!F$2,Model!$1:$1,0),FALSE)/1000</f>
        <v>0</v>
      </c>
      <c r="N36" s="468">
        <f>VLOOKUP($R36,Model!$1:$1048576,MATCH(FinSum!G$2,Model!$1:$1,0),FALSE)/1000</f>
        <v>0</v>
      </c>
      <c r="O36" s="468">
        <f>VLOOKUP($R36,Model!$1:$1048576,MATCH(FinSum!H$2,Model!$1:$1,0),FALSE)/1000</f>
        <v>0</v>
      </c>
      <c r="P36" s="468">
        <f>VLOOKUP($R36,Model!$1:$1048576,MATCH(FinSum!I$2,Model!$1:$1,0),FALSE)/1000</f>
        <v>0</v>
      </c>
      <c r="Q36" s="468">
        <f>VLOOKUP($R36,Model!$1:$1048576,MATCH(FinSum!J$2,Model!$1:$1,0),FALSE)/1000</f>
        <v>0</v>
      </c>
      <c r="R36" s="131" t="s">
        <v>735</v>
      </c>
    </row>
    <row r="37" spans="4:18">
      <c r="L37" s="446" t="s">
        <v>2142</v>
      </c>
      <c r="M37" s="469">
        <f>M46-M40-M43</f>
        <v>10.711399999999999</v>
      </c>
      <c r="N37" s="469">
        <f>N46-N40-N43</f>
        <v>12.465299999999999</v>
      </c>
      <c r="O37" s="469">
        <f>O46-O40-O43</f>
        <v>14.5311075524</v>
      </c>
      <c r="P37" s="469">
        <f>P46-P40-P43</f>
        <v>16.660073462857753</v>
      </c>
      <c r="Q37" s="469">
        <f>Q46-Q40-Q43</f>
        <v>18.97517347633821</v>
      </c>
    </row>
    <row r="38" spans="4:18">
      <c r="E38" s="491" t="s">
        <v>2143</v>
      </c>
      <c r="F38" s="492" t="str">
        <f>TEXT(F$1,"mm/yy")</f>
        <v>06/24</v>
      </c>
      <c r="G38" s="493" t="str">
        <f>TEXT(G$1,"mm/yy")</f>
        <v>06/25</v>
      </c>
      <c r="H38" s="493" t="str">
        <f>TEXT(H$1,"mm/yy")&amp;RIGHT(H$2,1)</f>
        <v>06/26E</v>
      </c>
      <c r="I38" s="493" t="str">
        <f>TEXT(I$1,"mm/yy")&amp;RIGHT(I$2,1)</f>
        <v>06/27E</v>
      </c>
      <c r="J38" s="493" t="str">
        <f>TEXT(J$1,"mm/yy")&amp;RIGHT(J$2,1)</f>
        <v>06/28E</v>
      </c>
      <c r="L38" s="462" t="s">
        <v>2118</v>
      </c>
      <c r="N38" s="470">
        <f>N37/M37-1</f>
        <v>0.16374143435965416</v>
      </c>
      <c r="O38" s="408">
        <f>IF(ISERROR(O37/N37-1),"n.a.",O37/N37-1)</f>
        <v>0.16572465583660256</v>
      </c>
      <c r="P38" s="408">
        <f>IF(ISERROR(P37/O37-1),"n.a.",P37/O37-1)</f>
        <v>0.14651091823390483</v>
      </c>
      <c r="Q38" s="408">
        <f>IF(ISERROR(Q37/P37-1),"n.a.",Q37/P37-1)</f>
        <v>0.13896097268969321</v>
      </c>
    </row>
    <row r="39" spans="4:18">
      <c r="E39" s="445" t="s">
        <v>858</v>
      </c>
      <c r="F39" s="471">
        <f>$G$9/F22*100</f>
        <v>31.291504718869216</v>
      </c>
      <c r="G39" s="471">
        <f>$G$9/G22*100</f>
        <v>25.973930105122861</v>
      </c>
      <c r="H39" s="471">
        <f>$G$9/H22*100</f>
        <v>17.60782034370833</v>
      </c>
      <c r="I39" s="471">
        <f>$G$9/I22*100</f>
        <v>14.509308194933251</v>
      </c>
      <c r="J39" s="471">
        <f>$G$9/J22*100</f>
        <v>12.215019733218606</v>
      </c>
      <c r="L39" s="445" t="s">
        <v>2144</v>
      </c>
      <c r="M39" s="468">
        <f>VLOOKUP($R39,Model!$1:$1048576,MATCH(FinSum!F$2,Model!$1:$1,0),FALSE)/1000</f>
        <v>8.2279999999999998</v>
      </c>
      <c r="N39" s="468">
        <f>VLOOKUP($R39,Model!$1:$1048576,MATCH(FinSum!G$2,Model!$1:$1,0),FALSE)/1000</f>
        <v>9.8792000000000009</v>
      </c>
      <c r="O39" s="468">
        <f>VLOOKUP($R39,Model!$1:$1048576,MATCH(FinSum!H$2,Model!$1:$1,0),FALSE)/1000</f>
        <v>11.998089999999999</v>
      </c>
      <c r="P39" s="468">
        <f>VLOOKUP($R39,Model!$1:$1048576,MATCH(FinSum!I$2,Model!$1:$1,0),FALSE)/1000</f>
        <v>14.188941234000001</v>
      </c>
      <c r="Q39" s="468">
        <f>VLOOKUP($R39,Model!$1:$1048576,MATCH(FinSum!J$2,Model!$1:$1,0),FALSE)/1000</f>
        <v>16.498466791710499</v>
      </c>
      <c r="R39" s="131" t="s">
        <v>612</v>
      </c>
    </row>
    <row r="40" spans="4:18">
      <c r="E40" s="445" t="s">
        <v>2145</v>
      </c>
      <c r="F40" s="471">
        <f>$G$9/F16*100</f>
        <v>12.043030297104359</v>
      </c>
      <c r="G40" s="471">
        <f>$G$9/G16*100</f>
        <v>10.510785909653423</v>
      </c>
      <c r="H40" s="471">
        <f>$G$9/H16*100</f>
        <v>7.6781307861065464</v>
      </c>
      <c r="I40" s="471">
        <f>$G$9/I16*100</f>
        <v>6.0418549618673749</v>
      </c>
      <c r="J40" s="471">
        <f>$G$9/J16*100</f>
        <v>5.2391554058114034</v>
      </c>
      <c r="L40" s="452" t="s">
        <v>2146</v>
      </c>
      <c r="M40" s="472">
        <f>VLOOKUP($R40,Model!$1:$1048576,MATCH(FinSum!F$2,Model!$1:$1,0),FALSE)/1000</f>
        <v>0</v>
      </c>
      <c r="N40" s="472">
        <f>VLOOKUP($R40,Model!$1:$1048576,MATCH(FinSum!G$2,Model!$1:$1,0),FALSE)/1000</f>
        <v>0</v>
      </c>
      <c r="O40" s="472">
        <f>VLOOKUP($R40,Model!$1:$1048576,MATCH(FinSum!H$2,Model!$1:$1,0),FALSE)/1000</f>
        <v>0</v>
      </c>
      <c r="P40" s="472">
        <f>VLOOKUP($R40,Model!$1:$1048576,MATCH(FinSum!I$2,Model!$1:$1,0),FALSE)/1000</f>
        <v>0</v>
      </c>
      <c r="Q40" s="472">
        <f>VLOOKUP($R40,Model!$1:$1048576,MATCH(FinSum!J$2,Model!$1:$1,0),FALSE)/1000</f>
        <v>0</v>
      </c>
      <c r="R40" s="131" t="s">
        <v>602</v>
      </c>
    </row>
    <row r="41" spans="4:18">
      <c r="E41" s="445" t="s">
        <v>585</v>
      </c>
      <c r="F41" s="471">
        <f>$G$9/F33</f>
        <v>1.3857119832135794</v>
      </c>
      <c r="G41" s="471">
        <f t="shared" ref="G41:J42" si="1">$G$9/G33</f>
        <v>1.2923390920373423</v>
      </c>
      <c r="H41" s="471">
        <f t="shared" si="1"/>
        <v>1.2107929786995653</v>
      </c>
      <c r="I41" s="471">
        <f t="shared" si="1"/>
        <v>1.1081231486428915</v>
      </c>
      <c r="J41" s="471">
        <f t="shared" si="1"/>
        <v>0.99681606436117565</v>
      </c>
      <c r="L41" s="462" t="s">
        <v>2118</v>
      </c>
      <c r="N41" s="408" t="str">
        <f>IF(ISERROR(N40/M40-1),"n.a.",N40/M40-1)</f>
        <v>n.a.</v>
      </c>
      <c r="O41" s="408" t="str">
        <f>IF(ISERROR(O40/N40-1),"n.a.",O40/N40-1)</f>
        <v>n.a.</v>
      </c>
      <c r="P41" s="408" t="str">
        <f>IF(ISERROR(P40/O40-1),"n.a.",P40/O40-1)</f>
        <v>n.a.</v>
      </c>
      <c r="Q41" s="408" t="str">
        <f>IF(ISERROR(Q40/P40-1),"n.a.",Q40/P40-1)</f>
        <v>n.a.</v>
      </c>
    </row>
    <row r="42" spans="4:18">
      <c r="E42" s="445" t="s">
        <v>584</v>
      </c>
      <c r="F42" s="471">
        <f>$G$9/F34</f>
        <v>1.3429534776304863</v>
      </c>
      <c r="G42" s="471">
        <f t="shared" si="1"/>
        <v>1.2557894805763075</v>
      </c>
      <c r="H42" s="471">
        <f t="shared" si="1"/>
        <v>1.1810408268902728</v>
      </c>
      <c r="I42" s="471">
        <f t="shared" si="1"/>
        <v>1.0831507359659593</v>
      </c>
      <c r="J42" s="471">
        <f t="shared" si="1"/>
        <v>0.97773015450204603</v>
      </c>
      <c r="L42" s="445" t="s">
        <v>2147</v>
      </c>
      <c r="M42" s="468">
        <f>VLOOKUP($R42,Model!$1:$1048576,MATCH(FinSum!F$2,Model!$1:$1,0),FALSE)/1000</f>
        <v>0</v>
      </c>
      <c r="N42" s="468">
        <f>VLOOKUP($R42,Model!$1:$1048576,MATCH(FinSum!G$2,Model!$1:$1,0),FALSE)/1000</f>
        <v>0</v>
      </c>
      <c r="O42" s="468">
        <f>VLOOKUP($R42,Model!$1:$1048576,MATCH(FinSum!H$2,Model!$1:$1,0),FALSE)/1000</f>
        <v>0</v>
      </c>
      <c r="P42" s="468">
        <f>VLOOKUP($R42,Model!$1:$1048576,MATCH(FinSum!I$2,Model!$1:$1,0),FALSE)/1000</f>
        <v>0</v>
      </c>
      <c r="Q42" s="468">
        <f>VLOOKUP($R42,Model!$1:$1048576,MATCH(FinSum!J$2,Model!$1:$1,0),FALSE)/1000</f>
        <v>0</v>
      </c>
      <c r="R42" s="131" t="s">
        <v>248</v>
      </c>
    </row>
    <row r="43" spans="4:18">
      <c r="E43" s="445" t="s">
        <v>2148</v>
      </c>
      <c r="F43" s="463">
        <f>F28/$G$9/100</f>
        <v>0</v>
      </c>
      <c r="G43" s="463">
        <f>G28/$G$9/100</f>
        <v>0</v>
      </c>
      <c r="H43" s="463">
        <f>H28/$G$9/100</f>
        <v>0</v>
      </c>
      <c r="I43" s="463">
        <f>I28/$G$9/100</f>
        <v>0</v>
      </c>
      <c r="J43" s="463">
        <f>J28/$G$9/100</f>
        <v>0</v>
      </c>
      <c r="L43" s="452" t="s">
        <v>2149</v>
      </c>
      <c r="M43" s="472">
        <f>VLOOKUP($R43,Model!$1:$1048576,MATCH(FinSum!F$2,Model!$1:$1,0),FALSE)/1000</f>
        <v>0</v>
      </c>
      <c r="N43" s="472">
        <f>VLOOKUP($R43,Model!$1:$1048576,MATCH(FinSum!G$2,Model!$1:$1,0),FALSE)/1000</f>
        <v>0</v>
      </c>
      <c r="O43" s="472">
        <f>VLOOKUP($R43,Model!$1:$1048576,MATCH(FinSum!H$2,Model!$1:$1,0),FALSE)/1000</f>
        <v>0</v>
      </c>
      <c r="P43" s="472">
        <f>VLOOKUP($R43,Model!$1:$1048576,MATCH(FinSum!I$2,Model!$1:$1,0),FALSE)/1000</f>
        <v>0</v>
      </c>
      <c r="Q43" s="472">
        <f>VLOOKUP($R43,Model!$1:$1048576,MATCH(FinSum!J$2,Model!$1:$1,0),FALSE)/1000</f>
        <v>0</v>
      </c>
      <c r="R43" s="131" t="s">
        <v>597</v>
      </c>
    </row>
    <row r="44" spans="4:18">
      <c r="D44" s="131" t="s">
        <v>999</v>
      </c>
      <c r="E44" s="445" t="s">
        <v>2150</v>
      </c>
      <c r="F44" s="463">
        <f>VLOOKUP($D44,Model!$1:$1048576,MATCH(FinSum!F$2,Model!$1:$1,0),FALSE)</f>
        <v>4.5507812499999988E-2</v>
      </c>
      <c r="G44" s="463">
        <f>VLOOKUP($D44,Model!$1:$1048576,MATCH(FinSum!G$2,Model!$1:$1,0),FALSE)</f>
        <v>5.3079649771260694E-2</v>
      </c>
      <c r="H44" s="463">
        <f>VLOOKUP($D44,Model!$1:$1048576,MATCH(FinSum!H$2,Model!$1:$1,0),FALSE)</f>
        <v>7.6673445890296898E-2</v>
      </c>
      <c r="I44" s="463">
        <f>VLOOKUP($D44,Model!$1:$1048576,MATCH(FinSum!I$2,Model!$1:$1,0),FALSE)</f>
        <v>8.6230333594489603E-2</v>
      </c>
      <c r="J44" s="463">
        <f>VLOOKUP($D44,Model!$1:$1048576,MATCH(FinSum!J$2,Model!$1:$1,0),FALSE)</f>
        <v>9.3230835767189907E-2</v>
      </c>
      <c r="L44" s="462" t="s">
        <v>2118</v>
      </c>
      <c r="N44" s="408" t="str">
        <f>IF(ISERROR(N43/M43-1),"n.a.",N43/M43-1)</f>
        <v>n.a.</v>
      </c>
      <c r="O44" s="408" t="str">
        <f>IF(ISERROR(O43/N43-1),"n.a.",O43/N43-1)</f>
        <v>n.a.</v>
      </c>
      <c r="P44" s="408" t="str">
        <f>IF(ISERROR(P43/O43-1),"n.a.",P43/O43-1)</f>
        <v>n.a.</v>
      </c>
      <c r="Q44" s="408" t="str">
        <f>IF(ISERROR(Q43/P43-1),"n.a.",Q43/P43-1)</f>
        <v>n.a.</v>
      </c>
    </row>
    <row r="45" spans="4:18">
      <c r="D45" s="131" t="s">
        <v>1000</v>
      </c>
      <c r="E45" s="445" t="s">
        <v>2151</v>
      </c>
      <c r="F45" s="463">
        <f>VLOOKUP($D45,Model!$1:$1048576,MATCH(FinSum!F$2,Model!$1:$1,0),FALSE)</f>
        <v>4.6985279290179455E-2</v>
      </c>
      <c r="G45" s="463">
        <f>VLOOKUP($D45,Model!$1:$1048576,MATCH(FinSum!G$2,Model!$1:$1,0),FALSE)</f>
        <v>5.4682074610444893E-2</v>
      </c>
      <c r="H45" s="463">
        <f>VLOOKUP($D45,Model!$1:$1048576,MATCH(FinSum!H$2,Model!$1:$1,0),FALSE)</f>
        <v>7.8672653531403042E-2</v>
      </c>
      <c r="I45" s="463">
        <f>VLOOKUP($D45,Model!$1:$1048576,MATCH(FinSum!I$2,Model!$1:$1,0),FALSE)</f>
        <v>8.8300581161412248E-2</v>
      </c>
      <c r="J45" s="463">
        <f>VLOOKUP($D45,Model!$1:$1048576,MATCH(FinSum!J$2,Model!$1:$1,0),FALSE)</f>
        <v>9.5164160239341461E-2</v>
      </c>
      <c r="L45" s="445" t="s">
        <v>2152</v>
      </c>
      <c r="M45" s="468">
        <f>M48-M39-M42</f>
        <v>0</v>
      </c>
      <c r="N45" s="468">
        <f>N48-N39-N42</f>
        <v>0</v>
      </c>
      <c r="O45" s="468">
        <f>O48-O39-O42</f>
        <v>0</v>
      </c>
      <c r="P45" s="468">
        <f>P48-P39-P42</f>
        <v>0</v>
      </c>
      <c r="Q45" s="468">
        <f>Q48-Q39-Q42</f>
        <v>0</v>
      </c>
    </row>
    <row r="46" spans="4:18">
      <c r="L46" s="452" t="s">
        <v>587</v>
      </c>
      <c r="M46" s="472">
        <f>VLOOKUP($R46,Model!$1:$1048576,MATCH(FinSum!F$2,Model!$1:$1,0),FALSE)/1000</f>
        <v>10.711399999999999</v>
      </c>
      <c r="N46" s="472">
        <f>VLOOKUP($R46,Model!$1:$1048576,MATCH(FinSum!G$2,Model!$1:$1,0),FALSE)/1000</f>
        <v>12.465299999999999</v>
      </c>
      <c r="O46" s="472">
        <f>VLOOKUP($R46,Model!$1:$1048576,MATCH(FinSum!H$2,Model!$1:$1,0),FALSE)/1000</f>
        <v>14.5311075524</v>
      </c>
      <c r="P46" s="472">
        <f>VLOOKUP($R46,Model!$1:$1048576,MATCH(FinSum!I$2,Model!$1:$1,0),FALSE)/1000</f>
        <v>16.660073462857753</v>
      </c>
      <c r="Q46" s="472">
        <f>VLOOKUP($R46,Model!$1:$1048576,MATCH(FinSum!J$2,Model!$1:$1,0),FALSE)/1000</f>
        <v>18.97517347633821</v>
      </c>
      <c r="R46" s="131" t="s">
        <v>609</v>
      </c>
    </row>
    <row r="47" spans="4:18">
      <c r="E47" s="491" t="s">
        <v>1101</v>
      </c>
      <c r="F47" s="492" t="str">
        <f>TEXT(F$1,"mm/yy")</f>
        <v>06/24</v>
      </c>
      <c r="G47" s="493" t="str">
        <f>TEXT(G$1,"mm/yy")</f>
        <v>06/25</v>
      </c>
      <c r="H47" s="493" t="str">
        <f>TEXT(H$1,"mm/yy")&amp;RIGHT(H$2,1)</f>
        <v>06/26E</v>
      </c>
      <c r="I47" s="493" t="str">
        <f>TEXT(I$1,"mm/yy")&amp;RIGHT(I$2,1)</f>
        <v>06/27E</v>
      </c>
      <c r="J47" s="493" t="str">
        <f>TEXT(J$1,"mm/yy")&amp;RIGHT(J$2,1)</f>
        <v>06/28E</v>
      </c>
      <c r="L47" s="462" t="s">
        <v>2118</v>
      </c>
      <c r="N47" s="470">
        <f>N46/M46-1</f>
        <v>0.16374143435965416</v>
      </c>
      <c r="O47" s="470">
        <f>O46/N46-1</f>
        <v>0.16572465583660256</v>
      </c>
      <c r="P47" s="470">
        <f>P46/O46-1</f>
        <v>0.14651091823390483</v>
      </c>
      <c r="Q47" s="470">
        <f>Q46/P46-1</f>
        <v>0.13896097268969321</v>
      </c>
    </row>
    <row r="48" spans="4:18">
      <c r="E48" s="446" t="s">
        <v>2153</v>
      </c>
      <c r="L48" s="445" t="s">
        <v>1840</v>
      </c>
      <c r="M48" s="468">
        <f>VLOOKUP($R48,Model!$1:$1048576,MATCH(FinSum!F$2,Model!$1:$1,0),FALSE)/1000</f>
        <v>8.2279999999999998</v>
      </c>
      <c r="N48" s="468">
        <f>VLOOKUP($R48,Model!$1:$1048576,MATCH(FinSum!G$2,Model!$1:$1,0),FALSE)/1000</f>
        <v>9.8792000000000009</v>
      </c>
      <c r="O48" s="468">
        <f>VLOOKUP($R48,Model!$1:$1048576,MATCH(FinSum!H$2,Model!$1:$1,0),FALSE)/1000</f>
        <v>11.998089999999999</v>
      </c>
      <c r="P48" s="468">
        <f>VLOOKUP($R48,Model!$1:$1048576,MATCH(FinSum!I$2,Model!$1:$1,0),FALSE)/1000</f>
        <v>14.188941234000001</v>
      </c>
      <c r="Q48" s="468">
        <f>VLOOKUP($R48,Model!$1:$1048576,MATCH(FinSum!J$2,Model!$1:$1,0),FALSE)/1000</f>
        <v>16.498466791710499</v>
      </c>
      <c r="R48" s="131" t="s">
        <v>1053</v>
      </c>
    </row>
    <row r="49" spans="4:19">
      <c r="D49" s="131" t="s">
        <v>924</v>
      </c>
      <c r="E49" s="445" t="s">
        <v>528</v>
      </c>
      <c r="F49" s="474">
        <f>VLOOKUP($D49,Model!$1:$1048576,MATCH(FinSum!F$2,Model!$1:$1,0),FALSE)</f>
        <v>2.933242144458376E-2</v>
      </c>
      <c r="G49" s="474">
        <f>VLOOKUP($D49,Model!$1:$1048576,MATCH(FinSum!G$2,Model!$1:$1,0),FALSE)</f>
        <v>2.9259006501203264E-2</v>
      </c>
      <c r="H49" s="474">
        <f>VLOOKUP($D49,Model!$1:$1048576,MATCH(FinSum!H$2,Model!$1:$1,0),FALSE)</f>
        <v>3.0906833146576291E-2</v>
      </c>
      <c r="I49" s="474">
        <f>VLOOKUP($D49,Model!$1:$1048576,MATCH(FinSum!I$2,Model!$1:$1,0),FALSE)</f>
        <v>3.1820960953146585E-2</v>
      </c>
      <c r="J49" s="474">
        <f>VLOOKUP($D49,Model!$1:$1048576,MATCH(FinSum!J$2,Model!$1:$1,0),FALSE)</f>
        <v>3.2068547637801613E-2</v>
      </c>
      <c r="L49" s="473" t="s">
        <v>2118</v>
      </c>
      <c r="M49" s="464"/>
      <c r="N49" s="470">
        <f>N48/M48-1</f>
        <v>0.2006806028196404</v>
      </c>
      <c r="O49" s="470">
        <f>O48/N48-1</f>
        <v>0.21447991740221872</v>
      </c>
      <c r="P49" s="470">
        <f>P48/O48-1</f>
        <v>0.1826000000000001</v>
      </c>
      <c r="Q49" s="470">
        <f>Q48/P48-1</f>
        <v>0.16276940749999991</v>
      </c>
    </row>
    <row r="50" spans="4:19">
      <c r="E50" s="445" t="s">
        <v>2154</v>
      </c>
      <c r="F50" s="463">
        <f>SUM(M9:M14)/M15</f>
        <v>2.6972523317368286E-2</v>
      </c>
      <c r="G50" s="463">
        <f>SUM(N9:N14)/N15</f>
        <v>3.6888153227713404E-2</v>
      </c>
      <c r="H50" s="463">
        <f>SUM(O9:O14)/O15</f>
        <v>4.062772955103628E-2</v>
      </c>
      <c r="I50" s="463">
        <f>SUM(P9:P14)/P15</f>
        <v>3.9336433655450767E-2</v>
      </c>
      <c r="J50" s="463">
        <f>SUM(Q9:Q14)/Q15</f>
        <v>3.9106150398113694E-2</v>
      </c>
      <c r="L50" s="452" t="s">
        <v>720</v>
      </c>
      <c r="M50" s="472">
        <f>VLOOKUP($R50,Model!$1:$1048576,MATCH(FinSum!F$2,Model!$1:$1,0),FALSE)/1000</f>
        <v>9.6110000000000007</v>
      </c>
      <c r="N50" s="472">
        <f>VLOOKUP($R50,Model!$1:$1048576,MATCH(FinSum!G$2,Model!$1:$1,0),FALSE)/1000</f>
        <v>11.548</v>
      </c>
      <c r="O50" s="472">
        <f>VLOOKUP($R50,Model!$1:$1048576,MATCH(FinSum!H$2,Model!$1:$1,0),FALSE)/1000</f>
        <v>13.959902708202582</v>
      </c>
      <c r="P50" s="472">
        <f>VLOOKUP($R50,Model!$1:$1048576,MATCH(FinSum!I$2,Model!$1:$1,0),FALSE)/1000</f>
        <v>16.04426959597712</v>
      </c>
      <c r="Q50" s="472">
        <f>VLOOKUP($R50,Model!$1:$1048576,MATCH(FinSum!J$2,Model!$1:$1,0),FALSE)/1000</f>
        <v>18.53002879155941</v>
      </c>
      <c r="R50" s="131" t="s">
        <v>892</v>
      </c>
    </row>
    <row r="51" spans="4:19">
      <c r="E51" s="445" t="s">
        <v>2155</v>
      </c>
      <c r="F51" s="463">
        <f>-M16/M15</f>
        <v>0.56037307789261415</v>
      </c>
      <c r="G51" s="463">
        <f>-N16/N15</f>
        <v>0.52447387089146358</v>
      </c>
      <c r="H51" s="463">
        <f>-O16/O15</f>
        <v>0.46587677351851536</v>
      </c>
      <c r="I51" s="463">
        <f>-P16/P15</f>
        <v>0.42604157135535703</v>
      </c>
      <c r="J51" s="463">
        <f>-Q16/Q15</f>
        <v>0.39676330878851773</v>
      </c>
      <c r="L51" s="462" t="s">
        <v>2118</v>
      </c>
      <c r="N51" s="470">
        <f>N50/M50-1</f>
        <v>0.20153990219540097</v>
      </c>
      <c r="O51" s="470">
        <f>O50/N50-1</f>
        <v>0.20885891134417922</v>
      </c>
      <c r="P51" s="470">
        <f>P50/O50-1</f>
        <v>0.14931098957801492</v>
      </c>
      <c r="Q51" s="470">
        <f>Q50/P50-1</f>
        <v>0.15493127815588181</v>
      </c>
    </row>
    <row r="52" spans="4:19">
      <c r="D52" s="131" t="s">
        <v>1052</v>
      </c>
      <c r="E52" s="445" t="s">
        <v>2156</v>
      </c>
      <c r="F52" s="475">
        <f>-M16/VLOOKUP($D52,Model!$1:$1048576,MATCH(FinSum!F$2,Model!$1:$1,0),FALSE)*10000</f>
        <v>167.96373252738951</v>
      </c>
      <c r="G52" s="475">
        <f>-N16/VLOOKUP($D52,Model!$1:$1048576,MATCH(FinSum!G$2,Model!$1:$1,0),FALSE)*10000</f>
        <v>158.66793955891578</v>
      </c>
      <c r="H52" s="475">
        <f>-O16/VLOOKUP($D52,Model!$1:$1048576,MATCH(FinSum!H$2,Model!$1:$1,0),FALSE)*10000</f>
        <v>149.55302806049428</v>
      </c>
      <c r="I52" s="475">
        <f>-P16/VLOOKUP($D52,Model!$1:$1048576,MATCH(FinSum!I$2,Model!$1:$1,0),FALSE)*10000</f>
        <v>140.55347510967701</v>
      </c>
      <c r="J52" s="475">
        <f>-Q16/VLOOKUP($D52,Model!$1:$1048576,MATCH(FinSum!J$2,Model!$1:$1,0),FALSE)*10000</f>
        <v>131.89597510842967</v>
      </c>
      <c r="L52" s="446" t="s">
        <v>2157</v>
      </c>
      <c r="M52" s="469">
        <f>VLOOKUP($R52,Model!$1:$1048576,MATCH(FinSum!F$2,Model!$1:$1,0),FALSE)/1000</f>
        <v>1.5652999999999999</v>
      </c>
      <c r="N52" s="469">
        <f>VLOOKUP($R52,Model!$1:$1048576,MATCH(FinSum!G$2,Model!$1:$1,0),FALSE)/1000</f>
        <v>1.6865999999999999</v>
      </c>
      <c r="O52" s="469">
        <f>VLOOKUP($R52,Model!$1:$1048576,MATCH(FinSum!H$2,Model!$1:$1,0),FALSE)/1000</f>
        <v>1.7987623215140327</v>
      </c>
      <c r="P52" s="469">
        <f>VLOOKUP($R52,Model!$1:$1048576,MATCH(FinSum!I$2,Model!$1:$1,0),FALSE)/1000</f>
        <v>1.9613260362007132</v>
      </c>
      <c r="Q52" s="469">
        <f>VLOOKUP($R52,Model!$1:$1048576,MATCH(FinSum!J$2,Model!$1:$1,0),FALSE)/1000</f>
        <v>2.3084710328173448</v>
      </c>
      <c r="R52" s="131" t="s">
        <v>979</v>
      </c>
    </row>
    <row r="53" spans="4:19">
      <c r="E53" s="445" t="s">
        <v>2158</v>
      </c>
      <c r="F53" s="463"/>
      <c r="G53" s="463">
        <f>(N15/M15-1)-(N16/M16-1)</f>
        <v>6.8294082954505453E-2</v>
      </c>
      <c r="H53" s="463">
        <f>(O15/N15-1)-(O16/N16-1)</f>
        <v>0.13676752333461839</v>
      </c>
      <c r="I53" s="463">
        <f>(P15/O15-1)-(P16/O16-1)</f>
        <v>0.10119675390089267</v>
      </c>
      <c r="J53" s="463">
        <f>(Q15/P15-1)-(Q16/P16-1)</f>
        <v>7.8941764211129639E-2</v>
      </c>
      <c r="L53" s="476" t="s">
        <v>2159</v>
      </c>
      <c r="M53" s="477">
        <f>VLOOKUP($R53,Model!$1:$1048576,MATCH(FinSum!F$2,Model!$1:$1,0),FALSE)/1000</f>
        <v>1.5652999999999999</v>
      </c>
      <c r="N53" s="477">
        <f>VLOOKUP($R53,Model!$1:$1048576,MATCH(FinSum!G$2,Model!$1:$1,0),FALSE)/1000</f>
        <v>1.6865999999999999</v>
      </c>
      <c r="O53" s="477">
        <f>VLOOKUP($R53,Model!$1:$1048576,MATCH(FinSum!H$2,Model!$1:$1,0),FALSE)/1000</f>
        <v>1.7987623215140327</v>
      </c>
      <c r="P53" s="477">
        <f>VLOOKUP($R53,Model!$1:$1048576,MATCH(FinSum!I$2,Model!$1:$1,0),FALSE)/1000</f>
        <v>1.9613260362007132</v>
      </c>
      <c r="Q53" s="477">
        <f>VLOOKUP($R53,Model!$1:$1048576,MATCH(FinSum!J$2,Model!$1:$1,0),FALSE)/1000</f>
        <v>2.3084710328173448</v>
      </c>
      <c r="R53" s="131" t="s">
        <v>1004</v>
      </c>
    </row>
    <row r="54" spans="4:19">
      <c r="E54" s="445" t="s">
        <v>2160</v>
      </c>
      <c r="F54" s="463">
        <f>-M21/M20</f>
        <v>0.32981783317353791</v>
      </c>
      <c r="G54" s="463">
        <f>-N21/N20</f>
        <v>0.31210191082802524</v>
      </c>
      <c r="H54" s="463">
        <f>-O21/O20</f>
        <v>0.306963960269379</v>
      </c>
      <c r="I54" s="463">
        <f>-P21/P20</f>
        <v>0.305006003010103</v>
      </c>
      <c r="J54" s="463">
        <f>-Q21/Q20</f>
        <v>0.3029930057563594</v>
      </c>
      <c r="L54" s="446" t="s">
        <v>725</v>
      </c>
    </row>
    <row r="55" spans="4:19">
      <c r="D55" s="131" t="s">
        <v>2099</v>
      </c>
      <c r="E55" s="445" t="s">
        <v>2161</v>
      </c>
      <c r="F55" s="466">
        <f>M46/M48</f>
        <v>1.3018230432668936</v>
      </c>
      <c r="G55" s="466">
        <f>VLOOKUP($D55,Model!$1:$1048576,MATCH(FinSum!G$2,Model!$1:$1,0),FALSE)</f>
        <v>1.2617722082759737</v>
      </c>
      <c r="H55" s="466">
        <f>VLOOKUP($D55,Model!$1:$1048576,MATCH(FinSum!H$2,Model!$1:$1,0),FALSE)</f>
        <v>1.2111183990451815</v>
      </c>
      <c r="I55" s="466">
        <f>VLOOKUP($D55,Model!$1:$1048576,MATCH(FinSum!I$2,Model!$1:$1,0),FALSE)</f>
        <v>1.1741590290709178</v>
      </c>
      <c r="J55" s="466">
        <f>VLOOKUP($D55,Model!$1:$1048576,MATCH(FinSum!J$2,Model!$1:$1,0),FALSE)</f>
        <v>1.1501173845967376</v>
      </c>
      <c r="L55" s="446" t="s">
        <v>581</v>
      </c>
      <c r="M55" s="469">
        <f>VLOOKUP($R55,Model!$1:$1048576,MATCH(FinSum!F$2,Model!$1:$1,0),FALSE)/1000</f>
        <v>9.6869999999999994</v>
      </c>
      <c r="N55" s="469">
        <f>VLOOKUP($R55,Model!$1:$1048576,MATCH(FinSum!G$2,Model!$1:$1,0),FALSE)/1000</f>
        <v>11.508145205479451</v>
      </c>
      <c r="O55" s="469">
        <f>VLOOKUP($R55,Model!$1:$1048576,MATCH(FinSum!H$2,Model!$1:$1,0),FALSE)/1000</f>
        <v>13.385768104797407</v>
      </c>
      <c r="P55" s="469">
        <f>VLOOKUP($R55,Model!$1:$1048576,MATCH(FinSum!I$2,Model!$1:$1,0),FALSE)/1000</f>
        <v>15.398074094960574</v>
      </c>
      <c r="Q55" s="469">
        <f>VLOOKUP($R55,Model!$1:$1048576,MATCH(FinSum!J$2,Model!$1:$1,0),FALSE)/1000</f>
        <v>17.567439603362981</v>
      </c>
      <c r="R55" s="131" t="s">
        <v>333</v>
      </c>
    </row>
    <row r="56" spans="4:19">
      <c r="E56" s="446" t="s">
        <v>721</v>
      </c>
      <c r="L56" s="462" t="s">
        <v>2118</v>
      </c>
      <c r="N56" s="470">
        <f>N55/M55-1</f>
        <v>0.18799888566939726</v>
      </c>
      <c r="O56" s="470">
        <f>O55/N55-1</f>
        <v>0.1631559965392122</v>
      </c>
      <c r="P56" s="470">
        <f>P55/O55-1</f>
        <v>0.15033175342713156</v>
      </c>
      <c r="Q56" s="470">
        <f>Q55/P55-1</f>
        <v>0.14088550912431241</v>
      </c>
    </row>
    <row r="57" spans="4:19">
      <c r="D57" s="131" t="s">
        <v>998</v>
      </c>
      <c r="E57" s="445" t="s">
        <v>2162</v>
      </c>
      <c r="F57" s="463">
        <f>VLOOKUP($D57,Model!$1:$1048576,MATCH(FinSum!F$2,Model!$1:$1,0),FALSE)</f>
        <v>4.5507812500000022E-2</v>
      </c>
      <c r="G57" s="463">
        <f>VLOOKUP($D57,Model!$1:$1048576,MATCH(FinSum!G$2,Model!$1:$1,0),FALSE)</f>
        <v>5.3079649771260666E-2</v>
      </c>
      <c r="H57" s="463">
        <f>VLOOKUP($D57,Model!$1:$1048576,MATCH(FinSum!H$2,Model!$1:$1,0),FALSE)</f>
        <v>7.6673445890296926E-2</v>
      </c>
      <c r="I57" s="463">
        <f>VLOOKUP($D57,Model!$1:$1048576,MATCH(FinSum!I$2,Model!$1:$1,0),FALSE)</f>
        <v>8.6230333594489547E-2</v>
      </c>
      <c r="J57" s="463">
        <f>VLOOKUP($D57,Model!$1:$1048576,MATCH(FinSum!J$2,Model!$1:$1,0),FALSE)</f>
        <v>9.3230835767189879E-2</v>
      </c>
      <c r="L57" s="446" t="s">
        <v>469</v>
      </c>
      <c r="M57" s="469">
        <f>VLOOKUP($R57,Model!$1:$1048576,MATCH(FinSum!F$2,Model!$1:$1,0),FALSE)/1000</f>
        <v>13.13</v>
      </c>
      <c r="N57" s="469">
        <f>VLOOKUP($R57,Model!$1:$1048576,MATCH(FinSum!G$2,Model!$1:$1,0),FALSE)/1000</f>
        <v>13.918161643835615</v>
      </c>
      <c r="O57" s="469">
        <f>VLOOKUP($R57,Model!$1:$1048576,MATCH(FinSum!H$2,Model!$1:$1,0),FALSE)/1000</f>
        <v>16.064106111372052</v>
      </c>
      <c r="P57" s="469">
        <f>VLOOKUP($R57,Model!$1:$1048576,MATCH(FinSum!I$2,Model!$1:$1,0),FALSE)/1000</f>
        <v>18.491235945503497</v>
      </c>
      <c r="Q57" s="469">
        <f>VLOOKUP($R57,Model!$1:$1048576,MATCH(FinSum!J$2,Model!$1:$1,0),FALSE)/1000</f>
        <v>21.084634811143165</v>
      </c>
      <c r="R57" s="131" t="s">
        <v>920</v>
      </c>
    </row>
    <row r="58" spans="4:19">
      <c r="D58" s="131" t="s">
        <v>999</v>
      </c>
      <c r="E58" s="445" t="s">
        <v>2163</v>
      </c>
      <c r="F58" s="463">
        <f>VLOOKUP($D58,Model!$1:$1048576,MATCH(FinSum!F$2,Model!$1:$1,0),FALSE)</f>
        <v>4.5507812499999988E-2</v>
      </c>
      <c r="G58" s="463">
        <f>VLOOKUP($D58,Model!$1:$1048576,MATCH(FinSum!G$2,Model!$1:$1,0),FALSE)</f>
        <v>5.3079649771260694E-2</v>
      </c>
      <c r="H58" s="463">
        <f>VLOOKUP($D58,Model!$1:$1048576,MATCH(FinSum!H$2,Model!$1:$1,0),FALSE)</f>
        <v>7.6673445890296898E-2</v>
      </c>
      <c r="I58" s="463">
        <f>VLOOKUP($D58,Model!$1:$1048576,MATCH(FinSum!I$2,Model!$1:$1,0),FALSE)</f>
        <v>8.6230333594489603E-2</v>
      </c>
      <c r="J58" s="463">
        <f>VLOOKUP($D58,Model!$1:$1048576,MATCH(FinSum!J$2,Model!$1:$1,0),FALSE)</f>
        <v>9.3230835767189907E-2</v>
      </c>
      <c r="L58" s="462" t="s">
        <v>2118</v>
      </c>
      <c r="N58" s="470">
        <f>N57/M57-1</f>
        <v>6.0027543323352139E-2</v>
      </c>
      <c r="O58" s="470">
        <f>O57/N57-1</f>
        <v>0.15418303957454604</v>
      </c>
      <c r="P58" s="470">
        <f>P57/O57-1</f>
        <v>0.1510902516021877</v>
      </c>
      <c r="Q58" s="470">
        <f>Q57/P57-1</f>
        <v>0.14025016355222597</v>
      </c>
    </row>
    <row r="59" spans="4:19">
      <c r="D59" s="131" t="s">
        <v>888</v>
      </c>
      <c r="E59" s="445" t="s">
        <v>2164</v>
      </c>
      <c r="F59" s="463">
        <f>VLOOKUP($D59,Model!$1:$1048576,MATCH(FinSum!F$2,Model!$1:$1,0),FALSE)</f>
        <v>5.2814506989044187E-3</v>
      </c>
      <c r="G59" s="463">
        <f>VLOOKUP($D59,Model!$1:$1048576,MATCH(FinSum!G$2,Model!$1:$1,0),FALSE)</f>
        <v>6.1807529205997911E-3</v>
      </c>
      <c r="H59" s="463">
        <f>VLOOKUP($D59,Model!$1:$1048576,MATCH(FinSum!H$2,Model!$1:$1,0),FALSE)</f>
        <v>8.2696833000485779E-3</v>
      </c>
      <c r="I59" s="463">
        <f>VLOOKUP($D59,Model!$1:$1048576,MATCH(FinSum!I$2,Model!$1:$1,0),FALSE)</f>
        <v>8.753347875622779E-3</v>
      </c>
      <c r="J59" s="463">
        <f>VLOOKUP($D59,Model!$1:$1048576,MATCH(FinSum!J$2,Model!$1:$1,0),FALSE)</f>
        <v>9.5807171147287117E-3</v>
      </c>
      <c r="L59" s="446" t="s">
        <v>2165</v>
      </c>
      <c r="M59" s="469">
        <f>VLOOKUP($R59,Model!$1:$1048576,MATCH(FinSum!F$2,Model!$1:$1,0),FALSE)/1000</f>
        <v>1.536</v>
      </c>
      <c r="N59" s="469">
        <f>VLOOKUP($R59,Model!$1:$1048576,MATCH(FinSum!G$2,Model!$1:$1,0),FALSE)/1000</f>
        <v>1.6277424657534245</v>
      </c>
      <c r="O59" s="469">
        <f>VLOOKUP($R59,Model!$1:$1048576,MATCH(FinSum!H$2,Model!$1:$1,0),FALSE)/1000</f>
        <v>1.7393547396427844</v>
      </c>
      <c r="P59" s="469">
        <f>VLOOKUP($R59,Model!$1:$1048576,MATCH(FinSum!I$2,Model!$1:$1,0),FALSE)/1000</f>
        <v>1.885226554395109</v>
      </c>
      <c r="Q59" s="469">
        <f>VLOOKUP($R59,Model!$1:$1048576,MATCH(FinSum!J$2,Model!$1:$1,0),FALSE)/1000</f>
        <v>2.1756595662898812</v>
      </c>
      <c r="R59" s="131" t="s">
        <v>944</v>
      </c>
    </row>
    <row r="60" spans="4:19">
      <c r="E60" s="445" t="s">
        <v>2166</v>
      </c>
      <c r="F60" s="471">
        <f>F58/F59</f>
        <v>8.6165364583333339</v>
      </c>
      <c r="G60" s="471">
        <f>G58/G59</f>
        <v>8.5878938137701439</v>
      </c>
      <c r="H60" s="471">
        <f>H58/H59</f>
        <v>9.2716302557616093</v>
      </c>
      <c r="I60" s="471">
        <f>I58/I59</f>
        <v>9.8511260856697671</v>
      </c>
      <c r="J60" s="471">
        <f>J58/J59</f>
        <v>9.7310915927017057</v>
      </c>
      <c r="L60" s="462" t="s">
        <v>2118</v>
      </c>
      <c r="N60" s="408">
        <f>IF(ISERROR(N59/M59-1),"n.a.",N59/M59-1)</f>
        <v>5.9728167808219101E-2</v>
      </c>
      <c r="O60" s="470">
        <f>O59/N59-1</f>
        <v>6.8568754724782854E-2</v>
      </c>
      <c r="P60" s="470">
        <f>P59/O59-1</f>
        <v>8.3865476907995617E-2</v>
      </c>
      <c r="Q60" s="470">
        <f>Q59/P59-1</f>
        <v>0.15405735253286856</v>
      </c>
    </row>
    <row r="61" spans="4:19">
      <c r="D61" s="131" t="s">
        <v>887</v>
      </c>
      <c r="E61" s="445" t="s">
        <v>2167</v>
      </c>
      <c r="F61" s="463">
        <f>VLOOKUP($D61,Model!$1:$1048576,MATCH(FinSum!F$2,Model!$1:$1,0),FALSE)</f>
        <v>7.9922649655422302E-3</v>
      </c>
      <c r="G61" s="463">
        <f>VLOOKUP($D61,Model!$1:$1048576,MATCH(FinSum!G$2,Model!$1:$1,0),FALSE)</f>
        <v>8.1411662112172677E-3</v>
      </c>
      <c r="H61" s="463">
        <f>VLOOKUP($D61,Model!$1:$1048576,MATCH(FinSum!H$2,Model!$1:$1,0),FALSE)</f>
        <v>1.0468878024226878E-2</v>
      </c>
      <c r="I61" s="463">
        <f>VLOOKUP($D61,Model!$1:$1048576,MATCH(FinSum!I$2,Model!$1:$1,0),FALSE)</f>
        <v>1.0852267904408885E-2</v>
      </c>
      <c r="J61" s="463">
        <f>VLOOKUP($D61,Model!$1:$1048576,MATCH(FinSum!J$2,Model!$1:$1,0),FALSE)</f>
        <v>1.1770998528572345E-2</v>
      </c>
    </row>
    <row r="62" spans="4:19">
      <c r="D62" s="131" t="s">
        <v>1000</v>
      </c>
      <c r="E62" s="445" t="s">
        <v>2168</v>
      </c>
      <c r="F62" s="463">
        <f>VLOOKUP($D62,Model!$1:$1048576,MATCH(FinSum!F$2,Model!$1:$1,0),FALSE)</f>
        <v>4.6985279290179455E-2</v>
      </c>
      <c r="G62" s="463">
        <f>VLOOKUP($D62,Model!$1:$1048576,MATCH(FinSum!G$2,Model!$1:$1,0),FALSE)</f>
        <v>5.4682074610444893E-2</v>
      </c>
      <c r="H62" s="463">
        <f>VLOOKUP($D62,Model!$1:$1048576,MATCH(FinSum!H$2,Model!$1:$1,0),FALSE)</f>
        <v>7.8672653531403042E-2</v>
      </c>
      <c r="I62" s="463">
        <f>VLOOKUP($D62,Model!$1:$1048576,MATCH(FinSum!I$2,Model!$1:$1,0),FALSE)</f>
        <v>8.8300581161412248E-2</v>
      </c>
      <c r="J62" s="463">
        <f>VLOOKUP($D62,Model!$1:$1048576,MATCH(FinSum!J$2,Model!$1:$1,0),FALSE)</f>
        <v>9.5164160239341461E-2</v>
      </c>
      <c r="R62" s="445"/>
      <c r="S62" s="445"/>
    </row>
    <row r="63" spans="4:19">
      <c r="D63" s="131" t="s">
        <v>889</v>
      </c>
      <c r="E63" s="445" t="s">
        <v>2169</v>
      </c>
      <c r="F63" s="463">
        <f>VLOOKUP($D63,Model!$1:$1048576,MATCH(FinSum!F$2,Model!$1:$1,0),FALSE)</f>
        <v>5.3007954984946931E-3</v>
      </c>
      <c r="G63" s="463">
        <f>VLOOKUP($D63,Model!$1:$1048576,MATCH(FinSum!G$2,Model!$1:$1,0),FALSE)</f>
        <v>6.2019156595715533E-3</v>
      </c>
      <c r="H63" s="463">
        <f>VLOOKUP($D63,Model!$1:$1048576,MATCH(FinSum!H$2,Model!$1:$1,0),FALSE)</f>
        <v>8.2924111748610904E-3</v>
      </c>
      <c r="I63" s="463">
        <f>VLOOKUP($D63,Model!$1:$1048576,MATCH(FinSum!I$2,Model!$1:$1,0),FALSE)</f>
        <v>8.7742303460392728E-3</v>
      </c>
      <c r="J63" s="463">
        <f>VLOOKUP($D63,Model!$1:$1048576,MATCH(FinSum!J$2,Model!$1:$1,0),FALSE)</f>
        <v>9.6007607002477294E-3</v>
      </c>
      <c r="R63" s="445"/>
      <c r="S63" s="445"/>
    </row>
    <row r="64" spans="4:19">
      <c r="E64" s="446" t="s">
        <v>570</v>
      </c>
      <c r="R64" s="445"/>
      <c r="S64" s="445"/>
    </row>
    <row r="65" spans="4:17">
      <c r="D65" s="131" t="s">
        <v>815</v>
      </c>
      <c r="E65" s="445" t="s">
        <v>2171</v>
      </c>
      <c r="F65" s="474">
        <f>VLOOKUP($D65,Model!$1:$1048576,MATCH(FinSum!F$2,Model!$1:$1,0),FALSE)</f>
        <v>3.5704916401686766E-3</v>
      </c>
      <c r="G65" s="474">
        <f>VLOOKUP($D65,Model!$1:$1048576,MATCH(FinSum!G$2,Model!$1:$1,0),FALSE)</f>
        <v>3.7287612744439625E-3</v>
      </c>
      <c r="H65" s="474">
        <f>VLOOKUP($D65,Model!$1:$1048576,MATCH(FinSum!H$2,Model!$1:$1,0),FALSE)</f>
        <v>5.9611853956945179E-3</v>
      </c>
      <c r="I65" s="474">
        <f>VLOOKUP($D65,Model!$1:$1048576,MATCH(FinSum!I$2,Model!$1:$1,0),FALSE)</f>
        <v>6.8084972659604795E-3</v>
      </c>
      <c r="J65" s="474">
        <f>VLOOKUP($D65,Model!$1:$1048576,MATCH(FinSum!J$2,Model!$1:$1,0),FALSE)</f>
        <v>7.6085873592407899E-3</v>
      </c>
      <c r="L65" s="491" t="s">
        <v>2170</v>
      </c>
      <c r="M65" s="492"/>
      <c r="N65" s="493"/>
      <c r="O65" s="493"/>
      <c r="P65" s="493"/>
      <c r="Q65" s="493"/>
    </row>
    <row r="66" spans="4:17">
      <c r="D66" s="131" t="s">
        <v>816</v>
      </c>
      <c r="E66" s="445" t="s">
        <v>2172</v>
      </c>
      <c r="F66" s="474">
        <f>VLOOKUP($D66,Model!$1:$1048576,MATCH(FinSum!F$2,Model!$1:$1,0),FALSE)</f>
        <v>3.1898420563641994E-3</v>
      </c>
      <c r="G66" s="474">
        <f>VLOOKUP($D66,Model!$1:$1048576,MATCH(FinSum!G$2,Model!$1:$1,0),FALSE)</f>
        <v>3.3628355663755014E-3</v>
      </c>
      <c r="H66" s="474">
        <f>VLOOKUP($D66,Model!$1:$1048576,MATCH(FinSum!H$2,Model!$1:$1,0),FALSE)</f>
        <v>5.4435545287139023E-3</v>
      </c>
      <c r="I66" s="474">
        <f>VLOOKUP($D66,Model!$1:$1048576,MATCH(FinSum!I$2,Model!$1:$1,0),FALSE)</f>
        <v>6.2762263053967298E-3</v>
      </c>
      <c r="J66" s="474">
        <f>VLOOKUP($D66,Model!$1:$1048576,MATCH(FinSum!J$2,Model!$1:$1,0),FALSE)</f>
        <v>7.0587622041212777E-3</v>
      </c>
    </row>
    <row r="67" spans="4:17">
      <c r="D67" s="131" t="s">
        <v>817</v>
      </c>
      <c r="E67" s="445" t="s">
        <v>2173</v>
      </c>
      <c r="F67" s="474">
        <f>VLOOKUP($D67,Model!$1:$1048576,MATCH(FinSum!F$2,Model!$1:$1,0),FALSE)</f>
        <v>8.1000473778583895E-3</v>
      </c>
      <c r="G67" s="474">
        <f>VLOOKUP($D67,Model!$1:$1048576,MATCH(FinSum!G$2,Model!$1:$1,0),FALSE)</f>
        <v>7.2744567498842158E-3</v>
      </c>
      <c r="H67" s="474">
        <f>VLOOKUP($D67,Model!$1:$1048576,MATCH(FinSum!H$2,Model!$1:$1,0),FALSE)</f>
        <v>6.8783758030488279E-3</v>
      </c>
      <c r="I67" s="474">
        <f>VLOOKUP($D67,Model!$1:$1048576,MATCH(FinSum!I$2,Model!$1:$1,0),FALSE)</f>
        <v>8.2956249368099279E-3</v>
      </c>
      <c r="J67" s="474">
        <f>VLOOKUP($D67,Model!$1:$1048576,MATCH(FinSum!J$2,Model!$1:$1,0),FALSE)</f>
        <v>8.1941299748768699E-3</v>
      </c>
      <c r="L67" s="446" t="s">
        <v>2539</v>
      </c>
      <c r="N67" s="478" t="s">
        <v>2605</v>
      </c>
      <c r="O67" s="479"/>
    </row>
    <row r="68" spans="4:17">
      <c r="D68" s="131" t="s">
        <v>818</v>
      </c>
      <c r="E68" s="445" t="s">
        <v>2178</v>
      </c>
      <c r="F68" s="474">
        <f>VLOOKUP($D68,Model!$1:$1048576,MATCH(FinSum!F$2,Model!$1:$1,0),FALSE)</f>
        <v>7.2365025291627949E-3</v>
      </c>
      <c r="G68" s="474">
        <f>VLOOKUP($D68,Model!$1:$1048576,MATCH(FinSum!G$2,Model!$1:$1,0),FALSE)</f>
        <v>6.5605706785878638E-3</v>
      </c>
      <c r="H68" s="474">
        <f>VLOOKUP($D68,Model!$1:$1048576,MATCH(FinSum!H$2,Model!$1:$1,0),FALSE)</f>
        <v>6.2811020405313589E-3</v>
      </c>
      <c r="I68" s="474">
        <f>VLOOKUP($D68,Model!$1:$1048576,MATCH(FinSum!I$2,Model!$1:$1,0),FALSE)</f>
        <v>7.6470941258087845E-3</v>
      </c>
      <c r="J68" s="474">
        <f>VLOOKUP($D68,Model!$1:$1048576,MATCH(FinSum!J$2,Model!$1:$1,0),FALSE)</f>
        <v>7.6019913068448479E-3</v>
      </c>
      <c r="N68" s="480"/>
    </row>
    <row r="69" spans="4:17">
      <c r="D69" s="131" t="s">
        <v>819</v>
      </c>
      <c r="E69" s="445" t="s">
        <v>2179</v>
      </c>
      <c r="F69" s="474">
        <f>VLOOKUP($D69,Model!$1:$1048576,MATCH(FinSum!F$2,Model!$1:$1,0),FALSE)</f>
        <v>1.3585252685699956E-2</v>
      </c>
      <c r="G69" s="474">
        <f>VLOOKUP($D69,Model!$1:$1048576,MATCH(FinSum!G$2,Model!$1:$1,0),FALSE)</f>
        <v>1.6368363340525625E-2</v>
      </c>
      <c r="H69" s="474">
        <f>VLOOKUP($D69,Model!$1:$1048576,MATCH(FinSum!H$2,Model!$1:$1,0),FALSE)</f>
        <v>1.5409306532510573E-2</v>
      </c>
      <c r="I69" s="474">
        <f>VLOOKUP($D69,Model!$1:$1048576,MATCH(FinSum!I$2,Model!$1:$1,0),FALSE)</f>
        <v>1.5695671690981169E-2</v>
      </c>
      <c r="J69" s="474">
        <f>VLOOKUP($D69,Model!$1:$1048576,MATCH(FinSum!J$2,Model!$1:$1,0),FALSE)</f>
        <v>1.6413500398280826E-2</v>
      </c>
      <c r="L69" s="446" t="s">
        <v>2174</v>
      </c>
      <c r="N69" s="479" t="s">
        <v>2175</v>
      </c>
      <c r="O69" s="481" t="s">
        <v>2176</v>
      </c>
      <c r="P69" s="446" t="s">
        <v>2177</v>
      </c>
    </row>
    <row r="70" spans="4:17">
      <c r="D70" s="131" t="s">
        <v>820</v>
      </c>
      <c r="E70" s="445" t="s">
        <v>2180</v>
      </c>
      <c r="F70" s="474">
        <f>VLOOKUP($D70,Model!$1:$1048576,MATCH(FinSum!F$2,Model!$1:$1,0),FALSE)</f>
        <v>2.3124894971712381E-2</v>
      </c>
      <c r="G70" s="474">
        <f>VLOOKUP($D70,Model!$1:$1048576,MATCH(FinSum!G$2,Model!$1:$1,0),FALSE)</f>
        <v>2.4323522097342221E-2</v>
      </c>
      <c r="H70" s="474">
        <f>VLOOKUP($D70,Model!$1:$1048576,MATCH(FinSum!H$2,Model!$1:$1,0),FALSE)</f>
        <v>2.5323522097342219E-2</v>
      </c>
      <c r="I70" s="474">
        <f>VLOOKUP($D70,Model!$1:$1048576,MATCH(FinSum!I$2,Model!$1:$1,0),FALSE)</f>
        <v>2.6323522097342223E-2</v>
      </c>
      <c r="J70" s="474">
        <f>VLOOKUP($D70,Model!$1:$1048576,MATCH(FinSum!J$2,Model!$1:$1,0),FALSE)</f>
        <v>2.732352209734222E-2</v>
      </c>
      <c r="L70" s="445" t="s">
        <v>729</v>
      </c>
      <c r="N70" s="482">
        <f ca="1">Summary!C148</f>
        <v>2.0521184877194809</v>
      </c>
      <c r="O70" s="483">
        <f>Summary!D148</f>
        <v>0.5</v>
      </c>
      <c r="P70" s="445" t="str">
        <f>"FY28E ROTE = "&amp;TEXT(Model!DC786,"0%")</f>
        <v>FY28E ROTE = 10%</v>
      </c>
    </row>
    <row r="71" spans="4:17">
      <c r="D71" s="131" t="s">
        <v>821</v>
      </c>
      <c r="E71" s="445" t="s">
        <v>2181</v>
      </c>
      <c r="F71" s="474">
        <f>VLOOKUP($D71,Model!$1:$1048576,MATCH(FinSum!F$2,Model!$1:$1,0),FALSE)</f>
        <v>2.577255228384143E-2</v>
      </c>
      <c r="G71" s="474">
        <f>VLOOKUP($D71,Model!$1:$1048576,MATCH(FinSum!G$2,Model!$1:$1,0),FALSE)</f>
        <v>2.6255628680290959E-2</v>
      </c>
      <c r="H71" s="474">
        <f>VLOOKUP($D71,Model!$1:$1048576,MATCH(FinSum!H$2,Model!$1:$1,0),FALSE)</f>
        <v>2.6359698265363999E-2</v>
      </c>
      <c r="I71" s="474">
        <f>VLOOKUP($D71,Model!$1:$1048576,MATCH(FinSum!I$2,Model!$1:$1,0),FALSE)</f>
        <v>2.7333859563968037E-2</v>
      </c>
      <c r="J71" s="474">
        <f>VLOOKUP($D71,Model!$1:$1048576,MATCH(FinSum!J$2,Model!$1:$1,0),FALSE)</f>
        <v>2.7979911829267963E-2</v>
      </c>
      <c r="L71" s="445" t="s">
        <v>724</v>
      </c>
      <c r="N71" s="482">
        <f ca="1">Summary!C149</f>
        <v>2.1888164595712323</v>
      </c>
      <c r="O71" s="483">
        <f>Summary!D149</f>
        <v>0</v>
      </c>
      <c r="P71" s="445" t="str">
        <f>TEXT($N$82,"0.0%")&amp;" cost of equity"</f>
        <v>10.7% cost of equity</v>
      </c>
    </row>
    <row r="72" spans="4:17">
      <c r="D72" s="131" t="s">
        <v>822</v>
      </c>
      <c r="E72" s="445" t="s">
        <v>2182</v>
      </c>
      <c r="F72" s="463">
        <f>VLOOKUP($D72,Model!$1:$1048576,MATCH(FinSum!F$2,Model!$1:$1,0),FALSE)</f>
        <v>0.27769230769230768</v>
      </c>
      <c r="G72" s="463">
        <f>VLOOKUP($D72,Model!$1:$1048576,MATCH(FinSum!G$2,Model!$1:$1,0),FALSE)</f>
        <v>0.36628849270664504</v>
      </c>
      <c r="H72" s="463">
        <f>VLOOKUP($D72,Model!$1:$1048576,MATCH(FinSum!H$2,Model!$1:$1,0),FALSE)</f>
        <v>0.34908485877030315</v>
      </c>
      <c r="I72" s="463">
        <f>VLOOKUP($D72,Model!$1:$1048576,MATCH(FinSum!I$2,Model!$1:$1,0),FALSE)</f>
        <v>0.24628632222907623</v>
      </c>
      <c r="J72" s="463">
        <f>VLOOKUP($D72,Model!$1:$1048576,MATCH(FinSum!J$2,Model!$1:$1,0),FALSE)</f>
        <v>0.11281283642615511</v>
      </c>
      <c r="L72" s="445" t="s">
        <v>2514</v>
      </c>
      <c r="N72" s="482">
        <f ca="1">Summary!C150</f>
        <v>2.3169815103464897</v>
      </c>
      <c r="O72" s="483">
        <f>Summary!D150</f>
        <v>0.5</v>
      </c>
      <c r="P72" s="445" t="str">
        <f>TEXT($N$82,"0.0%")&amp;" cost of equity"</f>
        <v>10.7% cost of equity</v>
      </c>
    </row>
    <row r="73" spans="4:17">
      <c r="D73" s="131" t="s">
        <v>823</v>
      </c>
      <c r="E73" s="445" t="s">
        <v>2184</v>
      </c>
      <c r="F73" s="474">
        <f>VLOOKUP($D73,Model!$1:$1048576,MATCH(FinSum!F$2,Model!$1:$1,0),FALSE)</f>
        <v>1.1808719642185345E-2</v>
      </c>
      <c r="G73" s="474">
        <f>VLOOKUP($D73,Model!$1:$1048576,MATCH(FinSum!G$2,Model!$1:$1,0),FALSE)</f>
        <v>1.0434721092285382E-2</v>
      </c>
      <c r="H73" s="474">
        <f>VLOOKUP($D73,Model!$1:$1048576,MATCH(FinSum!H$2,Model!$1:$1,0),FALSE)</f>
        <v>9.3656393451065374E-3</v>
      </c>
      <c r="I73" s="474">
        <f>VLOOKUP($D73,Model!$1:$1048576,MATCH(FinSum!I$2,Model!$1:$1,0),FALSE)</f>
        <v>1.0258413863612273E-2</v>
      </c>
      <c r="J73" s="474">
        <f>VLOOKUP($D73,Model!$1:$1048576,MATCH(FinSum!J$2,Model!$1:$1,0),FALSE)</f>
        <v>1.1020359320088081E-2</v>
      </c>
      <c r="L73" s="445" t="s">
        <v>858</v>
      </c>
      <c r="N73" s="482">
        <f ca="1">Summary!C151</f>
        <v>2.8747645607642207</v>
      </c>
      <c r="O73" s="483">
        <f>Summary!D151</f>
        <v>0</v>
      </c>
      <c r="P73" s="445" t="str">
        <f>Summary!K122</f>
        <v>5 year av. multiple (J4010)</v>
      </c>
    </row>
    <row r="74" spans="4:17">
      <c r="D74" s="131" t="s">
        <v>824</v>
      </c>
      <c r="E74" s="445" t="s">
        <v>2185</v>
      </c>
      <c r="F74" s="474">
        <f>VLOOKUP($D74,Model!$1:$1048576,MATCH(FinSum!F$2,Model!$1:$1,0),FALSE)</f>
        <v>1.293350120178551E-2</v>
      </c>
      <c r="G74" s="474">
        <f>VLOOKUP($D74,Model!$1:$1048576,MATCH(FinSum!G$2,Model!$1:$1,0),FALSE)</f>
        <v>1.1240236235473424E-2</v>
      </c>
      <c r="H74" s="474">
        <f>VLOOKUP($D74,Model!$1:$1048576,MATCH(FinSum!H$2,Model!$1:$1,0),FALSE)</f>
        <v>9.8587493357526826E-3</v>
      </c>
      <c r="I74" s="474">
        <f>VLOOKUP($D74,Model!$1:$1048576,MATCH(FinSum!I$2,Model!$1:$1,0),FALSE)</f>
        <v>1.0870050223745542E-2</v>
      </c>
      <c r="J74" s="474">
        <f>VLOOKUP($D74,Model!$1:$1048576,MATCH(FinSum!J$2,Model!$1:$1,0),FALSE)</f>
        <v>1.1574836283593907E-2</v>
      </c>
      <c r="L74" s="445" t="s">
        <v>728</v>
      </c>
      <c r="N74" s="482">
        <f>Summary!C152</f>
        <v>0</v>
      </c>
      <c r="O74" s="483">
        <f>Summary!D152</f>
        <v>0</v>
      </c>
      <c r="P74" s="445" t="str">
        <f>Summary!K123</f>
        <v>GFC trough multiple (J4010)</v>
      </c>
    </row>
    <row r="75" spans="4:17">
      <c r="D75" s="131" t="s">
        <v>825</v>
      </c>
      <c r="E75" s="445" t="s">
        <v>2187</v>
      </c>
      <c r="F75" s="474">
        <f>VLOOKUP($D75,Model!$1:$1048576,MATCH(FinSum!F$2,Model!$1:$1,0),FALSE)</f>
        <v>1.1757361356778691E-2</v>
      </c>
      <c r="G75" s="474">
        <f>VLOOKUP($D75,Model!$1:$1048576,MATCH(FinSum!G$2,Model!$1:$1,0),FALSE)</f>
        <v>1.021821960512643E-2</v>
      </c>
      <c r="H75" s="474">
        <f>VLOOKUP($D75,Model!$1:$1048576,MATCH(FinSum!H$2,Model!$1:$1,0),FALSE)</f>
        <v>8.9550114929550523E-3</v>
      </c>
      <c r="I75" s="474">
        <f>VLOOKUP($D75,Model!$1:$1048576,MATCH(FinSum!I$2,Model!$1:$1,0),FALSE)</f>
        <v>9.8650252965316616E-3</v>
      </c>
      <c r="J75" s="474">
        <f>VLOOKUP($D75,Model!$1:$1048576,MATCH(FinSum!J$2,Model!$1:$1,0),FALSE)</f>
        <v>1.050955003083036E-2</v>
      </c>
      <c r="L75" s="446" t="s">
        <v>856</v>
      </c>
      <c r="M75" s="446"/>
      <c r="N75" s="484">
        <f ca="1">Summary!C153</f>
        <v>2.1845499990329853</v>
      </c>
      <c r="O75" s="485">
        <f>Summary!D153</f>
        <v>1</v>
      </c>
      <c r="P75" s="446" t="s">
        <v>2183</v>
      </c>
      <c r="Q75" s="446"/>
    </row>
    <row r="76" spans="4:17">
      <c r="D76" s="131" t="s">
        <v>826</v>
      </c>
      <c r="E76" s="445" t="s">
        <v>2188</v>
      </c>
      <c r="F76" s="474">
        <f>VLOOKUP($D76,Model!$1:$1048576,MATCH(FinSum!F$2,Model!$1:$1,0),FALSE)</f>
        <v>1.5581239811060486E-2</v>
      </c>
      <c r="G76" s="474">
        <f>VLOOKUP($D76,Model!$1:$1048576,MATCH(FinSum!G$2,Model!$1:$1,0),FALSE)</f>
        <v>1.6430264228361219E-2</v>
      </c>
      <c r="H76" s="474">
        <f>VLOOKUP($D76,Model!$1:$1048576,MATCH(FinSum!H$2,Model!$1:$1,0),FALSE)</f>
        <v>1.4744794939756301E-2</v>
      </c>
      <c r="I76" s="474">
        <f>VLOOKUP($D76,Model!$1:$1048576,MATCH(FinSum!I$2,Model!$1:$1,0),FALSE)</f>
        <v>1.4124043119299053E-2</v>
      </c>
      <c r="J76" s="474">
        <f>VLOOKUP($D76,Model!$1:$1048576,MATCH(FinSum!J$2,Model!$1:$1,0),FALSE)</f>
        <v>1.2872012855699968E-2</v>
      </c>
      <c r="N76" s="480"/>
    </row>
    <row r="77" spans="4:17">
      <c r="D77" s="131" t="s">
        <v>827</v>
      </c>
      <c r="E77" s="445" t="s">
        <v>2189</v>
      </c>
      <c r="F77" s="474">
        <f>VLOOKUP($D77,Model!$1:$1048576,MATCH(FinSum!F$2,Model!$1:$1,0),FALSE)</f>
        <v>1.7065354240586014E-2</v>
      </c>
      <c r="G77" s="474">
        <f>VLOOKUP($D77,Model!$1:$1048576,MATCH(FinSum!G$2,Model!$1:$1,0),FALSE)</f>
        <v>1.7698609258906459E-2</v>
      </c>
      <c r="H77" s="474">
        <f>VLOOKUP($D77,Model!$1:$1048576,MATCH(FinSum!H$2,Model!$1:$1,0),FALSE)</f>
        <v>1.5521122687057558E-2</v>
      </c>
      <c r="I77" s="474">
        <f>VLOOKUP($D77,Model!$1:$1048576,MATCH(FinSum!I$2,Model!$1:$1,0),FALSE)</f>
        <v>1.4966159497006927E-2</v>
      </c>
      <c r="J77" s="474">
        <f>VLOOKUP($D77,Model!$1:$1048576,MATCH(FinSum!J$2,Model!$1:$1,0),FALSE)</f>
        <v>1.3519653680752433E-2</v>
      </c>
      <c r="L77" s="446" t="s">
        <v>2186</v>
      </c>
      <c r="N77" s="480"/>
    </row>
    <row r="78" spans="4:17">
      <c r="D78" s="131" t="s">
        <v>828</v>
      </c>
      <c r="E78" s="445" t="s">
        <v>2191</v>
      </c>
      <c r="F78" s="474">
        <f>VLOOKUP($D78,Model!$1:$1048576,MATCH(FinSum!F$2,Model!$1:$1,0),FALSE)</f>
        <v>1.551347414420976E-2</v>
      </c>
      <c r="G78" s="474">
        <f>VLOOKUP($D78,Model!$1:$1048576,MATCH(FinSum!G$2,Model!$1:$1,0),FALSE)</f>
        <v>1.6089366124004158E-2</v>
      </c>
      <c r="H78" s="474">
        <f>VLOOKUP($D78,Model!$1:$1048576,MATCH(FinSum!H$2,Model!$1:$1,0),FALSE)</f>
        <v>1.4098322952802235E-2</v>
      </c>
      <c r="I78" s="474">
        <f>VLOOKUP($D78,Model!$1:$1048576,MATCH(FinSum!I$2,Model!$1:$1,0),FALSE)</f>
        <v>1.3582415811417236E-2</v>
      </c>
      <c r="J78" s="474">
        <f>VLOOKUP($D78,Model!$1:$1048576,MATCH(FinSum!J$2,Model!$1:$1,0),FALSE)</f>
        <v>1.2275376798094198E-2</v>
      </c>
      <c r="L78" s="445" t="s">
        <v>205</v>
      </c>
      <c r="N78" s="486">
        <f>Summary!G4</f>
        <v>2.5000000000000001E-2</v>
      </c>
      <c r="O78" s="445" t="s">
        <v>659</v>
      </c>
      <c r="Q78" s="487">
        <f ca="1">SUMPRODUCT(Summary!$C$132:$G$132,Summary!$C$143:$G$143)</f>
        <v>2057.0576911494823</v>
      </c>
    </row>
    <row r="79" spans="4:17">
      <c r="E79" s="446" t="s">
        <v>620</v>
      </c>
      <c r="F79" s="474"/>
      <c r="G79" s="474"/>
      <c r="H79" s="474"/>
      <c r="I79" s="474"/>
      <c r="J79" s="474"/>
      <c r="L79" s="445" t="s">
        <v>129</v>
      </c>
      <c r="N79" s="486">
        <f>Summary!G5</f>
        <v>3.5000000000000003E-2</v>
      </c>
      <c r="O79" s="445" t="s">
        <v>661</v>
      </c>
      <c r="Q79" s="488">
        <f ca="1">SUMPRODUCT(Summary!$C$137:$G$137,Summary!$C$143:$G$143)</f>
        <v>396.7403998790445</v>
      </c>
    </row>
    <row r="80" spans="4:17">
      <c r="D80" s="131" t="s">
        <v>954</v>
      </c>
      <c r="E80" s="445" t="s">
        <v>2194</v>
      </c>
      <c r="F80" s="474">
        <f>VLOOKUP($D80,Model!$1:$1048576,MATCH(FinSum!F$2,Model!$1:$1,0),FALSE)</f>
        <v>0.14681094579128082</v>
      </c>
      <c r="G80" s="474">
        <f>VLOOKUP($D80,Model!$1:$1048576,MATCH(FinSum!G$2,Model!$1:$1,0),FALSE)</f>
        <v>0.13136473848285418</v>
      </c>
      <c r="H80" s="474">
        <f>VLOOKUP($D80,Model!$1:$1048576,MATCH(FinSum!H$2,Model!$1:$1,0),FALSE)</f>
        <v>0.11998238469217315</v>
      </c>
      <c r="I80" s="474">
        <f>VLOOKUP($D80,Model!$1:$1048576,MATCH(FinSum!I$2,Model!$1:$1,0),FALSE)</f>
        <v>0.11475267122743221</v>
      </c>
      <c r="J80" s="474">
        <f>VLOOKUP($D80,Model!$1:$1048576,MATCH(FinSum!J$2,Model!$1:$1,0),FALSE)</f>
        <v>0.11820594512136259</v>
      </c>
      <c r="L80" s="445" t="s">
        <v>2190</v>
      </c>
      <c r="N80" s="486">
        <f>Summary!G6</f>
        <v>0.06</v>
      </c>
      <c r="O80" s="445" t="s">
        <v>547</v>
      </c>
      <c r="Q80" s="487">
        <f ca="1">SUMPRODUCT(Summary!$C$140:$G$140,Summary!$C$143:$G$143)</f>
        <v>2453.7980910285269</v>
      </c>
    </row>
    <row r="81" spans="4:17">
      <c r="D81" s="131" t="s">
        <v>955</v>
      </c>
      <c r="E81" s="445" t="s">
        <v>544</v>
      </c>
      <c r="F81" s="474">
        <f>VLOOKUP($D81,Model!$1:$1048576,MATCH(FinSum!F$2,Model!$1:$1,0),FALSE)</f>
        <v>0.15461450421392156</v>
      </c>
      <c r="G81" s="474">
        <f>VLOOKUP($D81,Model!$1:$1048576,MATCH(FinSum!G$2,Model!$1:$1,0),FALSE)</f>
        <v>0.13785936958780742</v>
      </c>
      <c r="H81" s="474">
        <f>VLOOKUP($D81,Model!$1:$1048576,MATCH(FinSum!H$2,Model!$1:$1,0),FALSE)</f>
        <v>0.12535491497176682</v>
      </c>
      <c r="I81" s="474">
        <f>VLOOKUP($D81,Model!$1:$1048576,MATCH(FinSum!I$2,Model!$1:$1,0),FALSE)</f>
        <v>0.11942723740517865</v>
      </c>
      <c r="J81" s="474">
        <f>VLOOKUP($D81,Model!$1:$1048576,MATCH(FinSum!J$2,Model!$1:$1,0),FALSE)</f>
        <v>0.12225342938831435</v>
      </c>
      <c r="L81" s="445" t="s">
        <v>2192</v>
      </c>
      <c r="N81" s="489">
        <f>Summary!G7</f>
        <v>1.2</v>
      </c>
      <c r="O81" s="445" t="s">
        <v>2193</v>
      </c>
      <c r="Q81" s="488">
        <f ca="1">SUMPRODUCT(Summary!$C$128:$G$128,Summary!$C$143:$G$143)</f>
        <v>1121.061604</v>
      </c>
    </row>
    <row r="82" spans="4:17">
      <c r="D82" s="131" t="s">
        <v>956</v>
      </c>
      <c r="E82" s="445" t="s">
        <v>652</v>
      </c>
      <c r="F82" s="474">
        <f>VLOOKUP($D82,Model!$1:$1048576,MATCH(FinSum!F$2,Model!$1:$1,0),FALSE)</f>
        <v>0.17500780355842263</v>
      </c>
      <c r="G82" s="474">
        <f>VLOOKUP($D82,Model!$1:$1048576,MATCH(FinSum!G$2,Model!$1:$1,0),FALSE)</f>
        <v>0.16548320055420851</v>
      </c>
      <c r="H82" s="474">
        <f>VLOOKUP($D82,Model!$1:$1048576,MATCH(FinSum!H$2,Model!$1:$1,0),FALSE)</f>
        <v>0.15959208051114987</v>
      </c>
      <c r="I82" s="474">
        <f>VLOOKUP($D82,Model!$1:$1048576,MATCH(FinSum!I$2,Model!$1:$1,0),FALSE)</f>
        <v>0.15067520033104012</v>
      </c>
      <c r="J82" s="474">
        <f>VLOOKUP($D82,Model!$1:$1048576,MATCH(FinSum!J$2,Model!$1:$1,0),FALSE)</f>
        <v>0.15069400086448492</v>
      </c>
      <c r="L82" s="445" t="s">
        <v>233</v>
      </c>
      <c r="N82" s="486">
        <f>Summary!G8</f>
        <v>0.107</v>
      </c>
      <c r="O82" s="445" t="s">
        <v>548</v>
      </c>
      <c r="Q82" s="490">
        <f ca="1">SUMPRODUCT(Summary!$D$141:$G$141,Summary!$D$143:$G$143)</f>
        <v>2.1888164595712323</v>
      </c>
    </row>
    <row r="84" spans="4:17">
      <c r="E84" s="494" t="s">
        <v>2532</v>
      </c>
    </row>
  </sheetData>
  <printOptions horizontalCentered="1" verticalCentered="1"/>
  <pageMargins left="0.7" right="0.7" top="0.75" bottom="0.75" header="0.3" footer="0.3"/>
  <pageSetup paperSize="9" scale="19" orientation="landscape" horizontalDpi="200" verticalDpi="200" r:id="rId1"/>
  <customProperties>
    <customPr name="Qube.Worksheet.Visibility" r:id="rId2"/>
    <customPr name="SHEET_UNIQUE_ID" r:id="rId3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AE59"/>
  <sheetViews>
    <sheetView showGridLines="0" zoomScale="85" zoomScaleNormal="85" workbookViewId="0">
      <pane xSplit="3" ySplit="4" topLeftCell="P5" activePane="bottomRight" state="frozen"/>
      <selection activeCell="T14" sqref="T14"/>
      <selection pane="topRight" activeCell="T14" sqref="T14"/>
      <selection pane="bottomLeft" activeCell="T14" sqref="T14"/>
      <selection pane="bottomRight" activeCell="AD58" sqref="AD58:AD59"/>
    </sheetView>
  </sheetViews>
  <sheetFormatPr defaultColWidth="9" defaultRowHeight="12.75" outlineLevelCol="1"/>
  <cols>
    <col min="1" max="2" width="9" style="298" customWidth="1" outlineLevel="1"/>
    <col min="3" max="3" width="34.25" style="300" customWidth="1"/>
    <col min="4" max="12" width="9.25" style="300" hidden="1" customWidth="1" outlineLevel="1"/>
    <col min="13" max="13" width="9" style="300" hidden="1" customWidth="1" outlineLevel="1"/>
    <col min="14" max="14" width="9.375" style="300" hidden="1" customWidth="1" outlineLevel="1"/>
    <col min="15" max="15" width="9" style="300" hidden="1" customWidth="1" outlineLevel="1"/>
    <col min="16" max="16" width="7.875" style="300" customWidth="1" collapsed="1"/>
    <col min="17" max="19" width="9" style="301" customWidth="1"/>
    <col min="20" max="22" width="7.875" style="301" customWidth="1"/>
    <col min="23" max="27" width="7.875" style="301" customWidth="1" outlineLevel="1"/>
    <col min="28" max="28" width="11.625" style="302" customWidth="1"/>
    <col min="29" max="30" width="13.75" style="298" customWidth="1"/>
    <col min="31" max="31" width="46.25" style="298" customWidth="1"/>
    <col min="32" max="16384" width="9" style="298"/>
  </cols>
  <sheetData>
    <row r="1" spans="1:31">
      <c r="C1" s="299" t="s">
        <v>2463</v>
      </c>
    </row>
    <row r="2" spans="1:31">
      <c r="C2" s="300" t="s">
        <v>1128</v>
      </c>
      <c r="P2" s="303" t="s">
        <v>2598</v>
      </c>
      <c r="R2" s="304" t="s">
        <v>235</v>
      </c>
      <c r="S2" s="305">
        <f ca="1">Summary!$C$10</f>
        <v>46203</v>
      </c>
    </row>
    <row r="3" spans="1:31">
      <c r="C3" s="300" t="s">
        <v>2464</v>
      </c>
      <c r="O3" s="298"/>
      <c r="P3" s="306">
        <v>2012</v>
      </c>
      <c r="Q3" s="298"/>
      <c r="R3" s="304" t="s">
        <v>2105</v>
      </c>
      <c r="S3" s="305">
        <f ca="1">S2</f>
        <v>46203</v>
      </c>
    </row>
    <row r="4" spans="1:31" s="307" customFormat="1" ht="25.5">
      <c r="C4" s="308" t="s">
        <v>2465</v>
      </c>
      <c r="D4" s="308">
        <f t="shared" ref="D4:S4" si="0">+E4-1</f>
        <v>2012</v>
      </c>
      <c r="E4" s="308">
        <f t="shared" si="0"/>
        <v>2013</v>
      </c>
      <c r="F4" s="308">
        <f t="shared" si="0"/>
        <v>2014</v>
      </c>
      <c r="G4" s="308">
        <f t="shared" si="0"/>
        <v>2015</v>
      </c>
      <c r="H4" s="308">
        <f t="shared" si="0"/>
        <v>2016</v>
      </c>
      <c r="I4" s="308">
        <f t="shared" si="0"/>
        <v>2017</v>
      </c>
      <c r="J4" s="308">
        <f t="shared" si="0"/>
        <v>2018</v>
      </c>
      <c r="K4" s="308">
        <f t="shared" si="0"/>
        <v>2019</v>
      </c>
      <c r="L4" s="308">
        <f t="shared" si="0"/>
        <v>2020</v>
      </c>
      <c r="M4" s="308">
        <f t="shared" si="0"/>
        <v>2021</v>
      </c>
      <c r="N4" s="308">
        <f t="shared" si="0"/>
        <v>2022</v>
      </c>
      <c r="O4" s="308">
        <f t="shared" si="0"/>
        <v>2023</v>
      </c>
      <c r="P4" s="309">
        <f t="shared" si="0"/>
        <v>2024</v>
      </c>
      <c r="Q4" s="309">
        <f t="shared" si="0"/>
        <v>2025</v>
      </c>
      <c r="R4" s="309">
        <f t="shared" si="0"/>
        <v>2026</v>
      </c>
      <c r="S4" s="309">
        <f t="shared" si="0"/>
        <v>2027</v>
      </c>
      <c r="T4" s="309">
        <f>+U4-1</f>
        <v>2028</v>
      </c>
      <c r="U4" s="309">
        <f>MID(Summary!$G$3,3,2)+2000-5</f>
        <v>2029</v>
      </c>
      <c r="V4" s="309">
        <f t="shared" ref="V4:AA4" si="1">+U4+1</f>
        <v>2030</v>
      </c>
      <c r="W4" s="309">
        <f t="shared" si="1"/>
        <v>2031</v>
      </c>
      <c r="X4" s="309">
        <f t="shared" si="1"/>
        <v>2032</v>
      </c>
      <c r="Y4" s="309">
        <f t="shared" si="1"/>
        <v>2033</v>
      </c>
      <c r="Z4" s="309">
        <f t="shared" si="1"/>
        <v>2034</v>
      </c>
      <c r="AA4" s="309">
        <f t="shared" si="1"/>
        <v>2035</v>
      </c>
      <c r="AB4" s="310" t="s">
        <v>2466</v>
      </c>
      <c r="AC4" s="311" t="str">
        <f>"CAGR FY"&amp;D4&amp;"-FY"&amp;P4&amp;"/Avg"</f>
        <v>CAGR FY2012-FY2024/Avg</v>
      </c>
      <c r="AD4" s="311" t="str">
        <f>"CAGR FY"&amp;Q4&amp;"-FY"&amp;AA4&amp;"/Avg"</f>
        <v>CAGR FY2025-FY2035/Avg</v>
      </c>
    </row>
    <row r="5" spans="1:31">
      <c r="C5" s="312"/>
      <c r="D5" s="299"/>
      <c r="E5" s="299"/>
      <c r="F5" s="299"/>
      <c r="G5" s="299"/>
      <c r="H5" s="299"/>
      <c r="I5" s="299"/>
      <c r="J5" s="299"/>
      <c r="K5" s="299"/>
      <c r="L5" s="313"/>
      <c r="M5" s="313"/>
      <c r="N5" s="313"/>
      <c r="O5" s="313"/>
      <c r="P5" s="313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5"/>
    </row>
    <row r="6" spans="1:31">
      <c r="C6" s="316" t="s">
        <v>2465</v>
      </c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7">
        <f ca="1">MAX(0,(EOMONTH((DATE(P4,MONTH($S$2),15)),0)-$S$3)/365)</f>
        <v>0</v>
      </c>
      <c r="Q6" s="317">
        <f ca="1">MAX(0,(EOMONTH((DATE(Q4,MONTH($S$2),15)),0)-$S$3)/365)</f>
        <v>0</v>
      </c>
      <c r="R6" s="317">
        <f ca="1">MAX(0,(EOMONTH((DATE(R4,MONTH($S$2),15)),0)-$S$3)/365)</f>
        <v>0</v>
      </c>
      <c r="S6" s="317">
        <f t="shared" ref="S6:AA6" ca="1" si="2">MAX(0,(EOMONTH((DATE(S4,MONTH($S$2),15)),0)-$S$3)/365)</f>
        <v>1</v>
      </c>
      <c r="T6" s="317">
        <f t="shared" ca="1" si="2"/>
        <v>2.0027397260273974</v>
      </c>
      <c r="U6" s="317">
        <f t="shared" ca="1" si="2"/>
        <v>3.0027397260273974</v>
      </c>
      <c r="V6" s="317">
        <f t="shared" ca="1" si="2"/>
        <v>4.0027397260273974</v>
      </c>
      <c r="W6" s="317">
        <f t="shared" ca="1" si="2"/>
        <v>5.0027397260273974</v>
      </c>
      <c r="X6" s="317">
        <f t="shared" ca="1" si="2"/>
        <v>6.0054794520547947</v>
      </c>
      <c r="Y6" s="317">
        <f t="shared" ca="1" si="2"/>
        <v>7.0054794520547947</v>
      </c>
      <c r="Z6" s="317">
        <f t="shared" ca="1" si="2"/>
        <v>8.0054794520547947</v>
      </c>
      <c r="AA6" s="317">
        <f t="shared" ca="1" si="2"/>
        <v>9.0054794520547947</v>
      </c>
      <c r="AB6" s="318">
        <f ca="1">AA6</f>
        <v>9.0054794520547947</v>
      </c>
      <c r="AC6" s="319"/>
      <c r="AD6" s="319"/>
    </row>
    <row r="7" spans="1:31">
      <c r="A7" s="298" t="s">
        <v>1121</v>
      </c>
      <c r="C7" s="320" t="s">
        <v>2467</v>
      </c>
      <c r="D7" s="321"/>
      <c r="E7" s="321"/>
      <c r="F7" s="322"/>
      <c r="G7" s="322"/>
      <c r="H7" s="322"/>
      <c r="I7" s="322"/>
      <c r="J7" s="322"/>
      <c r="K7" s="322"/>
      <c r="L7" s="322"/>
      <c r="M7" s="322"/>
      <c r="N7" s="321"/>
      <c r="O7" s="321"/>
      <c r="P7" s="323">
        <f>VLOOKUP($A7,Summary!$A$2:$G$7,7,FALSE)*100</f>
        <v>3.5000000000000004</v>
      </c>
      <c r="Q7" s="321">
        <f t="shared" ref="Q7:AA9" si="3">+P7</f>
        <v>3.5000000000000004</v>
      </c>
      <c r="R7" s="321">
        <f t="shared" si="3"/>
        <v>3.5000000000000004</v>
      </c>
      <c r="S7" s="321">
        <f t="shared" si="3"/>
        <v>3.5000000000000004</v>
      </c>
      <c r="T7" s="321">
        <f t="shared" si="3"/>
        <v>3.5000000000000004</v>
      </c>
      <c r="U7" s="321">
        <f t="shared" si="3"/>
        <v>3.5000000000000004</v>
      </c>
      <c r="V7" s="321">
        <f t="shared" si="3"/>
        <v>3.5000000000000004</v>
      </c>
      <c r="W7" s="321">
        <f t="shared" si="3"/>
        <v>3.5000000000000004</v>
      </c>
      <c r="X7" s="321">
        <f t="shared" si="3"/>
        <v>3.5000000000000004</v>
      </c>
      <c r="Y7" s="321">
        <f t="shared" si="3"/>
        <v>3.5000000000000004</v>
      </c>
      <c r="Z7" s="321">
        <f t="shared" si="3"/>
        <v>3.5000000000000004</v>
      </c>
      <c r="AA7" s="321">
        <f t="shared" si="3"/>
        <v>3.5000000000000004</v>
      </c>
      <c r="AB7" s="324"/>
      <c r="AC7" s="325"/>
      <c r="AD7" s="325"/>
    </row>
    <row r="8" spans="1:31">
      <c r="A8" s="298" t="s">
        <v>1123</v>
      </c>
      <c r="C8" s="320" t="s">
        <v>2468</v>
      </c>
      <c r="D8" s="321"/>
      <c r="E8" s="321"/>
      <c r="F8" s="322"/>
      <c r="G8" s="322"/>
      <c r="H8" s="322"/>
      <c r="I8" s="322"/>
      <c r="J8" s="322"/>
      <c r="K8" s="322"/>
      <c r="L8" s="322"/>
      <c r="M8" s="322"/>
      <c r="N8" s="321"/>
      <c r="O8" s="321"/>
      <c r="P8" s="323">
        <f>VLOOKUP($A8,Summary!$A$2:$G$7,7,FALSE)</f>
        <v>1.2</v>
      </c>
      <c r="Q8" s="321">
        <f t="shared" si="3"/>
        <v>1.2</v>
      </c>
      <c r="R8" s="321">
        <f t="shared" si="3"/>
        <v>1.2</v>
      </c>
      <c r="S8" s="321">
        <f t="shared" si="3"/>
        <v>1.2</v>
      </c>
      <c r="T8" s="321">
        <f t="shared" si="3"/>
        <v>1.2</v>
      </c>
      <c r="U8" s="321">
        <f t="shared" si="3"/>
        <v>1.2</v>
      </c>
      <c r="V8" s="321">
        <f t="shared" si="3"/>
        <v>1.2</v>
      </c>
      <c r="W8" s="321">
        <f t="shared" si="3"/>
        <v>1.2</v>
      </c>
      <c r="X8" s="321">
        <f t="shared" si="3"/>
        <v>1.2</v>
      </c>
      <c r="Y8" s="321">
        <f t="shared" si="3"/>
        <v>1.2</v>
      </c>
      <c r="Z8" s="321">
        <f t="shared" si="3"/>
        <v>1.2</v>
      </c>
      <c r="AA8" s="321">
        <f t="shared" si="3"/>
        <v>1.2</v>
      </c>
      <c r="AB8" s="324"/>
      <c r="AC8" s="325"/>
      <c r="AD8" s="325"/>
      <c r="AE8" s="298" t="s">
        <v>2469</v>
      </c>
    </row>
    <row r="9" spans="1:31">
      <c r="A9" s="298" t="s">
        <v>1122</v>
      </c>
      <c r="C9" s="320" t="s">
        <v>2470</v>
      </c>
      <c r="D9" s="321"/>
      <c r="E9" s="321"/>
      <c r="F9" s="322"/>
      <c r="G9" s="322"/>
      <c r="H9" s="322"/>
      <c r="I9" s="322"/>
      <c r="J9" s="322"/>
      <c r="K9" s="322"/>
      <c r="L9" s="322"/>
      <c r="M9" s="322"/>
      <c r="N9" s="321"/>
      <c r="O9" s="321"/>
      <c r="P9" s="323">
        <f>VLOOKUP($A9,Summary!$A$2:$G$7,7,FALSE)*100</f>
        <v>6</v>
      </c>
      <c r="Q9" s="321">
        <f t="shared" si="3"/>
        <v>6</v>
      </c>
      <c r="R9" s="321">
        <f t="shared" si="3"/>
        <v>6</v>
      </c>
      <c r="S9" s="321">
        <f t="shared" si="3"/>
        <v>6</v>
      </c>
      <c r="T9" s="321">
        <f t="shared" si="3"/>
        <v>6</v>
      </c>
      <c r="U9" s="321">
        <f t="shared" si="3"/>
        <v>6</v>
      </c>
      <c r="V9" s="321">
        <f t="shared" si="3"/>
        <v>6</v>
      </c>
      <c r="W9" s="321">
        <f t="shared" si="3"/>
        <v>6</v>
      </c>
      <c r="X9" s="321">
        <f t="shared" si="3"/>
        <v>6</v>
      </c>
      <c r="Y9" s="321">
        <f t="shared" si="3"/>
        <v>6</v>
      </c>
      <c r="Z9" s="321">
        <f t="shared" si="3"/>
        <v>6</v>
      </c>
      <c r="AA9" s="321">
        <f t="shared" si="3"/>
        <v>6</v>
      </c>
      <c r="AB9" s="324"/>
      <c r="AC9" s="325"/>
      <c r="AD9" s="325"/>
    </row>
    <row r="10" spans="1:31">
      <c r="C10" s="316" t="s">
        <v>2471</v>
      </c>
      <c r="D10" s="326"/>
      <c r="E10" s="326"/>
      <c r="F10" s="327"/>
      <c r="G10" s="327"/>
      <c r="H10" s="327"/>
      <c r="I10" s="327"/>
      <c r="J10" s="327"/>
      <c r="K10" s="327"/>
      <c r="L10" s="327"/>
      <c r="M10" s="327"/>
      <c r="N10" s="328"/>
      <c r="O10" s="328"/>
      <c r="P10" s="328">
        <f t="shared" ref="P10:AA10" si="4">+P7+P9*P8</f>
        <v>10.7</v>
      </c>
      <c r="Q10" s="328">
        <f t="shared" si="4"/>
        <v>10.7</v>
      </c>
      <c r="R10" s="328">
        <f t="shared" si="4"/>
        <v>10.7</v>
      </c>
      <c r="S10" s="328">
        <f t="shared" si="4"/>
        <v>10.7</v>
      </c>
      <c r="T10" s="328">
        <f t="shared" si="4"/>
        <v>10.7</v>
      </c>
      <c r="U10" s="328">
        <f t="shared" si="4"/>
        <v>10.7</v>
      </c>
      <c r="V10" s="328">
        <f t="shared" si="4"/>
        <v>10.7</v>
      </c>
      <c r="W10" s="328">
        <f t="shared" si="4"/>
        <v>10.7</v>
      </c>
      <c r="X10" s="328">
        <f t="shared" si="4"/>
        <v>10.7</v>
      </c>
      <c r="Y10" s="328">
        <f t="shared" si="4"/>
        <v>10.7</v>
      </c>
      <c r="Z10" s="328">
        <f t="shared" si="4"/>
        <v>10.7</v>
      </c>
      <c r="AA10" s="328">
        <f t="shared" si="4"/>
        <v>10.7</v>
      </c>
      <c r="AB10" s="329">
        <f>AA10</f>
        <v>10.7</v>
      </c>
      <c r="AC10" s="325"/>
      <c r="AD10" s="325"/>
    </row>
    <row r="11" spans="1:31"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30"/>
      <c r="P11" s="330"/>
      <c r="Q11" s="331"/>
      <c r="R11" s="331"/>
      <c r="S11" s="331"/>
      <c r="T11" s="331"/>
      <c r="U11" s="331"/>
      <c r="V11" s="331"/>
      <c r="W11" s="331"/>
      <c r="X11" s="331"/>
      <c r="Y11" s="331"/>
      <c r="Z11" s="331"/>
      <c r="AA11" s="331"/>
      <c r="AB11" s="332"/>
      <c r="AC11" s="332"/>
      <c r="AD11" s="332"/>
    </row>
    <row r="12" spans="1:31"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30"/>
      <c r="P12" s="330"/>
      <c r="Q12" s="331"/>
      <c r="R12" s="331"/>
      <c r="S12" s="331"/>
      <c r="T12" s="331"/>
      <c r="U12" s="331"/>
      <c r="V12" s="331"/>
      <c r="W12" s="331"/>
      <c r="X12" s="331"/>
      <c r="Y12" s="331"/>
      <c r="Z12" s="331"/>
      <c r="AA12" s="331"/>
      <c r="AB12" s="332"/>
      <c r="AC12" s="332"/>
      <c r="AD12" s="332"/>
    </row>
    <row r="13" spans="1:31">
      <c r="A13" s="298" t="s">
        <v>757</v>
      </c>
      <c r="C13" s="333" t="s">
        <v>2472</v>
      </c>
      <c r="D13" s="334">
        <f>VLOOKUP($A13,Model!$1:$1048576,MATCH("fy"&amp;RIGHT(D$4,2)&amp;"a",Model!$1:$1,0),FALSE)/1000</f>
        <v>0</v>
      </c>
      <c r="E13" s="334">
        <f>VLOOKUP($A13,Model!$1:$1048576,MATCH("fy"&amp;RIGHT(E$4,2)&amp;"a",Model!$1:$1,0),FALSE)/1000</f>
        <v>0</v>
      </c>
      <c r="F13" s="334">
        <f>VLOOKUP($A13,Model!$1:$1048576,MATCH("fy"&amp;RIGHT(F$4,2)&amp;"a",Model!$1:$1,0),FALSE)/1000</f>
        <v>0</v>
      </c>
      <c r="G13" s="334">
        <f>VLOOKUP($A13,Model!$1:$1048576,MATCH("fy"&amp;RIGHT(G$4,2)&amp;"a",Model!$1:$1,0),FALSE)/1000</f>
        <v>0</v>
      </c>
      <c r="H13" s="334">
        <f>VLOOKUP($A13,Model!$1:$1048576,MATCH("fy"&amp;RIGHT(H$4,2)&amp;"a",Model!$1:$1,0),FALSE)/1000</f>
        <v>0</v>
      </c>
      <c r="I13" s="334">
        <f>VLOOKUP($A13,Model!$1:$1048576,MATCH("fy"&amp;RIGHT(I$4,2)&amp;"a",Model!$1:$1,0),FALSE)/1000</f>
        <v>0</v>
      </c>
      <c r="J13" s="334">
        <f>VLOOKUP($A13,Model!$1:$1048576,MATCH("fy"&amp;RIGHT(J$4,2)&amp;"a",Model!$1:$1,0),FALSE)/1000</f>
        <v>0</v>
      </c>
      <c r="K13" s="334">
        <f>VLOOKUP($A13,Model!$1:$1048576,MATCH("fy"&amp;RIGHT(K$4,2)&amp;"a",Model!$1:$1,0),FALSE)/1000</f>
        <v>0</v>
      </c>
      <c r="L13" s="334">
        <f>VLOOKUP($A13,Model!$1:$1048576,MATCH("fy"&amp;RIGHT(L$4,2)&amp;"a",Model!$1:$1,0),FALSE)/1000</f>
        <v>0</v>
      </c>
      <c r="M13" s="334">
        <f>VLOOKUP($A13,Model!$1:$1048576,MATCH("fy"&amp;RIGHT(M$4,2)&amp;"a",Model!$1:$1,0),FALSE)/1000</f>
        <v>7.1760000000000002</v>
      </c>
      <c r="N13" s="334">
        <f>VLOOKUP($A13,Model!$1:$1048576,MATCH("fy"&amp;RIGHT(N$4,2)&amp;"a",Model!$1:$1,0),FALSE)/1000</f>
        <v>9.4146000000000001</v>
      </c>
      <c r="O13" s="334">
        <f>VLOOKUP($A13,Model!$1:$1048576,MATCH("fy"&amp;RIGHT(O$4,2)&amp;"a",Model!$1:$1,0),FALSE)/1000</f>
        <v>12.1517</v>
      </c>
      <c r="P13" s="334">
        <f>VLOOKUP($A13,Model!$1:$1048576,MATCH("fy"&amp;RIGHT(P$4,2)&amp;"a",Model!$1:$1,0),FALSE)/1000</f>
        <v>13.1966</v>
      </c>
      <c r="Q13" s="334">
        <f>VLOOKUP($A13,Model!$1:$1048576,MATCH("fy"&amp;RIGHT(Q$4,2)&amp;"A",Model!$1:$1,0),FALSE)/1000</f>
        <v>14.978200000000001</v>
      </c>
      <c r="R13" s="334">
        <f>VLOOKUP($A13,Model!$1:$1048576,MATCH("fy"&amp;RIGHT(R$4,2)&amp;"E",Model!$1:$1,0),FALSE)/1000</f>
        <v>17.419645245267329</v>
      </c>
      <c r="S13" s="334">
        <f>VLOOKUP($A13,Model!$1:$1048576,MATCH("fy"&amp;RIGHT(S$4,2)&amp;"E",Model!$1:$1,0),FALSE)/1000</f>
        <v>19.971813465460322</v>
      </c>
      <c r="T13" s="334">
        <f>VLOOKUP($A13,Model!$1:$1048576,MATCH("fy"&amp;RIGHT(T$4,2)&amp;"E",Model!$1:$1,0),FALSE)/1000</f>
        <v>22.747116090997803</v>
      </c>
      <c r="U13" s="334">
        <f>VLOOKUP($A13,Model!$1:$1048576,MATCH("fy"&amp;RIGHT(U$4,2)&amp;"E",Model!$1:$1,0),FALSE)/1000</f>
        <v>25.688645870400613</v>
      </c>
      <c r="V13" s="334">
        <f>VLOOKUP($A13,Model!$1:$1048576,MATCH("fy"&amp;RIGHT(V$4,2)&amp;"E",Model!$1:$1,0),FALSE)/1000</f>
        <v>28.528631430308547</v>
      </c>
      <c r="W13" s="334">
        <f>VLOOKUP($A13,Model!$1:$1048576,MATCH("fy"&amp;RIGHT(W$4,2)&amp;"E",Model!$1:$1,0),FALSE)/1000</f>
        <v>31.153033749811655</v>
      </c>
      <c r="X13" s="334">
        <f>VLOOKUP($A13,Model!$1:$1048576,MATCH("fy"&amp;RIGHT(X$4,2)&amp;"E",Model!$1:$1,0),FALSE)/1000</f>
        <v>33.449263638759184</v>
      </c>
      <c r="Y13" s="334">
        <f>VLOOKUP($A13,Model!$1:$1048576,MATCH("fy"&amp;RIGHT(Y$4,2)&amp;"E",Model!$1:$1,0),FALSE)/1000</f>
        <v>35.590057982461708</v>
      </c>
      <c r="Z13" s="334">
        <f>VLOOKUP($A13,Model!$1:$1048576,MATCH("fy"&amp;RIGHT(Z$4,2)&amp;"E",Model!$1:$1,0),FALSE)/1000</f>
        <v>37.869293652750407</v>
      </c>
      <c r="AA13" s="335">
        <f t="shared" ref="AA13" si="5">+Z13*(1+AA14/100)</f>
        <v>38.816025994069165</v>
      </c>
      <c r="AB13" s="336"/>
      <c r="AC13" s="337" t="e">
        <f>RATE(12,,-D13,P13)*100</f>
        <v>#NUM!</v>
      </c>
      <c r="AD13" s="337">
        <f>RATE(10,,-Q13,AA13)*100</f>
        <v>9.9904919420502107</v>
      </c>
      <c r="AE13" s="298" t="s">
        <v>2473</v>
      </c>
    </row>
    <row r="14" spans="1:31">
      <c r="A14" s="298" t="str">
        <f>A13</f>
        <v>AD_PEAssetsTotal</v>
      </c>
      <c r="C14" s="338" t="s">
        <v>2474</v>
      </c>
      <c r="D14" s="330"/>
      <c r="E14" s="339"/>
      <c r="F14" s="339"/>
      <c r="G14" s="339"/>
      <c r="H14" s="339"/>
      <c r="I14" s="339"/>
      <c r="J14" s="339"/>
      <c r="K14" s="339"/>
      <c r="L14" s="339"/>
      <c r="M14" s="339"/>
      <c r="N14" s="339">
        <f t="shared" ref="N14:U14" si="6">+(N13-M13)/M13*100</f>
        <v>31.195652173913039</v>
      </c>
      <c r="O14" s="339">
        <f t="shared" si="6"/>
        <v>29.072929280054382</v>
      </c>
      <c r="P14" s="339">
        <f t="shared" si="6"/>
        <v>8.5987968761572464</v>
      </c>
      <c r="Q14" s="339">
        <f t="shared" si="6"/>
        <v>13.500447084855196</v>
      </c>
      <c r="R14" s="339">
        <f t="shared" si="6"/>
        <v>16.299990955303894</v>
      </c>
      <c r="S14" s="339">
        <f t="shared" si="6"/>
        <v>14.651091823390495</v>
      </c>
      <c r="T14" s="339">
        <f t="shared" si="6"/>
        <v>13.896097268969331</v>
      </c>
      <c r="U14" s="339">
        <f t="shared" si="6"/>
        <v>12.931440485182751</v>
      </c>
      <c r="V14" s="339">
        <f t="shared" ref="V14" si="7">+(V13-U13)/U13*100</f>
        <v>11.0554116952512</v>
      </c>
      <c r="W14" s="339">
        <f t="shared" ref="W14" si="8">+(W13-V13)/V13*100</f>
        <v>9.1991875807788261</v>
      </c>
      <c r="X14" s="339">
        <f t="shared" ref="X14" si="9">+(X13-W13)/W13*100</f>
        <v>7.3708066681031079</v>
      </c>
      <c r="Y14" s="339">
        <f t="shared" ref="Y14" si="10">+(Y13-X13)/X13*100</f>
        <v>6.4001239812702133</v>
      </c>
      <c r="Z14" s="339">
        <f t="shared" ref="Z14" si="11">+(Z13-Y13)/Y13*100</f>
        <v>6.404135872472799</v>
      </c>
      <c r="AA14" s="340">
        <f>AB19</f>
        <v>2.5</v>
      </c>
      <c r="AB14" s="341"/>
      <c r="AC14" s="337"/>
      <c r="AD14" s="337"/>
      <c r="AE14" s="298" t="s">
        <v>2475</v>
      </c>
    </row>
    <row r="15" spans="1:31">
      <c r="C15" s="338"/>
      <c r="D15" s="330"/>
      <c r="E15" s="339"/>
      <c r="F15" s="339"/>
      <c r="G15" s="339"/>
      <c r="H15" s="339"/>
      <c r="I15" s="339"/>
      <c r="J15" s="339"/>
      <c r="K15" s="339"/>
      <c r="L15" s="339"/>
      <c r="M15" s="339"/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40"/>
      <c r="AB15" s="341"/>
      <c r="AC15" s="337"/>
      <c r="AD15" s="337"/>
    </row>
    <row r="16" spans="1:31">
      <c r="A16" s="298" t="s">
        <v>888</v>
      </c>
      <c r="C16" s="333" t="s">
        <v>2476</v>
      </c>
      <c r="D16" s="342">
        <f>VLOOKUP($A16,Model!$1:$1048576,MATCH("fy"&amp;RIGHT(D$4,2)&amp;"a",Model!$1:$1,0),FALSE)*100</f>
        <v>0</v>
      </c>
      <c r="E16" s="342">
        <f>VLOOKUP($A16,Model!$1:$1048576,MATCH("fy"&amp;RIGHT(E$4,2)&amp;"a",Model!$1:$1,0),FALSE)*100</f>
        <v>0</v>
      </c>
      <c r="F16" s="342">
        <f>VLOOKUP($A16,Model!$1:$1048576,MATCH("fy"&amp;RIGHT(F$4,2)&amp;"a",Model!$1:$1,0),FALSE)*100</f>
        <v>0</v>
      </c>
      <c r="G16" s="342">
        <f>VLOOKUP($A16,Model!$1:$1048576,MATCH("fy"&amp;RIGHT(G$4,2)&amp;"a",Model!$1:$1,0),FALSE)*100</f>
        <v>0</v>
      </c>
      <c r="H16" s="342">
        <f>VLOOKUP($A16,Model!$1:$1048576,MATCH("fy"&amp;RIGHT(H$4,2)&amp;"a",Model!$1:$1,0),FALSE)*100</f>
        <v>0</v>
      </c>
      <c r="I16" s="342">
        <f>VLOOKUP($A16,Model!$1:$1048576,MATCH("fy"&amp;RIGHT(I$4,2)&amp;"a",Model!$1:$1,0),FALSE)*100</f>
        <v>0</v>
      </c>
      <c r="J16" s="342">
        <f>VLOOKUP($A16,Model!$1:$1048576,MATCH("fy"&amp;RIGHT(J$4,2)&amp;"a",Model!$1:$1,0),FALSE)*100</f>
        <v>0</v>
      </c>
      <c r="K16" s="342">
        <f>VLOOKUP($A16,Model!$1:$1048576,MATCH("fy"&amp;RIGHT(K$4,2)&amp;"a",Model!$1:$1,0),FALSE)*100</f>
        <v>0</v>
      </c>
      <c r="L16" s="342">
        <f>VLOOKUP($A16,Model!$1:$1048576,MATCH("fy"&amp;RIGHT(L$4,2)&amp;"a",Model!$1:$1,0),FALSE)*100</f>
        <v>0</v>
      </c>
      <c r="M16" s="342">
        <f>VLOOKUP($A16,Model!$1:$1048576,MATCH("fy"&amp;RIGHT(M$4,2)&amp;"a",Model!$1:$1,0),FALSE)*100</f>
        <v>-0.12852199703410769</v>
      </c>
      <c r="N16" s="342">
        <f>VLOOKUP($A16,Model!$1:$1048576,MATCH("fy"&amp;RIGHT(N$4,2)&amp;"a",Model!$1:$1,0),FALSE)*100</f>
        <v>0.11008952334865717</v>
      </c>
      <c r="O16" s="342">
        <f>VLOOKUP($A16,Model!$1:$1048576,MATCH("fy"&amp;RIGHT(O$4,2)&amp;"a",Model!$1:$1,0),FALSE)*100</f>
        <v>0.6886199455858899</v>
      </c>
      <c r="P16" s="342">
        <f>VLOOKUP($A16,Model!$1:$1048576,MATCH("fy"&amp;RIGHT(P$4,2)&amp;"a",Model!$1:$1,0),FALSE)*100</f>
        <v>0.52814506989044185</v>
      </c>
      <c r="Q16" s="342">
        <f>VLOOKUP($A16,Model!$1:$1048576,MATCH("fy"&amp;RIGHT(Q$4,2)&amp;"A",Model!$1:$1,0),FALSE)*100</f>
        <v>0.61807529205997913</v>
      </c>
      <c r="R16" s="342">
        <f>VLOOKUP($A16,Model!$1:$1048576,MATCH("fy"&amp;RIGHT(R$4,2)&amp;"E",Model!$1:$1,0),FALSE)*100</f>
        <v>0.82696833000485781</v>
      </c>
      <c r="S16" s="342">
        <f>VLOOKUP($A16,Model!$1:$1048576,MATCH("fy"&amp;RIGHT(S$4,2)&amp;"E",Model!$1:$1,0),FALSE)*100</f>
        <v>0.87533478756227789</v>
      </c>
      <c r="T16" s="342">
        <f>VLOOKUP($A16,Model!$1:$1048576,MATCH("fy"&amp;RIGHT(T$4,2)&amp;"E",Model!$1:$1,0),FALSE)*100</f>
        <v>0.95807171147287118</v>
      </c>
      <c r="U16" s="342">
        <f>VLOOKUP($A16,Model!$1:$1048576,MATCH("fy"&amp;RIGHT(U$4,2)&amp;"E",Model!$1:$1,0),FALSE)*100</f>
        <v>1.0568650843376233</v>
      </c>
      <c r="V16" s="342">
        <f>VLOOKUP($A16,Model!$1:$1048576,MATCH("fy"&amp;RIGHT(V$4,2)&amp;"E",Model!$1:$1,0),FALSE)*100</f>
        <v>1.1145069834877115</v>
      </c>
      <c r="W16" s="342">
        <f>VLOOKUP($A16,Model!$1:$1048576,MATCH("fy"&amp;RIGHT(W$4,2)&amp;"E",Model!$1:$1,0),FALSE)*100</f>
        <v>1.1413977851421397</v>
      </c>
      <c r="X16" s="342">
        <f>VLOOKUP($A16,Model!$1:$1048576,MATCH("fy"&amp;RIGHT(X$4,2)&amp;"E",Model!$1:$1,0),FALSE)*100</f>
        <v>1.1556455400951706</v>
      </c>
      <c r="Y16" s="342">
        <f>VLOOKUP($A16,Model!$1:$1048576,MATCH("fy"&amp;RIGHT(Y$4,2)&amp;"E",Model!$1:$1,0),FALSE)*100</f>
        <v>1.1594150892703583</v>
      </c>
      <c r="Z16" s="342">
        <f>VLOOKUP($A16,Model!$1:$1048576,MATCH("fy"&amp;RIGHT(Z$4,2)&amp;"E",Model!$1:$1,0),FALSE)*100</f>
        <v>1.1539115958947448</v>
      </c>
      <c r="AA16" s="343">
        <f t="shared" ref="AA16" si="12">Z16</f>
        <v>1.1539115958947448</v>
      </c>
      <c r="AB16" s="336"/>
      <c r="AC16" s="337">
        <f t="array" ref="AC16">AVERAGE(IF(ISNUMBER(D16:P16),IF(ISNUMBER(D16:P16),D16:P16)))</f>
        <v>9.2179426291606248E-2</v>
      </c>
      <c r="AD16" s="337">
        <f>AVERAGE(Q16:AA16)</f>
        <v>1.0194639813838615</v>
      </c>
      <c r="AE16" s="298" t="s">
        <v>2477</v>
      </c>
    </row>
    <row r="17" spans="1:31">
      <c r="C17" s="338"/>
      <c r="D17" s="330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33"/>
      <c r="U17" s="333"/>
      <c r="V17" s="333"/>
      <c r="W17" s="333"/>
      <c r="X17" s="333"/>
      <c r="Y17" s="333"/>
      <c r="Z17" s="333"/>
      <c r="AA17" s="333"/>
      <c r="AB17" s="341"/>
      <c r="AC17" s="337"/>
      <c r="AD17" s="337"/>
    </row>
    <row r="18" spans="1:31" ht="25.5">
      <c r="A18" s="298" t="s">
        <v>980</v>
      </c>
      <c r="C18" s="316" t="s">
        <v>2478</v>
      </c>
      <c r="D18" s="344">
        <f>VLOOKUP($A18,Model!$1:$1048576,MATCH("fy"&amp;RIGHT(D$4,2)&amp;"a",Model!$1:$1,0),FALSE)/1000</f>
        <v>0</v>
      </c>
      <c r="E18" s="344">
        <f>VLOOKUP($A18,Model!$1:$1048576,MATCH("fy"&amp;RIGHT(E$4,2)&amp;"a",Model!$1:$1,0),FALSE)/1000</f>
        <v>0</v>
      </c>
      <c r="F18" s="344">
        <f>VLOOKUP($A18,Model!$1:$1048576,MATCH("fy"&amp;RIGHT(F$4,2)&amp;"a",Model!$1:$1,0),FALSE)/1000</f>
        <v>0</v>
      </c>
      <c r="G18" s="344">
        <f>VLOOKUP($A18,Model!$1:$1048576,MATCH("fy"&amp;RIGHT(G$4,2)&amp;"a",Model!$1:$1,0),FALSE)/1000</f>
        <v>0</v>
      </c>
      <c r="H18" s="344">
        <f>VLOOKUP($A18,Model!$1:$1048576,MATCH("fy"&amp;RIGHT(H$4,2)&amp;"a",Model!$1:$1,0),FALSE)/1000</f>
        <v>0</v>
      </c>
      <c r="I18" s="344">
        <f>VLOOKUP($A18,Model!$1:$1048576,MATCH("fy"&amp;RIGHT(I$4,2)&amp;"a",Model!$1:$1,0),FALSE)/1000</f>
        <v>0</v>
      </c>
      <c r="J18" s="344">
        <f>VLOOKUP($A18,Model!$1:$1048576,MATCH("fy"&amp;RIGHT(J$4,2)&amp;"a",Model!$1:$1,0),FALSE)/1000</f>
        <v>0</v>
      </c>
      <c r="K18" s="344">
        <f>VLOOKUP($A18,Model!$1:$1048576,MATCH("fy"&amp;RIGHT(K$4,2)&amp;"a",Model!$1:$1,0),FALSE)/1000</f>
        <v>-2.309601E-2</v>
      </c>
      <c r="L18" s="344">
        <f>VLOOKUP($A18,Model!$1:$1048576,MATCH("fy"&amp;RIGHT(L$4,2)&amp;"a",Model!$1:$1,0),FALSE)/1000</f>
        <v>-3.8098010000000002E-2</v>
      </c>
      <c r="M18" s="344">
        <f>VLOOKUP($A18,Model!$1:$1048576,MATCH("fy"&amp;RIGHT(M$4,2)&amp;"a",Model!$1:$1,0),FALSE)/1000</f>
        <v>-5.1999999999999972E-3</v>
      </c>
      <c r="N18" s="344">
        <f>VLOOKUP($A18,Model!$1:$1048576,MATCH("fy"&amp;RIGHT(N$4,2)&amp;"a",Model!$1:$1,0),FALSE)/1000</f>
        <v>9.1000000000000022E-3</v>
      </c>
      <c r="O18" s="344">
        <f>VLOOKUP($A18,Model!$1:$1048576,MATCH("fy"&amp;RIGHT(O$4,2)&amp;"a",Model!$1:$1,0),FALSE)/1000</f>
        <v>7.3400000000000007E-2</v>
      </c>
      <c r="P18" s="344">
        <f>VLOOKUP($A18,Model!$1:$1048576,MATCH("fy"&amp;RIGHT(P$4,2)&amp;"a",Model!$1:$1,0),FALSE)/1000</f>
        <v>6.9899999999999976E-2</v>
      </c>
      <c r="Q18" s="344">
        <f>VLOOKUP($A18,Model!$1:$1048576,MATCH("fy"&amp;RIGHT(Q$4,2)&amp;"A",Model!$1:$1,0),FALSE)/1000</f>
        <v>8.6400000000000074E-2</v>
      </c>
      <c r="R18" s="344">
        <f>VLOOKUP($A18,Model!$1:$1048576,MATCH("fy"&amp;RIGHT(R$4,2)&amp;"E",Model!$1:$1,0),FALSE)/1000</f>
        <v>0.13336232151403249</v>
      </c>
      <c r="S18" s="693">
        <f>VLOOKUP($A18,Model!$1:$1048576,MATCH("fy"&amp;RIGHT(S$4,2)&amp;"E",Model!$1:$1,0),FALSE)/1000</f>
        <v>0.16256371468668043</v>
      </c>
      <c r="T18" s="693">
        <f>VLOOKUP($A18,Model!$1:$1048576,MATCH("fy"&amp;RIGHT(T$4,2)&amp;"E",Model!$1:$1,0),FALSE)/1000</f>
        <v>0.20283855971008755</v>
      </c>
      <c r="U18" s="693">
        <f>VLOOKUP($A18,Model!$1:$1048576,MATCH("fy"&amp;RIGHT(U$4,2)&amp;"E",Model!$1:$1,0),FALSE)/1000</f>
        <v>0.25308647466872486</v>
      </c>
      <c r="V18" s="693">
        <f>VLOOKUP($A18,Model!$1:$1048576,MATCH("fy"&amp;RIGHT(V$4,2)&amp;"E",Model!$1:$1,0),FALSE)/1000</f>
        <v>0.29713117072636902</v>
      </c>
      <c r="W18" s="693">
        <f>VLOOKUP($A18,Model!$1:$1048576,MATCH("fy"&amp;RIGHT(W$4,2)&amp;"E",Model!$1:$1,0),FALSE)/1000</f>
        <v>0.33280679876088504</v>
      </c>
      <c r="X18" s="693">
        <f>VLOOKUP($A18,Model!$1:$1048576,MATCH("fy"&amp;RIGHT(X$4,2)&amp;"E",Model!$1:$1,0),FALSE)/1000</f>
        <v>0.36257485481307639</v>
      </c>
      <c r="Y18" s="693">
        <f>VLOOKUP($A18,Model!$1:$1048576,MATCH("fy"&amp;RIGHT(Y$4,2)&amp;"E",Model!$1:$1,0),FALSE)/1000</f>
        <v>0.38723025091850566</v>
      </c>
      <c r="Z18" s="693">
        <f>VLOOKUP($A18,Model!$1:$1048576,MATCH("fy"&amp;RIGHT(Z$4,2)&amp;"E",Model!$1:$1,0),FALSE)/1000</f>
        <v>0.4092669581842342</v>
      </c>
      <c r="AA18" s="695">
        <f t="shared" ref="AA18" si="13">+AA16/100*((AA13+Z13)/2)</f>
        <v>0.44244039787680106</v>
      </c>
      <c r="AB18" s="329">
        <f>AA18*(1+AB19/100)</f>
        <v>0.45350140782372106</v>
      </c>
      <c r="AC18" s="337" t="e">
        <f>RATE(12,,-D18,P18)*100</f>
        <v>#NUM!</v>
      </c>
      <c r="AD18" s="337">
        <f>RATE(10,,-Q18,AA18)*100</f>
        <v>17.742730532724739</v>
      </c>
      <c r="AE18" s="346" t="s">
        <v>2479</v>
      </c>
    </row>
    <row r="19" spans="1:31">
      <c r="C19" s="347" t="s">
        <v>2474</v>
      </c>
      <c r="D19" s="330"/>
      <c r="E19" s="339"/>
      <c r="F19" s="339"/>
      <c r="G19" s="339"/>
      <c r="H19" s="339"/>
      <c r="I19" s="339"/>
      <c r="J19" s="339"/>
      <c r="K19" s="339"/>
      <c r="L19" s="339">
        <f t="shared" ref="L19" si="14">+(L18-K18)/K18*100</f>
        <v>64.954942433779692</v>
      </c>
      <c r="M19" s="339">
        <f>+(M18-L18)/L18*100</f>
        <v>-86.35099313586197</v>
      </c>
      <c r="N19" s="339">
        <f>+(N18-M18)/M18*100</f>
        <v>-275.00000000000011</v>
      </c>
      <c r="O19" s="339">
        <f>+(O18-N18)/N18*100</f>
        <v>706.5934065934066</v>
      </c>
      <c r="P19" s="339">
        <f>+(P18-O18)/O18*100</f>
        <v>-4.768392370572248</v>
      </c>
      <c r="Q19" s="339">
        <f t="shared" ref="Q19:AA19" si="15">+(Q18-P18)/P18*100</f>
        <v>23.605150214592424</v>
      </c>
      <c r="R19" s="339">
        <f t="shared" si="15"/>
        <v>54.354538789389331</v>
      </c>
      <c r="S19" s="339">
        <f t="shared" si="15"/>
        <v>21.896284378624401</v>
      </c>
      <c r="T19" s="339">
        <f t="shared" si="15"/>
        <v>24.774806051295904</v>
      </c>
      <c r="U19" s="339">
        <f t="shared" si="15"/>
        <v>24.772368247169322</v>
      </c>
      <c r="V19" s="339">
        <f t="shared" si="15"/>
        <v>17.403022470993779</v>
      </c>
      <c r="W19" s="339">
        <f t="shared" si="15"/>
        <v>12.006693187827826</v>
      </c>
      <c r="X19" s="339">
        <f t="shared" si="15"/>
        <v>8.9445456532211942</v>
      </c>
      <c r="Y19" s="339">
        <f t="shared" si="15"/>
        <v>6.8000843903365098</v>
      </c>
      <c r="Z19" s="339">
        <f t="shared" si="15"/>
        <v>5.6908537526336653</v>
      </c>
      <c r="AA19" s="339">
        <f t="shared" si="15"/>
        <v>8.1055748648132067</v>
      </c>
      <c r="AB19" s="343">
        <f>Summary!$G$4*100</f>
        <v>2.5</v>
      </c>
      <c r="AC19" s="348"/>
      <c r="AD19" s="337"/>
    </row>
    <row r="20" spans="1:31">
      <c r="A20" s="298" t="s">
        <v>766</v>
      </c>
      <c r="B20" s="298" t="s">
        <v>1007</v>
      </c>
      <c r="C20" s="330" t="s">
        <v>2480</v>
      </c>
      <c r="D20" s="344">
        <f>(VLOOKUP($A20,Model!$1:$1048576,MATCH("fy"&amp;RIGHT(D$4,2)&amp;"a",Model!$1:$1,0),FALSE) *
VLOOKUP($B20,Model!$1:$1048576,MATCH("fy"&amp;RIGHT(D$4,2)&amp;"a",Model!$1:$1,0),FALSE)) / 1000</f>
        <v>0</v>
      </c>
      <c r="E20" s="344">
        <f>(VLOOKUP($A20,Model!$1:$1048576,MATCH("fy"&amp;RIGHT(E$4,2)&amp;"a",Model!$1:$1,0),FALSE) *
VLOOKUP($B20,Model!$1:$1048576,MATCH("fy"&amp;RIGHT(E$4,2)&amp;"a",Model!$1:$1,0),FALSE)) / 1000</f>
        <v>0</v>
      </c>
      <c r="F20" s="344">
        <f>(VLOOKUP($A20,Model!$1:$1048576,MATCH("1h"&amp;RIGHT(F$4,2)&amp;"a",Model!$1:$1,0),FALSE) *
VLOOKUP($B20,Model!$1:$1048576,MATCH("1h"&amp;RIGHT(F$4,2)&amp;"a",Model!$1:$1,0),FALSE) +
VLOOKUP($A20,Model!$1:$1048576,MATCH("2h"&amp;RIGHT(F$4,2)&amp;"a",Model!$1:$1,0),FALSE) *
VLOOKUP($B20,Model!$1:$1048576,MATCH("2h"&amp;RIGHT(F$4,2)&amp;"a",Model!$1:$1,0),FALSE)) / 1000</f>
        <v>0</v>
      </c>
      <c r="G20" s="344">
        <f>(VLOOKUP($A20,Model!$1:$1048576,MATCH("1h"&amp;RIGHT(G$4,2)&amp;"a",Model!$1:$1,0),FALSE) *
VLOOKUP($B20,Model!$1:$1048576,MATCH("1h"&amp;RIGHT(G$4,2)&amp;"a",Model!$1:$1,0),FALSE) +
VLOOKUP($A20,Model!$1:$1048576,MATCH("2h"&amp;RIGHT(G$4,2)&amp;"a",Model!$1:$1,0),FALSE) *
VLOOKUP($B20,Model!$1:$1048576,MATCH("2h"&amp;RIGHT(G$4,2)&amp;"a",Model!$1:$1,0),FALSE)) / 1000</f>
        <v>0</v>
      </c>
      <c r="H20" s="344">
        <f>(VLOOKUP($A20,Model!$1:$1048576,MATCH("1h"&amp;RIGHT(H$4,2)&amp;"a",Model!$1:$1,0),FALSE) *
VLOOKUP($B20,Model!$1:$1048576,MATCH("1h"&amp;RIGHT(H$4,2)&amp;"a",Model!$1:$1,0),FALSE) +
VLOOKUP($A20,Model!$1:$1048576,MATCH("2h"&amp;RIGHT(H$4,2)&amp;"a",Model!$1:$1,0),FALSE) *
VLOOKUP($B20,Model!$1:$1048576,MATCH("2h"&amp;RIGHT(H$4,2)&amp;"a",Model!$1:$1,0),FALSE)) / 1000</f>
        <v>0</v>
      </c>
      <c r="I20" s="344">
        <f>(VLOOKUP($A20,Model!$1:$1048576,MATCH("1h"&amp;RIGHT(I$4,2)&amp;"a",Model!$1:$1,0),FALSE) *
VLOOKUP($B20,Model!$1:$1048576,MATCH("1h"&amp;RIGHT(I$4,2)&amp;"a",Model!$1:$1,0),FALSE) +
VLOOKUP($A20,Model!$1:$1048576,MATCH("2h"&amp;RIGHT(I$4,2)&amp;"a",Model!$1:$1,0),FALSE) *
VLOOKUP($B20,Model!$1:$1048576,MATCH("2h"&amp;RIGHT(I$4,2)&amp;"a",Model!$1:$1,0),FALSE)) / 1000</f>
        <v>0</v>
      </c>
      <c r="J20" s="344">
        <f>(VLOOKUP($A20,Model!$1:$1048576,MATCH("1h"&amp;RIGHT(J$4,2)&amp;"a",Model!$1:$1,0),FALSE) *
VLOOKUP($B20,Model!$1:$1048576,MATCH("1h"&amp;RIGHT(J$4,2)&amp;"a",Model!$1:$1,0),FALSE) +
VLOOKUP($A20,Model!$1:$1048576,MATCH("2h"&amp;RIGHT(J$4,2)&amp;"a",Model!$1:$1,0),FALSE) *
VLOOKUP($B20,Model!$1:$1048576,MATCH("2h"&amp;RIGHT(J$4,2)&amp;"a",Model!$1:$1,0),FALSE)) / 1000</f>
        <v>0</v>
      </c>
      <c r="K20" s="344">
        <f>(VLOOKUP($A20,Model!$1:$1048576,MATCH("1h"&amp;RIGHT(K$4,2)&amp;"a",Model!$1:$1,0),FALSE) *
VLOOKUP($B20,Model!$1:$1048576,MATCH("1h"&amp;RIGHT(K$4,2)&amp;"a",Model!$1:$1,0),FALSE) +
VLOOKUP($A20,Model!$1:$1048576,MATCH("2h"&amp;RIGHT(K$4,2)&amp;"a",Model!$1:$1,0),FALSE) *
VLOOKUP($B20,Model!$1:$1048576,MATCH("2h"&amp;RIGHT(K$4,2)&amp;"a",Model!$1:$1,0),FALSE)) / 1000</f>
        <v>0</v>
      </c>
      <c r="L20" s="344">
        <f>(VLOOKUP($A20,Model!$1:$1048576,MATCH("1h"&amp;RIGHT(L$4,2)&amp;"a",Model!$1:$1,0),FALSE) *
VLOOKUP($B20,Model!$1:$1048576,MATCH("1h"&amp;RIGHT(L$4,2)&amp;"a",Model!$1:$1,0),FALSE) +
VLOOKUP($A20,Model!$1:$1048576,MATCH("2h"&amp;RIGHT(L$4,2)&amp;"a",Model!$1:$1,0),FALSE) *
VLOOKUP($B20,Model!$1:$1048576,MATCH("2h"&amp;RIGHT(L$4,2)&amp;"a",Model!$1:$1,0),FALSE)) / 1000</f>
        <v>0</v>
      </c>
      <c r="M20" s="344">
        <f>(VLOOKUP($A20,Model!$1:$1048576,MATCH("1h"&amp;RIGHT(M$4,2)&amp;"a",Model!$1:$1,0),FALSE) *
VLOOKUP($B20,Model!$1:$1048576,MATCH("1h"&amp;RIGHT(M$4,2)&amp;"a",Model!$1:$1,0),FALSE) +
VLOOKUP($A20,Model!$1:$1048576,MATCH("2h"&amp;RIGHT(M$4,2)&amp;"a",Model!$1:$1,0),FALSE) *
VLOOKUP($B20,Model!$1:$1048576,MATCH("2h"&amp;RIGHT(M$4,2)&amp;"a",Model!$1:$1,0),FALSE)) / 1000</f>
        <v>0</v>
      </c>
      <c r="N20" s="344">
        <f>(VLOOKUP($A20,Model!$1:$1048576,MATCH("1h"&amp;RIGHT(N$4,2)&amp;"a",Model!$1:$1,0),FALSE) *
VLOOKUP($B20,Model!$1:$1048576,MATCH("1h"&amp;RIGHT(N$4,2)&amp;"a",Model!$1:$1,0),FALSE) +
VLOOKUP($A20,Model!$1:$1048576,MATCH("2h"&amp;RIGHT(N$4,2)&amp;"a",Model!$1:$1,0),FALSE) *
VLOOKUP($B20,Model!$1:$1048576,MATCH("2h"&amp;RIGHT(N$4,2)&amp;"a",Model!$1:$1,0),FALSE)) / 1000</f>
        <v>0</v>
      </c>
      <c r="O20" s="344">
        <f>(VLOOKUP($A20,Model!$1:$1048576,MATCH("1h"&amp;RIGHT(O$4,2)&amp;"a",Model!$1:$1,0),FALSE) *
VLOOKUP($B20,Model!$1:$1048576,MATCH("1h"&amp;RIGHT(O$4,2)&amp;"a",Model!$1:$1,0),FALSE) +
VLOOKUP($A20,Model!$1:$1048576,MATCH("2h"&amp;RIGHT(O$4,2)&amp;"a",Model!$1:$1,0),FALSE) *
VLOOKUP($B20,Model!$1:$1048576,MATCH("2h"&amp;RIGHT(O$4,2)&amp;"a",Model!$1:$1,0),FALSE)) / 1000</f>
        <v>0</v>
      </c>
      <c r="P20" s="344">
        <f>(VLOOKUP($A20,Model!$1:$1048576,MATCH("FY"&amp;RIGHT(P$4,2)&amp;"A",Model!$1:$1,0),FALSE) *
VLOOKUP($B20,Model!$1:$1048576,MATCH("FY"&amp;RIGHT(P$4,2)&amp;"A",Model!$1:$1,0),FALSE)) / 1000</f>
        <v>0</v>
      </c>
      <c r="Q20" s="344">
        <f>(VLOOKUP($A20,Model!$1:$1048576,MATCH("FY"&amp;RIGHT(Q$4,2)&amp;"A",Model!$1:$1,0),FALSE) *
VLOOKUP($B20,Model!$1:$1048576,MATCH("FY"&amp;RIGHT(Q$4,2)&amp;"A",Model!$1:$1,0),FALSE)) / 1000</f>
        <v>0</v>
      </c>
      <c r="R20" s="344">
        <f>(VLOOKUP($A20,Model!$1:$1048576,MATCH("FY"&amp;RIGHT(R$4,2)&amp;"E",Model!$1:$1,0),FALSE) *
VLOOKUP($B20,Model!$1:$1048576,MATCH("FY"&amp;RIGHT(R$4,2)&amp;"E",Model!$1:$1,0),FALSE)) / 1000</f>
        <v>0</v>
      </c>
      <c r="S20" s="344">
        <f>(VLOOKUP($A20,Model!$1:$1048576,MATCH("FY"&amp;RIGHT(S$4,2)&amp;"E",Model!$1:$1,0),FALSE) *
VLOOKUP($B20,Model!$1:$1048576,MATCH("FY"&amp;RIGHT(S$4,2)&amp;"E",Model!$1:$1,0),FALSE)) / 1000</f>
        <v>0</v>
      </c>
      <c r="T20" s="344">
        <f>(VLOOKUP($A20,Model!$1:$1048576,MATCH("FY"&amp;RIGHT(T$4,2)&amp;"E",Model!$1:$1,0),FALSE) *
VLOOKUP($B20,Model!$1:$1048576,MATCH("FY"&amp;RIGHT(T$4,2)&amp;"E",Model!$1:$1,0),FALSE)) / 1000</f>
        <v>0</v>
      </c>
      <c r="U20" s="344">
        <f>(VLOOKUP($A20,Model!$1:$1048576,MATCH("FY"&amp;RIGHT(U$4,2)&amp;"E",Model!$1:$1,0),FALSE) *
VLOOKUP($B20,Model!$1:$1048576,MATCH("FY"&amp;RIGHT(U$4,2)&amp;"E",Model!$1:$1,0),FALSE)) / 1000</f>
        <v>0</v>
      </c>
      <c r="V20" s="344">
        <f>(VLOOKUP($A20,Model!$1:$1048576,MATCH("FY"&amp;RIGHT(V$4,2)&amp;"E",Model!$1:$1,0),FALSE) *
VLOOKUP($B20,Model!$1:$1048576,MATCH("FY"&amp;RIGHT(V$4,2)&amp;"E",Model!$1:$1,0),FALSE)) / 1000</f>
        <v>9.5284928320000004E-2</v>
      </c>
      <c r="W20" s="344">
        <f>(VLOOKUP($A20,Model!$1:$1048576,MATCH("FY"&amp;RIGHT(W$4,2)&amp;"E",Model!$1:$1,0),FALSE) *
VLOOKUP($B20,Model!$1:$1048576,MATCH("FY"&amp;RIGHT(W$4,2)&amp;"E",Model!$1:$1,0),FALSE)) / 1000</f>
        <v>0.11910616040000001</v>
      </c>
      <c r="X20" s="344">
        <f>(VLOOKUP($A20,Model!$1:$1048576,MATCH("FY"&amp;RIGHT(X$4,2)&amp;"E",Model!$1:$1,0),FALSE) *
VLOOKUP($B20,Model!$1:$1048576,MATCH("FY"&amp;RIGHT(X$4,2)&amp;"E",Model!$1:$1,0),FALSE)) / 1000</f>
        <v>0.16674862456000003</v>
      </c>
      <c r="Y20" s="344">
        <f>(VLOOKUP($A20,Model!$1:$1048576,MATCH("FY"&amp;RIGHT(Y$4,2)&amp;"E",Model!$1:$1,0),FALSE) *
VLOOKUP($B20,Model!$1:$1048576,MATCH("FY"&amp;RIGHT(Y$4,2)&amp;"E",Model!$1:$1,0),FALSE)) / 1000</f>
        <v>0.20248047268</v>
      </c>
      <c r="Z20" s="344">
        <f>(VLOOKUP($A20,Model!$1:$1048576,MATCH("FY"&amp;RIGHT(Z$4,2)&amp;"E",Model!$1:$1,0),FALSE) *
VLOOKUP($B20,Model!$1:$1048576,MATCH("FY"&amp;RIGHT(Z$4,2)&amp;"E",Model!$1:$1,0),FALSE)) / 1000</f>
        <v>0.21439108872000001</v>
      </c>
      <c r="AA20" s="339">
        <f t="shared" ref="AA20" si="16">+AA18*AA21/100</f>
        <v>0.2317687189196877</v>
      </c>
      <c r="AB20" s="336">
        <f>AA21/100*AB18</f>
        <v>0.23756293689267988</v>
      </c>
      <c r="AC20" s="348"/>
      <c r="AD20" s="337"/>
    </row>
    <row r="21" spans="1:31" s="300" customFormat="1">
      <c r="C21" s="347" t="s">
        <v>2481</v>
      </c>
      <c r="D21" s="339"/>
      <c r="E21" s="339"/>
      <c r="F21" s="339"/>
      <c r="G21" s="339"/>
      <c r="H21" s="339"/>
      <c r="I21" s="339"/>
      <c r="J21" s="339"/>
      <c r="K21" s="339">
        <f t="shared" ref="K21:L21" si="17">+K20/K18*100</f>
        <v>0</v>
      </c>
      <c r="L21" s="339">
        <f t="shared" si="17"/>
        <v>0</v>
      </c>
      <c r="M21" s="339">
        <f>+M20/M18*100</f>
        <v>0</v>
      </c>
      <c r="N21" s="339">
        <f t="shared" ref="N21:Z21" si="18">+N20/N18*100</f>
        <v>0</v>
      </c>
      <c r="O21" s="339">
        <f t="shared" si="18"/>
        <v>0</v>
      </c>
      <c r="P21" s="339">
        <f t="shared" si="18"/>
        <v>0</v>
      </c>
      <c r="Q21" s="339">
        <f t="shared" si="18"/>
        <v>0</v>
      </c>
      <c r="R21" s="339">
        <f t="shared" si="18"/>
        <v>0</v>
      </c>
      <c r="S21" s="339">
        <f t="shared" si="18"/>
        <v>0</v>
      </c>
      <c r="T21" s="339">
        <f t="shared" si="18"/>
        <v>0</v>
      </c>
      <c r="U21" s="339">
        <f t="shared" si="18"/>
        <v>0</v>
      </c>
      <c r="V21" s="339">
        <f t="shared" si="18"/>
        <v>32.068304408139262</v>
      </c>
      <c r="W21" s="339">
        <f t="shared" si="18"/>
        <v>35.788379577418247</v>
      </c>
      <c r="X21" s="339">
        <f t="shared" si="18"/>
        <v>45.990123790014735</v>
      </c>
      <c r="Y21" s="339">
        <f t="shared" si="18"/>
        <v>52.289425270809467</v>
      </c>
      <c r="Z21" s="339">
        <f t="shared" si="18"/>
        <v>52.384167456658069</v>
      </c>
      <c r="AA21" s="333">
        <f t="shared" ref="AA21" si="19">+Z21</f>
        <v>52.384167456658069</v>
      </c>
      <c r="AB21" s="336"/>
      <c r="AC21" s="337">
        <f t="array" ref="AC21">AVERAGE(IF(ISNUMBER(D21:P21),IF(ISNUMBER(D21:P21),D21:P21)))</f>
        <v>0</v>
      </c>
      <c r="AD21" s="337">
        <f>AVERAGE(Q21:AA21)</f>
        <v>24.627687996336167</v>
      </c>
    </row>
    <row r="22" spans="1:31">
      <c r="C22" s="330" t="s">
        <v>2482</v>
      </c>
      <c r="D22" s="349">
        <f t="shared" ref="D22:O22" si="20">D20/(1-30%)*30%*100%</f>
        <v>0</v>
      </c>
      <c r="E22" s="349">
        <f t="shared" si="20"/>
        <v>0</v>
      </c>
      <c r="F22" s="349">
        <f t="shared" si="20"/>
        <v>0</v>
      </c>
      <c r="G22" s="349">
        <f t="shared" si="20"/>
        <v>0</v>
      </c>
      <c r="H22" s="349">
        <f t="shared" si="20"/>
        <v>0</v>
      </c>
      <c r="I22" s="349">
        <f t="shared" si="20"/>
        <v>0</v>
      </c>
      <c r="J22" s="349">
        <f t="shared" si="20"/>
        <v>0</v>
      </c>
      <c r="K22" s="349">
        <f t="shared" si="20"/>
        <v>0</v>
      </c>
      <c r="L22" s="349">
        <f t="shared" si="20"/>
        <v>0</v>
      </c>
      <c r="M22" s="349">
        <f t="shared" si="20"/>
        <v>0</v>
      </c>
      <c r="N22" s="349">
        <f t="shared" si="20"/>
        <v>0</v>
      </c>
      <c r="O22" s="349">
        <f t="shared" si="20"/>
        <v>0</v>
      </c>
      <c r="P22" s="339">
        <f>P20/(1-30%)*30%*100%</f>
        <v>0</v>
      </c>
      <c r="Q22" s="339">
        <f t="shared" ref="Q22:AA22" si="21">Q20/(1-30%)*30%*100%</f>
        <v>0</v>
      </c>
      <c r="R22" s="339">
        <f t="shared" si="21"/>
        <v>0</v>
      </c>
      <c r="S22" s="694">
        <f t="shared" si="21"/>
        <v>0</v>
      </c>
      <c r="T22" s="694">
        <f t="shared" si="21"/>
        <v>0</v>
      </c>
      <c r="U22" s="694">
        <f t="shared" si="21"/>
        <v>0</v>
      </c>
      <c r="V22" s="694">
        <f t="shared" si="21"/>
        <v>4.083639785142857E-2</v>
      </c>
      <c r="W22" s="694">
        <f t="shared" si="21"/>
        <v>5.1045497314285718E-2</v>
      </c>
      <c r="X22" s="694">
        <f t="shared" si="21"/>
        <v>7.1463696240000013E-2</v>
      </c>
      <c r="Y22" s="694">
        <f t="shared" si="21"/>
        <v>8.6777345434285724E-2</v>
      </c>
      <c r="Z22" s="694">
        <f t="shared" si="21"/>
        <v>9.1881895165714295E-2</v>
      </c>
      <c r="AA22" s="694">
        <f t="shared" si="21"/>
        <v>9.9329450965580449E-2</v>
      </c>
      <c r="AB22" s="336">
        <f>AB20/(1-30%)*30%*100%</f>
        <v>0.10181268723971995</v>
      </c>
      <c r="AC22" s="348"/>
      <c r="AD22" s="337"/>
    </row>
    <row r="23" spans="1:31" ht="25.5">
      <c r="A23" s="298" t="s">
        <v>1004</v>
      </c>
      <c r="C23" s="333" t="s">
        <v>2483</v>
      </c>
      <c r="D23" s="350">
        <f>VLOOKUP($A23,Model!$1:$1048576,MATCH("fy"&amp;RIGHT(D$4,2)&amp;"a",Model!$1:$1,0),FALSE)/1000</f>
        <v>0</v>
      </c>
      <c r="E23" s="350">
        <f>VLOOKUP($A23,Model!$1:$1048576,MATCH("fy"&amp;RIGHT(E$4,2)&amp;"a",Model!$1:$1,0),FALSE)/1000</f>
        <v>0</v>
      </c>
      <c r="F23" s="350">
        <f>VLOOKUP($A23,Model!$1:$1048576,MATCH("fy"&amp;RIGHT(F$4,2)&amp;"a",Model!$1:$1,0),FALSE)/1000</f>
        <v>0</v>
      </c>
      <c r="G23" s="350">
        <f>VLOOKUP($A23,Model!$1:$1048576,MATCH("fy"&amp;RIGHT(G$4,2)&amp;"a",Model!$1:$1,0),FALSE)/1000</f>
        <v>0</v>
      </c>
      <c r="H23" s="350">
        <f>VLOOKUP($A23,Model!$1:$1048576,MATCH("fy"&amp;RIGHT(H$4,2)&amp;"a",Model!$1:$1,0),FALSE)/1000</f>
        <v>0</v>
      </c>
      <c r="I23" s="350">
        <f>VLOOKUP($A23,Model!$1:$1048576,MATCH("fy"&amp;RIGHT(I$4,2)&amp;"a",Model!$1:$1,0),FALSE)/1000</f>
        <v>0</v>
      </c>
      <c r="J23" s="350">
        <f>VLOOKUP($A23,Model!$1:$1048576,MATCH("fy"&amp;RIGHT(J$4,2)&amp;"a",Model!$1:$1,0),FALSE)/1000</f>
        <v>0</v>
      </c>
      <c r="K23" s="350">
        <f>VLOOKUP($A23,Model!$1:$1048576,MATCH("fy"&amp;RIGHT(K$4,2)&amp;"a",Model!$1:$1,0),FALSE)/1000</f>
        <v>0</v>
      </c>
      <c r="L23" s="350">
        <f>VLOOKUP($A23,Model!$1:$1048576,MATCH("fy"&amp;RIGHT(L$4,2)&amp;"a",Model!$1:$1,0),FALSE)/1000</f>
        <v>0</v>
      </c>
      <c r="M23" s="350">
        <f>VLOOKUP($A23,Model!$1:$1048576,MATCH("fy"&amp;RIGHT(M$4,2)&amp;"a",Model!$1:$1,0),FALSE)/1000</f>
        <v>1.0757000000000003</v>
      </c>
      <c r="N23" s="350">
        <f>VLOOKUP($A23,Model!$1:$1048576,MATCH("fy"&amp;RIGHT(N$4,2)&amp;"a",Model!$1:$1,0),FALSE)/1000</f>
        <v>1.4045999999999998</v>
      </c>
      <c r="O23" s="350">
        <f>VLOOKUP($A23,Model!$1:$1048576,MATCH("fy"&amp;RIGHT(O$4,2)&amp;"a",Model!$1:$1,0),FALSE)/1000</f>
        <v>1.4770999999999999</v>
      </c>
      <c r="P23" s="350">
        <f>VLOOKUP($A23,Model!$1:$1048576,MATCH("fy"&amp;RIGHT(P$4,2)&amp;"a",Model!$1:$1,0),FALSE)/1000</f>
        <v>1.5652999999999999</v>
      </c>
      <c r="Q23" s="350">
        <f>VLOOKUP($A23,Model!$1:$1048576,MATCH("fy"&amp;RIGHT(Q$4,2)&amp;"A",Model!$1:$1,0),FALSE)/1000</f>
        <v>1.6865999999999999</v>
      </c>
      <c r="R23" s="350">
        <f>VLOOKUP($A23,Model!$1:$1048576,MATCH("fy"&amp;RIGHT(R$4,2)&amp;"E",Model!$1:$1,0),FALSE)/1000</f>
        <v>1.7987623215140327</v>
      </c>
      <c r="S23" s="350">
        <f>VLOOKUP($A23,Model!$1:$1048576,MATCH("fy"&amp;RIGHT(S$4,2)&amp;"E",Model!$1:$1,0),FALSE)/1000</f>
        <v>1.9613260362007132</v>
      </c>
      <c r="T23" s="350">
        <f>VLOOKUP($A23,Model!$1:$1048576,MATCH("fy"&amp;RIGHT(T$4,2)&amp;"E",Model!$1:$1,0),FALSE)/1000</f>
        <v>2.3084710328173448</v>
      </c>
      <c r="U23" s="350">
        <f>VLOOKUP($A23,Model!$1:$1048576,MATCH("fy"&amp;RIGHT(U$4,2)&amp;"E",Model!$1:$1,0),FALSE)/1000</f>
        <v>2.5615575074860693</v>
      </c>
      <c r="V23" s="350">
        <f>VLOOKUP($A23,Model!$1:$1048576,MATCH("fy"&amp;RIGHT(V$4,2)&amp;"E",Model!$1:$1,0),FALSE)/1000</f>
        <v>2.8229568300924384</v>
      </c>
      <c r="W23" s="350">
        <f>VLOOKUP($A23,Model!$1:$1048576,MATCH("fy"&amp;RIGHT(W$4,2)&amp;"E",Model!$1:$1,0),FALSE)/1000</f>
        <v>3.0485680844933234</v>
      </c>
      <c r="X23" s="350">
        <f>VLOOKUP($A23,Model!$1:$1048576,MATCH("fy"&amp;RIGHT(X$4,2)&amp;"E",Model!$1:$1,0),FALSE)/1000</f>
        <v>3.2682155468263998</v>
      </c>
      <c r="Y23" s="350">
        <f>VLOOKUP($A23,Model!$1:$1048576,MATCH("fy"&amp;RIGHT(Y$4,2)&amp;"E",Model!$1:$1,0),FALSE)/1000</f>
        <v>3.4648759411049053</v>
      </c>
      <c r="Z23" s="350">
        <f>VLOOKUP($A23,Model!$1:$1048576,MATCH("fy"&amp;RIGHT(Z$4,2)&amp;"E",Model!$1:$1,0),FALSE)/1000</f>
        <v>3.6597518105691398</v>
      </c>
      <c r="AA23" s="351">
        <f t="shared" ref="AA23" si="22">+Z23+AA18-AA20</f>
        <v>3.8704234895262535</v>
      </c>
      <c r="AB23" s="318">
        <f>+AB18/(AB30/100)</f>
        <v>3.8592148412988889</v>
      </c>
      <c r="AC23" s="348"/>
      <c r="AD23" s="337"/>
      <c r="AE23" s="346" t="s">
        <v>2484</v>
      </c>
    </row>
    <row r="24" spans="1:31">
      <c r="C24" s="333"/>
      <c r="D24" s="350"/>
      <c r="E24" s="350"/>
      <c r="F24" s="350"/>
      <c r="G24" s="350"/>
      <c r="H24" s="350"/>
      <c r="I24" s="350"/>
      <c r="J24" s="350"/>
      <c r="K24" s="350"/>
      <c r="L24" s="350"/>
      <c r="M24" s="350"/>
      <c r="N24" s="350"/>
      <c r="O24" s="350"/>
      <c r="P24" s="350"/>
      <c r="Q24" s="350"/>
      <c r="R24" s="350"/>
      <c r="S24" s="350"/>
      <c r="T24" s="350"/>
      <c r="U24" s="350"/>
      <c r="V24" s="350"/>
      <c r="W24" s="350"/>
      <c r="X24" s="350"/>
      <c r="Y24" s="350"/>
      <c r="Z24" s="350"/>
      <c r="AA24" s="350"/>
      <c r="AB24" s="336"/>
      <c r="AC24" s="348"/>
      <c r="AD24" s="348"/>
    </row>
    <row r="25" spans="1:31">
      <c r="C25" s="344" t="s">
        <v>2485</v>
      </c>
      <c r="D25" s="350"/>
      <c r="E25" s="344">
        <f t="shared" ref="E25:AA25" si="23">+(E23+D23)/2*E$10/100</f>
        <v>0</v>
      </c>
      <c r="F25" s="344">
        <f t="shared" si="23"/>
        <v>0</v>
      </c>
      <c r="G25" s="344">
        <f t="shared" si="23"/>
        <v>0</v>
      </c>
      <c r="H25" s="344">
        <f t="shared" si="23"/>
        <v>0</v>
      </c>
      <c r="I25" s="344">
        <f t="shared" si="23"/>
        <v>0</v>
      </c>
      <c r="J25" s="344">
        <f t="shared" si="23"/>
        <v>0</v>
      </c>
      <c r="K25" s="344">
        <f t="shared" si="23"/>
        <v>0</v>
      </c>
      <c r="L25" s="344">
        <f t="shared" si="23"/>
        <v>0</v>
      </c>
      <c r="M25" s="344">
        <f t="shared" si="23"/>
        <v>0</v>
      </c>
      <c r="N25" s="344">
        <f t="shared" si="23"/>
        <v>0</v>
      </c>
      <c r="O25" s="344">
        <f t="shared" si="23"/>
        <v>0</v>
      </c>
      <c r="P25" s="344">
        <f t="shared" si="23"/>
        <v>0.16276839999999995</v>
      </c>
      <c r="Q25" s="344">
        <f t="shared" si="23"/>
        <v>0.17397665000000001</v>
      </c>
      <c r="R25" s="344">
        <f t="shared" si="23"/>
        <v>0.18646688420100074</v>
      </c>
      <c r="S25" s="693">
        <f t="shared" si="23"/>
        <v>0.20116472713773889</v>
      </c>
      <c r="T25" s="693">
        <f t="shared" ref="T25" si="24">+(T23+S23)/2*T$10/100</f>
        <v>0.22843414319246605</v>
      </c>
      <c r="U25" s="693">
        <f t="shared" ref="U25" si="25">+(U23+T23)/2*U$10/100</f>
        <v>0.26054652690623264</v>
      </c>
      <c r="V25" s="693">
        <f t="shared" ref="V25" si="26">+(V23+U23)/2*V$10/100</f>
        <v>0.28807151706045014</v>
      </c>
      <c r="W25" s="693">
        <f t="shared" ref="W25" si="27">+(W23+V23)/2*W$10/100</f>
        <v>0.31412658293033824</v>
      </c>
      <c r="X25" s="693">
        <f t="shared" ref="X25" si="28">+(X23+W23)/2*X$10/100</f>
        <v>0.33794792427560516</v>
      </c>
      <c r="Y25" s="693">
        <f t="shared" ref="Y25" si="29">+(Y23+X23)/2*Y$10/100</f>
        <v>0.36022039460432481</v>
      </c>
      <c r="Z25" s="693">
        <f t="shared" ref="Z25" si="30">+(Z23+Y23)/2*Z$10/100</f>
        <v>0.38116758471456136</v>
      </c>
      <c r="AA25" s="693">
        <f t="shared" si="23"/>
        <v>0.4028643785551036</v>
      </c>
      <c r="AB25" s="329">
        <f>+(AB23+AA23)/2*AB$10/100</f>
        <v>0.41353565069914511</v>
      </c>
      <c r="AC25" s="348"/>
      <c r="AD25" s="348"/>
      <c r="AE25" s="298" t="s">
        <v>2486</v>
      </c>
    </row>
    <row r="26" spans="1:31" ht="25.5">
      <c r="C26" s="330" t="s">
        <v>2487</v>
      </c>
      <c r="D26" s="350"/>
      <c r="E26" s="344">
        <f>+E18-E25</f>
        <v>0</v>
      </c>
      <c r="F26" s="344">
        <f t="shared" ref="F26:AA26" si="31">+F18-F25</f>
        <v>0</v>
      </c>
      <c r="G26" s="344">
        <f t="shared" si="31"/>
        <v>0</v>
      </c>
      <c r="H26" s="344">
        <f t="shared" si="31"/>
        <v>0</v>
      </c>
      <c r="I26" s="344">
        <f t="shared" si="31"/>
        <v>0</v>
      </c>
      <c r="J26" s="344">
        <f t="shared" si="31"/>
        <v>0</v>
      </c>
      <c r="K26" s="344">
        <f t="shared" si="31"/>
        <v>-2.309601E-2</v>
      </c>
      <c r="L26" s="344">
        <f t="shared" si="31"/>
        <v>-3.8098010000000002E-2</v>
      </c>
      <c r="M26" s="344">
        <f t="shared" si="31"/>
        <v>-5.1999999999999972E-3</v>
      </c>
      <c r="N26" s="344">
        <f t="shared" si="31"/>
        <v>9.1000000000000022E-3</v>
      </c>
      <c r="O26" s="344">
        <f t="shared" si="31"/>
        <v>7.3400000000000007E-2</v>
      </c>
      <c r="P26" s="344">
        <f t="shared" si="31"/>
        <v>-9.2868399999999976E-2</v>
      </c>
      <c r="Q26" s="344">
        <f t="shared" si="31"/>
        <v>-8.7576649999999936E-2</v>
      </c>
      <c r="R26" s="344">
        <f t="shared" si="31"/>
        <v>-5.3104562686968254E-2</v>
      </c>
      <c r="S26" s="693">
        <f t="shared" si="31"/>
        <v>-3.8601012451058458E-2</v>
      </c>
      <c r="T26" s="693">
        <f t="shared" si="31"/>
        <v>-2.5595583482378503E-2</v>
      </c>
      <c r="U26" s="693">
        <f t="shared" si="31"/>
        <v>-7.460052237507786E-3</v>
      </c>
      <c r="V26" s="693">
        <f t="shared" si="31"/>
        <v>9.0596536659188764E-3</v>
      </c>
      <c r="W26" s="693">
        <f t="shared" si="31"/>
        <v>1.8680215830546798E-2</v>
      </c>
      <c r="X26" s="693">
        <f t="shared" si="31"/>
        <v>2.4626930537471226E-2</v>
      </c>
      <c r="Y26" s="693">
        <f t="shared" si="31"/>
        <v>2.7009856314180847E-2</v>
      </c>
      <c r="Z26" s="693">
        <f t="shared" si="31"/>
        <v>2.8099373469672839E-2</v>
      </c>
      <c r="AA26" s="693">
        <f t="shared" si="31"/>
        <v>3.9576019321697464E-2</v>
      </c>
      <c r="AB26" s="329">
        <f>+(AB18-AB25)/(AB10-AB19)*100</f>
        <v>0.48738728200702386</v>
      </c>
      <c r="AC26" s="348"/>
      <c r="AD26" s="348"/>
      <c r="AE26" s="346" t="s">
        <v>2488</v>
      </c>
    </row>
    <row r="27" spans="1:31">
      <c r="C27" s="347" t="s">
        <v>2474</v>
      </c>
      <c r="D27" s="330"/>
      <c r="E27" s="330"/>
      <c r="F27" s="339"/>
      <c r="G27" s="339"/>
      <c r="H27" s="339"/>
      <c r="I27" s="339"/>
      <c r="J27" s="339"/>
      <c r="K27" s="339"/>
      <c r="L27" s="339">
        <f t="shared" ref="L27:AA27" si="32">+(L26-K26)/K26*100</f>
        <v>64.954942433779692</v>
      </c>
      <c r="M27" s="339">
        <f t="shared" si="32"/>
        <v>-86.35099313586197</v>
      </c>
      <c r="N27" s="339">
        <f t="shared" si="32"/>
        <v>-275.00000000000011</v>
      </c>
      <c r="O27" s="339">
        <f t="shared" si="32"/>
        <v>706.5934065934066</v>
      </c>
      <c r="P27" s="339">
        <f t="shared" si="32"/>
        <v>-226.52370572207082</v>
      </c>
      <c r="Q27" s="339">
        <f t="shared" si="32"/>
        <v>-5.6981169052121503</v>
      </c>
      <c r="R27" s="339">
        <f t="shared" si="32"/>
        <v>-39.362189936508997</v>
      </c>
      <c r="S27" s="694">
        <f t="shared" si="32"/>
        <v>-27.311307168468474</v>
      </c>
      <c r="T27" s="694">
        <f t="shared" si="32"/>
        <v>-33.69193744637996</v>
      </c>
      <c r="U27" s="694">
        <f t="shared" si="32"/>
        <v>-70.854142697533263</v>
      </c>
      <c r="V27" s="694">
        <f t="shared" si="32"/>
        <v>-221.44222825101124</v>
      </c>
      <c r="W27" s="694">
        <f t="shared" si="32"/>
        <v>106.19127970442295</v>
      </c>
      <c r="X27" s="694">
        <f t="shared" si="32"/>
        <v>31.834293355433669</v>
      </c>
      <c r="Y27" s="694">
        <f t="shared" si="32"/>
        <v>9.6760973645654662</v>
      </c>
      <c r="Z27" s="694">
        <f t="shared" si="32"/>
        <v>4.0337761993941772</v>
      </c>
      <c r="AA27" s="694">
        <f t="shared" si="32"/>
        <v>40.843066712541358</v>
      </c>
      <c r="AB27" s="352"/>
      <c r="AC27" s="348"/>
      <c r="AD27" s="348"/>
    </row>
    <row r="28" spans="1:31">
      <c r="C28" s="353" t="s">
        <v>2489</v>
      </c>
      <c r="D28" s="354"/>
      <c r="E28" s="345"/>
      <c r="F28" s="345"/>
      <c r="G28" s="345"/>
      <c r="H28" s="345"/>
      <c r="I28" s="345"/>
      <c r="J28" s="345"/>
      <c r="K28" s="345"/>
      <c r="L28" s="345"/>
      <c r="M28" s="345"/>
      <c r="N28" s="345"/>
      <c r="O28" s="345"/>
      <c r="P28" s="345"/>
      <c r="Q28" s="345"/>
      <c r="R28" s="345"/>
      <c r="S28" s="695">
        <f t="shared" ref="S28:AA28" ca="1" si="33">S26/(1+S$10/100)^S$6</f>
        <v>-3.4869929946755612E-2</v>
      </c>
      <c r="T28" s="695">
        <f t="shared" ca="1" si="33"/>
        <v>-2.088088204733908E-2</v>
      </c>
      <c r="U28" s="695">
        <f t="shared" ca="1" si="33"/>
        <v>-5.4976622267514409E-3</v>
      </c>
      <c r="V28" s="695">
        <f t="shared" ca="1" si="33"/>
        <v>6.0311504154300912E-3</v>
      </c>
      <c r="W28" s="695">
        <f t="shared" ca="1" si="33"/>
        <v>1.123370029130436E-2</v>
      </c>
      <c r="X28" s="695">
        <f t="shared" ca="1" si="33"/>
        <v>1.3374657069170818E-2</v>
      </c>
      <c r="Y28" s="695">
        <f t="shared" ca="1" si="33"/>
        <v>1.3250950234291351E-2</v>
      </c>
      <c r="Z28" s="695">
        <f t="shared" ca="1" si="33"/>
        <v>1.245299359623827E-2</v>
      </c>
      <c r="AA28" s="695">
        <f t="shared" ca="1" si="33"/>
        <v>1.5843882636367091E-2</v>
      </c>
      <c r="AB28" s="329">
        <f ca="1">AB26/(1+AB10/100)^AB6</f>
        <v>0.19512085922051306</v>
      </c>
      <c r="AC28" s="348"/>
      <c r="AD28" s="348"/>
    </row>
    <row r="29" spans="1:31">
      <c r="C29" s="333"/>
      <c r="D29" s="350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50"/>
      <c r="R29" s="350"/>
      <c r="S29" s="350"/>
      <c r="T29" s="350"/>
      <c r="U29" s="350"/>
      <c r="V29" s="350"/>
      <c r="W29" s="350"/>
      <c r="X29" s="350"/>
      <c r="Y29" s="350"/>
      <c r="Z29" s="350"/>
      <c r="AA29" s="350"/>
      <c r="AB29" s="336"/>
      <c r="AC29" s="337"/>
      <c r="AD29" s="337"/>
    </row>
    <row r="30" spans="1:31">
      <c r="C30" s="355" t="s">
        <v>2490</v>
      </c>
      <c r="D30" s="350"/>
      <c r="E30" s="344"/>
      <c r="F30" s="344"/>
      <c r="G30" s="344"/>
      <c r="H30" s="344"/>
      <c r="I30" s="344"/>
      <c r="J30" s="344"/>
      <c r="K30" s="344"/>
      <c r="L30" s="344"/>
      <c r="M30" s="344">
        <f t="shared" ref="M30:AA30" si="34">+M18/(M23+L23)*200</f>
        <v>-0.96681230826438513</v>
      </c>
      <c r="N30" s="344">
        <f t="shared" si="34"/>
        <v>0.7337822037656736</v>
      </c>
      <c r="O30" s="344">
        <f t="shared" si="34"/>
        <v>5.0942152201825328</v>
      </c>
      <c r="P30" s="344">
        <f t="shared" si="34"/>
        <v>4.5950565343150132</v>
      </c>
      <c r="Q30" s="333">
        <f t="shared" si="34"/>
        <v>5.3138165380239295</v>
      </c>
      <c r="R30" s="333">
        <f t="shared" si="34"/>
        <v>7.6527091998917482</v>
      </c>
      <c r="S30" s="333">
        <f t="shared" si="34"/>
        <v>8.6468029057424136</v>
      </c>
      <c r="T30" s="333">
        <f t="shared" si="34"/>
        <v>9.5010866526607618</v>
      </c>
      <c r="U30" s="333">
        <f t="shared" si="34"/>
        <v>10.393634147078611</v>
      </c>
      <c r="V30" s="333">
        <f t="shared" si="34"/>
        <v>11.036507736740212</v>
      </c>
      <c r="W30" s="333">
        <f t="shared" si="34"/>
        <v>11.336298614151914</v>
      </c>
      <c r="X30" s="333">
        <f t="shared" si="34"/>
        <v>11.479730064375374</v>
      </c>
      <c r="Y30" s="333">
        <f t="shared" si="34"/>
        <v>11.502301776608695</v>
      </c>
      <c r="Z30" s="333">
        <f t="shared" si="34"/>
        <v>11.488795553931091</v>
      </c>
      <c r="AA30" s="333">
        <f t="shared" si="34"/>
        <v>11.751131421102405</v>
      </c>
      <c r="AB30" s="356">
        <f>AA30</f>
        <v>11.751131421102405</v>
      </c>
      <c r="AC30" s="337">
        <f>AVERAGE(D30:P30)</f>
        <v>2.3640604124997084</v>
      </c>
      <c r="AD30" s="337">
        <f>AVERAGE(Q30:AA30)</f>
        <v>10.009346782755195</v>
      </c>
    </row>
    <row r="31" spans="1:31">
      <c r="C31" s="333"/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36"/>
      <c r="AC31" s="337"/>
      <c r="AD31" s="337"/>
    </row>
    <row r="32" spans="1:31">
      <c r="A32" s="298" t="s">
        <v>892</v>
      </c>
      <c r="C32" s="344" t="s">
        <v>2491</v>
      </c>
      <c r="D32" s="334">
        <f>VLOOKUP($A32,Model!$1:$1048576,MATCH("fy"&amp;RIGHT(D$4,2)&amp;"a",Model!$1:$1,0),FALSE)/1000</f>
        <v>0</v>
      </c>
      <c r="E32" s="334">
        <f>VLOOKUP($A32,Model!$1:$1048576,MATCH("fy"&amp;RIGHT(E$4,2)&amp;"a",Model!$1:$1,0),FALSE)/1000</f>
        <v>0</v>
      </c>
      <c r="F32" s="334">
        <f>VLOOKUP($A32,Model!$1:$1048576,MATCH("fy"&amp;RIGHT(F$4,2)&amp;"a",Model!$1:$1,0),FALSE)/1000</f>
        <v>0</v>
      </c>
      <c r="G32" s="334">
        <f>VLOOKUP($A32,Model!$1:$1048576,MATCH("fy"&amp;RIGHT(G$4,2)&amp;"a",Model!$1:$1,0),FALSE)/1000</f>
        <v>0</v>
      </c>
      <c r="H32" s="334">
        <f>VLOOKUP($A32,Model!$1:$1048576,MATCH("fy"&amp;RIGHT(H$4,2)&amp;"a",Model!$1:$1,0),FALSE)/1000</f>
        <v>0</v>
      </c>
      <c r="I32" s="334">
        <f>VLOOKUP($A32,Model!$1:$1048576,MATCH("fy"&amp;RIGHT(I$4,2)&amp;"a",Model!$1:$1,0),FALSE)/1000</f>
        <v>0</v>
      </c>
      <c r="J32" s="334">
        <f>VLOOKUP($A32,Model!$1:$1048576,MATCH("fy"&amp;RIGHT(J$4,2)&amp;"a",Model!$1:$1,0),FALSE)/1000</f>
        <v>0</v>
      </c>
      <c r="K32" s="334">
        <f>VLOOKUP($A32,Model!$1:$1048576,MATCH("fy"&amp;RIGHT(K$4,2)&amp;"a",Model!$1:$1,0),FALSE)/1000</f>
        <v>0.44380000000000003</v>
      </c>
      <c r="L32" s="334">
        <f>VLOOKUP($A32,Model!$1:$1048576,MATCH("fy"&amp;RIGHT(L$4,2)&amp;"a",Model!$1:$1,0),FALSE)/1000</f>
        <v>2.2866</v>
      </c>
      <c r="M32" s="334">
        <f>VLOOKUP($A32,Model!$1:$1048576,MATCH("fy"&amp;RIGHT(M$4,2)&amp;"a",Model!$1:$1,0),FALSE)/1000</f>
        <v>4.0940000000000003</v>
      </c>
      <c r="N32" s="334">
        <f>VLOOKUP($A32,Model!$1:$1048576,MATCH("fy"&amp;RIGHT(N$4,2)&amp;"a",Model!$1:$1,0),FALSE)/1000</f>
        <v>6.3109999999999999</v>
      </c>
      <c r="O32" s="334">
        <f>VLOOKUP($A32,Model!$1:$1048576,MATCH("fy"&amp;RIGHT(O$4,2)&amp;"a",Model!$1:$1,0),FALSE)/1000</f>
        <v>8.1790000000000003</v>
      </c>
      <c r="P32" s="334">
        <f>VLOOKUP($A32,Model!$1:$1048576,MATCH("fy"&amp;RIGHT(P$4,2)&amp;"a",Model!$1:$1,0),FALSE)/1000</f>
        <v>9.6110000000000007</v>
      </c>
      <c r="Q32" s="334">
        <f>VLOOKUP($A32,Model!$1:$1048576,MATCH("fy"&amp;RIGHT(Q$4,2)&amp;"A",Model!$1:$1,0),FALSE)/1000</f>
        <v>11.548</v>
      </c>
      <c r="R32" s="334">
        <f>VLOOKUP($A32,Model!$1:$1048576,MATCH("fy"&amp;RIGHT(R$4,2)&amp;"E",Model!$1:$1,0),FALSE)/1000</f>
        <v>13.959902708202582</v>
      </c>
      <c r="S32" s="334">
        <f>VLOOKUP($A32,Model!$1:$1048576,MATCH("fy"&amp;RIGHT(S$4,2)&amp;"E",Model!$1:$1,0),FALSE)/1000</f>
        <v>16.04426959597712</v>
      </c>
      <c r="T32" s="334">
        <f>VLOOKUP($A32,Model!$1:$1048576,MATCH("fy"&amp;RIGHT(T$4,2)&amp;"E",Model!$1:$1,0),FALSE)/1000</f>
        <v>18.53002879155941</v>
      </c>
      <c r="U32" s="334">
        <f>VLOOKUP($A32,Model!$1:$1048576,MATCH("fy"&amp;RIGHT(U$4,2)&amp;"E",Model!$1:$1,0),FALSE)/1000</f>
        <v>20.987450725300626</v>
      </c>
      <c r="V32" s="334">
        <f>VLOOKUP($A32,Model!$1:$1048576,MATCH("fy"&amp;RIGHT(V$4,2)&amp;"E",Model!$1:$1,0),FALSE)/1000</f>
        <v>23.163978723589846</v>
      </c>
      <c r="W32" s="334">
        <f>VLOOKUP($A32,Model!$1:$1048576,MATCH("fy"&amp;RIGHT(W$4,2)&amp;"E",Model!$1:$1,0),FALSE)/1000</f>
        <v>25.170455598606303</v>
      </c>
      <c r="X32" s="334">
        <f>VLOOKUP($A32,Model!$1:$1048576,MATCH("fy"&amp;RIGHT(X$4,2)&amp;"E",Model!$1:$1,0),FALSE)/1000</f>
        <v>26.935427852599883</v>
      </c>
      <c r="Y32" s="334">
        <f>VLOOKUP($A32,Model!$1:$1048576,MATCH("fy"&amp;RIGHT(Y$4,2)&amp;"E",Model!$1:$1,0),FALSE)/1000</f>
        <v>28.572409316673948</v>
      </c>
      <c r="Z32" s="334">
        <f>VLOOKUP($A32,Model!$1:$1048576,MATCH("fy"&amp;RIGHT(Z$4,2)&amp;"E",Model!$1:$1,0),FALSE)/1000</f>
        <v>30.31771202377162</v>
      </c>
      <c r="AA32" s="335">
        <f t="shared" ref="AA32" si="35">+AA33/100*AA13</f>
        <v>31.075654824365909</v>
      </c>
      <c r="AB32" s="336"/>
      <c r="AC32" s="337"/>
      <c r="AD32" s="337"/>
    </row>
    <row r="33" spans="1:31">
      <c r="C33" s="344" t="s">
        <v>2492</v>
      </c>
      <c r="D33" s="334"/>
      <c r="E33" s="334"/>
      <c r="F33" s="334"/>
      <c r="G33" s="334"/>
      <c r="H33" s="334"/>
      <c r="I33" s="334"/>
      <c r="J33" s="334"/>
      <c r="K33" s="334"/>
      <c r="L33" s="334"/>
      <c r="M33" s="334">
        <f t="shared" ref="M33:Z33" si="36">100*(M32/M13)</f>
        <v>57.051282051282058</v>
      </c>
      <c r="N33" s="334">
        <f t="shared" si="36"/>
        <v>67.03418095298791</v>
      </c>
      <c r="O33" s="334">
        <f t="shared" si="36"/>
        <v>67.307454924002414</v>
      </c>
      <c r="P33" s="334">
        <f t="shared" si="36"/>
        <v>72.829365139505626</v>
      </c>
      <c r="Q33" s="334">
        <f t="shared" si="36"/>
        <v>77.098716801751877</v>
      </c>
      <c r="R33" s="334">
        <f t="shared" si="36"/>
        <v>80.138846179977691</v>
      </c>
      <c r="S33" s="334">
        <f t="shared" si="36"/>
        <v>80.334565630329067</v>
      </c>
      <c r="T33" s="334">
        <f t="shared" si="36"/>
        <v>81.461002429634107</v>
      </c>
      <c r="U33" s="334">
        <f t="shared" si="36"/>
        <v>81.699326742181938</v>
      </c>
      <c r="V33" s="334">
        <f t="shared" si="36"/>
        <v>81.195548339485555</v>
      </c>
      <c r="W33" s="334">
        <f t="shared" si="36"/>
        <v>80.796161942842815</v>
      </c>
      <c r="X33" s="334">
        <f t="shared" si="36"/>
        <v>80.526220677063208</v>
      </c>
      <c r="Y33" s="334">
        <f t="shared" si="36"/>
        <v>80.281997098049231</v>
      </c>
      <c r="Z33" s="334">
        <f t="shared" si="36"/>
        <v>80.058826292815411</v>
      </c>
      <c r="AA33" s="340">
        <f t="shared" ref="AA33" si="37">+Z33</f>
        <v>80.058826292815411</v>
      </c>
      <c r="AB33" s="336"/>
      <c r="AC33" s="337"/>
      <c r="AD33" s="337"/>
    </row>
    <row r="34" spans="1:31">
      <c r="C34" s="344" t="s">
        <v>2493</v>
      </c>
      <c r="D34" s="344"/>
      <c r="E34" s="344"/>
      <c r="F34" s="344"/>
      <c r="G34" s="344"/>
      <c r="H34" s="344"/>
      <c r="I34" s="344"/>
      <c r="J34" s="344"/>
      <c r="K34" s="344"/>
      <c r="L34" s="344"/>
      <c r="M34" s="344">
        <f t="shared" ref="M34:AA34" si="38">+M13/M23</f>
        <v>6.6710049270242617</v>
      </c>
      <c r="N34" s="344">
        <f t="shared" si="38"/>
        <v>6.7026911576249475</v>
      </c>
      <c r="O34" s="344">
        <f t="shared" si="38"/>
        <v>8.2267280482025598</v>
      </c>
      <c r="P34" s="344">
        <f t="shared" si="38"/>
        <v>8.4307161566472892</v>
      </c>
      <c r="Q34" s="344">
        <f t="shared" si="38"/>
        <v>8.8807067473022663</v>
      </c>
      <c r="R34" s="344">
        <f t="shared" si="38"/>
        <v>9.6842395667956147</v>
      </c>
      <c r="S34" s="344">
        <f t="shared" si="38"/>
        <v>10.182811575860045</v>
      </c>
      <c r="T34" s="344">
        <f t="shared" si="38"/>
        <v>9.8537585127227558</v>
      </c>
      <c r="U34" s="344">
        <f t="shared" si="38"/>
        <v>10.028525924296595</v>
      </c>
      <c r="V34" s="344">
        <f t="shared" si="38"/>
        <v>10.105939675093923</v>
      </c>
      <c r="W34" s="344">
        <f t="shared" si="38"/>
        <v>10.218907003675904</v>
      </c>
      <c r="X34" s="344">
        <f t="shared" si="38"/>
        <v>10.234717741074357</v>
      </c>
      <c r="Y34" s="344">
        <f t="shared" si="38"/>
        <v>10.271668766043176</v>
      </c>
      <c r="Z34" s="344">
        <f t="shared" si="38"/>
        <v>10.347503222318574</v>
      </c>
      <c r="AA34" s="357">
        <f t="shared" si="38"/>
        <v>10.028883428159515</v>
      </c>
      <c r="AB34" s="336"/>
      <c r="AC34" s="337">
        <f>AVERAGE(D34:P34)</f>
        <v>7.507785072374765</v>
      </c>
      <c r="AD34" s="337">
        <f>AVERAGE(Q34:AA34)</f>
        <v>9.9852420148493408</v>
      </c>
      <c r="AE34" s="298" t="s">
        <v>2494</v>
      </c>
    </row>
    <row r="35" spans="1:31">
      <c r="C35" s="344"/>
      <c r="D35" s="342"/>
      <c r="E35" s="342"/>
      <c r="F35" s="342"/>
      <c r="G35" s="342"/>
      <c r="H35" s="342"/>
      <c r="I35" s="342"/>
      <c r="J35" s="342"/>
      <c r="K35" s="342"/>
      <c r="L35" s="342"/>
      <c r="M35" s="342"/>
      <c r="N35" s="342"/>
      <c r="O35" s="342"/>
      <c r="P35" s="342"/>
      <c r="Q35" s="342"/>
      <c r="R35" s="342"/>
      <c r="S35" s="342"/>
      <c r="T35" s="342"/>
      <c r="U35" s="342"/>
      <c r="V35" s="342"/>
      <c r="W35" s="342"/>
      <c r="X35" s="342"/>
      <c r="Y35" s="342"/>
      <c r="Z35" s="342"/>
      <c r="AA35" s="342"/>
      <c r="AB35" s="336"/>
      <c r="AC35" s="337"/>
      <c r="AD35" s="337"/>
    </row>
    <row r="36" spans="1:31">
      <c r="A36" s="298" t="s">
        <v>955</v>
      </c>
      <c r="C36" s="344" t="s">
        <v>2495</v>
      </c>
      <c r="D36" s="344">
        <f>VLOOKUP($A36,Model!$1:$1048576,MATCH("fy"&amp;RIGHT(D$4,2)&amp;"a",Model!$1:$1,0),FALSE)*100</f>
        <v>0</v>
      </c>
      <c r="E36" s="344">
        <f>VLOOKUP($A36,Model!$1:$1048576,MATCH("fy"&amp;RIGHT(E$4,2)&amp;"a",Model!$1:$1,0),FALSE)*100</f>
        <v>0</v>
      </c>
      <c r="F36" s="344">
        <f>VLOOKUP($A36,Model!$1:$1048576,MATCH("fy"&amp;RIGHT(F$4,2)&amp;"a",Model!$1:$1,0),FALSE)*100</f>
        <v>0</v>
      </c>
      <c r="G36" s="344">
        <f>VLOOKUP($A36,Model!$1:$1048576,MATCH("fy"&amp;RIGHT(G$4,2)&amp;"a",Model!$1:$1,0),FALSE)*100</f>
        <v>0</v>
      </c>
      <c r="H36" s="344">
        <f>VLOOKUP($A36,Model!$1:$1048576,MATCH("fy"&amp;RIGHT(H$4,2)&amp;"a",Model!$1:$1,0),FALSE)*100</f>
        <v>0</v>
      </c>
      <c r="I36" s="344">
        <f>VLOOKUP($A36,Model!$1:$1048576,MATCH("fy"&amp;RIGHT(I$4,2)&amp;"a",Model!$1:$1,0),FALSE)*100</f>
        <v>0</v>
      </c>
      <c r="J36" s="344">
        <f>VLOOKUP($A36,Model!$1:$1048576,MATCH("fy"&amp;RIGHT(J$4,2)&amp;"a",Model!$1:$1,0),FALSE)*100</f>
        <v>0</v>
      </c>
      <c r="K36" s="344">
        <f>VLOOKUP($A36,Model!$1:$1048576,MATCH("fy"&amp;RIGHT(K$4,2)&amp;"a",Model!$1:$1,0),FALSE)*100</f>
        <v>43.6</v>
      </c>
      <c r="L36" s="344">
        <f>VLOOKUP($A36,Model!$1:$1048576,MATCH("fy"&amp;RIGHT(L$4,2)&amp;"a",Model!$1:$1,0),FALSE)*100</f>
        <v>23.1</v>
      </c>
      <c r="M36" s="344">
        <f>VLOOKUP($A36,Model!$1:$1048576,MATCH("fy"&amp;RIGHT(M$4,2)&amp;"a",Model!$1:$1,0),FALSE)*100</f>
        <v>24.523693209574986</v>
      </c>
      <c r="N36" s="344">
        <f>VLOOKUP($A36,Model!$1:$1048576,MATCH("fy"&amp;RIGHT(N$4,2)&amp;"a",Model!$1:$1,0),FALSE)*100</f>
        <v>20.472191411820628</v>
      </c>
      <c r="O36" s="344">
        <f>VLOOKUP($A36,Model!$1:$1048576,MATCH("fy"&amp;RIGHT(O$4,2)&amp;"a",Model!$1:$1,0),FALSE)*100</f>
        <v>16.701308228389777</v>
      </c>
      <c r="P36" s="358">
        <f>VLOOKUP($A36,Model!$1:$1048576,MATCH("fy"&amp;RIGHT(P$4,2)&amp;"a",Model!$1:$1,0),FALSE)*100</f>
        <v>15.461450421392156</v>
      </c>
      <c r="Q36" s="344">
        <f>VLOOKUP($A36,Model!$1:$1048576,MATCH("fy"&amp;RIGHT(Q$4,2)&amp;"A",Model!$1:$1,0),FALSE)*100</f>
        <v>13.785936958780741</v>
      </c>
      <c r="R36" s="344">
        <f>VLOOKUP($A36,Model!$1:$1048576,MATCH("fy"&amp;RIGHT(R$4,2)&amp;"E",Model!$1:$1,0),FALSE)*100</f>
        <v>12.535491497176682</v>
      </c>
      <c r="S36" s="344">
        <f>VLOOKUP($A36,Model!$1:$1048576,MATCH("fy"&amp;RIGHT(S$4,2)&amp;"E",Model!$1:$1,0),FALSE)*100</f>
        <v>11.942723740517865</v>
      </c>
      <c r="T36" s="344">
        <f>VLOOKUP($A36,Model!$1:$1048576,MATCH("fy"&amp;RIGHT(T$4,2)&amp;"E",Model!$1:$1,0),FALSE)*100</f>
        <v>12.225342938831435</v>
      </c>
      <c r="U36" s="344">
        <f>VLOOKUP($A36,Model!$1:$1048576,MATCH("fy"&amp;RIGHT(U$4,2)&amp;"E",Model!$1:$1,0),FALSE)*100</f>
        <v>12.004407543207106</v>
      </c>
      <c r="V36" s="344">
        <f>VLOOKUP($A36,Model!$1:$1048576,MATCH("fy"&amp;RIGHT(V$4,2)&amp;"E",Model!$1:$1,0),FALSE)*100</f>
        <v>12.005587336440598</v>
      </c>
      <c r="W36" s="344">
        <f>VLOOKUP($A36,Model!$1:$1048576,MATCH("fy"&amp;RIGHT(W$4,2)&amp;"E",Model!$1:$1,0),FALSE)*100</f>
        <v>11.942974703071769</v>
      </c>
      <c r="X36" s="344">
        <f>VLOOKUP($A36,Model!$1:$1048576,MATCH("fy"&amp;RIGHT(X$4,2)&amp;"E",Model!$1:$1,0),FALSE)*100</f>
        <v>11.972462486188681</v>
      </c>
      <c r="Y36" s="344">
        <f>VLOOKUP($A36,Model!$1:$1048576,MATCH("fy"&amp;RIGHT(Y$4,2)&amp;"E",Model!$1:$1,0),FALSE)*100</f>
        <v>11.970518616717159</v>
      </c>
      <c r="Z36" s="344">
        <f>VLOOKUP($A36,Model!$1:$1048576,MATCH("fy"&amp;RIGHT(Z$4,2)&amp;"E",Model!$1:$1,0),FALSE)*100</f>
        <v>11.919390662163416</v>
      </c>
      <c r="AA36" s="357">
        <f t="shared" ref="AA36" si="39">+AA38*AA37/100</f>
        <v>12.298072279761683</v>
      </c>
      <c r="AB36" s="336"/>
      <c r="AC36" s="337"/>
      <c r="AD36" s="337"/>
      <c r="AE36" s="298" t="s">
        <v>2494</v>
      </c>
    </row>
    <row r="37" spans="1:31">
      <c r="C37" s="359" t="s">
        <v>2496</v>
      </c>
      <c r="D37" s="342"/>
      <c r="E37" s="342"/>
      <c r="F37" s="342"/>
      <c r="G37" s="342"/>
      <c r="H37" s="342"/>
      <c r="I37" s="342"/>
      <c r="J37" s="342"/>
      <c r="K37" s="342"/>
      <c r="L37" s="342"/>
      <c r="M37" s="342">
        <f t="shared" ref="M37:AA37" si="40">+M23/M32*100</f>
        <v>26.275036638983885</v>
      </c>
      <c r="N37" s="342">
        <f t="shared" si="40"/>
        <v>22.256377753129456</v>
      </c>
      <c r="O37" s="342">
        <f t="shared" si="40"/>
        <v>18.059664995720745</v>
      </c>
      <c r="P37" s="342">
        <f t="shared" si="40"/>
        <v>16.286546665279367</v>
      </c>
      <c r="Q37" s="342">
        <f t="shared" si="40"/>
        <v>14.605126428818844</v>
      </c>
      <c r="R37" s="342">
        <f t="shared" si="40"/>
        <v>12.885206717501784</v>
      </c>
      <c r="S37" s="342">
        <f t="shared" si="40"/>
        <v>12.224464469809762</v>
      </c>
      <c r="T37" s="342">
        <f t="shared" si="40"/>
        <v>12.458000248056136</v>
      </c>
      <c r="U37" s="342">
        <f t="shared" si="40"/>
        <v>12.205186523192552</v>
      </c>
      <c r="V37" s="342">
        <f t="shared" si="40"/>
        <v>12.18683915996513</v>
      </c>
      <c r="W37" s="342">
        <f t="shared" si="40"/>
        <v>12.11169210883145</v>
      </c>
      <c r="X37" s="342">
        <f t="shared" si="40"/>
        <v>12.133520078876128</v>
      </c>
      <c r="Y37" s="342">
        <f t="shared" si="40"/>
        <v>12.126649533481636</v>
      </c>
      <c r="Z37" s="342">
        <f t="shared" si="40"/>
        <v>12.071332453120435</v>
      </c>
      <c r="AA37" s="342">
        <f t="shared" si="40"/>
        <v>12.454841294258161</v>
      </c>
      <c r="AB37" s="336"/>
      <c r="AC37" s="319"/>
      <c r="AD37" s="319"/>
    </row>
    <row r="38" spans="1:31">
      <c r="C38" s="359" t="s">
        <v>2497</v>
      </c>
      <c r="D38" s="342"/>
      <c r="E38" s="342"/>
      <c r="F38" s="342"/>
      <c r="G38" s="342"/>
      <c r="H38" s="342"/>
      <c r="I38" s="342"/>
      <c r="J38" s="342"/>
      <c r="K38" s="342"/>
      <c r="L38" s="342"/>
      <c r="M38" s="342">
        <f t="shared" ref="M38" si="41">+M36/M37*100</f>
        <v>93.334572836292622</v>
      </c>
      <c r="N38" s="342">
        <f>+N36/N37*100</f>
        <v>91.983482842090254</v>
      </c>
      <c r="O38" s="342">
        <f t="shared" ref="O38:Z38" si="42">+O36/O37*100</f>
        <v>92.478505179067099</v>
      </c>
      <c r="P38" s="342">
        <f t="shared" si="42"/>
        <v>94.933878489746377</v>
      </c>
      <c r="Q38" s="342">
        <f t="shared" si="42"/>
        <v>94.391082651488205</v>
      </c>
      <c r="R38" s="342">
        <f t="shared" si="42"/>
        <v>97.285916881332696</v>
      </c>
      <c r="S38" s="342">
        <f t="shared" si="42"/>
        <v>97.695271396242347</v>
      </c>
      <c r="T38" s="342">
        <f t="shared" si="42"/>
        <v>98.13246665121072</v>
      </c>
      <c r="U38" s="342">
        <f t="shared" si="42"/>
        <v>98.354969998992473</v>
      </c>
      <c r="V38" s="342">
        <f t="shared" si="42"/>
        <v>98.512724906389508</v>
      </c>
      <c r="W38" s="342">
        <f t="shared" si="42"/>
        <v>98.60698732890792</v>
      </c>
      <c r="X38" s="342">
        <f t="shared" si="42"/>
        <v>98.672622687888904</v>
      </c>
      <c r="Y38" s="342">
        <f t="shared" si="42"/>
        <v>98.712497492952195</v>
      </c>
      <c r="Z38" s="342">
        <f t="shared" si="42"/>
        <v>98.741300585108633</v>
      </c>
      <c r="AA38" s="340">
        <f t="shared" ref="AA38" si="43">+Z38</f>
        <v>98.741300585108633</v>
      </c>
      <c r="AB38" s="336"/>
      <c r="AC38" s="319"/>
      <c r="AD38" s="319"/>
    </row>
    <row r="39" spans="1:31">
      <c r="C39" s="344"/>
      <c r="D39" s="342"/>
      <c r="E39" s="342"/>
      <c r="F39" s="342"/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2"/>
      <c r="V39" s="342"/>
      <c r="W39" s="342"/>
      <c r="X39" s="342"/>
      <c r="Y39" s="342"/>
      <c r="Z39" s="342"/>
      <c r="AA39" s="342"/>
      <c r="AB39" s="336"/>
      <c r="AC39" s="348" t="s">
        <v>2498</v>
      </c>
      <c r="AD39" s="319"/>
    </row>
    <row r="40" spans="1:31">
      <c r="C40" s="316" t="s">
        <v>2499</v>
      </c>
      <c r="D40" s="316"/>
      <c r="E40" s="316"/>
      <c r="F40" s="316"/>
      <c r="G40" s="316"/>
      <c r="H40" s="316"/>
      <c r="I40" s="316"/>
      <c r="J40" s="316"/>
      <c r="K40" s="316"/>
      <c r="L40" s="326"/>
      <c r="M40" s="326"/>
      <c r="N40" s="326"/>
      <c r="O40" s="326"/>
      <c r="P40" s="326"/>
      <c r="Q40" s="333"/>
      <c r="R40" s="333"/>
      <c r="S40" s="333"/>
      <c r="T40" s="333"/>
      <c r="U40" s="333"/>
      <c r="V40" s="333"/>
      <c r="W40" s="333"/>
      <c r="X40" s="333"/>
      <c r="Y40" s="333"/>
      <c r="Z40" s="333"/>
      <c r="AA40" s="333"/>
      <c r="AB40" s="698">
        <f ca="1">SUMPRODUCT(P58:AA58,P23:AA23)</f>
        <v>1.9613260362007132</v>
      </c>
      <c r="AC40" s="361">
        <f ca="1">AB40/AB$43*100</f>
        <v>75.508831056470456</v>
      </c>
      <c r="AD40" s="362"/>
    </row>
    <row r="41" spans="1:31">
      <c r="C41" s="316" t="s">
        <v>2500</v>
      </c>
      <c r="D41" s="316"/>
      <c r="E41" s="316"/>
      <c r="F41" s="316"/>
      <c r="G41" s="316"/>
      <c r="H41" s="316"/>
      <c r="I41" s="316"/>
      <c r="J41" s="316"/>
      <c r="K41" s="316"/>
      <c r="L41" s="326"/>
      <c r="M41" s="326"/>
      <c r="N41" s="326"/>
      <c r="O41" s="326"/>
      <c r="P41" s="326"/>
      <c r="Q41" s="333"/>
      <c r="R41" s="333"/>
      <c r="S41" s="333"/>
      <c r="T41" s="333"/>
      <c r="U41" s="333"/>
      <c r="V41" s="333"/>
      <c r="W41" s="333"/>
      <c r="X41" s="333"/>
      <c r="Y41" s="333"/>
      <c r="Z41" s="333"/>
      <c r="AA41" s="333"/>
      <c r="AB41" s="698">
        <f ca="1">SUMIF(P$6:AA$6,"&gt;"&amp;0,(P28:AA28))+SUMIF(P$6:AA$6,"&gt;"&amp;0,P54:AA54)</f>
        <v>0.14279011120685342</v>
      </c>
      <c r="AC41" s="361">
        <f ca="1">AB41/AB$43*100</f>
        <v>5.4972575617966006</v>
      </c>
      <c r="AD41" s="319"/>
      <c r="AE41" s="298" t="s">
        <v>2501</v>
      </c>
    </row>
    <row r="42" spans="1:31">
      <c r="C42" s="316" t="s">
        <v>2502</v>
      </c>
      <c r="D42" s="316"/>
      <c r="E42" s="316"/>
      <c r="F42" s="316"/>
      <c r="G42" s="316"/>
      <c r="H42" s="316"/>
      <c r="I42" s="316"/>
      <c r="J42" s="316"/>
      <c r="K42" s="316"/>
      <c r="L42" s="326"/>
      <c r="M42" s="326"/>
      <c r="N42" s="326"/>
      <c r="O42" s="326"/>
      <c r="P42" s="326"/>
      <c r="Q42" s="333"/>
      <c r="R42" s="333"/>
      <c r="S42" s="333"/>
      <c r="T42" s="333"/>
      <c r="U42" s="333"/>
      <c r="V42" s="333"/>
      <c r="W42" s="333"/>
      <c r="X42" s="333"/>
      <c r="Y42" s="333"/>
      <c r="Z42" s="333"/>
      <c r="AA42" s="333"/>
      <c r="AB42" s="699">
        <f ca="1">+AB28+AB54</f>
        <v>0.49336286101981175</v>
      </c>
      <c r="AC42" s="361">
        <f ca="1">AB42/AB$43*100</f>
        <v>18.993911381732943</v>
      </c>
      <c r="AD42" s="319"/>
    </row>
    <row r="43" spans="1:31">
      <c r="C43" s="353" t="s">
        <v>2503</v>
      </c>
      <c r="D43" s="354"/>
      <c r="E43" s="345"/>
      <c r="F43" s="345"/>
      <c r="G43" s="345"/>
      <c r="H43" s="345"/>
      <c r="I43" s="345"/>
      <c r="J43" s="345"/>
      <c r="K43" s="345"/>
      <c r="L43" s="345"/>
      <c r="M43" s="345"/>
      <c r="N43" s="345"/>
      <c r="O43" s="345"/>
      <c r="P43" s="345"/>
      <c r="Q43" s="345"/>
      <c r="R43" s="345"/>
      <c r="S43" s="345"/>
      <c r="T43" s="345"/>
      <c r="U43" s="345"/>
      <c r="V43" s="345"/>
      <c r="W43" s="345"/>
      <c r="X43" s="345"/>
      <c r="Y43" s="345"/>
      <c r="Z43" s="345"/>
      <c r="AA43" s="345"/>
      <c r="AB43" s="699">
        <f ca="1">+AB41+AB40+AB42</f>
        <v>2.5974790084273782</v>
      </c>
      <c r="AC43" s="363"/>
      <c r="AD43" s="319"/>
    </row>
    <row r="44" spans="1:31">
      <c r="C44" s="353" t="s">
        <v>2504</v>
      </c>
      <c r="D44" s="354"/>
      <c r="E44" s="345"/>
      <c r="F44" s="345"/>
      <c r="G44" s="345"/>
      <c r="H44" s="345"/>
      <c r="I44" s="345"/>
      <c r="J44" s="345"/>
      <c r="K44" s="345"/>
      <c r="L44" s="345"/>
      <c r="M44" s="345"/>
      <c r="N44" s="345"/>
      <c r="O44" s="345"/>
      <c r="P44" s="345"/>
      <c r="Q44" s="345"/>
      <c r="R44" s="345"/>
      <c r="S44" s="345"/>
      <c r="T44" s="345"/>
      <c r="U44" s="345"/>
      <c r="V44" s="345"/>
      <c r="W44" s="345"/>
      <c r="X44" s="345"/>
      <c r="Y44" s="345"/>
      <c r="Z44" s="345"/>
      <c r="AA44" s="345"/>
      <c r="AB44" s="684">
        <f ca="1">AB43*1000/AB50</f>
        <v>2.3169815103464897</v>
      </c>
      <c r="AC44" s="319"/>
      <c r="AD44" s="319"/>
    </row>
    <row r="45" spans="1:31">
      <c r="C45" s="330" t="s">
        <v>2505</v>
      </c>
      <c r="D45" s="330"/>
      <c r="E45" s="330"/>
      <c r="F45" s="330"/>
      <c r="G45" s="330"/>
      <c r="H45" s="330"/>
      <c r="I45" s="330"/>
      <c r="J45" s="330"/>
      <c r="K45" s="330"/>
      <c r="L45" s="339"/>
      <c r="M45" s="339"/>
      <c r="N45" s="339"/>
      <c r="O45" s="339"/>
      <c r="P45" s="339"/>
      <c r="Q45" s="344"/>
      <c r="R45" s="344"/>
      <c r="S45" s="344"/>
      <c r="T45" s="344"/>
      <c r="U45" s="344"/>
      <c r="V45" s="344"/>
      <c r="W45" s="344"/>
      <c r="X45" s="344"/>
      <c r="Y45" s="344"/>
      <c r="Z45" s="344"/>
      <c r="AA45" s="344"/>
      <c r="AB45" s="685">
        <f>Summary!C5</f>
        <v>1.895</v>
      </c>
      <c r="AC45" s="325"/>
      <c r="AD45" s="325"/>
    </row>
    <row r="46" spans="1:31">
      <c r="C46" s="330" t="s">
        <v>2506</v>
      </c>
      <c r="D46" s="330"/>
      <c r="E46" s="330"/>
      <c r="F46" s="330"/>
      <c r="G46" s="330"/>
      <c r="H46" s="330"/>
      <c r="I46" s="330"/>
      <c r="J46" s="330"/>
      <c r="K46" s="330"/>
      <c r="L46" s="339"/>
      <c r="M46" s="339"/>
      <c r="N46" s="339"/>
      <c r="O46" s="339"/>
      <c r="P46" s="339"/>
      <c r="Q46" s="344"/>
      <c r="R46" s="344"/>
      <c r="S46" s="344"/>
      <c r="T46" s="344"/>
      <c r="U46" s="344"/>
      <c r="V46" s="344"/>
      <c r="W46" s="344"/>
      <c r="X46" s="344"/>
      <c r="Y46" s="344"/>
      <c r="Z46" s="344"/>
      <c r="AA46" s="344"/>
      <c r="AB46" s="352">
        <f ca="1">+(AB44-AB45)/AB45*100</f>
        <v>22.268153580289692</v>
      </c>
      <c r="AC46" s="325"/>
      <c r="AD46" s="325"/>
    </row>
    <row r="47" spans="1:31">
      <c r="C47" s="330"/>
      <c r="D47" s="330"/>
      <c r="E47" s="330"/>
      <c r="F47" s="330"/>
      <c r="G47" s="330"/>
      <c r="H47" s="330"/>
      <c r="I47" s="330"/>
      <c r="J47" s="330"/>
      <c r="K47" s="330"/>
      <c r="L47" s="339"/>
      <c r="M47" s="339"/>
      <c r="N47" s="339"/>
      <c r="O47" s="339"/>
      <c r="P47" s="339"/>
      <c r="Q47" s="344"/>
      <c r="R47" s="344"/>
      <c r="S47" s="344"/>
      <c r="T47" s="344"/>
      <c r="U47" s="344"/>
      <c r="V47" s="344"/>
      <c r="W47" s="344"/>
      <c r="X47" s="344"/>
      <c r="Y47" s="344"/>
      <c r="Z47" s="344"/>
      <c r="AA47" s="344"/>
      <c r="AB47" s="336"/>
      <c r="AC47" s="325"/>
      <c r="AD47" s="325"/>
    </row>
    <row r="48" spans="1:31">
      <c r="C48" s="353" t="s">
        <v>2507</v>
      </c>
      <c r="D48" s="354"/>
      <c r="E48" s="345"/>
      <c r="F48" s="345"/>
      <c r="G48" s="345"/>
      <c r="H48" s="345"/>
      <c r="I48" s="345"/>
      <c r="J48" s="345"/>
      <c r="K48" s="345"/>
      <c r="L48" s="345"/>
      <c r="M48" s="345"/>
      <c r="N48" s="345"/>
      <c r="O48" s="345"/>
      <c r="P48" s="345"/>
      <c r="Q48" s="345"/>
      <c r="R48" s="345"/>
      <c r="S48" s="345"/>
      <c r="T48" s="345"/>
      <c r="U48" s="345"/>
      <c r="V48" s="345"/>
      <c r="W48" s="345"/>
      <c r="X48" s="345"/>
      <c r="Y48" s="345"/>
      <c r="Z48" s="345"/>
      <c r="AA48" s="345"/>
      <c r="AB48" s="364">
        <f ca="1">+AB43/AB40</f>
        <v>1.324348405356897</v>
      </c>
      <c r="AC48" s="319"/>
      <c r="AD48" s="319"/>
    </row>
    <row r="49" spans="1:30"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55"/>
      <c r="R49" s="355"/>
      <c r="S49" s="355"/>
      <c r="T49" s="355"/>
      <c r="U49" s="355"/>
      <c r="V49" s="355"/>
      <c r="W49" s="355"/>
      <c r="X49" s="355"/>
      <c r="Y49" s="355"/>
      <c r="Z49" s="355"/>
      <c r="AA49" s="355"/>
      <c r="AB49" s="365"/>
      <c r="AC49" s="325"/>
      <c r="AD49" s="325"/>
    </row>
    <row r="50" spans="1:30">
      <c r="C50" s="366" t="s">
        <v>2508</v>
      </c>
      <c r="D50" s="367"/>
      <c r="E50" s="367"/>
      <c r="F50" s="367"/>
      <c r="G50" s="367"/>
      <c r="H50" s="367"/>
      <c r="I50" s="367"/>
      <c r="J50" s="367"/>
      <c r="K50" s="367"/>
      <c r="L50" s="368"/>
      <c r="M50" s="368"/>
      <c r="N50" s="368"/>
      <c r="O50" s="368"/>
      <c r="P50" s="368"/>
      <c r="Q50" s="369"/>
      <c r="R50" s="369"/>
      <c r="S50" s="369"/>
      <c r="T50" s="369"/>
      <c r="U50" s="369"/>
      <c r="V50" s="369"/>
      <c r="W50" s="369"/>
      <c r="X50" s="369"/>
      <c r="Y50" s="369"/>
      <c r="Z50" s="369"/>
      <c r="AA50" s="369"/>
      <c r="AB50" s="360">
        <f ca="1">SUMPRODUCT(P59:U59,P58:U58)</f>
        <v>1121.061604</v>
      </c>
      <c r="AC50" s="336"/>
      <c r="AD50" s="336"/>
    </row>
    <row r="51" spans="1:30">
      <c r="AB51" s="318"/>
      <c r="AC51" s="362"/>
      <c r="AD51" s="362"/>
    </row>
    <row r="52" spans="1:30">
      <c r="C52" s="344" t="s">
        <v>2509</v>
      </c>
      <c r="D52" s="334"/>
      <c r="E52" s="334"/>
      <c r="F52" s="334"/>
      <c r="G52" s="334"/>
      <c r="H52" s="334"/>
      <c r="I52" s="334"/>
      <c r="J52" s="334"/>
      <c r="K52" s="334"/>
      <c r="L52" s="334"/>
      <c r="M52" s="334"/>
      <c r="N52" s="334"/>
      <c r="O52" s="334"/>
      <c r="P52" s="370">
        <f ca="1">P22/(1+P$10/100)^P$6</f>
        <v>0</v>
      </c>
      <c r="Q52" s="370">
        <f t="shared" ref="Q52:AA52" ca="1" si="44">Q22/(1+Q$10/100)^Q$6</f>
        <v>0</v>
      </c>
      <c r="R52" s="370">
        <f t="shared" ca="1" si="44"/>
        <v>0</v>
      </c>
      <c r="S52" s="697">
        <f t="shared" ca="1" si="44"/>
        <v>0</v>
      </c>
      <c r="T52" s="697">
        <f t="shared" ca="1" si="44"/>
        <v>0</v>
      </c>
      <c r="U52" s="697">
        <f t="shared" ca="1" si="44"/>
        <v>0</v>
      </c>
      <c r="V52" s="697">
        <f t="shared" ca="1" si="44"/>
        <v>2.718541645723406E-2</v>
      </c>
      <c r="W52" s="697">
        <f t="shared" ca="1" si="44"/>
        <v>3.069717305469068E-2</v>
      </c>
      <c r="X52" s="697">
        <f t="shared" ca="1" si="44"/>
        <v>3.8811269177500073E-2</v>
      </c>
      <c r="Y52" s="697">
        <f t="shared" ca="1" si="44"/>
        <v>4.2572691703284371E-2</v>
      </c>
      <c r="Z52" s="697">
        <f t="shared" ca="1" si="44"/>
        <v>4.0719934675546986E-2</v>
      </c>
      <c r="AA52" s="697">
        <f t="shared" ca="1" si="44"/>
        <v>3.9765600239906482E-2</v>
      </c>
      <c r="AB52" s="329">
        <f ca="1">AB22/(1+AB$10/100)^AB$6/((AB10-AB19)/100)</f>
        <v>0.49707000299883114</v>
      </c>
      <c r="AC52" s="362"/>
      <c r="AD52" s="362"/>
    </row>
    <row r="53" spans="1:30">
      <c r="A53" s="298" t="s">
        <v>765</v>
      </c>
      <c r="C53" s="344" t="s">
        <v>2510</v>
      </c>
      <c r="D53" s="344"/>
      <c r="E53" s="344"/>
      <c r="F53" s="344"/>
      <c r="G53" s="344"/>
      <c r="H53" s="344"/>
      <c r="I53" s="344"/>
      <c r="J53" s="344"/>
      <c r="K53" s="344"/>
      <c r="L53" s="344"/>
      <c r="M53" s="344"/>
      <c r="N53" s="344"/>
      <c r="O53" s="344"/>
      <c r="P53" s="358">
        <f>VLOOKUP($A53,Model!$1:$1048576,MATCH("fy"&amp;RIGHT(P$4,2)&amp;"a",Model!$1:$1,0),FALSE)*100</f>
        <v>60</v>
      </c>
      <c r="Q53" s="358">
        <f>VLOOKUP($A53,Model!$1:$1048576,MATCH("fy"&amp;RIGHT(Q$4,2)&amp;"A",Model!$1:$1,0),FALSE)*100</f>
        <v>60</v>
      </c>
      <c r="R53" s="358">
        <f>VLOOKUP($A53,Model!$1:$1048576,MATCH("fy"&amp;RIGHT(R$4,2)&amp;"E",Model!$1:$1,0),FALSE)*100</f>
        <v>60</v>
      </c>
      <c r="S53" s="358">
        <f>VLOOKUP($A53,Model!$1:$1048576,MATCH("fy"&amp;RIGHT(S$4,2)&amp;"E",Model!$1:$1,0),FALSE)*100</f>
        <v>60</v>
      </c>
      <c r="T53" s="358">
        <f>VLOOKUP($A53,Model!$1:$1048576,MATCH("fy"&amp;RIGHT(T$4,2)&amp;"E",Model!$1:$1,0),FALSE)*100</f>
        <v>60</v>
      </c>
      <c r="U53" s="358">
        <f>VLOOKUP($A53,Model!$1:$1048576,MATCH("fy"&amp;RIGHT(U$4,2)&amp;"E",Model!$1:$1,0),FALSE)*100</f>
        <v>60</v>
      </c>
      <c r="V53" s="358">
        <f>VLOOKUP($A53,Model!$1:$1048576,MATCH("fy"&amp;RIGHT(V$4,2)&amp;"E",Model!$1:$1,0),FALSE)*100</f>
        <v>60</v>
      </c>
      <c r="W53" s="358">
        <f>VLOOKUP($A53,Model!$1:$1048576,MATCH("fy"&amp;RIGHT(W$4,2)&amp;"E",Model!$1:$1,0),FALSE)*100</f>
        <v>60</v>
      </c>
      <c r="X53" s="358">
        <f>VLOOKUP($A53,Model!$1:$1048576,MATCH("fy"&amp;RIGHT(X$4,2)&amp;"E",Model!$1:$1,0),FALSE)*100</f>
        <v>60</v>
      </c>
      <c r="Y53" s="358">
        <f>VLOOKUP($A53,Model!$1:$1048576,MATCH("fy"&amp;RIGHT(Y$4,2)&amp;"E",Model!$1:$1,0),FALSE)*100</f>
        <v>60</v>
      </c>
      <c r="Z53" s="358">
        <f>VLOOKUP($A53,Model!$1:$1048576,MATCH("fy"&amp;RIGHT(Z$4,2)&amp;"E",Model!$1:$1,0),FALSE)*100</f>
        <v>60</v>
      </c>
      <c r="AA53" s="371">
        <f t="shared" ref="AA53:AB53" si="45">Z53</f>
        <v>60</v>
      </c>
      <c r="AB53" s="318">
        <f t="shared" si="45"/>
        <v>60</v>
      </c>
      <c r="AC53" s="362"/>
      <c r="AD53" s="362"/>
    </row>
    <row r="54" spans="1:30">
      <c r="C54" s="344" t="s">
        <v>2511</v>
      </c>
      <c r="D54" s="344"/>
      <c r="E54" s="344"/>
      <c r="F54" s="344"/>
      <c r="G54" s="344"/>
      <c r="H54" s="344"/>
      <c r="I54" s="344"/>
      <c r="J54" s="344"/>
      <c r="K54" s="344"/>
      <c r="L54" s="344"/>
      <c r="M54" s="344"/>
      <c r="N54" s="344"/>
      <c r="O54" s="344"/>
      <c r="P54" s="358">
        <f t="shared" ref="P54:Y54" ca="1" si="46">P52*P53/100</f>
        <v>0</v>
      </c>
      <c r="Q54" s="358">
        <f t="shared" ca="1" si="46"/>
        <v>0</v>
      </c>
      <c r="R54" s="358">
        <f t="shared" ca="1" si="46"/>
        <v>0</v>
      </c>
      <c r="S54" s="696">
        <f t="shared" ca="1" si="46"/>
        <v>0</v>
      </c>
      <c r="T54" s="696">
        <f t="shared" ca="1" si="46"/>
        <v>0</v>
      </c>
      <c r="U54" s="696">
        <f t="shared" ca="1" si="46"/>
        <v>0</v>
      </c>
      <c r="V54" s="696">
        <f t="shared" ca="1" si="46"/>
        <v>1.6311249874340437E-2</v>
      </c>
      <c r="W54" s="696">
        <f t="shared" ca="1" si="46"/>
        <v>1.8418303832814408E-2</v>
      </c>
      <c r="X54" s="696">
        <f t="shared" ca="1" si="46"/>
        <v>2.3286761506500043E-2</v>
      </c>
      <c r="Y54" s="696">
        <f t="shared" ca="1" si="46"/>
        <v>2.5543615021970622E-2</v>
      </c>
      <c r="Z54" s="696">
        <f ca="1">Z52*Z53/100</f>
        <v>2.4431960805328189E-2</v>
      </c>
      <c r="AA54" s="696">
        <f ca="1">AA52*AA53/100</f>
        <v>2.3859360143943888E-2</v>
      </c>
      <c r="AB54" s="329">
        <f ca="1">AB52*AB53/100</f>
        <v>0.29824200179929866</v>
      </c>
      <c r="AC54" s="362"/>
      <c r="AD54" s="362"/>
    </row>
    <row r="57" spans="1:30">
      <c r="C57" s="372" t="s">
        <v>2512</v>
      </c>
      <c r="D57" s="372"/>
      <c r="E57" s="372"/>
      <c r="F57" s="372"/>
      <c r="G57" s="372"/>
      <c r="H57" s="372"/>
      <c r="I57" s="372"/>
      <c r="J57" s="372"/>
      <c r="K57" s="372"/>
      <c r="L57" s="372"/>
      <c r="M57" s="372"/>
      <c r="N57" s="372"/>
      <c r="O57" s="372"/>
      <c r="P57" s="372">
        <f ca="1">IF((IF(MONTH($S$3)&lt;=MONTH($S$2),YEAR($S$3),YEAR($S$3)+1))=P$4,IF(MONTH($S$3)&lt;=MONTH($S$2),YEAR($S$3),YEAR($S$3)+1),IF((IF(MONTH($S$3)&lt;=MONTH($S$2),YEAR($S$3),YEAR($S$3)+1))+1=P$4,O57+1,0))</f>
        <v>0</v>
      </c>
      <c r="Q57" s="373">
        <f ca="1">IF((IF(MONTH($S$3)&lt;=MONTH($S$2),YEAR($S$3),YEAR($S$3)+1))=Q$4,IF(MONTH($S$3)&lt;=MONTH($S$2),YEAR($S$3),YEAR($S$3)+1),IF((IF(MONTH($S$3)&lt;=MONTH($S$2),YEAR($S$3),YEAR($S$3)+1))+1=Q$4,P57+1,0))</f>
        <v>0</v>
      </c>
      <c r="R57" s="372">
        <f ca="1">IF((IF(MONTH($S$3)&lt;=MONTH($S$2),YEAR($S$3),YEAR($S$3)+1))=R$4,IF(MONTH($S$3)&lt;=MONTH($S$2),YEAR($S$3),YEAR($S$3)+1),IF((IF(MONTH($S$3)&lt;=MONTH($S$2),YEAR($S$3),YEAR($S$3)+1))+1=R$4,Q57+1,0))</f>
        <v>2026</v>
      </c>
      <c r="S57" s="372">
        <f ca="1">IF((IF(MONTH($S$3)&lt;=MONTH($S$2),YEAR($S$3),YEAR($S$3)+1))=S$4,IF(MONTH($S$3)&lt;=MONTH($S$2),YEAR($S$3),YEAR($S$3)+1),IF((IF(MONTH($S$3)&lt;=MONTH($S$2),YEAR($S$3),YEAR($S$3)+1))+1=S$4,R57+1,0))</f>
        <v>2027</v>
      </c>
      <c r="T57" s="372">
        <f t="shared" ref="T57:AA57" ca="1" si="47">IF((IF(MONTH($S$3)&lt;=MONTH($S$2),YEAR($S$3),YEAR($S$3)+1))=T$4,IF(MONTH($S$3)&lt;=MONTH($S$2),YEAR($S$3),YEAR($S$3)+1),IF((IF(MONTH($S$3)&lt;=MONTH($S$2),YEAR($S$3),YEAR($S$3)+1))+1=T$4,S57+1,0))</f>
        <v>0</v>
      </c>
      <c r="U57" s="372">
        <f t="shared" ca="1" si="47"/>
        <v>0</v>
      </c>
      <c r="V57" s="372">
        <f t="shared" ca="1" si="47"/>
        <v>0</v>
      </c>
      <c r="W57" s="372">
        <f t="shared" ca="1" si="47"/>
        <v>0</v>
      </c>
      <c r="X57" s="372">
        <f t="shared" ca="1" si="47"/>
        <v>0</v>
      </c>
      <c r="Y57" s="372">
        <f t="shared" ca="1" si="47"/>
        <v>0</v>
      </c>
      <c r="Z57" s="372">
        <f t="shared" ca="1" si="47"/>
        <v>0</v>
      </c>
      <c r="AA57" s="372">
        <f t="shared" ca="1" si="47"/>
        <v>0</v>
      </c>
    </row>
    <row r="58" spans="1:30">
      <c r="C58" s="372" t="s">
        <v>2513</v>
      </c>
      <c r="D58" s="372"/>
      <c r="E58" s="372"/>
      <c r="F58" s="372"/>
      <c r="G58" s="372"/>
      <c r="H58" s="372"/>
      <c r="I58" s="372"/>
      <c r="J58" s="372"/>
      <c r="K58" s="372"/>
      <c r="L58" s="372"/>
      <c r="M58" s="372"/>
      <c r="N58" s="372"/>
      <c r="O58" s="372"/>
      <c r="P58" s="374">
        <f ca="1">IF(AND(N57=0,O57=0,P57&gt;0),(EOMONTH(DATE(P57,MONTH($S$2),15),0)-$S$3)/(EOMONTH(DATE(P57,MONTH($S$2),15),0)-EOMONTH(DATE(P57-1,MONTH($S$2),15),0)),IF(AND(N57=0,O57&gt;0,P57&gt;0),1-O58,0))</f>
        <v>0</v>
      </c>
      <c r="Q58" s="374">
        <f ca="1">IF(AND(O57=0,P57=0,Q57&gt;0),(EOMONTH(DATE(Q57,MONTH($S$2),15),0)-$S$3)/(EOMONTH(DATE(Q57,MONTH($S$2),15),0)-EOMONTH(DATE(Q57-1,MONTH($S$2),15),0)),IF(AND(O57=0,P57&gt;0,Q57&gt;0),1-P58,0))</f>
        <v>0</v>
      </c>
      <c r="R58" s="374">
        <f ca="1">IF(AND(P57=0,Q57=0,R57&gt;0),(EOMONTH(DATE(R57,MONTH($S$2),15),0)-$S$3)/(EOMONTH(DATE(R57,MONTH($S$2),15),0)-EOMONTH(DATE(R57-1,MONTH($S$2),15),0)),IF(AND(P57=0,Q57&gt;0,R57&gt;0),1-Q58,0))</f>
        <v>0</v>
      </c>
      <c r="S58" s="374">
        <f ca="1">IF(AND(Q57=0,R57=0,S57&gt;0),(EOMONTH(DATE(S57,MONTH($S$2),15),0)-$S$3)/(EOMONTH(DATE(S57,MONTH($S$2),15),0)-EOMONTH(DATE(S57-1,MONTH($S$2),15),0)),IF(AND(Q57=0,R57&gt;0,S57&gt;0),1-R58,0))</f>
        <v>1</v>
      </c>
      <c r="T58" s="374">
        <f t="shared" ref="T58:AA58" ca="1" si="48">IF(AND(R57=0,S57=0,T57&gt;0),(EOMONTH(DATE(T57,MONTH($S$2),15),0)-$S$3)/(EOMONTH(DATE(T57,MONTH($S$2),15),0)-EOMONTH(DATE(T57-1,MONTH($S$2),15),0)),IF(AND(R57=0,S57&gt;0,T57&gt;0),1-S58,0))</f>
        <v>0</v>
      </c>
      <c r="U58" s="374">
        <f t="shared" ca="1" si="48"/>
        <v>0</v>
      </c>
      <c r="V58" s="374">
        <f t="shared" ca="1" si="48"/>
        <v>0</v>
      </c>
      <c r="W58" s="374">
        <f t="shared" ca="1" si="48"/>
        <v>0</v>
      </c>
      <c r="X58" s="374">
        <f t="shared" ca="1" si="48"/>
        <v>0</v>
      </c>
      <c r="Y58" s="374">
        <f t="shared" ca="1" si="48"/>
        <v>0</v>
      </c>
      <c r="Z58" s="374">
        <f t="shared" ca="1" si="48"/>
        <v>0</v>
      </c>
      <c r="AA58" s="374">
        <f t="shared" ca="1" si="48"/>
        <v>0</v>
      </c>
    </row>
    <row r="59" spans="1:30">
      <c r="A59" s="298" t="s">
        <v>754</v>
      </c>
      <c r="C59" s="372" t="s">
        <v>2193</v>
      </c>
      <c r="D59" s="375">
        <f>VLOOKUP($A59,Model!$1:$1048576,MATCH("fy"&amp;RIGHT(D$4,2)&amp;"a",Model!$1:$1,0),FALSE)</f>
        <v>0</v>
      </c>
      <c r="E59" s="375">
        <f>VLOOKUP($A59,Model!$1:$1048576,MATCH("fy"&amp;RIGHT(E$4,2)&amp;"a",Model!$1:$1,0),FALSE)</f>
        <v>0</v>
      </c>
      <c r="F59" s="375">
        <f>VLOOKUP($A59,Model!$1:$1048576,MATCH("fy"&amp;RIGHT(F$4,2)&amp;"a",Model!$1:$1,0),FALSE)</f>
        <v>0</v>
      </c>
      <c r="G59" s="375">
        <f>VLOOKUP($A59,Model!$1:$1048576,MATCH("fy"&amp;RIGHT(G$4,2)&amp;"a",Model!$1:$1,0),FALSE)</f>
        <v>0</v>
      </c>
      <c r="H59" s="375">
        <f>VLOOKUP($A59,Model!$1:$1048576,MATCH("fy"&amp;RIGHT(H$4,2)&amp;"a",Model!$1:$1,0),FALSE)</f>
        <v>0</v>
      </c>
      <c r="I59" s="375">
        <f>VLOOKUP($A59,Model!$1:$1048576,MATCH("fy"&amp;RIGHT(I$4,2)&amp;"a",Model!$1:$1,0),FALSE)</f>
        <v>0</v>
      </c>
      <c r="J59" s="375">
        <f>VLOOKUP($A59,Model!$1:$1048576,MATCH("fy"&amp;RIGHT(J$4,2)&amp;"a",Model!$1:$1,0),FALSE)</f>
        <v>0</v>
      </c>
      <c r="K59" s="375">
        <f>VLOOKUP($A59,Model!$1:$1048576,MATCH("fy"&amp;RIGHT(K$4,2)&amp;"a",Model!$1:$1,0),FALSE)</f>
        <v>0</v>
      </c>
      <c r="L59" s="375">
        <f>VLOOKUP($A59,Model!$1:$1048576,MATCH("fy"&amp;RIGHT(L$4,2)&amp;"a",Model!$1:$1,0),FALSE)</f>
        <v>0</v>
      </c>
      <c r="M59" s="375">
        <f>VLOOKUP($A59,Model!$1:$1048576,MATCH("fy"&amp;RIGHT(M$4,2)&amp;"a",Model!$1:$1,0),FALSE)</f>
        <v>1105.5063729999999</v>
      </c>
      <c r="N59" s="375">
        <f>VLOOKUP($A59,Model!$1:$1048576,MATCH("fy"&amp;RIGHT(N$4,2)&amp;"a",Model!$1:$1,0),FALSE)</f>
        <v>1105.519873</v>
      </c>
      <c r="O59" s="375">
        <f>VLOOKUP($A59,Model!$1:$1048576,MATCH("fy"&amp;RIGHT(O$4,2)&amp;"a",Model!$1:$1,0),FALSE)</f>
        <v>1105.5198720000001</v>
      </c>
      <c r="P59" s="375">
        <f>VLOOKUP($A59,Model!$1:$1048576,MATCH("fy"&amp;RIGHT(P$4,2)&amp;"a",Model!$1:$1,0),FALSE)</f>
        <v>1109.300833</v>
      </c>
      <c r="Q59" s="375">
        <f>VLOOKUP($A59,Model!$1:$1048576,MATCH("fy"&amp;RIGHT(Q$4,2)&amp;"A",Model!$1:$1,0),FALSE)</f>
        <v>1117.685772</v>
      </c>
      <c r="R59" s="375">
        <f>VLOOKUP($A59,Model!$1:$1048576,MATCH("fy"&amp;RIGHT(R$4,2)&amp;"e",Model!$1:$1,0),FALSE)</f>
        <v>1121.061604</v>
      </c>
      <c r="S59" s="375">
        <f>VLOOKUP($A59,Model!$1:$1048576,MATCH("fy"&amp;RIGHT(S$4,2)&amp;"e",Model!$1:$1,0),FALSE)</f>
        <v>1121.061604</v>
      </c>
      <c r="T59" s="375">
        <f>VLOOKUP($A59,Model!$1:$1048576,MATCH("fy"&amp;RIGHT(T$4,2)&amp;"e",Model!$1:$1,0),FALSE)</f>
        <v>1191.061604</v>
      </c>
      <c r="U59" s="375">
        <f>VLOOKUP($A59,Model!$1:$1048576,MATCH("fy"&amp;RIGHT(U$4,2)&amp;"e",Model!$1:$1,0),FALSE)</f>
        <v>1191.061604</v>
      </c>
      <c r="V59" s="375">
        <f>VLOOKUP($A59,Model!$1:$1048576,MATCH("fy"&amp;RIGHT(V$4,2)&amp;"e",Model!$1:$1,0),FALSE)</f>
        <v>1191.061604</v>
      </c>
      <c r="W59" s="375">
        <f>VLOOKUP($A59,Model!$1:$1048576,MATCH("fy"&amp;RIGHT(W$4,2)&amp;"e",Model!$1:$1,0),FALSE)</f>
        <v>1191.061604</v>
      </c>
      <c r="X59" s="375">
        <f>VLOOKUP($A59,Model!$1:$1048576,MATCH("fy"&amp;RIGHT(X$4,2)&amp;"e",Model!$1:$1,0),FALSE)</f>
        <v>1191.061604</v>
      </c>
      <c r="Y59" s="375">
        <f>VLOOKUP($A59,Model!$1:$1048576,MATCH("fy"&amp;RIGHT(Y$4,2)&amp;"e",Model!$1:$1,0),FALSE)</f>
        <v>1191.061604</v>
      </c>
      <c r="Z59" s="375">
        <f>VLOOKUP($A59,Model!$1:$1048576,MATCH("fy"&amp;RIGHT(Z$4,2)&amp;"e",Model!$1:$1,0),FALSE)</f>
        <v>1191.061604</v>
      </c>
      <c r="AA59" s="375">
        <f>Z59</f>
        <v>1191.061604</v>
      </c>
      <c r="AB59" s="301"/>
    </row>
  </sheetData>
  <pageMargins left="0.7" right="0.7" top="0.75" bottom="0.75" header="0.3" footer="0.3"/>
  <pageSetup paperSize="9" scale="16" orientation="landscape" r:id="rId1"/>
  <customProperties>
    <customPr name="Qube.Worksheet.Visibility" r:id="rId2"/>
    <customPr name="SHEET_UNIQUE_ID" r:id="rId3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E0DE-5352-4F8C-A3B7-DF252C754CB9}">
  <dimension ref="B2:O57"/>
  <sheetViews>
    <sheetView showGridLines="0" topLeftCell="A22" zoomScale="70" zoomScaleNormal="70" workbookViewId="0">
      <selection activeCell="M47" sqref="M47"/>
    </sheetView>
  </sheetViews>
  <sheetFormatPr defaultRowHeight="12.75"/>
  <cols>
    <col min="2" max="2" width="42.25" customWidth="1"/>
    <col min="3" max="7" width="11.875" customWidth="1"/>
    <col min="8" max="8" width="13.875" customWidth="1"/>
    <col min="9" max="9" width="34.75" customWidth="1"/>
    <col min="10" max="10" width="12.625" customWidth="1"/>
    <col min="11" max="15" width="11.875" customWidth="1"/>
  </cols>
  <sheetData>
    <row r="2" spans="2:15" ht="33" customHeight="1">
      <c r="B2" s="799" t="s">
        <v>2713</v>
      </c>
      <c r="C2" s="799"/>
      <c r="D2" s="799"/>
      <c r="E2" s="799"/>
      <c r="F2" s="799"/>
      <c r="G2" s="799"/>
      <c r="H2" s="799"/>
      <c r="I2" s="800" t="s">
        <v>2661</v>
      </c>
      <c r="J2" s="800"/>
      <c r="K2" s="800"/>
      <c r="L2" s="800"/>
      <c r="M2" s="800"/>
      <c r="N2" s="800"/>
      <c r="O2" s="800"/>
    </row>
    <row r="3" spans="2:15" ht="33" customHeight="1">
      <c r="B3" s="734"/>
      <c r="C3" s="734"/>
      <c r="D3" s="734"/>
      <c r="E3" s="734"/>
      <c r="F3" s="734"/>
      <c r="G3" s="734"/>
      <c r="H3" s="734"/>
      <c r="I3" s="734"/>
      <c r="J3" s="734"/>
      <c r="K3" s="734"/>
      <c r="L3" s="734"/>
      <c r="M3" s="734"/>
      <c r="N3" s="734"/>
      <c r="O3" s="734"/>
    </row>
    <row r="4" spans="2:15" ht="33" customHeight="1">
      <c r="B4" s="778" t="s">
        <v>2662</v>
      </c>
      <c r="C4" s="779" t="s">
        <v>2621</v>
      </c>
      <c r="D4" s="780" t="s">
        <v>2714</v>
      </c>
      <c r="E4" s="780" t="s">
        <v>2565</v>
      </c>
      <c r="F4" s="780" t="s">
        <v>2569</v>
      </c>
      <c r="G4" s="780" t="s">
        <v>2577</v>
      </c>
      <c r="H4" s="735"/>
      <c r="I4" s="795" t="s">
        <v>2663</v>
      </c>
      <c r="J4" s="795"/>
      <c r="K4" s="795"/>
      <c r="L4" s="795"/>
      <c r="M4" s="795"/>
      <c r="N4" s="795"/>
      <c r="O4" s="795"/>
    </row>
    <row r="5" spans="2:15" ht="33" customHeight="1">
      <c r="B5" s="736" t="s">
        <v>469</v>
      </c>
      <c r="C5" s="737">
        <f>Model!CY239</f>
        <v>13130</v>
      </c>
      <c r="D5" s="737">
        <f>Model!CZ239</f>
        <v>13918.161643835616</v>
      </c>
      <c r="E5" s="737">
        <f>Model!DA239</f>
        <v>16064.106111372053</v>
      </c>
      <c r="F5" s="737">
        <f>Model!DB239</f>
        <v>18491.235945503497</v>
      </c>
      <c r="G5" s="737">
        <f>Model!DC239</f>
        <v>21084.634811143165</v>
      </c>
      <c r="H5" s="735"/>
      <c r="I5" s="735" t="s">
        <v>2111</v>
      </c>
      <c r="J5" s="738" t="s">
        <v>2664</v>
      </c>
      <c r="K5" s="735"/>
      <c r="L5" s="735"/>
      <c r="M5" s="794" t="s">
        <v>2665</v>
      </c>
      <c r="N5" s="794"/>
      <c r="O5" s="738" t="str">
        <f>Summary!$C$7</f>
        <v>Buy</v>
      </c>
    </row>
    <row r="6" spans="2:15" ht="33" customHeight="1">
      <c r="B6" s="739" t="s">
        <v>1092</v>
      </c>
      <c r="C6" s="740">
        <f>Model!CY269</f>
        <v>2.933242144458376E-2</v>
      </c>
      <c r="D6" s="740">
        <f>Model!CZ269</f>
        <v>2.9259006501203264E-2</v>
      </c>
      <c r="E6" s="740">
        <f>Model!DA269</f>
        <v>3.0906833146576291E-2</v>
      </c>
      <c r="F6" s="740">
        <f>Model!DB269</f>
        <v>3.1820960953146585E-2</v>
      </c>
      <c r="G6" s="740">
        <f>Model!DC269</f>
        <v>3.2068547637801613E-2</v>
      </c>
      <c r="H6" s="735"/>
      <c r="I6" s="741" t="s">
        <v>2666</v>
      </c>
      <c r="J6" s="742">
        <f>Summary!C5</f>
        <v>1.895</v>
      </c>
      <c r="K6" s="735"/>
      <c r="L6" s="735"/>
      <c r="M6" s="797" t="s">
        <v>2625</v>
      </c>
      <c r="N6" s="797"/>
      <c r="O6" s="742">
        <f>Summary!$G$10</f>
        <v>2.1845499990329853</v>
      </c>
    </row>
    <row r="7" spans="2:15" ht="33" customHeight="1">
      <c r="B7" s="743" t="s">
        <v>482</v>
      </c>
      <c r="C7" s="737">
        <f>Model!CY327</f>
        <v>386</v>
      </c>
      <c r="D7" s="737">
        <f>Model!CZ327</f>
        <v>407.30000000000007</v>
      </c>
      <c r="E7" s="737">
        <f>Model!DA327</f>
        <v>496.65588082654779</v>
      </c>
      <c r="F7" s="737">
        <f>Model!DB327</f>
        <v>588.58658057956927</v>
      </c>
      <c r="G7" s="737">
        <f>Model!DC327</f>
        <v>676.28219589083756</v>
      </c>
      <c r="H7" s="735"/>
      <c r="I7" s="735" t="s">
        <v>2667</v>
      </c>
      <c r="J7" s="744">
        <f>D55</f>
        <v>1117.685772</v>
      </c>
      <c r="K7" s="735"/>
      <c r="L7" s="735"/>
      <c r="M7" s="794" t="s">
        <v>2668</v>
      </c>
      <c r="N7" s="794"/>
      <c r="O7" s="745">
        <f>O6/J6-1</f>
        <v>0.15279683326278914</v>
      </c>
    </row>
    <row r="8" spans="2:15" ht="33" customHeight="1">
      <c r="B8" s="739" t="s">
        <v>2669</v>
      </c>
      <c r="C8" s="744">
        <f>SUM(Model!CY395,Model!CY396, Model!CY397, Model!CY398)</f>
        <v>6.2</v>
      </c>
      <c r="D8" s="744">
        <f>SUM(Model!CZ395,Model!CZ396, Model!CZ397, Model!CZ398)</f>
        <v>9.1999999999999993</v>
      </c>
      <c r="E8" s="744">
        <f>SUM(Model!DA395,Model!DA396, Model!DA397, Model!DA398)</f>
        <v>12.709503677336699</v>
      </c>
      <c r="F8" s="744">
        <f>SUM(Model!DB395,Model!DB396, Model!DB397, Model!DB398)</f>
        <v>15.271071386891737</v>
      </c>
      <c r="G8" s="744">
        <f>SUM(Model!DC395,Model!DC396, Model!DC397, Model!DC398)</f>
        <v>18.15550656753976</v>
      </c>
      <c r="H8" s="735"/>
      <c r="I8" s="735" t="s">
        <v>2670</v>
      </c>
      <c r="J8" s="746">
        <f>Summary!C6</f>
        <v>2124.4124900000002</v>
      </c>
      <c r="K8" s="735"/>
      <c r="L8" s="735"/>
      <c r="M8" s="796"/>
      <c r="N8" s="796"/>
      <c r="O8" s="735"/>
    </row>
    <row r="9" spans="2:15" ht="33" customHeight="1">
      <c r="B9" s="739" t="s">
        <v>655</v>
      </c>
      <c r="C9" s="747">
        <f>Model!CY405</f>
        <v>4.5</v>
      </c>
      <c r="D9" s="747">
        <f>Model!CZ405</f>
        <v>6.4</v>
      </c>
      <c r="E9" s="747">
        <f>Model!DA405</f>
        <v>8.3230000000000004</v>
      </c>
      <c r="F9" s="747">
        <f>Model!DB405</f>
        <v>8.8298707000000007</v>
      </c>
      <c r="G9" s="747">
        <f>Model!DC405</f>
        <v>9.3676098256300016</v>
      </c>
      <c r="H9" s="735"/>
      <c r="I9" s="735"/>
      <c r="J9" s="735"/>
      <c r="K9" s="735"/>
      <c r="L9" s="735"/>
      <c r="M9" s="796"/>
      <c r="N9" s="796"/>
      <c r="O9" s="735"/>
    </row>
    <row r="10" spans="2:15" ht="33" customHeight="1">
      <c r="B10" s="743" t="s">
        <v>2115</v>
      </c>
      <c r="C10" s="737">
        <f>SUM(C7:C9)</f>
        <v>396.7</v>
      </c>
      <c r="D10" s="737">
        <f>SUM(D7:D9)</f>
        <v>422.90000000000003</v>
      </c>
      <c r="E10" s="737">
        <f>SUM(E7:E9)</f>
        <v>517.68838450388444</v>
      </c>
      <c r="F10" s="737">
        <f>SUM(F7:F9)</f>
        <v>612.68752266646106</v>
      </c>
      <c r="G10" s="737">
        <f>SUM(G7:G9)</f>
        <v>703.8053122840073</v>
      </c>
      <c r="H10" s="735"/>
      <c r="I10" s="741" t="s">
        <v>2671</v>
      </c>
      <c r="J10" s="748" t="s">
        <v>2176</v>
      </c>
      <c r="K10" s="748" t="s">
        <v>2672</v>
      </c>
      <c r="L10" s="735"/>
      <c r="M10" s="797" t="s">
        <v>2673</v>
      </c>
      <c r="N10" s="797"/>
      <c r="O10" s="735"/>
    </row>
    <row r="11" spans="2:15" ht="33" customHeight="1">
      <c r="B11" s="739" t="s">
        <v>2674</v>
      </c>
      <c r="C11" s="749">
        <f>Model!CY430</f>
        <v>-222.3</v>
      </c>
      <c r="D11" s="749">
        <f>Model!CZ430</f>
        <v>-221.8</v>
      </c>
      <c r="E11" s="749">
        <f>Model!DA430</f>
        <v>-241.17899426068226</v>
      </c>
      <c r="F11" s="749">
        <f>Model!DB430</f>
        <v>-261.03035490664001</v>
      </c>
      <c r="G11" s="749">
        <f>Model!DC430</f>
        <v>-279.24412444473876</v>
      </c>
      <c r="H11" s="735"/>
      <c r="I11" s="735" t="s">
        <v>747</v>
      </c>
      <c r="J11" s="750">
        <f>Summary!$D$148</f>
        <v>0.5</v>
      </c>
      <c r="K11" s="751">
        <f ca="1">Summary!C148</f>
        <v>2.0521184877194809</v>
      </c>
      <c r="L11" s="735"/>
      <c r="M11" s="794" t="s">
        <v>2675</v>
      </c>
      <c r="N11" s="794"/>
      <c r="O11" s="745">
        <f>Summary!$G$4</f>
        <v>2.5000000000000001E-2</v>
      </c>
    </row>
    <row r="12" spans="2:15" ht="33" customHeight="1">
      <c r="B12" s="743" t="s">
        <v>2628</v>
      </c>
      <c r="C12" s="737">
        <f>SUM(C10:C11)</f>
        <v>174.39999999999998</v>
      </c>
      <c r="D12" s="737">
        <f>SUM(D10:D11)</f>
        <v>201.10000000000002</v>
      </c>
      <c r="E12" s="737">
        <f>SUM(E10:E11)</f>
        <v>276.50939024320218</v>
      </c>
      <c r="F12" s="737">
        <f>SUM(F10:F11)</f>
        <v>351.65716775982105</v>
      </c>
      <c r="G12" s="737">
        <f>SUM(G10:G11)</f>
        <v>424.56118783926854</v>
      </c>
      <c r="H12" s="735"/>
      <c r="I12" s="735" t="s">
        <v>2676</v>
      </c>
      <c r="J12" s="750">
        <f>Summary!$D$150</f>
        <v>0.5</v>
      </c>
      <c r="K12" s="751">
        <f ca="1">Summary!C150</f>
        <v>2.3169815103464897</v>
      </c>
      <c r="L12" s="735"/>
      <c r="M12" s="735" t="s">
        <v>2677</v>
      </c>
      <c r="N12" s="798" t="s">
        <v>2678</v>
      </c>
      <c r="O12" s="798" t="s">
        <v>2678</v>
      </c>
    </row>
    <row r="13" spans="2:15" ht="33" customHeight="1">
      <c r="B13" s="739" t="s">
        <v>2679</v>
      </c>
      <c r="C13" s="749">
        <f>Model!CY465</f>
        <v>-70.099999999999994</v>
      </c>
      <c r="D13" s="749">
        <f>Model!CZ465</f>
        <v>-75.5</v>
      </c>
      <c r="E13" s="749">
        <f>Model!DA465</f>
        <v>-84.077375357122577</v>
      </c>
      <c r="F13" s="749">
        <f>Model!DB465</f>
        <v>-117.75052196034142</v>
      </c>
      <c r="G13" s="749">
        <f>Model!DC465</f>
        <v>-133.5475231482873</v>
      </c>
      <c r="H13" s="735"/>
      <c r="I13" s="741" t="s">
        <v>2680</v>
      </c>
      <c r="J13" s="752">
        <f>Summary!$D$153</f>
        <v>1</v>
      </c>
      <c r="K13" s="753">
        <f ca="1">Summary!$C$153</f>
        <v>2.1845499990329853</v>
      </c>
      <c r="L13" s="735"/>
      <c r="M13" s="794" t="s">
        <v>2681</v>
      </c>
      <c r="N13" s="794"/>
      <c r="O13" s="754">
        <f>Summary!$G$7</f>
        <v>1.2</v>
      </c>
    </row>
    <row r="14" spans="2:15" ht="33" customHeight="1">
      <c r="B14" s="743" t="s">
        <v>1311</v>
      </c>
      <c r="C14" s="737">
        <f>SUM(C12:C13)</f>
        <v>104.29999999999998</v>
      </c>
      <c r="D14" s="737">
        <f>SUM(D12:D13)</f>
        <v>125.60000000000002</v>
      </c>
      <c r="E14" s="737">
        <f>SUM(E12:E13)</f>
        <v>192.4320148860796</v>
      </c>
      <c r="F14" s="737">
        <f>SUM(F12:F13)</f>
        <v>233.90664579947963</v>
      </c>
      <c r="G14" s="737">
        <f>SUM(G12:G13)</f>
        <v>291.01366469098127</v>
      </c>
      <c r="H14" s="735"/>
      <c r="I14" s="734"/>
      <c r="J14" s="734"/>
      <c r="K14" s="734"/>
      <c r="L14" s="735"/>
      <c r="M14" s="794" t="s">
        <v>2715</v>
      </c>
      <c r="N14" s="794"/>
      <c r="O14" s="745">
        <f>Summary!$G$8</f>
        <v>0.107</v>
      </c>
    </row>
    <row r="15" spans="2:15" ht="33" customHeight="1">
      <c r="B15" s="739" t="s">
        <v>2682</v>
      </c>
      <c r="C15" s="744">
        <f>Model!CY495</f>
        <v>-34.4</v>
      </c>
      <c r="D15" s="744">
        <f>Model!CZ495</f>
        <v>-39.200000000000003</v>
      </c>
      <c r="E15" s="744">
        <f>Model!DA495</f>
        <v>-59.069693372047098</v>
      </c>
      <c r="F15" s="744">
        <f>Model!DB495</f>
        <v>-71.342931112799178</v>
      </c>
      <c r="G15" s="744">
        <f>Model!DC495</f>
        <v>-88.175104980893735</v>
      </c>
      <c r="H15" s="735"/>
      <c r="I15" s="734"/>
      <c r="J15" s="734"/>
      <c r="K15" s="734"/>
      <c r="L15" s="735"/>
      <c r="M15" s="794" t="s">
        <v>1450</v>
      </c>
      <c r="N15" s="794"/>
      <c r="O15" s="750">
        <f>C52</f>
        <v>0</v>
      </c>
    </row>
    <row r="16" spans="2:15" ht="33" customHeight="1">
      <c r="B16" s="739" t="s">
        <v>2683</v>
      </c>
      <c r="C16" s="744">
        <f>Model!CY499</f>
        <v>0</v>
      </c>
      <c r="D16" s="744">
        <f>Model!CZ499</f>
        <v>0</v>
      </c>
      <c r="E16" s="744">
        <f>Model!DA499</f>
        <v>0</v>
      </c>
      <c r="F16" s="744">
        <f>Model!DB499</f>
        <v>0</v>
      </c>
      <c r="G16" s="744">
        <f>Model!DC499</f>
        <v>0</v>
      </c>
      <c r="H16" s="735"/>
      <c r="I16" s="735"/>
      <c r="J16" s="735"/>
      <c r="K16" s="735"/>
      <c r="L16" s="735"/>
      <c r="M16" s="735"/>
      <c r="N16" s="735"/>
      <c r="O16" s="735"/>
    </row>
    <row r="17" spans="2:15" ht="33" customHeight="1">
      <c r="B17" s="743" t="s">
        <v>2127</v>
      </c>
      <c r="C17" s="755">
        <f>SUM(C14:C16)</f>
        <v>69.899999999999977</v>
      </c>
      <c r="D17" s="755">
        <f>SUM(D14:D16)</f>
        <v>86.40000000000002</v>
      </c>
      <c r="E17" s="755">
        <f>SUM(E14:E16)</f>
        <v>133.36232151403249</v>
      </c>
      <c r="F17" s="755">
        <f>SUM(F14:F16)</f>
        <v>162.56371468668044</v>
      </c>
      <c r="G17" s="755">
        <f>SUM(G14:G16)</f>
        <v>202.83855971008754</v>
      </c>
      <c r="H17" s="735"/>
      <c r="I17" s="735"/>
      <c r="J17" s="735"/>
      <c r="K17" s="735"/>
      <c r="L17" s="735"/>
      <c r="M17" s="735"/>
      <c r="N17" s="735"/>
      <c r="O17" s="735"/>
    </row>
    <row r="18" spans="2:15" ht="33" customHeight="1">
      <c r="B18" s="739" t="s">
        <v>2129</v>
      </c>
      <c r="C18" s="744">
        <f>Model!CY524</f>
        <v>0</v>
      </c>
      <c r="D18" s="744">
        <f>Model!CZ524</f>
        <v>0</v>
      </c>
      <c r="E18" s="744">
        <f>Model!DA524</f>
        <v>0</v>
      </c>
      <c r="F18" s="744">
        <f>Model!DB524</f>
        <v>0</v>
      </c>
      <c r="G18" s="744">
        <f>Model!DC524</f>
        <v>0</v>
      </c>
      <c r="H18" s="735"/>
      <c r="I18" s="795" t="s">
        <v>2684</v>
      </c>
      <c r="J18" s="795"/>
      <c r="K18" s="779" t="s">
        <v>2621</v>
      </c>
      <c r="L18" s="780" t="s">
        <v>2714</v>
      </c>
      <c r="M18" s="780" t="s">
        <v>2565</v>
      </c>
      <c r="N18" s="780" t="s">
        <v>2569</v>
      </c>
      <c r="O18" s="780" t="s">
        <v>2577</v>
      </c>
    </row>
    <row r="19" spans="2:15" ht="33" customHeight="1">
      <c r="B19" s="756" t="s">
        <v>278</v>
      </c>
      <c r="C19" s="749">
        <f>Model!CY523</f>
        <v>0</v>
      </c>
      <c r="D19" s="749">
        <f>Model!CZ523</f>
        <v>0</v>
      </c>
      <c r="E19" s="749">
        <f>Model!DA523</f>
        <v>0</v>
      </c>
      <c r="F19" s="749">
        <f>Model!DB523</f>
        <v>0</v>
      </c>
      <c r="G19" s="749">
        <f>Model!DC523</f>
        <v>0</v>
      </c>
      <c r="H19" s="735"/>
      <c r="I19" s="741" t="s">
        <v>2685</v>
      </c>
      <c r="J19" s="735"/>
      <c r="K19" s="735"/>
      <c r="L19" s="735"/>
      <c r="M19" s="735"/>
      <c r="N19" s="735"/>
      <c r="O19" s="735"/>
    </row>
    <row r="20" spans="2:15" ht="33" customHeight="1">
      <c r="B20" s="743" t="s">
        <v>2686</v>
      </c>
      <c r="C20" s="737">
        <f>SUM(C17:C19)</f>
        <v>69.899999999999977</v>
      </c>
      <c r="D20" s="737">
        <f>SUM(D17:D19)</f>
        <v>86.40000000000002</v>
      </c>
      <c r="E20" s="737">
        <f>SUM(E17:E19)</f>
        <v>133.36232151403249</v>
      </c>
      <c r="F20" s="737">
        <f>SUM(F17:F19)</f>
        <v>162.56371468668044</v>
      </c>
      <c r="G20" s="737">
        <f>SUM(G17:G19)</f>
        <v>202.83855971008754</v>
      </c>
      <c r="H20" s="735"/>
      <c r="I20" s="735" t="s">
        <v>2676</v>
      </c>
      <c r="J20" s="735"/>
      <c r="K20" s="757">
        <f>$J$6/C41</f>
        <v>30.047274446566533</v>
      </c>
      <c r="L20" s="757">
        <f>$J$6/D41</f>
        <v>24.46434081517711</v>
      </c>
      <c r="M20" s="757">
        <f>$J$6/E41</f>
        <v>15.919603361512328</v>
      </c>
      <c r="N20" s="757">
        <f>$J$6/F41</f>
        <v>13.069716129462842</v>
      </c>
      <c r="O20" s="757">
        <f>$J$6/G41</f>
        <v>10.966070975582824</v>
      </c>
    </row>
    <row r="21" spans="2:15" ht="33" customHeight="1">
      <c r="B21" s="735"/>
      <c r="C21" s="735"/>
      <c r="D21" s="735"/>
      <c r="E21" s="735"/>
      <c r="F21" s="735"/>
      <c r="G21" s="735"/>
      <c r="H21" s="735"/>
      <c r="I21" s="735" t="s">
        <v>2687</v>
      </c>
      <c r="J21" s="735"/>
      <c r="K21" s="757">
        <f>$J$8/C12</f>
        <v>12.181264277522938</v>
      </c>
      <c r="L21" s="757">
        <f>$J$8/D12</f>
        <v>10.563960666335156</v>
      </c>
      <c r="M21" s="757">
        <f>$J$8/E12</f>
        <v>7.6829668899543915</v>
      </c>
      <c r="N21" s="757">
        <f>$J$8/F12</f>
        <v>6.0411465619576292</v>
      </c>
      <c r="O21" s="757">
        <f>$J$8/G12</f>
        <v>5.0037840265424016</v>
      </c>
    </row>
    <row r="22" spans="2:15" ht="33" customHeight="1">
      <c r="B22" s="778" t="s">
        <v>2688</v>
      </c>
      <c r="C22" s="779" t="s">
        <v>2621</v>
      </c>
      <c r="D22" s="780" t="s">
        <v>2714</v>
      </c>
      <c r="E22" s="780" t="s">
        <v>2565</v>
      </c>
      <c r="F22" s="780" t="s">
        <v>2569</v>
      </c>
      <c r="G22" s="780" t="s">
        <v>2577</v>
      </c>
      <c r="H22" s="735"/>
      <c r="I22" s="735" t="s">
        <v>2689</v>
      </c>
      <c r="J22" s="735"/>
      <c r="K22" s="757">
        <f t="shared" ref="K22:O23" si="0">$J$6/C53</f>
        <v>1.3429534776304863</v>
      </c>
      <c r="L22" s="757">
        <f t="shared" si="0"/>
        <v>1.2557894805763075</v>
      </c>
      <c r="M22" s="757">
        <f t="shared" si="0"/>
        <v>1.1810408268902728</v>
      </c>
      <c r="N22" s="757">
        <f t="shared" si="0"/>
        <v>1.0831507359659593</v>
      </c>
      <c r="O22" s="757">
        <f t="shared" si="0"/>
        <v>0.97773015450204603</v>
      </c>
    </row>
    <row r="23" spans="2:15" ht="33" customHeight="1">
      <c r="B23" s="743" t="s">
        <v>587</v>
      </c>
      <c r="C23" s="737">
        <f>Model!CY181</f>
        <v>10711.4</v>
      </c>
      <c r="D23" s="737">
        <f>Model!CZ181</f>
        <v>12465.3</v>
      </c>
      <c r="E23" s="737">
        <f>Model!DA181</f>
        <v>14531.107552400001</v>
      </c>
      <c r="F23" s="737">
        <f>Model!DB181</f>
        <v>16660.073462857752</v>
      </c>
      <c r="G23" s="737">
        <f>Model!DC181</f>
        <v>18975.173476338208</v>
      </c>
      <c r="H23" s="735"/>
      <c r="I23" s="735" t="s">
        <v>2690</v>
      </c>
      <c r="J23" s="735"/>
      <c r="K23" s="757">
        <f t="shared" si="0"/>
        <v>1.3857119832135794</v>
      </c>
      <c r="L23" s="757">
        <f t="shared" si="0"/>
        <v>1.2923390920373423</v>
      </c>
      <c r="M23" s="757">
        <f t="shared" si="0"/>
        <v>1.2107929786995653</v>
      </c>
      <c r="N23" s="757">
        <f t="shared" si="0"/>
        <v>1.1081231486428915</v>
      </c>
      <c r="O23" s="757">
        <f t="shared" si="0"/>
        <v>0.99681606436117565</v>
      </c>
    </row>
    <row r="24" spans="2:15" ht="33" customHeight="1">
      <c r="B24" s="758" t="s">
        <v>2118</v>
      </c>
      <c r="C24" s="759"/>
      <c r="D24" s="745">
        <f>(D23/C23)-1</f>
        <v>0.16374143435965416</v>
      </c>
      <c r="E24" s="745">
        <f>(E23/D23)-1</f>
        <v>0.16572465583660256</v>
      </c>
      <c r="F24" s="745">
        <f>(F23/E23)-1</f>
        <v>0.14651091823390461</v>
      </c>
      <c r="G24" s="745">
        <f>(G23/F23)-1</f>
        <v>0.13896097268969299</v>
      </c>
      <c r="H24" s="735"/>
      <c r="I24" s="760" t="s">
        <v>1084</v>
      </c>
      <c r="J24" s="760"/>
      <c r="K24" s="761">
        <f>(C49/$J$6)*100</f>
        <v>0</v>
      </c>
      <c r="L24" s="761">
        <f>(D49/$J$6)*100</f>
        <v>0</v>
      </c>
      <c r="M24" s="761">
        <f>(E49/$J$6)*100</f>
        <v>0</v>
      </c>
      <c r="N24" s="761">
        <f>(F49/$J$6)*100</f>
        <v>0</v>
      </c>
      <c r="O24" s="761">
        <f>(G49/$J$6)*100</f>
        <v>0</v>
      </c>
    </row>
    <row r="25" spans="2:15" ht="33" customHeight="1">
      <c r="B25" s="736" t="s">
        <v>1840</v>
      </c>
      <c r="C25" s="737">
        <f>Model!CY204</f>
        <v>8228</v>
      </c>
      <c r="D25" s="737">
        <f>Model!CZ204</f>
        <v>9879.2000000000007</v>
      </c>
      <c r="E25" s="737">
        <f>Model!DA204</f>
        <v>11998.09</v>
      </c>
      <c r="F25" s="737">
        <f>Model!DB204</f>
        <v>14188.941234000002</v>
      </c>
      <c r="G25" s="737">
        <f>Model!DC204</f>
        <v>16498.4667917105</v>
      </c>
      <c r="H25" s="735"/>
      <c r="I25" s="741" t="s">
        <v>2691</v>
      </c>
      <c r="J25" s="735"/>
      <c r="K25" s="735"/>
      <c r="L25" s="735"/>
      <c r="M25" s="735"/>
      <c r="N25" s="735"/>
      <c r="O25" s="735"/>
    </row>
    <row r="26" spans="2:15" ht="33" customHeight="1">
      <c r="B26" s="762" t="s">
        <v>2118</v>
      </c>
      <c r="C26" s="760"/>
      <c r="D26" s="763">
        <f>(D25/C25)-1</f>
        <v>0.2006806028196404</v>
      </c>
      <c r="E26" s="763">
        <f>(E25/D25)-1</f>
        <v>0.21447991740221872</v>
      </c>
      <c r="F26" s="763">
        <f>(F25/E25)-1</f>
        <v>0.1826000000000001</v>
      </c>
      <c r="G26" s="763">
        <f>(G25/F25)-1</f>
        <v>0.16276940749999991</v>
      </c>
      <c r="H26" s="735"/>
      <c r="I26" s="735" t="s">
        <v>2676</v>
      </c>
      <c r="J26" s="735"/>
      <c r="K26" s="757">
        <f>$O$6/C41</f>
        <v>34.638402830179821</v>
      </c>
      <c r="L26" s="757">
        <f>$O$6/D41</f>
        <v>28.202414619597771</v>
      </c>
      <c r="M26" s="757">
        <f>$O$6/E41</f>
        <v>18.352068341951064</v>
      </c>
      <c r="N26" s="757">
        <f>$O$6/F41</f>
        <v>15.06672736568836</v>
      </c>
      <c r="O26" s="757">
        <f>$O$6/G41</f>
        <v>12.641651893986863</v>
      </c>
    </row>
    <row r="27" spans="2:15" ht="33" customHeight="1">
      <c r="B27" s="743" t="s">
        <v>720</v>
      </c>
      <c r="C27" s="737">
        <f>Model!CY613</f>
        <v>9611</v>
      </c>
      <c r="D27" s="737">
        <f>Model!CZ613</f>
        <v>11548</v>
      </c>
      <c r="E27" s="737">
        <f>Model!DA613</f>
        <v>13959.902708202582</v>
      </c>
      <c r="F27" s="737">
        <f>Model!DB613</f>
        <v>16044.269595977121</v>
      </c>
      <c r="G27" s="737">
        <f>Model!DC613</f>
        <v>18530.028791559409</v>
      </c>
      <c r="H27" s="735"/>
      <c r="I27" s="735" t="s">
        <v>2687</v>
      </c>
      <c r="J27" s="735"/>
      <c r="K27" s="757">
        <f>($O$6*$J$7)/C12</f>
        <v>14.000231950354255</v>
      </c>
      <c r="L27" s="757">
        <f>($O$6*$J$7)/D12</f>
        <v>12.141424426363905</v>
      </c>
      <c r="M27" s="757">
        <f>($O$6*$J$7)/E12</f>
        <v>8.8302261633655608</v>
      </c>
      <c r="N27" s="757">
        <f>($O$6*$J$7)/F12</f>
        <v>6.9432409630546816</v>
      </c>
      <c r="O27" s="757">
        <f>($O$6*$J$7)/G12</f>
        <v>5.7509742342866819</v>
      </c>
    </row>
    <row r="28" spans="2:15" ht="33" customHeight="1">
      <c r="B28" s="758" t="s">
        <v>2118</v>
      </c>
      <c r="C28" s="759"/>
      <c r="D28" s="745">
        <f>(D27/C27)-1</f>
        <v>0.20153990219540119</v>
      </c>
      <c r="E28" s="745">
        <f>(E27/D27)-1</f>
        <v>0.20885891134417922</v>
      </c>
      <c r="F28" s="745">
        <f>(F27/E27)-1</f>
        <v>0.14931098957801492</v>
      </c>
      <c r="G28" s="745">
        <f>(G27/F27)-1</f>
        <v>0.15493127815588181</v>
      </c>
      <c r="H28" s="735"/>
      <c r="I28" s="735" t="s">
        <v>2689</v>
      </c>
      <c r="J28" s="735"/>
      <c r="K28" s="757">
        <f t="shared" ref="K28:O29" si="1">$O$6/C53</f>
        <v>1.5481525162316743</v>
      </c>
      <c r="L28" s="757">
        <f t="shared" si="1"/>
        <v>1.4476701364530902</v>
      </c>
      <c r="M28" s="757">
        <f t="shared" si="1"/>
        <v>1.3615001251931724</v>
      </c>
      <c r="N28" s="757">
        <f t="shared" si="1"/>
        <v>1.2486527383678172</v>
      </c>
      <c r="O28" s="757">
        <f t="shared" si="1"/>
        <v>1.1271242258954961</v>
      </c>
    </row>
    <row r="29" spans="2:15" ht="33" customHeight="1">
      <c r="B29" s="764" t="s">
        <v>2692</v>
      </c>
      <c r="C29" s="765">
        <f>Model!CY550</f>
        <v>1565.3</v>
      </c>
      <c r="D29" s="765">
        <f>Model!CZ550</f>
        <v>1686.6</v>
      </c>
      <c r="E29" s="765">
        <f>Model!DA550</f>
        <v>1798.7623215140327</v>
      </c>
      <c r="F29" s="765">
        <f>Model!DB550</f>
        <v>1961.3260362007131</v>
      </c>
      <c r="G29" s="765">
        <f>Model!DC550</f>
        <v>2308.4710328173446</v>
      </c>
      <c r="H29" s="735"/>
      <c r="I29" s="735" t="s">
        <v>2690</v>
      </c>
      <c r="J29" s="735"/>
      <c r="K29" s="757">
        <f t="shared" si="1"/>
        <v>1.5974443860629135</v>
      </c>
      <c r="L29" s="757">
        <f t="shared" si="1"/>
        <v>1.4898044128023564</v>
      </c>
      <c r="M29" s="757">
        <f t="shared" si="1"/>
        <v>1.3957983115816786</v>
      </c>
      <c r="N29" s="757">
        <f t="shared" si="1"/>
        <v>1.277440856620716</v>
      </c>
      <c r="O29" s="757">
        <f t="shared" si="1"/>
        <v>1.1491264023410399</v>
      </c>
    </row>
    <row r="30" spans="2:15" ht="33" customHeight="1">
      <c r="B30" s="743" t="s">
        <v>2693</v>
      </c>
      <c r="C30" s="737">
        <f>Model!CY590</f>
        <v>1411</v>
      </c>
      <c r="D30" s="737">
        <f>Model!CZ590</f>
        <v>1517</v>
      </c>
      <c r="E30" s="737">
        <f>Model!DA590</f>
        <v>1674.942417000872</v>
      </c>
      <c r="F30" s="737">
        <f>Model!DB590</f>
        <v>1841.1227940314493</v>
      </c>
      <c r="G30" s="737">
        <f>Model!DC590</f>
        <v>2190.3595664323402</v>
      </c>
      <c r="H30" s="735"/>
      <c r="I30" s="760" t="s">
        <v>1084</v>
      </c>
      <c r="J30" s="760"/>
      <c r="K30" s="761">
        <f>(C49/$O$6)*100</f>
        <v>0</v>
      </c>
      <c r="L30" s="761">
        <f>(D49/$O$6)*100</f>
        <v>0</v>
      </c>
      <c r="M30" s="761">
        <f>(E49/$O$6)*100</f>
        <v>0</v>
      </c>
      <c r="N30" s="761">
        <f>(F49/$O$6)*100</f>
        <v>0</v>
      </c>
      <c r="O30" s="761">
        <f>(G49/$O$6)*100</f>
        <v>0</v>
      </c>
    </row>
    <row r="31" spans="2:15" ht="33" customHeight="1">
      <c r="B31" s="762" t="s">
        <v>2118</v>
      </c>
      <c r="C31" s="760"/>
      <c r="D31" s="766">
        <f>(D30/C30)-1</f>
        <v>7.5124025513819914E-2</v>
      </c>
      <c r="E31" s="766">
        <f>(E30/D30)-1</f>
        <v>0.1041149749511352</v>
      </c>
      <c r="F31" s="766">
        <f>(F30/E30)-1</f>
        <v>9.9215576215532009E-2</v>
      </c>
      <c r="G31" s="766">
        <f>(G30/F30)-1</f>
        <v>0.18968684410026659</v>
      </c>
      <c r="H31" s="735"/>
      <c r="I31" s="735"/>
      <c r="J31" s="735"/>
      <c r="K31" s="735"/>
      <c r="L31" s="735"/>
      <c r="M31" s="735"/>
      <c r="N31" s="735"/>
      <c r="O31" s="735"/>
    </row>
    <row r="32" spans="2:15" ht="33" customHeight="1">
      <c r="B32" s="736" t="s">
        <v>2694</v>
      </c>
      <c r="C32" s="744"/>
      <c r="D32" s="735"/>
      <c r="E32" s="735"/>
      <c r="F32" s="735"/>
      <c r="G32" s="735"/>
      <c r="H32" s="735"/>
      <c r="I32" s="781" t="s">
        <v>1101</v>
      </c>
      <c r="J32" s="781"/>
      <c r="K32" s="779" t="s">
        <v>2621</v>
      </c>
      <c r="L32" s="780" t="s">
        <v>2714</v>
      </c>
      <c r="M32" s="780" t="s">
        <v>2565</v>
      </c>
      <c r="N32" s="780" t="s">
        <v>2569</v>
      </c>
      <c r="O32" s="780" t="s">
        <v>2577</v>
      </c>
    </row>
    <row r="33" spans="2:15" ht="33" customHeight="1">
      <c r="B33" s="736" t="s">
        <v>581</v>
      </c>
      <c r="C33" s="737">
        <f>Model!CY237</f>
        <v>9687</v>
      </c>
      <c r="D33" s="737">
        <f>Model!CZ237</f>
        <v>11508.145205479452</v>
      </c>
      <c r="E33" s="737">
        <f>Model!DA237</f>
        <v>13385.768104797407</v>
      </c>
      <c r="F33" s="737">
        <f>Model!DB237</f>
        <v>15398.074094960573</v>
      </c>
      <c r="G33" s="737">
        <f>Model!DC237</f>
        <v>17567.439603362982</v>
      </c>
      <c r="H33" s="735"/>
      <c r="I33" s="741" t="s">
        <v>2695</v>
      </c>
      <c r="J33" s="735"/>
      <c r="K33" s="735"/>
      <c r="L33" s="735"/>
      <c r="M33" s="735"/>
      <c r="N33" s="735"/>
      <c r="O33" s="735"/>
    </row>
    <row r="34" spans="2:15" ht="33" customHeight="1">
      <c r="B34" s="758" t="s">
        <v>2118</v>
      </c>
      <c r="C34" s="735"/>
      <c r="D34" s="767">
        <f>(D33/C33)-1</f>
        <v>0.18799888566939726</v>
      </c>
      <c r="E34" s="767">
        <f>(E33/D33)-1</f>
        <v>0.1631559965392122</v>
      </c>
      <c r="F34" s="767">
        <f>(F33/E33)-1</f>
        <v>0.15033175342713156</v>
      </c>
      <c r="G34" s="767">
        <f>(G33/F33)-1</f>
        <v>0.14088550912431264</v>
      </c>
      <c r="H34" s="735"/>
      <c r="I34" s="735" t="s">
        <v>2660</v>
      </c>
      <c r="J34" s="735"/>
      <c r="K34" s="767">
        <f>C17/C37</f>
        <v>4.5507812499999988E-2</v>
      </c>
      <c r="L34" s="767">
        <f>D17/D37</f>
        <v>5.3079649771260659E-2</v>
      </c>
      <c r="M34" s="767">
        <f>E17/E37</f>
        <v>7.6673445890296898E-2</v>
      </c>
      <c r="N34" s="767">
        <f>F17/F37</f>
        <v>8.6230333594489603E-2</v>
      </c>
      <c r="O34" s="767">
        <f>G17/G37</f>
        <v>9.3230835767189907E-2</v>
      </c>
    </row>
    <row r="35" spans="2:15" ht="33" customHeight="1">
      <c r="B35" s="736" t="s">
        <v>469</v>
      </c>
      <c r="C35" s="737">
        <f>Model!CY239</f>
        <v>13130</v>
      </c>
      <c r="D35" s="737">
        <f>Model!CZ239</f>
        <v>13918.161643835616</v>
      </c>
      <c r="E35" s="737">
        <f>Model!DA239</f>
        <v>16064.106111372053</v>
      </c>
      <c r="F35" s="737">
        <f>Model!DB239</f>
        <v>18491.235945503497</v>
      </c>
      <c r="G35" s="737">
        <f>Model!DC239</f>
        <v>21084.634811143165</v>
      </c>
      <c r="H35" s="735"/>
      <c r="I35" s="735" t="s">
        <v>2212</v>
      </c>
      <c r="J35" s="735"/>
      <c r="K35" s="767">
        <f>C17/Model!CY702</f>
        <v>4.6985279290179455E-2</v>
      </c>
      <c r="L35" s="767">
        <f>D17/Model!CZ702</f>
        <v>5.4682074610444859E-2</v>
      </c>
      <c r="M35" s="767">
        <f>E17/Model!DA702</f>
        <v>7.8672653531403042E-2</v>
      </c>
      <c r="N35" s="767">
        <f>F17/Model!DB702</f>
        <v>8.8300581161412248E-2</v>
      </c>
      <c r="O35" s="767">
        <f>G17/Model!DC702</f>
        <v>9.5164160239341461E-2</v>
      </c>
    </row>
    <row r="36" spans="2:15" ht="33" customHeight="1">
      <c r="B36" s="758" t="s">
        <v>2118</v>
      </c>
      <c r="C36" s="735"/>
      <c r="D36" s="767">
        <f>(D35/C35)-1</f>
        <v>6.0027543323352361E-2</v>
      </c>
      <c r="E36" s="767">
        <f>(E35/D35)-1</f>
        <v>0.15418303957454627</v>
      </c>
      <c r="F36" s="767">
        <f>(F35/E35)-1</f>
        <v>0.1510902516021877</v>
      </c>
      <c r="G36" s="767">
        <f>(G35/F35)-1</f>
        <v>0.14025016355222619</v>
      </c>
      <c r="H36" s="735"/>
      <c r="I36" s="735" t="s">
        <v>2659</v>
      </c>
      <c r="J36" s="735"/>
      <c r="K36" s="768">
        <f>C17/C35</f>
        <v>5.3236862147753219E-3</v>
      </c>
      <c r="L36" s="768">
        <f>D17/D35</f>
        <v>6.2077163788557353E-3</v>
      </c>
      <c r="M36" s="768">
        <f>E17/E35</f>
        <v>8.3018825068407031E-3</v>
      </c>
      <c r="N36" s="768">
        <f>F17/F35</f>
        <v>8.7913925908349559E-3</v>
      </c>
      <c r="O36" s="768">
        <f>G17/G35</f>
        <v>9.620207394006557E-3</v>
      </c>
    </row>
    <row r="37" spans="2:15" ht="33" customHeight="1">
      <c r="B37" s="736" t="s">
        <v>2165</v>
      </c>
      <c r="C37" s="737">
        <f>Model!CY701</f>
        <v>1536</v>
      </c>
      <c r="D37" s="737">
        <f>Model!CZ701</f>
        <v>1627.7424657534245</v>
      </c>
      <c r="E37" s="737">
        <f>Model!DA701</f>
        <v>1739.3547396427844</v>
      </c>
      <c r="F37" s="737">
        <f>Model!DB701</f>
        <v>1885.2265543951089</v>
      </c>
      <c r="G37" s="737">
        <f>Model!DC701</f>
        <v>2175.6595662898812</v>
      </c>
      <c r="H37" s="735"/>
      <c r="I37" s="769" t="s">
        <v>2696</v>
      </c>
      <c r="J37" s="769"/>
      <c r="K37" s="770">
        <f>C17/Model!CY703</f>
        <v>7.9922649655422302E-3</v>
      </c>
      <c r="L37" s="770">
        <f>D17/Model!CZ703</f>
        <v>8.1411662112172625E-3</v>
      </c>
      <c r="M37" s="770">
        <f>E17/Model!DA703</f>
        <v>1.0468878024226878E-2</v>
      </c>
      <c r="N37" s="770">
        <f>F17/Model!DB703</f>
        <v>1.0852267904408885E-2</v>
      </c>
      <c r="O37" s="770">
        <f>G17/Model!DC703</f>
        <v>1.1770998528572345E-2</v>
      </c>
    </row>
    <row r="38" spans="2:15" ht="33" customHeight="1">
      <c r="B38" s="758" t="s">
        <v>2118</v>
      </c>
      <c r="C38" s="735"/>
      <c r="D38" s="767">
        <f>(D37/C37)-1</f>
        <v>5.9728167808219101E-2</v>
      </c>
      <c r="E38" s="767">
        <f>(E37/D37)-1</f>
        <v>6.8568754724782854E-2</v>
      </c>
      <c r="F38" s="767">
        <f>(F37/E37)-1</f>
        <v>8.3865476907995617E-2</v>
      </c>
      <c r="G38" s="767">
        <f>(G37/F37)-1</f>
        <v>0.15405735253286856</v>
      </c>
      <c r="H38" s="735"/>
      <c r="I38" s="741" t="s">
        <v>2697</v>
      </c>
      <c r="J38" s="735"/>
      <c r="K38" s="735"/>
      <c r="L38" s="735"/>
      <c r="M38" s="735"/>
      <c r="N38" s="735"/>
      <c r="O38" s="735"/>
    </row>
    <row r="39" spans="2:15" ht="33" customHeight="1">
      <c r="B39" s="735"/>
      <c r="C39" s="735"/>
      <c r="D39" s="735"/>
      <c r="E39" s="735"/>
      <c r="F39" s="735"/>
      <c r="G39" s="735"/>
      <c r="H39" s="735"/>
      <c r="I39" s="735" t="s">
        <v>2660</v>
      </c>
      <c r="J39" s="735"/>
      <c r="K39" s="767">
        <f>C20/C37</f>
        <v>4.5507812499999988E-2</v>
      </c>
      <c r="L39" s="767">
        <f>D20/D37</f>
        <v>5.3079649771260659E-2</v>
      </c>
      <c r="M39" s="767">
        <f>E20/E37</f>
        <v>7.6673445890296898E-2</v>
      </c>
      <c r="N39" s="767">
        <f>F20/F37</f>
        <v>8.6230333594489603E-2</v>
      </c>
      <c r="O39" s="767">
        <f>G20/G37</f>
        <v>9.3230835767189907E-2</v>
      </c>
    </row>
    <row r="40" spans="2:15" ht="33" customHeight="1">
      <c r="B40" s="778" t="s">
        <v>2652</v>
      </c>
      <c r="C40" s="779" t="s">
        <v>2621</v>
      </c>
      <c r="D40" s="780" t="s">
        <v>2714</v>
      </c>
      <c r="E40" s="780" t="s">
        <v>2565</v>
      </c>
      <c r="F40" s="780" t="s">
        <v>2569</v>
      </c>
      <c r="G40" s="780" t="s">
        <v>2577</v>
      </c>
      <c r="H40" s="735"/>
      <c r="I40" s="735" t="s">
        <v>2212</v>
      </c>
      <c r="J40" s="735"/>
      <c r="K40" s="767">
        <f>C20/Model!CY702</f>
        <v>4.6985279290179455E-2</v>
      </c>
      <c r="L40" s="767">
        <f>D20/Model!CZ702</f>
        <v>5.4682074610444859E-2</v>
      </c>
      <c r="M40" s="767">
        <f>E20/Model!DA702</f>
        <v>7.8672653531403042E-2</v>
      </c>
      <c r="N40" s="767">
        <f>F20/Model!DB702</f>
        <v>8.8300581161412248E-2</v>
      </c>
      <c r="O40" s="767">
        <f>G20/Model!DC702</f>
        <v>9.5164160239341461E-2</v>
      </c>
    </row>
    <row r="41" spans="2:15" ht="33" customHeight="1">
      <c r="B41" s="741" t="s">
        <v>2698</v>
      </c>
      <c r="C41" s="771">
        <f>Model!CY730</f>
        <v>6.3067284301273438E-2</v>
      </c>
      <c r="D41" s="771">
        <f>Model!CZ730</f>
        <v>7.7459679552223451E-2</v>
      </c>
      <c r="E41" s="771">
        <f>Model!DA730</f>
        <v>0.11903562902712791</v>
      </c>
      <c r="F41" s="771">
        <f>Model!DB730</f>
        <v>0.14499167244559608</v>
      </c>
      <c r="G41" s="771">
        <f>Model!DC730</f>
        <v>0.17280573910377092</v>
      </c>
      <c r="H41" s="735"/>
      <c r="I41" s="735" t="s">
        <v>2659</v>
      </c>
      <c r="J41" s="735"/>
      <c r="K41" s="768">
        <f>C20/C35</f>
        <v>5.3236862147753219E-3</v>
      </c>
      <c r="L41" s="768">
        <f>D20/D35</f>
        <v>6.2077163788557353E-3</v>
      </c>
      <c r="M41" s="768">
        <f>E20/E35</f>
        <v>8.3018825068407031E-3</v>
      </c>
      <c r="N41" s="768">
        <f>F20/F35</f>
        <v>8.7913925908349559E-3</v>
      </c>
      <c r="O41" s="768">
        <f>G20/G35</f>
        <v>9.620207394006557E-3</v>
      </c>
    </row>
    <row r="42" spans="2:15" ht="33" customHeight="1">
      <c r="B42" s="758" t="s">
        <v>2118</v>
      </c>
      <c r="C42" s="735"/>
      <c r="D42" s="745">
        <f>(D41/C41)-1</f>
        <v>0.22820699211016149</v>
      </c>
      <c r="E42" s="745">
        <f>(E41/D41)-1</f>
        <v>0.53674311222619875</v>
      </c>
      <c r="F42" s="745">
        <f>(F41/E41)-1</f>
        <v>0.21805272615103211</v>
      </c>
      <c r="G42" s="745">
        <f>(G41/F41)-1</f>
        <v>0.19183216655847102</v>
      </c>
      <c r="H42" s="735"/>
      <c r="I42" s="760" t="s">
        <v>2696</v>
      </c>
      <c r="J42" s="760"/>
      <c r="K42" s="770">
        <f>C20/Model!CY703</f>
        <v>7.9922649655422302E-3</v>
      </c>
      <c r="L42" s="770">
        <f>D20/Model!CZ703</f>
        <v>8.1411662112172625E-3</v>
      </c>
      <c r="M42" s="770">
        <f>E20/Model!DA703</f>
        <v>1.0468878024226878E-2</v>
      </c>
      <c r="N42" s="770">
        <f>F20/Model!DB703</f>
        <v>1.0852267904408885E-2</v>
      </c>
      <c r="O42" s="770">
        <f>G20/Model!DC703</f>
        <v>1.1770998528572345E-2</v>
      </c>
    </row>
    <row r="43" spans="2:15" ht="33" customHeight="1">
      <c r="B43" s="741" t="s">
        <v>2699</v>
      </c>
      <c r="C43" s="771">
        <f>Model!CY732</f>
        <v>6.0559567749303163E-2</v>
      </c>
      <c r="D43" s="771">
        <f>Model!CZ732</f>
        <v>7.2957769283680612E-2</v>
      </c>
      <c r="E43" s="771">
        <f>Model!DA732</f>
        <v>0.10762263375075418</v>
      </c>
      <c r="F43" s="771">
        <f>Model!DB732</f>
        <v>0.13060581349162786</v>
      </c>
      <c r="G43" s="771">
        <f>Model!DC732</f>
        <v>0.15513687586165492</v>
      </c>
      <c r="H43" s="735"/>
      <c r="I43" s="741" t="s">
        <v>2700</v>
      </c>
      <c r="J43" s="735"/>
      <c r="K43" s="735"/>
      <c r="L43" s="735"/>
      <c r="M43" s="735"/>
      <c r="N43" s="735"/>
      <c r="O43" s="735"/>
    </row>
    <row r="44" spans="2:15" ht="33" customHeight="1">
      <c r="B44" s="758" t="s">
        <v>2118</v>
      </c>
      <c r="C44" s="735"/>
      <c r="D44" s="767">
        <f>(D43/C43)-1</f>
        <v>0.20472737826831855</v>
      </c>
      <c r="E44" s="767">
        <f>(E43/D43)-1</f>
        <v>0.47513602468143845</v>
      </c>
      <c r="F44" s="767">
        <f>(F43/E43)-1</f>
        <v>0.21355340359074448</v>
      </c>
      <c r="G44" s="767">
        <f>(G43/F43)-1</f>
        <v>0.18782519486852367</v>
      </c>
      <c r="H44" s="735"/>
      <c r="I44" s="735" t="s">
        <v>528</v>
      </c>
      <c r="J44" s="735"/>
      <c r="K44" s="768">
        <f>C6</f>
        <v>2.933242144458376E-2</v>
      </c>
      <c r="L44" s="768">
        <f>D6</f>
        <v>2.9259006501203264E-2</v>
      </c>
      <c r="M44" s="768">
        <f>E6</f>
        <v>3.0906833146576291E-2</v>
      </c>
      <c r="N44" s="768">
        <f>F6</f>
        <v>3.1820960953146585E-2</v>
      </c>
      <c r="O44" s="768">
        <f>G6</f>
        <v>3.2068547637801613E-2</v>
      </c>
    </row>
    <row r="45" spans="2:15" ht="33" customHeight="1">
      <c r="B45" s="741" t="s">
        <v>2701</v>
      </c>
      <c r="C45" s="771">
        <f>Model!CY728</f>
        <v>6.306728430127348E-2</v>
      </c>
      <c r="D45" s="771">
        <f>Model!CZ728</f>
        <v>7.7459679552223409E-2</v>
      </c>
      <c r="E45" s="771">
        <f>Model!DA728</f>
        <v>0.11903562902712794</v>
      </c>
      <c r="F45" s="771">
        <f>Model!DB728</f>
        <v>0.14499167244559596</v>
      </c>
      <c r="G45" s="771">
        <f>Model!DC728</f>
        <v>0.17280573910377089</v>
      </c>
      <c r="H45" s="735"/>
      <c r="I45" s="735" t="s">
        <v>2658</v>
      </c>
      <c r="J45" s="735"/>
      <c r="K45" s="767">
        <f>-C11/C10</f>
        <v>0.56037307789261415</v>
      </c>
      <c r="L45" s="767">
        <f>-D11/D10</f>
        <v>0.52447387089146369</v>
      </c>
      <c r="M45" s="767">
        <f>-E11/E10</f>
        <v>0.46587677351851536</v>
      </c>
      <c r="N45" s="767">
        <f>-F11/F10</f>
        <v>0.42604157135535703</v>
      </c>
      <c r="O45" s="767">
        <f>-G11/G10</f>
        <v>0.39676330878851773</v>
      </c>
    </row>
    <row r="46" spans="2:15" ht="33" customHeight="1">
      <c r="B46" s="758" t="s">
        <v>2118</v>
      </c>
      <c r="C46" s="735"/>
      <c r="D46" s="767">
        <f>(D45/C45)-1</f>
        <v>0.22820699211015993</v>
      </c>
      <c r="E46" s="767">
        <f>(E45/D45)-1</f>
        <v>0.53674311222619986</v>
      </c>
      <c r="F46" s="767">
        <f>(F45/E45)-1</f>
        <v>0.21805272615103077</v>
      </c>
      <c r="G46" s="767">
        <f>(G45/F45)-1</f>
        <v>0.19183216655847168</v>
      </c>
      <c r="H46" s="735"/>
      <c r="I46" s="735" t="s">
        <v>2702</v>
      </c>
      <c r="J46" s="735"/>
      <c r="K46" s="772">
        <f>-(C11/Model!CY697)*10000</f>
        <v>167.96373252738951</v>
      </c>
      <c r="L46" s="772">
        <f>-(D11/Model!CZ697)*10000</f>
        <v>158.66793955891578</v>
      </c>
      <c r="M46" s="772">
        <f>-(E11/Model!DA697)*10000</f>
        <v>149.55302806049428</v>
      </c>
      <c r="N46" s="772">
        <f>-(F11/Model!DB697)*10000</f>
        <v>140.55347510967701</v>
      </c>
      <c r="O46" s="772">
        <f>-(G11/Model!DC697)*10000</f>
        <v>131.89597510842967</v>
      </c>
    </row>
    <row r="47" spans="2:15" ht="33" customHeight="1">
      <c r="B47" s="741" t="s">
        <v>2703</v>
      </c>
      <c r="C47" s="771">
        <f>Model!CY729</f>
        <v>6.0559567749303211E-2</v>
      </c>
      <c r="D47" s="771">
        <f>Model!CZ729</f>
        <v>7.2957769283680585E-2</v>
      </c>
      <c r="E47" s="771">
        <f>Model!DA729</f>
        <v>0.10762263375075419</v>
      </c>
      <c r="F47" s="771">
        <f>Model!DB729</f>
        <v>0.13060581349162775</v>
      </c>
      <c r="G47" s="771">
        <f>Model!DC729</f>
        <v>0.15513687586165489</v>
      </c>
      <c r="H47" s="735"/>
      <c r="I47" s="735" t="s">
        <v>2704</v>
      </c>
      <c r="J47" s="735"/>
      <c r="K47" s="767">
        <f>-C15/C14</f>
        <v>0.32981783317353791</v>
      </c>
      <c r="L47" s="767">
        <f>-D15/D14</f>
        <v>0.31210191082802546</v>
      </c>
      <c r="M47" s="767">
        <f>-E15/E14</f>
        <v>0.30696396026937905</v>
      </c>
      <c r="N47" s="767">
        <f>-F15/F14</f>
        <v>0.305006003010103</v>
      </c>
      <c r="O47" s="767">
        <f>-G15/G14</f>
        <v>0.3029930057563594</v>
      </c>
    </row>
    <row r="48" spans="2:15" ht="33" customHeight="1">
      <c r="B48" s="758" t="s">
        <v>2118</v>
      </c>
      <c r="C48" s="735"/>
      <c r="D48" s="767">
        <f>(D47/C47)-1</f>
        <v>0.204727378268317</v>
      </c>
      <c r="E48" s="767">
        <f>(E47/D47)-1</f>
        <v>0.47513602468143912</v>
      </c>
      <c r="F48" s="767">
        <f>(F47/E47)-1</f>
        <v>0.21355340359074337</v>
      </c>
      <c r="G48" s="767">
        <f>(G47/F47)-1</f>
        <v>0.18782519486852434</v>
      </c>
      <c r="H48" s="735"/>
      <c r="I48" s="769" t="s">
        <v>2161</v>
      </c>
      <c r="J48" s="769"/>
      <c r="K48" s="773">
        <f>C23/C25</f>
        <v>1.3018230432668936</v>
      </c>
      <c r="L48" s="773">
        <f>D23/D25</f>
        <v>1.2617722082759737</v>
      </c>
      <c r="M48" s="773">
        <f>E23/E25</f>
        <v>1.2111183990451815</v>
      </c>
      <c r="N48" s="773">
        <f>F23/F25</f>
        <v>1.1741590290709178</v>
      </c>
      <c r="O48" s="773">
        <f>G23/G25</f>
        <v>1.1501173845967376</v>
      </c>
    </row>
    <row r="49" spans="2:15" ht="33" customHeight="1">
      <c r="B49" s="741" t="s">
        <v>2705</v>
      </c>
      <c r="C49" s="771">
        <f>Model!CY735</f>
        <v>0</v>
      </c>
      <c r="D49" s="771">
        <f>Model!CZ735</f>
        <v>0</v>
      </c>
      <c r="E49" s="771">
        <f>Model!DA735</f>
        <v>0</v>
      </c>
      <c r="F49" s="771">
        <f>Model!DB735</f>
        <v>0</v>
      </c>
      <c r="G49" s="771">
        <f>Model!DC735</f>
        <v>0</v>
      </c>
      <c r="H49" s="735"/>
      <c r="I49" s="741" t="s">
        <v>570</v>
      </c>
      <c r="J49" s="735"/>
      <c r="K49" s="735"/>
      <c r="L49" s="735"/>
      <c r="M49" s="735"/>
      <c r="N49" s="735"/>
      <c r="O49" s="735"/>
    </row>
    <row r="50" spans="2:15" ht="33" customHeight="1">
      <c r="B50" s="758" t="s">
        <v>2118</v>
      </c>
      <c r="C50" s="735"/>
      <c r="D50" s="767">
        <f>IFERROR((D49/C49)-1,0)</f>
        <v>0</v>
      </c>
      <c r="E50" s="767">
        <f>IFERROR((E49/D49)-1,0)</f>
        <v>0</v>
      </c>
      <c r="F50" s="767">
        <f>IFERROR((F49/E49)-1,0)</f>
        <v>0</v>
      </c>
      <c r="G50" s="767">
        <f>IFERROR((G49/F49)-1,0)</f>
        <v>0</v>
      </c>
      <c r="H50" s="735"/>
      <c r="I50" s="735" t="s">
        <v>2706</v>
      </c>
      <c r="J50" s="735"/>
      <c r="K50" s="774">
        <f>(Model!CY811)*10000</f>
        <v>72.365025291627944</v>
      </c>
      <c r="L50" s="774">
        <f>(Model!CZ811)*10000</f>
        <v>65.605706785878638</v>
      </c>
      <c r="M50" s="774">
        <f>(Model!DA811)*10000</f>
        <v>62.811020405313592</v>
      </c>
      <c r="N50" s="774">
        <f>(Model!DB811)*10000</f>
        <v>76.470941258087848</v>
      </c>
      <c r="O50" s="774">
        <f>(Model!DC811)*10000</f>
        <v>76.019913068448474</v>
      </c>
    </row>
    <row r="51" spans="2:15" ht="33" customHeight="1">
      <c r="B51" s="735" t="s">
        <v>2707</v>
      </c>
      <c r="C51" s="745">
        <f>Model!CY838</f>
        <v>0</v>
      </c>
      <c r="D51" s="745">
        <f>Model!CZ838</f>
        <v>0</v>
      </c>
      <c r="E51" s="745">
        <f>Model!DA838</f>
        <v>0</v>
      </c>
      <c r="F51" s="745">
        <f>Model!DB838</f>
        <v>0</v>
      </c>
      <c r="G51" s="745">
        <f>Model!DC838</f>
        <v>0</v>
      </c>
      <c r="H51" s="735"/>
      <c r="I51" s="735" t="s">
        <v>2708</v>
      </c>
      <c r="J51" s="735"/>
      <c r="K51" s="768">
        <f>Model!CY813</f>
        <v>2.3124894971712381E-2</v>
      </c>
      <c r="L51" s="768">
        <f>Model!CZ813</f>
        <v>2.4323522097342221E-2</v>
      </c>
      <c r="M51" s="768">
        <f>Model!DA813</f>
        <v>2.5323522097342219E-2</v>
      </c>
      <c r="N51" s="768">
        <f>Model!DB813</f>
        <v>2.6323522097342223E-2</v>
      </c>
      <c r="O51" s="768">
        <f>Model!DC813</f>
        <v>2.732352209734222E-2</v>
      </c>
    </row>
    <row r="52" spans="2:15" ht="33" customHeight="1">
      <c r="B52" s="739" t="s">
        <v>2132</v>
      </c>
      <c r="C52" s="750">
        <f>Model!CY138</f>
        <v>0</v>
      </c>
      <c r="D52" s="750">
        <f>Model!CZ138</f>
        <v>0</v>
      </c>
      <c r="E52" s="750">
        <f>Model!DA138</f>
        <v>0</v>
      </c>
      <c r="F52" s="750">
        <f>Model!DB138</f>
        <v>0</v>
      </c>
      <c r="G52" s="750">
        <f>Model!DC138</f>
        <v>0</v>
      </c>
      <c r="H52" s="735"/>
      <c r="I52" s="735" t="s">
        <v>2185</v>
      </c>
      <c r="J52" s="735"/>
      <c r="K52" s="768">
        <f>Model!CY817</f>
        <v>1.293350120178551E-2</v>
      </c>
      <c r="L52" s="768">
        <f>Model!CZ817</f>
        <v>1.1240236235473424E-2</v>
      </c>
      <c r="M52" s="768">
        <f>Model!DA817</f>
        <v>9.8587493357526826E-3</v>
      </c>
      <c r="N52" s="768">
        <f>Model!DB817</f>
        <v>1.0870050223745542E-2</v>
      </c>
      <c r="O52" s="768">
        <f>Model!DC817</f>
        <v>1.1574836283593907E-2</v>
      </c>
    </row>
    <row r="53" spans="2:15" ht="33" customHeight="1">
      <c r="B53" s="741" t="s">
        <v>401</v>
      </c>
      <c r="C53" s="771">
        <f>Model!CY742</f>
        <v>1.4110689845664255</v>
      </c>
      <c r="D53" s="771">
        <f>Model!CZ742</f>
        <v>1.5090108886167335</v>
      </c>
      <c r="E53" s="771">
        <f>Model!DA742</f>
        <v>1.6045169285041652</v>
      </c>
      <c r="F53" s="771">
        <f>Model!DB742</f>
        <v>1.7495256542571884</v>
      </c>
      <c r="G53" s="771">
        <f>Model!DC742</f>
        <v>1.9381625812339969</v>
      </c>
      <c r="H53" s="735"/>
      <c r="I53" s="760" t="s">
        <v>2189</v>
      </c>
      <c r="J53" s="760"/>
      <c r="K53" s="740">
        <f>Model!CY823</f>
        <v>1.7065354240586014E-2</v>
      </c>
      <c r="L53" s="740">
        <f>Model!CZ823</f>
        <v>1.7698609258906459E-2</v>
      </c>
      <c r="M53" s="740">
        <f>Model!DA823</f>
        <v>1.5521122687057558E-2</v>
      </c>
      <c r="N53" s="740">
        <f>Model!DB823</f>
        <v>1.4966159497006927E-2</v>
      </c>
      <c r="O53" s="740">
        <f>Model!DC823</f>
        <v>1.3519653680752433E-2</v>
      </c>
    </row>
    <row r="54" spans="2:15" ht="33" customHeight="1">
      <c r="B54" s="741" t="s">
        <v>2709</v>
      </c>
      <c r="C54" s="771">
        <f>Model!CY743</f>
        <v>1.367528045478354</v>
      </c>
      <c r="D54" s="771">
        <f>Model!CZ743</f>
        <v>1.4663334195149795</v>
      </c>
      <c r="E54" s="771">
        <f>Model!DA743</f>
        <v>1.5650900140132109</v>
      </c>
      <c r="F54" s="771">
        <f>Model!DB743</f>
        <v>1.7100987397662342</v>
      </c>
      <c r="G54" s="771">
        <f>Model!DC743</f>
        <v>1.9010528298562672</v>
      </c>
      <c r="H54" s="735"/>
      <c r="I54" s="741" t="s">
        <v>620</v>
      </c>
      <c r="J54" s="735"/>
      <c r="K54" s="735"/>
      <c r="L54" s="735"/>
      <c r="M54" s="735"/>
      <c r="N54" s="735"/>
      <c r="O54" s="735"/>
    </row>
    <row r="55" spans="2:15" ht="33" customHeight="1">
      <c r="B55" s="735" t="s">
        <v>2667</v>
      </c>
      <c r="C55" s="744">
        <f>Model!CY543</f>
        <v>1109.300833</v>
      </c>
      <c r="D55" s="744">
        <f>Model!CZ543</f>
        <v>1117.685772</v>
      </c>
      <c r="E55" s="744">
        <f>Model!DA543</f>
        <v>1121.061604</v>
      </c>
      <c r="F55" s="744">
        <f>Model!DB543</f>
        <v>1121.061604</v>
      </c>
      <c r="G55" s="744">
        <f>Model!DC543</f>
        <v>1191.061604</v>
      </c>
      <c r="H55" s="735"/>
      <c r="I55" s="735" t="s">
        <v>2710</v>
      </c>
      <c r="J55" s="735"/>
      <c r="K55" s="767">
        <f>Model!CY834</f>
        <v>0.14681094579128082</v>
      </c>
      <c r="L55" s="767">
        <f>Model!CZ834</f>
        <v>0.13136473848285418</v>
      </c>
      <c r="M55" s="767">
        <f>Model!DA834</f>
        <v>0.11998238469217315</v>
      </c>
      <c r="N55" s="767">
        <f>Model!DB834</f>
        <v>0.11475267122743221</v>
      </c>
      <c r="O55" s="767">
        <f>Model!DC834</f>
        <v>0.11820594512136259</v>
      </c>
    </row>
    <row r="56" spans="2:15" ht="33" customHeight="1">
      <c r="B56" s="735" t="s">
        <v>2711</v>
      </c>
      <c r="C56" s="744">
        <f>Model!CY544</f>
        <v>1108.340097</v>
      </c>
      <c r="D56" s="744">
        <f>Model!CZ544</f>
        <v>1115.4190218634851</v>
      </c>
      <c r="E56" s="744">
        <f>Model!DA544</f>
        <v>1120.3563387197253</v>
      </c>
      <c r="F56" s="744">
        <f>Model!DB544</f>
        <v>1121.1934585255424</v>
      </c>
      <c r="G56" s="744">
        <f>Model!DC544</f>
        <v>1173.7952730162608</v>
      </c>
      <c r="H56" s="735"/>
      <c r="I56" s="735" t="s">
        <v>544</v>
      </c>
      <c r="J56" s="735"/>
      <c r="K56" s="767">
        <f>Model!CY836</f>
        <v>0.15461450421392156</v>
      </c>
      <c r="L56" s="767">
        <f>Model!CZ836</f>
        <v>0.13785936958780742</v>
      </c>
      <c r="M56" s="767">
        <f>Model!DA836</f>
        <v>0.12535491497176682</v>
      </c>
      <c r="N56" s="767">
        <f>Model!DB836</f>
        <v>0.11942723740517865</v>
      </c>
      <c r="O56" s="767">
        <f>Model!DC836</f>
        <v>0.12225342938831435</v>
      </c>
    </row>
    <row r="57" spans="2:15" ht="33" customHeight="1">
      <c r="B57" s="775" t="s">
        <v>2712</v>
      </c>
      <c r="C57" s="776">
        <f>Model!CY545</f>
        <v>1212.0297869999999</v>
      </c>
      <c r="D57" s="776">
        <f>Model!CZ545</f>
        <v>1217.1424766938851</v>
      </c>
      <c r="E57" s="776">
        <f>Model!DA545</f>
        <v>1265.1829524017603</v>
      </c>
      <c r="F57" s="776">
        <f>Model!DB545</f>
        <v>1266.1282853024047</v>
      </c>
      <c r="G57" s="776">
        <f>Model!DC545</f>
        <v>1325.5298494825181</v>
      </c>
      <c r="H57" s="775"/>
      <c r="I57" s="775" t="s">
        <v>652</v>
      </c>
      <c r="J57" s="775"/>
      <c r="K57" s="777">
        <f>Model!CY837</f>
        <v>0.17500780355842263</v>
      </c>
      <c r="L57" s="777">
        <f>Model!CZ837</f>
        <v>0.16548320055420851</v>
      </c>
      <c r="M57" s="777">
        <f>Model!DA837</f>
        <v>0.15959208051114987</v>
      </c>
      <c r="N57" s="777">
        <f>Model!DB837</f>
        <v>0.15067520033104012</v>
      </c>
      <c r="O57" s="777">
        <f>Model!DC837</f>
        <v>0.15069400086448492</v>
      </c>
    </row>
  </sheetData>
  <mergeCells count="15">
    <mergeCell ref="M7:N7"/>
    <mergeCell ref="B2:H2"/>
    <mergeCell ref="I2:O2"/>
    <mergeCell ref="I4:O4"/>
    <mergeCell ref="M5:N5"/>
    <mergeCell ref="M6:N6"/>
    <mergeCell ref="M14:N14"/>
    <mergeCell ref="M15:N15"/>
    <mergeCell ref="I18:J18"/>
    <mergeCell ref="M8:N8"/>
    <mergeCell ref="M9:N9"/>
    <mergeCell ref="M10:N10"/>
    <mergeCell ref="M11:N11"/>
    <mergeCell ref="N12:O12"/>
    <mergeCell ref="M13:N13"/>
  </mergeCells>
  <pageMargins left="0.7" right="0.7" top="0.75" bottom="0.75" header="0.3" footer="0.3"/>
  <pageSetup paperSize="9" orientation="portrait" r:id="rId1"/>
  <customProperties>
    <customPr name="Qube.Worksheet.Visibility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DP2525"/>
  <sheetViews>
    <sheetView zoomScaleNormal="100" workbookViewId="0">
      <pane xSplit="2" ySplit="13" topLeftCell="AP35" activePane="bottomRight" state="frozen"/>
      <selection pane="topRight" activeCell="C1" sqref="C1"/>
      <selection pane="bottomLeft" activeCell="A14" sqref="A14"/>
      <selection pane="bottomRight" activeCell="AZ80" sqref="AZ80"/>
    </sheetView>
  </sheetViews>
  <sheetFormatPr defaultColWidth="10.75" defaultRowHeight="12.75" outlineLevelRow="3" outlineLevelCol="1"/>
  <cols>
    <col min="1" max="1" width="4" style="1" customWidth="1"/>
    <col min="2" max="2" width="27.375" style="19" bestFit="1" customWidth="1"/>
    <col min="3" max="19" width="10.75" style="21" hidden="1" customWidth="1" outlineLevel="1"/>
    <col min="20" max="20" width="10.75" style="21" hidden="1" customWidth="1" outlineLevel="1" collapsed="1"/>
    <col min="21" max="41" width="10.75" style="21" hidden="1" customWidth="1" outlineLevel="1"/>
    <col min="42" max="42" width="10.75" style="21" customWidth="1" collapsed="1"/>
    <col min="43" max="48" width="10.75" style="21" customWidth="1"/>
    <col min="49" max="49" width="10.75" style="22" customWidth="1"/>
    <col min="50" max="59" width="10.75" style="21" customWidth="1"/>
    <col min="60" max="69" width="10.75" style="21" hidden="1" customWidth="1" outlineLevel="1"/>
    <col min="70" max="70" width="4" style="21" customWidth="1" collapsed="1"/>
    <col min="71" max="98" width="10.75" style="21" hidden="1" customWidth="1" outlineLevel="1"/>
    <col min="99" max="99" width="10.75" style="21" customWidth="1" collapsed="1"/>
    <col min="100" max="102" width="10.75" style="21" customWidth="1"/>
    <col min="103" max="103" width="10.75" style="22" customWidth="1"/>
    <col min="104" max="108" width="10.75" style="21" customWidth="1"/>
    <col min="109" max="110" width="10.75" style="21" hidden="1" customWidth="1" outlineLevel="1"/>
    <col min="111" max="113" width="10.75" hidden="1" customWidth="1" outlineLevel="1"/>
    <col min="114" max="114" width="10.75" style="19" hidden="1" customWidth="1" outlineLevel="1"/>
    <col min="115" max="115" width="10.75" style="19" collapsed="1"/>
    <col min="116" max="16384" width="10.75" style="19"/>
  </cols>
  <sheetData>
    <row r="1" spans="1:113" s="5" customFormat="1" ht="12">
      <c r="A1" s="1"/>
      <c r="B1" s="2" t="s">
        <v>643</v>
      </c>
      <c r="C1" s="3" t="s">
        <v>130</v>
      </c>
      <c r="D1" s="3" t="s">
        <v>624</v>
      </c>
      <c r="E1" s="3" t="s">
        <v>625</v>
      </c>
      <c r="F1" s="3" t="s">
        <v>626</v>
      </c>
      <c r="G1" s="3" t="s">
        <v>627</v>
      </c>
      <c r="H1" s="3" t="s">
        <v>628</v>
      </c>
      <c r="I1" s="3" t="s">
        <v>629</v>
      </c>
      <c r="J1" s="3" t="s">
        <v>630</v>
      </c>
      <c r="K1" s="3" t="s">
        <v>631</v>
      </c>
      <c r="L1" s="3" t="s">
        <v>513</v>
      </c>
      <c r="M1" s="3" t="s">
        <v>514</v>
      </c>
      <c r="N1" s="3" t="s">
        <v>515</v>
      </c>
      <c r="O1" s="3" t="s">
        <v>516</v>
      </c>
      <c r="P1" s="3" t="s">
        <v>517</v>
      </c>
      <c r="Q1" s="3" t="s">
        <v>518</v>
      </c>
      <c r="R1" s="3" t="s">
        <v>519</v>
      </c>
      <c r="S1" s="3" t="s">
        <v>520</v>
      </c>
      <c r="T1" s="3" t="s">
        <v>521</v>
      </c>
      <c r="U1" s="3" t="s">
        <v>522</v>
      </c>
      <c r="V1" s="3" t="s">
        <v>523</v>
      </c>
      <c r="W1" s="3" t="s">
        <v>509</v>
      </c>
      <c r="X1" s="3" t="s">
        <v>510</v>
      </c>
      <c r="Y1" s="3" t="s">
        <v>511</v>
      </c>
      <c r="Z1" s="3" t="s">
        <v>2456</v>
      </c>
      <c r="AA1" s="3" t="s">
        <v>2523</v>
      </c>
      <c r="AB1" s="3" t="s">
        <v>2530</v>
      </c>
      <c r="AC1" s="3" t="s">
        <v>2536</v>
      </c>
      <c r="AD1" s="3" t="s">
        <v>2538</v>
      </c>
      <c r="AE1" s="3" t="s">
        <v>2544</v>
      </c>
      <c r="AF1" s="3" t="s">
        <v>2548</v>
      </c>
      <c r="AG1" s="3" t="s">
        <v>2562</v>
      </c>
      <c r="AH1" s="3" t="s">
        <v>2566</v>
      </c>
      <c r="AI1" s="3" t="s">
        <v>2571</v>
      </c>
      <c r="AJ1" s="3" t="s">
        <v>2572</v>
      </c>
      <c r="AK1" s="3" t="s">
        <v>2574</v>
      </c>
      <c r="AL1" s="3" t="s">
        <v>2578</v>
      </c>
      <c r="AM1" s="3" t="s">
        <v>2579</v>
      </c>
      <c r="AN1" s="3" t="s">
        <v>2584</v>
      </c>
      <c r="AO1" s="3" t="s">
        <v>2588</v>
      </c>
      <c r="AP1" s="3" t="s">
        <v>2590</v>
      </c>
      <c r="AQ1" s="3" t="s">
        <v>2601</v>
      </c>
      <c r="AR1" s="3" t="s">
        <v>2602</v>
      </c>
      <c r="AS1" s="3" t="s">
        <v>2606</v>
      </c>
      <c r="AT1" s="3" t="s">
        <v>2611</v>
      </c>
      <c r="AU1" s="3" t="s">
        <v>2615</v>
      </c>
      <c r="AV1" s="3" t="s">
        <v>2617</v>
      </c>
      <c r="AW1" s="4" t="s">
        <v>2618</v>
      </c>
      <c r="AX1" s="3" t="s">
        <v>2545</v>
      </c>
      <c r="AY1" s="3" t="s">
        <v>2546</v>
      </c>
      <c r="AZ1" s="3" t="s">
        <v>2563</v>
      </c>
      <c r="BA1" s="3" t="s">
        <v>2564</v>
      </c>
      <c r="BB1" s="3" t="s">
        <v>2567</v>
      </c>
      <c r="BC1" s="3" t="s">
        <v>2568</v>
      </c>
      <c r="BD1" s="3" t="s">
        <v>2575</v>
      </c>
      <c r="BE1" s="3" t="s">
        <v>2576</v>
      </c>
      <c r="BF1" s="3" t="s">
        <v>2581</v>
      </c>
      <c r="BG1" s="3" t="s">
        <v>2582</v>
      </c>
      <c r="BH1" s="3" t="s">
        <v>2585</v>
      </c>
      <c r="BI1" s="3" t="s">
        <v>2586</v>
      </c>
      <c r="BJ1" s="3" t="s">
        <v>2603</v>
      </c>
      <c r="BK1" s="3" t="s">
        <v>2604</v>
      </c>
      <c r="BL1" s="3" t="s">
        <v>2607</v>
      </c>
      <c r="BM1" s="3" t="s">
        <v>2608</v>
      </c>
      <c r="BN1" s="3" t="s">
        <v>2612</v>
      </c>
      <c r="BO1" s="3" t="s">
        <v>2613</v>
      </c>
      <c r="BP1" s="3" t="s">
        <v>2619</v>
      </c>
      <c r="BQ1" s="3" t="s">
        <v>2620</v>
      </c>
      <c r="BR1" s="3"/>
      <c r="BS1" s="3" t="s">
        <v>206</v>
      </c>
      <c r="BT1" s="3" t="s">
        <v>776</v>
      </c>
      <c r="BU1" s="3" t="s">
        <v>777</v>
      </c>
      <c r="BV1" s="3" t="s">
        <v>912</v>
      </c>
      <c r="BW1" s="3" t="s">
        <v>913</v>
      </c>
      <c r="BX1" s="3" t="s">
        <v>914</v>
      </c>
      <c r="BY1" s="3" t="s">
        <v>915</v>
      </c>
      <c r="BZ1" s="3" t="s">
        <v>916</v>
      </c>
      <c r="CA1" s="3" t="s">
        <v>207</v>
      </c>
      <c r="CB1" s="3" t="s">
        <v>917</v>
      </c>
      <c r="CC1" s="3" t="s">
        <v>918</v>
      </c>
      <c r="CD1" s="3" t="s">
        <v>785</v>
      </c>
      <c r="CE1" s="3" t="s">
        <v>786</v>
      </c>
      <c r="CF1" s="3" t="s">
        <v>787</v>
      </c>
      <c r="CG1" s="3" t="s">
        <v>788</v>
      </c>
      <c r="CH1" s="3" t="s">
        <v>789</v>
      </c>
      <c r="CI1" s="3" t="s">
        <v>790</v>
      </c>
      <c r="CJ1" s="3" t="s">
        <v>791</v>
      </c>
      <c r="CK1" s="3" t="s">
        <v>792</v>
      </c>
      <c r="CL1" s="3" t="s">
        <v>793</v>
      </c>
      <c r="CM1" s="3" t="s">
        <v>794</v>
      </c>
      <c r="CN1" s="3" t="s">
        <v>2524</v>
      </c>
      <c r="CO1" s="3" t="s">
        <v>2537</v>
      </c>
      <c r="CP1" s="3" t="s">
        <v>2543</v>
      </c>
      <c r="CQ1" s="3" t="s">
        <v>2561</v>
      </c>
      <c r="CR1" s="3" t="s">
        <v>2570</v>
      </c>
      <c r="CS1" s="3" t="s">
        <v>2573</v>
      </c>
      <c r="CT1" s="3" t="s">
        <v>2580</v>
      </c>
      <c r="CU1" s="3" t="s">
        <v>2589</v>
      </c>
      <c r="CV1" s="3" t="s">
        <v>2591</v>
      </c>
      <c r="CW1" s="3" t="s">
        <v>2609</v>
      </c>
      <c r="CX1" s="3" t="s">
        <v>2616</v>
      </c>
      <c r="CY1" s="4" t="s">
        <v>2621</v>
      </c>
      <c r="CZ1" s="3" t="s">
        <v>2547</v>
      </c>
      <c r="DA1" s="3" t="s">
        <v>2565</v>
      </c>
      <c r="DB1" s="3" t="s">
        <v>2569</v>
      </c>
      <c r="DC1" s="3" t="s">
        <v>2577</v>
      </c>
      <c r="DD1" s="3" t="s">
        <v>2583</v>
      </c>
      <c r="DE1" s="3" t="s">
        <v>2587</v>
      </c>
      <c r="DF1" s="3" t="s">
        <v>2592</v>
      </c>
      <c r="DG1" s="3" t="s">
        <v>2610</v>
      </c>
      <c r="DH1" s="3" t="s">
        <v>2614</v>
      </c>
      <c r="DI1" s="3" t="s">
        <v>2622</v>
      </c>
    </row>
    <row r="2" spans="1:113" s="9" customFormat="1" ht="12" hidden="1">
      <c r="A2" s="1"/>
      <c r="B2" s="6" t="s">
        <v>795</v>
      </c>
      <c r="C2" s="7" t="s">
        <v>796</v>
      </c>
      <c r="D2" s="7" t="s">
        <v>796</v>
      </c>
      <c r="E2" s="7" t="s">
        <v>796</v>
      </c>
      <c r="F2" s="7" t="s">
        <v>796</v>
      </c>
      <c r="G2" s="7" t="s">
        <v>796</v>
      </c>
      <c r="H2" s="7" t="s">
        <v>796</v>
      </c>
      <c r="I2" s="7" t="s">
        <v>796</v>
      </c>
      <c r="J2" s="7" t="s">
        <v>796</v>
      </c>
      <c r="K2" s="7" t="s">
        <v>796</v>
      </c>
      <c r="L2" s="7" t="s">
        <v>796</v>
      </c>
      <c r="M2" s="7" t="s">
        <v>796</v>
      </c>
      <c r="N2" s="7" t="s">
        <v>796</v>
      </c>
      <c r="O2" s="7" t="s">
        <v>796</v>
      </c>
      <c r="P2" s="7" t="s">
        <v>796</v>
      </c>
      <c r="Q2" s="7" t="s">
        <v>796</v>
      </c>
      <c r="R2" s="7" t="s">
        <v>796</v>
      </c>
      <c r="S2" s="7" t="s">
        <v>796</v>
      </c>
      <c r="T2" s="7" t="s">
        <v>796</v>
      </c>
      <c r="U2" s="7" t="s">
        <v>796</v>
      </c>
      <c r="V2" s="7" t="s">
        <v>796</v>
      </c>
      <c r="W2" s="7" t="s">
        <v>796</v>
      </c>
      <c r="X2" s="7" t="s">
        <v>796</v>
      </c>
      <c r="Y2" s="7" t="s">
        <v>796</v>
      </c>
      <c r="Z2" s="7" t="s">
        <v>796</v>
      </c>
      <c r="AA2" s="7" t="s">
        <v>796</v>
      </c>
      <c r="AB2" s="7" t="s">
        <v>796</v>
      </c>
      <c r="AC2" s="7" t="s">
        <v>796</v>
      </c>
      <c r="AD2" s="7" t="s">
        <v>796</v>
      </c>
      <c r="AE2" s="7" t="s">
        <v>796</v>
      </c>
      <c r="AF2" s="7" t="s">
        <v>796</v>
      </c>
      <c r="AG2" s="7" t="s">
        <v>796</v>
      </c>
      <c r="AH2" s="7" t="s">
        <v>796</v>
      </c>
      <c r="AI2" s="7" t="s">
        <v>796</v>
      </c>
      <c r="AJ2" s="7" t="s">
        <v>796</v>
      </c>
      <c r="AK2" s="7" t="s">
        <v>796</v>
      </c>
      <c r="AL2" s="7" t="s">
        <v>796</v>
      </c>
      <c r="AM2" s="7" t="s">
        <v>796</v>
      </c>
      <c r="AN2" s="7" t="s">
        <v>796</v>
      </c>
      <c r="AO2" s="7" t="s">
        <v>796</v>
      </c>
      <c r="AP2" s="7" t="s">
        <v>796</v>
      </c>
      <c r="AQ2" s="7" t="s">
        <v>796</v>
      </c>
      <c r="AR2" s="7" t="s">
        <v>796</v>
      </c>
      <c r="AS2" s="7" t="s">
        <v>796</v>
      </c>
      <c r="AT2" s="7" t="s">
        <v>796</v>
      </c>
      <c r="AU2" s="7" t="s">
        <v>796</v>
      </c>
      <c r="AV2" s="7" t="s">
        <v>796</v>
      </c>
      <c r="AW2" s="8" t="s">
        <v>796</v>
      </c>
      <c r="AX2" s="7" t="s">
        <v>2196</v>
      </c>
      <c r="AY2" s="7" t="s">
        <v>2196</v>
      </c>
      <c r="AZ2" s="7" t="s">
        <v>2196</v>
      </c>
      <c r="BA2" s="7" t="s">
        <v>2196</v>
      </c>
      <c r="BB2" s="7" t="s">
        <v>2196</v>
      </c>
      <c r="BC2" s="7" t="s">
        <v>2196</v>
      </c>
      <c r="BD2" s="7" t="s">
        <v>2196</v>
      </c>
      <c r="BE2" s="7" t="s">
        <v>2196</v>
      </c>
      <c r="BF2" s="7" t="s">
        <v>2196</v>
      </c>
      <c r="BG2" s="7" t="s">
        <v>2196</v>
      </c>
      <c r="BH2" s="7" t="s">
        <v>2196</v>
      </c>
      <c r="BI2" s="7" t="s">
        <v>2196</v>
      </c>
      <c r="BJ2" s="7" t="s">
        <v>2196</v>
      </c>
      <c r="BK2" s="7" t="s">
        <v>2196</v>
      </c>
      <c r="BL2" s="7" t="s">
        <v>2196</v>
      </c>
      <c r="BM2" s="7" t="s">
        <v>2196</v>
      </c>
      <c r="BN2" s="7" t="s">
        <v>2196</v>
      </c>
      <c r="BO2" s="7" t="s">
        <v>2196</v>
      </c>
      <c r="BP2" s="7" t="s">
        <v>2196</v>
      </c>
      <c r="BQ2" s="7" t="s">
        <v>2196</v>
      </c>
      <c r="BR2" s="7"/>
      <c r="BS2" s="7" t="s">
        <v>796</v>
      </c>
      <c r="BT2" s="7" t="s">
        <v>796</v>
      </c>
      <c r="BU2" s="7" t="s">
        <v>796</v>
      </c>
      <c r="BV2" s="7" t="s">
        <v>796</v>
      </c>
      <c r="BW2" s="7" t="s">
        <v>796</v>
      </c>
      <c r="BX2" s="7" t="s">
        <v>796</v>
      </c>
      <c r="BY2" s="7" t="s">
        <v>796</v>
      </c>
      <c r="BZ2" s="7" t="s">
        <v>796</v>
      </c>
      <c r="CA2" s="7" t="s">
        <v>796</v>
      </c>
      <c r="CB2" s="7" t="s">
        <v>796</v>
      </c>
      <c r="CC2" s="7" t="s">
        <v>796</v>
      </c>
      <c r="CD2" s="7" t="s">
        <v>796</v>
      </c>
      <c r="CE2" s="7" t="s">
        <v>796</v>
      </c>
      <c r="CF2" s="7" t="s">
        <v>796</v>
      </c>
      <c r="CG2" s="7" t="s">
        <v>796</v>
      </c>
      <c r="CH2" s="7" t="s">
        <v>796</v>
      </c>
      <c r="CI2" s="7" t="s">
        <v>796</v>
      </c>
      <c r="CJ2" s="7" t="s">
        <v>796</v>
      </c>
      <c r="CK2" s="7" t="s">
        <v>796</v>
      </c>
      <c r="CL2" s="7" t="s">
        <v>796</v>
      </c>
      <c r="CM2" s="7" t="s">
        <v>796</v>
      </c>
      <c r="CN2" s="7" t="s">
        <v>796</v>
      </c>
      <c r="CO2" s="7" t="s">
        <v>796</v>
      </c>
      <c r="CP2" s="7" t="s">
        <v>796</v>
      </c>
      <c r="CQ2" s="7" t="s">
        <v>796</v>
      </c>
      <c r="CR2" s="7" t="s">
        <v>796</v>
      </c>
      <c r="CS2" s="7" t="s">
        <v>796</v>
      </c>
      <c r="CT2" s="7" t="s">
        <v>796</v>
      </c>
      <c r="CU2" s="7" t="s">
        <v>796</v>
      </c>
      <c r="CV2" s="7" t="s">
        <v>796</v>
      </c>
      <c r="CW2" s="7" t="s">
        <v>796</v>
      </c>
      <c r="CX2" s="7" t="s">
        <v>796</v>
      </c>
      <c r="CY2" s="8" t="s">
        <v>796</v>
      </c>
      <c r="CZ2" s="7" t="s">
        <v>2196</v>
      </c>
      <c r="DA2" s="7" t="s">
        <v>2196</v>
      </c>
      <c r="DB2" s="7" t="s">
        <v>2196</v>
      </c>
      <c r="DC2" s="7" t="s">
        <v>2196</v>
      </c>
      <c r="DD2" s="7" t="s">
        <v>2196</v>
      </c>
      <c r="DE2" s="7" t="s">
        <v>2196</v>
      </c>
      <c r="DF2" s="7" t="s">
        <v>2196</v>
      </c>
      <c r="DG2" s="7" t="s">
        <v>2196</v>
      </c>
      <c r="DH2" s="7" t="s">
        <v>2196</v>
      </c>
      <c r="DI2" s="7" t="s">
        <v>2196</v>
      </c>
    </row>
    <row r="3" spans="1:113" s="5" customFormat="1" ht="12">
      <c r="A3" s="1"/>
      <c r="B3" s="6" t="s">
        <v>644</v>
      </c>
      <c r="C3" s="7">
        <v>37072</v>
      </c>
      <c r="D3" s="7">
        <v>37256</v>
      </c>
      <c r="E3" s="7">
        <v>37437</v>
      </c>
      <c r="F3" s="7">
        <v>37621</v>
      </c>
      <c r="G3" s="7">
        <v>37802</v>
      </c>
      <c r="H3" s="7">
        <v>37986</v>
      </c>
      <c r="I3" s="7">
        <v>38168</v>
      </c>
      <c r="J3" s="7">
        <v>38352</v>
      </c>
      <c r="K3" s="7">
        <v>38533</v>
      </c>
      <c r="L3" s="7">
        <v>38717</v>
      </c>
      <c r="M3" s="7">
        <v>38898</v>
      </c>
      <c r="N3" s="7">
        <v>39082</v>
      </c>
      <c r="O3" s="7">
        <v>39263</v>
      </c>
      <c r="P3" s="7">
        <v>39447</v>
      </c>
      <c r="Q3" s="7">
        <v>39629</v>
      </c>
      <c r="R3" s="7">
        <v>39813</v>
      </c>
      <c r="S3" s="7">
        <v>39994</v>
      </c>
      <c r="T3" s="7">
        <v>40178</v>
      </c>
      <c r="U3" s="7">
        <v>40359</v>
      </c>
      <c r="V3" s="7">
        <v>40543</v>
      </c>
      <c r="W3" s="7">
        <v>40724</v>
      </c>
      <c r="X3" s="7">
        <v>40908</v>
      </c>
      <c r="Y3" s="7">
        <v>41090</v>
      </c>
      <c r="Z3" s="7">
        <v>41274</v>
      </c>
      <c r="AA3" s="7">
        <v>41455</v>
      </c>
      <c r="AB3" s="7">
        <v>41639</v>
      </c>
      <c r="AC3" s="7">
        <v>41820</v>
      </c>
      <c r="AD3" s="7">
        <v>42004</v>
      </c>
      <c r="AE3" s="7">
        <v>42185</v>
      </c>
      <c r="AF3" s="7">
        <v>42369</v>
      </c>
      <c r="AG3" s="7">
        <v>42551</v>
      </c>
      <c r="AH3" s="7">
        <v>42735</v>
      </c>
      <c r="AI3" s="7">
        <v>42916</v>
      </c>
      <c r="AJ3" s="7">
        <v>43100</v>
      </c>
      <c r="AK3" s="7">
        <v>43281</v>
      </c>
      <c r="AL3" s="7">
        <v>43465</v>
      </c>
      <c r="AM3" s="7">
        <v>43646</v>
      </c>
      <c r="AN3" s="7">
        <v>43830</v>
      </c>
      <c r="AO3" s="7">
        <v>44012</v>
      </c>
      <c r="AP3" s="7">
        <v>44196</v>
      </c>
      <c r="AQ3" s="7">
        <v>44377</v>
      </c>
      <c r="AR3" s="7">
        <v>44561</v>
      </c>
      <c r="AS3" s="7">
        <v>44742</v>
      </c>
      <c r="AT3" s="7">
        <v>44926</v>
      </c>
      <c r="AU3" s="7">
        <v>45107</v>
      </c>
      <c r="AV3" s="7">
        <v>45291</v>
      </c>
      <c r="AW3" s="8">
        <v>45473</v>
      </c>
      <c r="AX3" s="7">
        <v>45657</v>
      </c>
      <c r="AY3" s="7">
        <v>45838</v>
      </c>
      <c r="AZ3" s="7">
        <v>46022</v>
      </c>
      <c r="BA3" s="7">
        <v>46203</v>
      </c>
      <c r="BB3" s="7">
        <v>46387</v>
      </c>
      <c r="BC3" s="7">
        <v>46568</v>
      </c>
      <c r="BD3" s="7">
        <v>46752</v>
      </c>
      <c r="BE3" s="7">
        <v>46934</v>
      </c>
      <c r="BF3" s="7">
        <v>47118</v>
      </c>
      <c r="BG3" s="7">
        <v>47299</v>
      </c>
      <c r="BH3" s="7">
        <v>47483</v>
      </c>
      <c r="BI3" s="7">
        <v>47664</v>
      </c>
      <c r="BJ3" s="7">
        <v>47848</v>
      </c>
      <c r="BK3" s="7">
        <v>48029</v>
      </c>
      <c r="BL3" s="7">
        <v>48213</v>
      </c>
      <c r="BM3" s="7">
        <v>48395</v>
      </c>
      <c r="BN3" s="7">
        <v>48579</v>
      </c>
      <c r="BO3" s="7">
        <v>48760</v>
      </c>
      <c r="BP3" s="7">
        <v>48944</v>
      </c>
      <c r="BQ3" s="7">
        <v>49125</v>
      </c>
      <c r="BR3" s="10"/>
      <c r="BS3" s="7">
        <v>70310</v>
      </c>
      <c r="BT3" s="7">
        <v>70675</v>
      </c>
      <c r="BU3" s="7">
        <v>71040</v>
      </c>
      <c r="BV3" s="7">
        <v>71405</v>
      </c>
      <c r="BW3" s="7">
        <v>71771</v>
      </c>
      <c r="BX3" s="7">
        <v>72136</v>
      </c>
      <c r="BY3" s="7">
        <v>72501</v>
      </c>
      <c r="BZ3" s="7">
        <v>72866</v>
      </c>
      <c r="CA3" s="7">
        <v>36707</v>
      </c>
      <c r="CB3" s="7">
        <v>37072</v>
      </c>
      <c r="CC3" s="7">
        <v>37437</v>
      </c>
      <c r="CD3" s="7">
        <v>37802</v>
      </c>
      <c r="CE3" s="7">
        <v>38168</v>
      </c>
      <c r="CF3" s="7">
        <v>38533</v>
      </c>
      <c r="CG3" s="7">
        <v>38898</v>
      </c>
      <c r="CH3" s="7">
        <v>39263</v>
      </c>
      <c r="CI3" s="7">
        <v>39629</v>
      </c>
      <c r="CJ3" s="7">
        <v>39994</v>
      </c>
      <c r="CK3" s="7">
        <v>40359</v>
      </c>
      <c r="CL3" s="7">
        <v>40724</v>
      </c>
      <c r="CM3" s="7">
        <v>41090</v>
      </c>
      <c r="CN3" s="7">
        <v>41455</v>
      </c>
      <c r="CO3" s="7">
        <v>41820</v>
      </c>
      <c r="CP3" s="7">
        <v>42185</v>
      </c>
      <c r="CQ3" s="7">
        <v>42551</v>
      </c>
      <c r="CR3" s="7">
        <v>42916</v>
      </c>
      <c r="CS3" s="7">
        <v>43281</v>
      </c>
      <c r="CT3" s="7">
        <v>43646</v>
      </c>
      <c r="CU3" s="7">
        <v>44012</v>
      </c>
      <c r="CV3" s="7">
        <v>44377</v>
      </c>
      <c r="CW3" s="7">
        <v>44742</v>
      </c>
      <c r="CX3" s="7">
        <v>45107</v>
      </c>
      <c r="CY3" s="8">
        <v>45473</v>
      </c>
      <c r="CZ3" s="7">
        <v>45838</v>
      </c>
      <c r="DA3" s="7">
        <v>46203</v>
      </c>
      <c r="DB3" s="7">
        <v>46568</v>
      </c>
      <c r="DC3" s="7">
        <v>46934</v>
      </c>
      <c r="DD3" s="7">
        <v>47299</v>
      </c>
      <c r="DE3" s="7">
        <v>47664</v>
      </c>
      <c r="DF3" s="7">
        <v>48029</v>
      </c>
      <c r="DG3" s="7">
        <v>48395</v>
      </c>
      <c r="DH3" s="7">
        <v>48760</v>
      </c>
      <c r="DI3" s="7">
        <v>49125</v>
      </c>
    </row>
    <row r="4" spans="1:113" s="5" customFormat="1" ht="12">
      <c r="A4" s="1"/>
      <c r="B4" s="6" t="s">
        <v>537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 t="s">
        <v>797</v>
      </c>
      <c r="AR4" s="11" t="s">
        <v>797</v>
      </c>
      <c r="AS4" s="11" t="s">
        <v>797</v>
      </c>
      <c r="AT4" s="11" t="s">
        <v>797</v>
      </c>
      <c r="AU4" s="11" t="s">
        <v>797</v>
      </c>
      <c r="AV4" s="11" t="s">
        <v>797</v>
      </c>
      <c r="AW4" s="12" t="s">
        <v>797</v>
      </c>
      <c r="AX4" s="11" t="s">
        <v>797</v>
      </c>
      <c r="AY4" s="11" t="s">
        <v>797</v>
      </c>
      <c r="AZ4" s="11" t="s">
        <v>797</v>
      </c>
      <c r="BA4" s="11" t="s">
        <v>797</v>
      </c>
      <c r="BB4" s="11" t="s">
        <v>797</v>
      </c>
      <c r="BC4" s="11" t="s">
        <v>797</v>
      </c>
      <c r="BD4" s="11" t="s">
        <v>797</v>
      </c>
      <c r="BE4" s="11" t="s">
        <v>797</v>
      </c>
      <c r="BF4" s="11" t="s">
        <v>797</v>
      </c>
      <c r="BG4" s="11" t="s">
        <v>797</v>
      </c>
      <c r="BH4" s="11" t="s">
        <v>797</v>
      </c>
      <c r="BI4" s="11" t="s">
        <v>797</v>
      </c>
      <c r="BJ4" s="11" t="s">
        <v>797</v>
      </c>
      <c r="BK4" s="11" t="s">
        <v>797</v>
      </c>
      <c r="BL4" s="11" t="s">
        <v>797</v>
      </c>
      <c r="BM4" s="11" t="s">
        <v>797</v>
      </c>
      <c r="BN4" s="11" t="s">
        <v>797</v>
      </c>
      <c r="BO4" s="11" t="s">
        <v>797</v>
      </c>
      <c r="BP4" s="11" t="s">
        <v>797</v>
      </c>
      <c r="BQ4" s="11" t="s">
        <v>797</v>
      </c>
      <c r="BR4" s="13"/>
      <c r="BS4" s="11"/>
      <c r="BT4" s="11" t="s">
        <v>2593</v>
      </c>
      <c r="BU4" s="11" t="s">
        <v>2593</v>
      </c>
      <c r="BV4" s="11" t="s">
        <v>2593</v>
      </c>
      <c r="BW4" s="11" t="s">
        <v>2593</v>
      </c>
      <c r="BX4" s="11" t="s">
        <v>2593</v>
      </c>
      <c r="BY4" s="11" t="s">
        <v>2593</v>
      </c>
      <c r="BZ4" s="11" t="s">
        <v>2593</v>
      </c>
      <c r="CA4" s="11" t="s">
        <v>2593</v>
      </c>
      <c r="CB4" s="11" t="s">
        <v>2593</v>
      </c>
      <c r="CC4" s="11" t="s">
        <v>2593</v>
      </c>
      <c r="CD4" s="11" t="s">
        <v>2593</v>
      </c>
      <c r="CE4" s="11" t="s">
        <v>2593</v>
      </c>
      <c r="CF4" s="11" t="s">
        <v>2593</v>
      </c>
      <c r="CG4" s="11" t="s">
        <v>2593</v>
      </c>
      <c r="CH4" s="11" t="s">
        <v>2593</v>
      </c>
      <c r="CI4" s="11" t="s">
        <v>2593</v>
      </c>
      <c r="CJ4" s="11" t="s">
        <v>2593</v>
      </c>
      <c r="CK4" s="11" t="s">
        <v>2593</v>
      </c>
      <c r="CL4" s="11" t="s">
        <v>2593</v>
      </c>
      <c r="CM4" s="11" t="s">
        <v>2593</v>
      </c>
      <c r="CN4" s="11" t="s">
        <v>2593</v>
      </c>
      <c r="CO4" s="11" t="s">
        <v>2593</v>
      </c>
      <c r="CP4" s="11" t="s">
        <v>2593</v>
      </c>
      <c r="CQ4" s="11" t="s">
        <v>2593</v>
      </c>
      <c r="CR4" s="11" t="s">
        <v>2593</v>
      </c>
      <c r="CS4" s="11" t="s">
        <v>2593</v>
      </c>
      <c r="CT4" s="11"/>
      <c r="CU4" s="11"/>
      <c r="CV4" s="11"/>
      <c r="CW4" s="11" t="s">
        <v>797</v>
      </c>
      <c r="CX4" s="11" t="s">
        <v>797</v>
      </c>
      <c r="CY4" s="12" t="s">
        <v>797</v>
      </c>
      <c r="CZ4" s="11" t="s">
        <v>797</v>
      </c>
      <c r="DA4" s="11" t="s">
        <v>797</v>
      </c>
      <c r="DB4" s="11" t="s">
        <v>797</v>
      </c>
      <c r="DC4" s="11" t="s">
        <v>797</v>
      </c>
      <c r="DD4" s="11" t="s">
        <v>797</v>
      </c>
      <c r="DE4" s="11" t="s">
        <v>797</v>
      </c>
      <c r="DF4" s="11" t="s">
        <v>797</v>
      </c>
      <c r="DG4" s="11" t="s">
        <v>797</v>
      </c>
      <c r="DH4" s="11" t="s">
        <v>797</v>
      </c>
      <c r="DI4" s="11" t="s">
        <v>797</v>
      </c>
    </row>
    <row r="5" spans="1:113" s="18" customFormat="1" ht="12">
      <c r="A5" s="1" t="s">
        <v>1014</v>
      </c>
      <c r="B5" s="6" t="s">
        <v>538</v>
      </c>
      <c r="C5" s="14">
        <v>2.0165745856353592</v>
      </c>
      <c r="D5" s="14">
        <v>1.9836956521739131</v>
      </c>
      <c r="E5" s="14">
        <v>2.0165745856353592</v>
      </c>
      <c r="F5" s="14">
        <v>1.9836956521739131</v>
      </c>
      <c r="G5" s="14">
        <v>2.0165745856353592</v>
      </c>
      <c r="H5" s="14">
        <v>1.9891304347826086</v>
      </c>
      <c r="I5" s="14">
        <v>2.0109890109890109</v>
      </c>
      <c r="J5" s="14">
        <v>1.9836956521739131</v>
      </c>
      <c r="K5" s="14">
        <v>2.0165745856353592</v>
      </c>
      <c r="L5" s="14">
        <v>1.9836956521739131</v>
      </c>
      <c r="M5" s="14">
        <v>2.0165745856353592</v>
      </c>
      <c r="N5" s="14">
        <v>1.9836956521739131</v>
      </c>
      <c r="O5" s="14">
        <v>2.0165745856353592</v>
      </c>
      <c r="P5" s="14">
        <v>1.9891304347826086</v>
      </c>
      <c r="Q5" s="14">
        <v>2.0109890109890109</v>
      </c>
      <c r="R5" s="14">
        <v>1.9836956521739131</v>
      </c>
      <c r="S5" s="14">
        <v>2.0165745856353592</v>
      </c>
      <c r="T5" s="14">
        <v>1.9836956521739131</v>
      </c>
      <c r="U5" s="14">
        <v>2.0165745856353592</v>
      </c>
      <c r="V5" s="14">
        <v>1.9836956521739131</v>
      </c>
      <c r="W5" s="14">
        <v>2.0165745856353592</v>
      </c>
      <c r="X5" s="14">
        <v>1.9891304347826086</v>
      </c>
      <c r="Y5" s="14">
        <v>2.0109890109890109</v>
      </c>
      <c r="Z5" s="14">
        <v>1.9836956521739131</v>
      </c>
      <c r="AA5" s="14">
        <v>2.0165745856353592</v>
      </c>
      <c r="AB5" s="14">
        <v>1.9836956521739131</v>
      </c>
      <c r="AC5" s="14">
        <v>2.0165745856353592</v>
      </c>
      <c r="AD5" s="14">
        <v>1.9836956521739131</v>
      </c>
      <c r="AE5" s="14">
        <v>2.0165745856353592</v>
      </c>
      <c r="AF5" s="14">
        <v>1.9891304347826086</v>
      </c>
      <c r="AG5" s="14">
        <v>2.0109890109890109</v>
      </c>
      <c r="AH5" s="14">
        <v>1.9836956521739131</v>
      </c>
      <c r="AI5" s="14">
        <v>2.0165745856353592</v>
      </c>
      <c r="AJ5" s="14">
        <v>1.9836956521739131</v>
      </c>
      <c r="AK5" s="14">
        <v>2.0165745856353592</v>
      </c>
      <c r="AL5" s="14">
        <v>1.9836956521739131</v>
      </c>
      <c r="AM5" s="14">
        <v>2.0165745856353592</v>
      </c>
      <c r="AN5" s="14">
        <v>1.9891304347826086</v>
      </c>
      <c r="AO5" s="14">
        <v>2.0109890109890109</v>
      </c>
      <c r="AP5" s="14">
        <v>1.9836956521739131</v>
      </c>
      <c r="AQ5" s="14">
        <v>2.0165745856353592</v>
      </c>
      <c r="AR5" s="14">
        <v>1.9836956521739131</v>
      </c>
      <c r="AS5" s="14">
        <v>2.0165745856353592</v>
      </c>
      <c r="AT5" s="14">
        <v>1.9836956521739131</v>
      </c>
      <c r="AU5" s="14">
        <v>2.0165745856353592</v>
      </c>
      <c r="AV5" s="14">
        <v>1.9891304347826086</v>
      </c>
      <c r="AW5" s="15">
        <v>2.0109890109890109</v>
      </c>
      <c r="AX5" s="14">
        <v>1.9836956521739131</v>
      </c>
      <c r="AY5" s="14">
        <v>2.0165745856353592</v>
      </c>
      <c r="AZ5" s="14">
        <v>1.9836956521739131</v>
      </c>
      <c r="BA5" s="14">
        <v>2.0165745856353592</v>
      </c>
      <c r="BB5" s="14">
        <v>1.9836956521739131</v>
      </c>
      <c r="BC5" s="14">
        <v>2.0165745856353592</v>
      </c>
      <c r="BD5" s="14">
        <v>1.9891304347826086</v>
      </c>
      <c r="BE5" s="14">
        <v>2.0109890109890109</v>
      </c>
      <c r="BF5" s="14">
        <v>1.9836956521739131</v>
      </c>
      <c r="BG5" s="14">
        <v>2.0165745856353592</v>
      </c>
      <c r="BH5" s="14">
        <v>1.9836956521739131</v>
      </c>
      <c r="BI5" s="14">
        <v>2.0165745856353592</v>
      </c>
      <c r="BJ5" s="14">
        <v>1.9836956521739131</v>
      </c>
      <c r="BK5" s="14">
        <v>2.0165745856353592</v>
      </c>
      <c r="BL5" s="14">
        <v>1.9891304347826086</v>
      </c>
      <c r="BM5" s="14">
        <v>2.0109890109890109</v>
      </c>
      <c r="BN5" s="14">
        <v>1.9836956521739131</v>
      </c>
      <c r="BO5" s="14">
        <v>2.0165745856353592</v>
      </c>
      <c r="BP5" s="14">
        <v>1.9836956521739131</v>
      </c>
      <c r="BQ5" s="14">
        <v>2.0165745856353592</v>
      </c>
      <c r="BR5" s="16"/>
      <c r="BS5" s="14">
        <v>1</v>
      </c>
      <c r="BT5" s="14">
        <v>1</v>
      </c>
      <c r="BU5" s="14">
        <v>1</v>
      </c>
      <c r="BV5" s="14">
        <v>1</v>
      </c>
      <c r="BW5" s="14">
        <v>1</v>
      </c>
      <c r="BX5" s="14">
        <v>1</v>
      </c>
      <c r="BY5" s="14">
        <v>1</v>
      </c>
      <c r="BZ5" s="14">
        <v>1</v>
      </c>
      <c r="CA5" s="14">
        <v>1</v>
      </c>
      <c r="CB5" s="14">
        <v>1</v>
      </c>
      <c r="CC5" s="14">
        <v>1</v>
      </c>
      <c r="CD5" s="14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5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</row>
    <row r="6" spans="1:113" s="18" customFormat="1" ht="12">
      <c r="A6" s="1"/>
      <c r="B6" s="19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20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20"/>
      <c r="CZ6" s="17"/>
      <c r="DA6" s="17"/>
      <c r="DB6" s="17"/>
      <c r="DC6" s="17"/>
      <c r="DD6" s="17"/>
      <c r="DE6" s="17"/>
      <c r="DF6" s="17"/>
      <c r="DG6" s="17"/>
      <c r="DH6" s="17"/>
      <c r="DI6" s="17"/>
    </row>
    <row r="7" spans="1:113" s="5" customFormat="1" ht="12" hidden="1" outlineLevel="3">
      <c r="A7" s="1"/>
      <c r="B7" s="2" t="s">
        <v>539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4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4"/>
      <c r="CZ7" s="3"/>
      <c r="DA7" s="3"/>
      <c r="DB7" s="3"/>
      <c r="DC7" s="3"/>
      <c r="DD7" s="3"/>
      <c r="DE7" s="3"/>
      <c r="DF7" s="3"/>
      <c r="DG7" s="3"/>
      <c r="DH7" s="3"/>
      <c r="DI7" s="3"/>
    </row>
    <row r="8" spans="1:113" ht="12" hidden="1" outlineLevel="3">
      <c r="DG8" s="21"/>
      <c r="DH8" s="21"/>
      <c r="DI8" s="21"/>
    </row>
    <row r="9" spans="1:113" s="24" customFormat="1" ht="12" hidden="1" outlineLevel="3">
      <c r="A9" s="1"/>
      <c r="B9" s="19" t="s">
        <v>540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2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23"/>
      <c r="CZ9" s="13"/>
      <c r="DA9" s="13"/>
      <c r="DB9" s="13"/>
      <c r="DC9" s="13"/>
      <c r="DD9" s="13"/>
      <c r="DE9" s="13"/>
      <c r="DF9" s="13"/>
      <c r="DG9" s="13"/>
      <c r="DH9" s="13"/>
      <c r="DI9" s="13"/>
    </row>
    <row r="10" spans="1:113" s="28" customFormat="1" ht="12" hidden="1" outlineLevel="3">
      <c r="A10" s="1"/>
      <c r="B10" s="25" t="s">
        <v>302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7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7"/>
      <c r="CZ10" s="26"/>
      <c r="DA10" s="26"/>
      <c r="DB10" s="26"/>
      <c r="DC10" s="26"/>
      <c r="DD10" s="26"/>
      <c r="DE10" s="26"/>
      <c r="DF10" s="26"/>
      <c r="DG10" s="26"/>
      <c r="DH10" s="26"/>
      <c r="DI10" s="26"/>
    </row>
    <row r="11" spans="1:113" s="29" customFormat="1" ht="12" hidden="1" outlineLevel="3">
      <c r="A11" s="1"/>
      <c r="B11" s="29" t="s">
        <v>303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1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1"/>
      <c r="CZ11" s="30"/>
      <c r="DA11" s="30"/>
      <c r="DB11" s="30"/>
      <c r="DC11" s="30"/>
      <c r="DD11" s="30"/>
      <c r="DE11" s="30"/>
      <c r="DF11" s="30"/>
      <c r="DG11" s="30"/>
      <c r="DH11" s="30"/>
      <c r="DI11" s="30"/>
    </row>
    <row r="12" spans="1:113" s="35" customFormat="1" ht="12" hidden="1" outlineLevel="3">
      <c r="A12" s="1"/>
      <c r="B12" s="32" t="s">
        <v>304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4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4"/>
      <c r="CZ12" s="33"/>
      <c r="DA12" s="33"/>
      <c r="DB12" s="33"/>
      <c r="DC12" s="33"/>
      <c r="DD12" s="33"/>
      <c r="DE12" s="33"/>
      <c r="DF12" s="33"/>
      <c r="DG12" s="33"/>
      <c r="DH12" s="33"/>
      <c r="DI12" s="33"/>
    </row>
    <row r="13" spans="1:113" ht="12" hidden="1" outlineLevel="3">
      <c r="DG13" s="21"/>
      <c r="DH13" s="21"/>
      <c r="DI13" s="21"/>
    </row>
    <row r="14" spans="1:113" s="36" customFormat="1" ht="12" collapsed="1">
      <c r="A14" s="1" t="s">
        <v>982</v>
      </c>
      <c r="B14" s="2" t="s">
        <v>131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4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4"/>
      <c r="CZ14" s="3"/>
      <c r="DA14" s="3"/>
      <c r="DB14" s="3"/>
      <c r="DC14" s="3"/>
      <c r="DD14" s="3"/>
      <c r="DE14" s="3"/>
      <c r="DF14" s="3"/>
      <c r="DG14" s="3"/>
      <c r="DH14" s="3"/>
      <c r="DI14" s="3"/>
    </row>
    <row r="15" spans="1:113" ht="12" outlineLevel="1">
      <c r="DG15" s="19"/>
      <c r="DH15" s="19"/>
      <c r="DI15" s="19"/>
    </row>
    <row r="16" spans="1:113" ht="12" outlineLevel="1">
      <c r="B16" s="24" t="s">
        <v>208</v>
      </c>
      <c r="DG16" s="19"/>
      <c r="DH16" s="19"/>
      <c r="DI16" s="19"/>
    </row>
    <row r="17" spans="1:113" ht="12" outlineLevel="1">
      <c r="A17" s="1" t="s">
        <v>798</v>
      </c>
      <c r="B17" s="19" t="s">
        <v>209</v>
      </c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615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118">
        <v>0.56304500000000002</v>
      </c>
      <c r="AQ17" s="118">
        <v>0.54215000000000002</v>
      </c>
      <c r="AR17" s="118">
        <v>0.53720000000000001</v>
      </c>
      <c r="AS17" s="118">
        <v>0.56679999999999997</v>
      </c>
      <c r="AT17" s="118">
        <v>0.56340000000000001</v>
      </c>
      <c r="AU17" s="118">
        <v>0.52480000000000004</v>
      </c>
      <c r="AV17" s="118">
        <v>0.53495000000000004</v>
      </c>
      <c r="AW17" s="520">
        <v>0.52739999999999998</v>
      </c>
      <c r="AX17" s="118">
        <v>0.49253731343283563</v>
      </c>
      <c r="AY17" s="118">
        <v>0.51604938271604928</v>
      </c>
      <c r="AZ17" s="118">
        <v>0.55555555555555547</v>
      </c>
      <c r="BA17" s="118">
        <v>0.57407407407407396</v>
      </c>
      <c r="BB17" s="118">
        <v>0.59259259259259256</v>
      </c>
      <c r="BC17" s="118">
        <v>0.60358986968281281</v>
      </c>
      <c r="BD17" s="118">
        <v>0.6147890818858559</v>
      </c>
      <c r="BE17" s="118">
        <v>0.62619584272476814</v>
      </c>
      <c r="BF17" s="118">
        <v>0.63781597573306337</v>
      </c>
      <c r="BG17" s="118">
        <v>0.64965552436846086</v>
      </c>
      <c r="BH17" s="118">
        <v>0.66172076249355949</v>
      </c>
      <c r="BI17" s="118">
        <v>0.67401820546163793</v>
      </c>
      <c r="BJ17" s="118">
        <v>0.6865546218487395</v>
      </c>
      <c r="BK17" s="118">
        <v>0.6865546218487395</v>
      </c>
      <c r="BL17" s="118">
        <v>0.6865546218487395</v>
      </c>
      <c r="BM17" s="118">
        <v>0.6865546218487395</v>
      </c>
      <c r="BN17" s="118">
        <v>0.6865546218487395</v>
      </c>
      <c r="BO17" s="118">
        <v>0.6865546218487395</v>
      </c>
      <c r="BP17" s="118">
        <v>0.6865546218487395</v>
      </c>
      <c r="BQ17" s="118">
        <v>0.6865546218487395</v>
      </c>
      <c r="BR17" s="38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38"/>
      <c r="CS17" s="38"/>
      <c r="CT17" s="118">
        <v>0.55320000000000003</v>
      </c>
      <c r="CU17" s="118">
        <v>0.55671000000000004</v>
      </c>
      <c r="CV17" s="118">
        <v>0.54215000000000002</v>
      </c>
      <c r="CW17" s="118">
        <v>0.56679999999999997</v>
      </c>
      <c r="CX17" s="118">
        <v>0.52480000000000004</v>
      </c>
      <c r="CY17" s="520">
        <v>0.52739999999999998</v>
      </c>
      <c r="CZ17" s="38">
        <v>0.51604938271604928</v>
      </c>
      <c r="DA17" s="38">
        <v>0.57407407407407396</v>
      </c>
      <c r="DB17" s="38">
        <v>0.60358986968281281</v>
      </c>
      <c r="DC17" s="38">
        <v>0.62619584272476814</v>
      </c>
      <c r="DD17" s="38">
        <v>0.64965552436846086</v>
      </c>
      <c r="DE17" s="38">
        <v>0.67401820546163793</v>
      </c>
      <c r="DF17" s="38">
        <v>0.6865546218487395</v>
      </c>
      <c r="DG17" s="38">
        <v>0.6865546218487395</v>
      </c>
      <c r="DH17" s="38">
        <v>0.6865546218487395</v>
      </c>
      <c r="DI17" s="38">
        <v>0.6865546218487395</v>
      </c>
    </row>
    <row r="18" spans="1:113" ht="12" outlineLevel="1">
      <c r="A18" s="1" t="s">
        <v>799</v>
      </c>
      <c r="B18" s="19" t="s">
        <v>210</v>
      </c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118">
        <v>0.76947500000000002</v>
      </c>
      <c r="AQ18" s="118">
        <v>0.74981500000000001</v>
      </c>
      <c r="AR18" s="118">
        <v>0.72650000000000003</v>
      </c>
      <c r="AS18" s="118">
        <v>0.69035000000000002</v>
      </c>
      <c r="AT18" s="118">
        <v>0.68155500000000002</v>
      </c>
      <c r="AU18" s="118">
        <v>0.66629000000000005</v>
      </c>
      <c r="AV18" s="118">
        <v>0.68108000000000002</v>
      </c>
      <c r="AW18" s="520">
        <v>0.66700000000000004</v>
      </c>
      <c r="AX18" s="118">
        <v>0.65999999999999992</v>
      </c>
      <c r="AY18" s="118">
        <v>0.69666666666666655</v>
      </c>
      <c r="AZ18" s="118">
        <v>0.75</v>
      </c>
      <c r="BA18" s="118">
        <v>0.77499999999999991</v>
      </c>
      <c r="BB18" s="118">
        <v>0.8</v>
      </c>
      <c r="BC18" s="118">
        <v>0.80749999999999988</v>
      </c>
      <c r="BD18" s="118">
        <v>0.81499999999999972</v>
      </c>
      <c r="BE18" s="118">
        <v>0.82249999999999956</v>
      </c>
      <c r="BF18" s="118">
        <v>0.8299999999999994</v>
      </c>
      <c r="BG18" s="118">
        <v>0.83749999999999925</v>
      </c>
      <c r="BH18" s="118">
        <v>0.84499999999999909</v>
      </c>
      <c r="BI18" s="118">
        <v>0.85249999999999893</v>
      </c>
      <c r="BJ18" s="118">
        <v>0.86</v>
      </c>
      <c r="BK18" s="118">
        <v>0.86</v>
      </c>
      <c r="BL18" s="118">
        <v>0.86</v>
      </c>
      <c r="BM18" s="118">
        <v>0.86</v>
      </c>
      <c r="BN18" s="118">
        <v>0.86</v>
      </c>
      <c r="BO18" s="118">
        <v>0.86</v>
      </c>
      <c r="BP18" s="118">
        <v>0.86</v>
      </c>
      <c r="BQ18" s="118">
        <v>0.86</v>
      </c>
      <c r="BR18" s="38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118">
        <v>0.70218999999999998</v>
      </c>
      <c r="CU18" s="118">
        <v>0.69040000000000001</v>
      </c>
      <c r="CV18" s="118">
        <v>0.74981500000000001</v>
      </c>
      <c r="CW18" s="118">
        <v>0.69035000000000002</v>
      </c>
      <c r="CX18" s="118">
        <v>0.66629000000000005</v>
      </c>
      <c r="CY18" s="520">
        <v>0.66700000000000004</v>
      </c>
      <c r="CZ18" s="38">
        <v>0.69666666666666655</v>
      </c>
      <c r="DA18" s="38">
        <v>0.77499999999999991</v>
      </c>
      <c r="DB18" s="38">
        <v>0.80749999999999988</v>
      </c>
      <c r="DC18" s="38">
        <v>0.82249999999999956</v>
      </c>
      <c r="DD18" s="38">
        <v>0.83749999999999925</v>
      </c>
      <c r="DE18" s="38">
        <v>0.85249999999999893</v>
      </c>
      <c r="DF18" s="38">
        <v>0.86</v>
      </c>
      <c r="DG18" s="38">
        <v>0.86</v>
      </c>
      <c r="DH18" s="38">
        <v>0.86</v>
      </c>
      <c r="DI18" s="38">
        <v>0.86</v>
      </c>
    </row>
    <row r="19" spans="1:113" ht="12" outlineLevel="1">
      <c r="A19" s="1" t="s">
        <v>1116</v>
      </c>
      <c r="B19" s="19" t="s">
        <v>211</v>
      </c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118">
        <v>1.07067</v>
      </c>
      <c r="AQ19" s="118">
        <v>1.0743149999999999</v>
      </c>
      <c r="AR19" s="118">
        <v>1.0624</v>
      </c>
      <c r="AS19" s="118">
        <v>1.10666</v>
      </c>
      <c r="AT19" s="118">
        <v>1.0745499999999999</v>
      </c>
      <c r="AU19" s="118">
        <v>1.0892550000000001</v>
      </c>
      <c r="AV19" s="118">
        <v>1.077985</v>
      </c>
      <c r="AW19" s="520">
        <v>1.0949</v>
      </c>
      <c r="AX19" s="118">
        <v>1.0819672131147542</v>
      </c>
      <c r="AY19" s="118">
        <v>1.0942408376963351</v>
      </c>
      <c r="AZ19" s="118">
        <v>1.1194029850746268</v>
      </c>
      <c r="BA19" s="118">
        <v>1.1567164179104477</v>
      </c>
      <c r="BB19" s="118">
        <v>1.1940298507462686</v>
      </c>
      <c r="BC19" s="118">
        <v>1.2120075046904311</v>
      </c>
      <c r="BD19" s="118">
        <v>1.2301886792452823</v>
      </c>
      <c r="BE19" s="118">
        <v>1.2485768500948755</v>
      </c>
      <c r="BF19" s="118">
        <v>1.2671755725190823</v>
      </c>
      <c r="BG19" s="118">
        <v>1.2859884836852187</v>
      </c>
      <c r="BH19" s="118">
        <v>1.3050193050193026</v>
      </c>
      <c r="BI19" s="118">
        <v>1.3242718446601913</v>
      </c>
      <c r="BJ19" s="118">
        <v>1.34375</v>
      </c>
      <c r="BK19" s="118">
        <v>1.34375</v>
      </c>
      <c r="BL19" s="118">
        <v>1.34375</v>
      </c>
      <c r="BM19" s="118">
        <v>1.34375</v>
      </c>
      <c r="BN19" s="118">
        <v>1.34375</v>
      </c>
      <c r="BO19" s="118">
        <v>1.34375</v>
      </c>
      <c r="BP19" s="118">
        <v>1.34375</v>
      </c>
      <c r="BQ19" s="118">
        <v>1.34375</v>
      </c>
      <c r="BR19" s="38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118">
        <v>1.0453600000000001</v>
      </c>
      <c r="CU19" s="118">
        <v>1.0695299999999999</v>
      </c>
      <c r="CV19" s="118">
        <v>1.0743149999999999</v>
      </c>
      <c r="CW19" s="118">
        <v>1.10666</v>
      </c>
      <c r="CX19" s="118">
        <v>1.0892550000000001</v>
      </c>
      <c r="CY19" s="520">
        <v>1.0949</v>
      </c>
      <c r="CZ19" s="38">
        <v>1.0942408376963351</v>
      </c>
      <c r="DA19" s="38">
        <v>1.1567164179104477</v>
      </c>
      <c r="DB19" s="38">
        <v>1.2120075046904311</v>
      </c>
      <c r="DC19" s="38">
        <v>1.2485768500948755</v>
      </c>
      <c r="DD19" s="38">
        <v>1.2859884836852187</v>
      </c>
      <c r="DE19" s="38">
        <v>1.3242718446601913</v>
      </c>
      <c r="DF19" s="38">
        <v>1.34375</v>
      </c>
      <c r="DG19" s="38">
        <v>1.34375</v>
      </c>
      <c r="DH19" s="38">
        <v>1.34375</v>
      </c>
      <c r="DI19" s="38">
        <v>1.34375</v>
      </c>
    </row>
    <row r="20" spans="1:113" ht="12" outlineLevel="1">
      <c r="A20" s="1" t="s">
        <v>1117</v>
      </c>
      <c r="B20" s="19" t="s">
        <v>212</v>
      </c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118">
        <v>0.62980000000000003</v>
      </c>
      <c r="AQ20" s="118">
        <v>0.63229999999999997</v>
      </c>
      <c r="AR20" s="118">
        <v>0.63934000000000002</v>
      </c>
      <c r="AS20" s="118">
        <v>0.65869999999999995</v>
      </c>
      <c r="AT20" s="118">
        <v>0.63680000000000003</v>
      </c>
      <c r="AU20" s="118">
        <v>0.61070000000000002</v>
      </c>
      <c r="AV20" s="118">
        <v>0.61714000000000002</v>
      </c>
      <c r="AW20" s="520">
        <v>0.62260000000000004</v>
      </c>
      <c r="AX20" s="118">
        <v>0.61971830985915488</v>
      </c>
      <c r="AY20" s="118">
        <v>0.63141993957703935</v>
      </c>
      <c r="AZ20" s="118">
        <v>0.65217391304347827</v>
      </c>
      <c r="BA20" s="118">
        <v>0.67391304347826086</v>
      </c>
      <c r="BB20" s="118">
        <v>0.69565217391304357</v>
      </c>
      <c r="BC20" s="118">
        <v>0.69913419913419939</v>
      </c>
      <c r="BD20" s="118">
        <v>0.70258620689655216</v>
      </c>
      <c r="BE20" s="118">
        <v>0.70600858369098785</v>
      </c>
      <c r="BF20" s="118">
        <v>0.70940170940171032</v>
      </c>
      <c r="BG20" s="118">
        <v>0.71276595744680959</v>
      </c>
      <c r="BH20" s="118">
        <v>0.71610169491525555</v>
      </c>
      <c r="BI20" s="118">
        <v>0.71940928270042348</v>
      </c>
      <c r="BJ20" s="118">
        <v>0.72268907563025209</v>
      </c>
      <c r="BK20" s="118">
        <v>0.72268907563025209</v>
      </c>
      <c r="BL20" s="118">
        <v>0.72268907563025209</v>
      </c>
      <c r="BM20" s="118">
        <v>0.72268907563025209</v>
      </c>
      <c r="BN20" s="118">
        <v>0.72268907563025209</v>
      </c>
      <c r="BO20" s="118">
        <v>0.72268907563025209</v>
      </c>
      <c r="BP20" s="118">
        <v>0.72268907563025209</v>
      </c>
      <c r="BQ20" s="118">
        <v>0.72268907563025209</v>
      </c>
      <c r="BR20" s="38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118">
        <v>0.61765000000000003</v>
      </c>
      <c r="CU20" s="118">
        <v>0.61461999999999994</v>
      </c>
      <c r="CV20" s="118">
        <v>0.63229999999999997</v>
      </c>
      <c r="CW20" s="118">
        <v>0.65869999999999995</v>
      </c>
      <c r="CX20" s="118">
        <v>0.61070000000000002</v>
      </c>
      <c r="CY20" s="520">
        <v>0.62260000000000004</v>
      </c>
      <c r="CZ20" s="38">
        <v>0.63141993957703935</v>
      </c>
      <c r="DA20" s="38">
        <v>0.67391304347826086</v>
      </c>
      <c r="DB20" s="38">
        <v>0.69913419913419939</v>
      </c>
      <c r="DC20" s="38">
        <v>0.70600858369098785</v>
      </c>
      <c r="DD20" s="38">
        <v>0.71276595744680959</v>
      </c>
      <c r="DE20" s="38">
        <v>0.71940928270042348</v>
      </c>
      <c r="DF20" s="38">
        <v>0.72268907563025209</v>
      </c>
      <c r="DG20" s="38">
        <v>0.72268907563025209</v>
      </c>
      <c r="DH20" s="38">
        <v>0.72268907563025209</v>
      </c>
      <c r="DI20" s="38">
        <v>0.72268907563025209</v>
      </c>
    </row>
    <row r="21" spans="1:113" ht="12" outlineLevel="1"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9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9"/>
      <c r="CZ21" s="38"/>
      <c r="DA21" s="38"/>
      <c r="DB21" s="19"/>
      <c r="DC21" s="19"/>
      <c r="DD21" s="19"/>
      <c r="DE21" s="19"/>
      <c r="DF21" s="19"/>
      <c r="DG21" s="19"/>
      <c r="DH21" s="19"/>
      <c r="DI21" s="19"/>
    </row>
    <row r="22" spans="1:113" ht="12" outlineLevel="1">
      <c r="B22" s="24" t="s">
        <v>214</v>
      </c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9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9"/>
      <c r="CZ22" s="38"/>
      <c r="DA22" s="38"/>
      <c r="DB22" s="19"/>
      <c r="DC22" s="19"/>
      <c r="DD22" s="19"/>
      <c r="DE22" s="19"/>
      <c r="DF22" s="19"/>
      <c r="DG22" s="19"/>
      <c r="DH22" s="19"/>
      <c r="DI22" s="19"/>
    </row>
    <row r="23" spans="1:113" ht="12" outlineLevel="1">
      <c r="A23" s="1" t="s">
        <v>568</v>
      </c>
      <c r="B23" s="19" t="s">
        <v>209</v>
      </c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615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>
        <v>0.56304500000000002</v>
      </c>
      <c r="AQ23" s="38">
        <v>0.55259750000000007</v>
      </c>
      <c r="AR23" s="38">
        <v>0.53967500000000002</v>
      </c>
      <c r="AS23" s="38">
        <v>0.55200000000000005</v>
      </c>
      <c r="AT23" s="38">
        <v>0.56509999999999994</v>
      </c>
      <c r="AU23" s="38">
        <v>0.54410000000000003</v>
      </c>
      <c r="AV23" s="38">
        <v>0.5298750000000001</v>
      </c>
      <c r="AW23" s="39">
        <v>0.53117499999999995</v>
      </c>
      <c r="AX23" s="38">
        <v>0.50996865671641778</v>
      </c>
      <c r="AY23" s="38">
        <v>0.50429334807444248</v>
      </c>
      <c r="AZ23" s="38">
        <v>0.53580246913580232</v>
      </c>
      <c r="BA23" s="38">
        <v>0.56481481481481466</v>
      </c>
      <c r="BB23" s="38">
        <v>0.58333333333333326</v>
      </c>
      <c r="BC23" s="38">
        <v>0.59809123113770268</v>
      </c>
      <c r="BD23" s="38">
        <v>0.60918947578433436</v>
      </c>
      <c r="BE23" s="38">
        <v>0.62049246230531208</v>
      </c>
      <c r="BF23" s="38">
        <v>0.63200590922891575</v>
      </c>
      <c r="BG23" s="38">
        <v>0.64373575005076211</v>
      </c>
      <c r="BH23" s="38">
        <v>0.65568814343101023</v>
      </c>
      <c r="BI23" s="38">
        <v>0.66786948397759871</v>
      </c>
      <c r="BJ23" s="38">
        <v>0.68028641365518872</v>
      </c>
      <c r="BK23" s="38">
        <v>0.6865546218487395</v>
      </c>
      <c r="BL23" s="38">
        <v>0.6865546218487395</v>
      </c>
      <c r="BM23" s="38">
        <v>0.6865546218487395</v>
      </c>
      <c r="BN23" s="38">
        <v>0.6865546218487395</v>
      </c>
      <c r="BO23" s="38">
        <v>0.6865546218487395</v>
      </c>
      <c r="BP23" s="38">
        <v>0.6865546218487395</v>
      </c>
      <c r="BQ23" s="38">
        <v>0.6865546218487395</v>
      </c>
      <c r="BR23" s="38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>
        <v>0.55320000000000003</v>
      </c>
      <c r="CU23" s="38">
        <v>0.55495500000000009</v>
      </c>
      <c r="CV23" s="38">
        <v>0.54943000000000008</v>
      </c>
      <c r="CW23" s="38">
        <v>0.55447500000000005</v>
      </c>
      <c r="CX23" s="38">
        <v>0.54580000000000006</v>
      </c>
      <c r="CY23" s="39">
        <v>0.52610000000000001</v>
      </c>
      <c r="CZ23" s="38">
        <v>0.50710767920923028</v>
      </c>
      <c r="DA23" s="38">
        <v>0.55042787079316746</v>
      </c>
      <c r="DB23" s="38">
        <v>0.59077293113060436</v>
      </c>
      <c r="DC23" s="38">
        <v>0.61487185152165658</v>
      </c>
      <c r="DD23" s="38">
        <v>0.6379190344651342</v>
      </c>
      <c r="DE23" s="38">
        <v>0.66182887400792056</v>
      </c>
      <c r="DF23" s="38">
        <v>0.68344627751166365</v>
      </c>
      <c r="DG23" s="38">
        <v>0.68655462184873961</v>
      </c>
      <c r="DH23" s="38">
        <v>0.6865546218487395</v>
      </c>
      <c r="DI23" s="38">
        <v>0.6865546218487395</v>
      </c>
    </row>
    <row r="24" spans="1:113" ht="12" outlineLevel="1">
      <c r="A24" s="1" t="s">
        <v>702</v>
      </c>
      <c r="B24" s="19" t="s">
        <v>210</v>
      </c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>
        <v>0.76947500000000002</v>
      </c>
      <c r="AQ24" s="38">
        <v>0.75964500000000001</v>
      </c>
      <c r="AR24" s="38">
        <v>0.73815750000000002</v>
      </c>
      <c r="AS24" s="38">
        <v>0.70842500000000008</v>
      </c>
      <c r="AT24" s="38">
        <v>0.68595249999999997</v>
      </c>
      <c r="AU24" s="38">
        <v>0.67392249999999998</v>
      </c>
      <c r="AV24" s="38">
        <v>0.67368500000000009</v>
      </c>
      <c r="AW24" s="39">
        <v>0.67403999999999997</v>
      </c>
      <c r="AX24" s="38">
        <v>0.66349999999999998</v>
      </c>
      <c r="AY24" s="38">
        <v>0.67833333333333323</v>
      </c>
      <c r="AZ24" s="38">
        <v>0.72333333333333327</v>
      </c>
      <c r="BA24" s="38">
        <v>0.76249999999999996</v>
      </c>
      <c r="BB24" s="38">
        <v>0.78749999999999998</v>
      </c>
      <c r="BC24" s="38">
        <v>0.80374999999999996</v>
      </c>
      <c r="BD24" s="38">
        <v>0.8112499999999998</v>
      </c>
      <c r="BE24" s="38">
        <v>0.81874999999999964</v>
      </c>
      <c r="BF24" s="38">
        <v>0.82624999999999948</v>
      </c>
      <c r="BG24" s="38">
        <v>0.83374999999999932</v>
      </c>
      <c r="BH24" s="38">
        <v>0.84124999999999917</v>
      </c>
      <c r="BI24" s="38">
        <v>0.84874999999999901</v>
      </c>
      <c r="BJ24" s="38">
        <v>0.85624999999999951</v>
      </c>
      <c r="BK24" s="38">
        <v>0.86</v>
      </c>
      <c r="BL24" s="38">
        <v>0.86</v>
      </c>
      <c r="BM24" s="38">
        <v>0.86</v>
      </c>
      <c r="BN24" s="38">
        <v>0.86</v>
      </c>
      <c r="BO24" s="38">
        <v>0.86</v>
      </c>
      <c r="BP24" s="38">
        <v>0.86</v>
      </c>
      <c r="BQ24" s="38">
        <v>0.86</v>
      </c>
      <c r="BR24" s="38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>
        <v>0.70218999999999998</v>
      </c>
      <c r="CU24" s="38">
        <v>0.696295</v>
      </c>
      <c r="CV24" s="38">
        <v>0.72010750000000001</v>
      </c>
      <c r="CW24" s="38">
        <v>0.72008249999999996</v>
      </c>
      <c r="CX24" s="38">
        <v>0.67832000000000003</v>
      </c>
      <c r="CY24" s="39">
        <v>0.66664500000000004</v>
      </c>
      <c r="CZ24" s="38">
        <v>0.67097762557077623</v>
      </c>
      <c r="DA24" s="38">
        <v>0.74307762557077628</v>
      </c>
      <c r="DB24" s="38">
        <v>0.79569178082191783</v>
      </c>
      <c r="DC24" s="38">
        <v>0.81502049180327851</v>
      </c>
      <c r="DD24" s="38">
        <v>0.83003082191780764</v>
      </c>
      <c r="DE24" s="38">
        <v>0.84503082191780732</v>
      </c>
      <c r="DF24" s="38">
        <v>0.85814041095890392</v>
      </c>
      <c r="DG24" s="38">
        <v>0.86</v>
      </c>
      <c r="DH24" s="38">
        <v>0.8600000000000001</v>
      </c>
      <c r="DI24" s="38">
        <v>0.8600000000000001</v>
      </c>
    </row>
    <row r="25" spans="1:113" ht="12" outlineLevel="1">
      <c r="A25" s="1" t="s">
        <v>2416</v>
      </c>
      <c r="B25" s="19" t="s">
        <v>211</v>
      </c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>
        <v>1.07067</v>
      </c>
      <c r="AQ25" s="38">
        <v>1.0724925000000001</v>
      </c>
      <c r="AR25" s="38">
        <v>1.0683574999999998</v>
      </c>
      <c r="AS25" s="38">
        <v>1.08453</v>
      </c>
      <c r="AT25" s="38">
        <v>1.090605</v>
      </c>
      <c r="AU25" s="38">
        <v>1.0819025</v>
      </c>
      <c r="AV25" s="38">
        <v>1.08362</v>
      </c>
      <c r="AW25" s="39">
        <v>1.0864425</v>
      </c>
      <c r="AX25" s="38">
        <v>1.088433606557377</v>
      </c>
      <c r="AY25" s="38">
        <v>1.0881040254055447</v>
      </c>
      <c r="AZ25" s="38">
        <v>1.1068219113854809</v>
      </c>
      <c r="BA25" s="38">
        <v>1.1380597014925371</v>
      </c>
      <c r="BB25" s="38">
        <v>1.1753731343283582</v>
      </c>
      <c r="BC25" s="38">
        <v>1.2030186777183498</v>
      </c>
      <c r="BD25" s="38">
        <v>1.2210980919678567</v>
      </c>
      <c r="BE25" s="38">
        <v>1.2393827646700788</v>
      </c>
      <c r="BF25" s="38">
        <v>1.257876211306979</v>
      </c>
      <c r="BG25" s="38">
        <v>1.2765820281021505</v>
      </c>
      <c r="BH25" s="38">
        <v>1.2955038943522608</v>
      </c>
      <c r="BI25" s="38">
        <v>1.314645574839747</v>
      </c>
      <c r="BJ25" s="38">
        <v>1.3340109223300955</v>
      </c>
      <c r="BK25" s="38">
        <v>1.34375</v>
      </c>
      <c r="BL25" s="38">
        <v>1.34375</v>
      </c>
      <c r="BM25" s="38">
        <v>1.34375</v>
      </c>
      <c r="BN25" s="38">
        <v>1.34375</v>
      </c>
      <c r="BO25" s="38">
        <v>1.34375</v>
      </c>
      <c r="BP25" s="38">
        <v>1.34375</v>
      </c>
      <c r="BQ25" s="38">
        <v>1.34375</v>
      </c>
      <c r="BR25" s="38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8"/>
      <c r="CP25" s="38"/>
      <c r="CQ25" s="38"/>
      <c r="CR25" s="38"/>
      <c r="CS25" s="38"/>
      <c r="CT25" s="38">
        <v>1.0453600000000001</v>
      </c>
      <c r="CU25" s="38">
        <v>1.057445</v>
      </c>
      <c r="CV25" s="38">
        <v>1.0719224999999999</v>
      </c>
      <c r="CW25" s="38">
        <v>1.0904875000000001</v>
      </c>
      <c r="CX25" s="38">
        <v>1.0979575000000001</v>
      </c>
      <c r="CY25" s="39">
        <v>1.0920775</v>
      </c>
      <c r="CZ25" s="38">
        <v>1.0882674615383714</v>
      </c>
      <c r="DA25" s="38">
        <v>1.1225691809189011</v>
      </c>
      <c r="DB25" s="38">
        <v>1.1893095178455046</v>
      </c>
      <c r="DC25" s="38">
        <v>1.230290386441105</v>
      </c>
      <c r="DD25" s="38">
        <v>1.2673059929242709</v>
      </c>
      <c r="DE25" s="38">
        <v>1.3051533990363633</v>
      </c>
      <c r="DF25" s="38">
        <v>1.3389204847719103</v>
      </c>
      <c r="DG25" s="38">
        <v>1.3437500000000002</v>
      </c>
      <c r="DH25" s="38">
        <v>1.34375</v>
      </c>
      <c r="DI25" s="38">
        <v>1.34375</v>
      </c>
    </row>
    <row r="26" spans="1:113" ht="12" outlineLevel="1">
      <c r="A26" s="1" t="s">
        <v>1118</v>
      </c>
      <c r="B26" s="19" t="s">
        <v>212</v>
      </c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>
        <v>0.62980000000000003</v>
      </c>
      <c r="AQ26" s="38">
        <v>0.63105</v>
      </c>
      <c r="AR26" s="38">
        <v>0.63582000000000005</v>
      </c>
      <c r="AS26" s="38">
        <v>0.64901999999999993</v>
      </c>
      <c r="AT26" s="38">
        <v>0.64775000000000005</v>
      </c>
      <c r="AU26" s="38">
        <v>0.62375000000000003</v>
      </c>
      <c r="AV26" s="38">
        <v>0.61392000000000002</v>
      </c>
      <c r="AW26" s="39">
        <v>0.61987000000000003</v>
      </c>
      <c r="AX26" s="38">
        <v>0.62115915492957741</v>
      </c>
      <c r="AY26" s="38">
        <v>0.62556912471809711</v>
      </c>
      <c r="AZ26" s="38">
        <v>0.64179692631025875</v>
      </c>
      <c r="BA26" s="38">
        <v>0.66304347826086962</v>
      </c>
      <c r="BB26" s="38">
        <v>0.68478260869565222</v>
      </c>
      <c r="BC26" s="38">
        <v>0.69739318652362148</v>
      </c>
      <c r="BD26" s="38">
        <v>0.70086020301537577</v>
      </c>
      <c r="BE26" s="38">
        <v>0.70429739529377</v>
      </c>
      <c r="BF26" s="38">
        <v>0.70770514654634908</v>
      </c>
      <c r="BG26" s="38">
        <v>0.71108383342425996</v>
      </c>
      <c r="BH26" s="38">
        <v>0.71443382618103257</v>
      </c>
      <c r="BI26" s="38">
        <v>0.71775548880783946</v>
      </c>
      <c r="BJ26" s="38">
        <v>0.72104917916533773</v>
      </c>
      <c r="BK26" s="38">
        <v>0.72268907563025209</v>
      </c>
      <c r="BL26" s="38">
        <v>0.72268907563025209</v>
      </c>
      <c r="BM26" s="38">
        <v>0.72268907563025209</v>
      </c>
      <c r="BN26" s="38">
        <v>0.72268907563025209</v>
      </c>
      <c r="BO26" s="38">
        <v>0.72268907563025209</v>
      </c>
      <c r="BP26" s="38">
        <v>0.72268907563025209</v>
      </c>
      <c r="BQ26" s="38">
        <v>0.72268907563025209</v>
      </c>
      <c r="BR26" s="38"/>
      <c r="BS26" s="37"/>
      <c r="BT26" s="38"/>
      <c r="BU26" s="38"/>
      <c r="BV26" s="38"/>
      <c r="BW26" s="38"/>
      <c r="BX26" s="38"/>
      <c r="BY26" s="38"/>
      <c r="BZ26" s="38"/>
      <c r="CA26" s="37"/>
      <c r="CB26" s="37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>
        <v>0.61765000000000003</v>
      </c>
      <c r="CU26" s="38">
        <v>0.61613499999999999</v>
      </c>
      <c r="CV26" s="38">
        <v>0.6234599999999999</v>
      </c>
      <c r="CW26" s="38">
        <v>0.64549999999999996</v>
      </c>
      <c r="CX26" s="38">
        <v>0.63470000000000004</v>
      </c>
      <c r="CY26" s="39">
        <v>0.61665000000000003</v>
      </c>
      <c r="CZ26" s="38">
        <v>0.62338226298735178</v>
      </c>
      <c r="DA26" s="38">
        <v>0.65250751688262154</v>
      </c>
      <c r="DB26" s="38">
        <v>0.69113972190208051</v>
      </c>
      <c r="DC26" s="38">
        <v>0.70258819039030629</v>
      </c>
      <c r="DD26" s="38">
        <v>0.70940837499987131</v>
      </c>
      <c r="DE26" s="38">
        <v>0.71610830816276538</v>
      </c>
      <c r="DF26" s="38">
        <v>0.7218758666983357</v>
      </c>
      <c r="DG26" s="38">
        <v>0.72268907563025209</v>
      </c>
      <c r="DH26" s="38">
        <v>0.7226890756302522</v>
      </c>
      <c r="DI26" s="38">
        <v>0.7226890756302522</v>
      </c>
    </row>
    <row r="27" spans="1:113" ht="12" outlineLevel="1"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9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9"/>
      <c r="CZ27" s="38"/>
      <c r="DA27" s="38"/>
      <c r="DB27" s="19"/>
      <c r="DC27" s="19"/>
      <c r="DD27" s="19"/>
      <c r="DE27" s="19"/>
      <c r="DF27" s="19"/>
      <c r="DG27" s="19"/>
      <c r="DH27" s="19"/>
      <c r="DI27" s="19"/>
    </row>
    <row r="28" spans="1:113" ht="12" outlineLevel="1">
      <c r="B28" s="24" t="s">
        <v>215</v>
      </c>
      <c r="DB28" s="19"/>
      <c r="DC28" s="19"/>
      <c r="DD28" s="19"/>
      <c r="DE28" s="19"/>
      <c r="DF28" s="19"/>
      <c r="DG28" s="19"/>
      <c r="DH28" s="19"/>
      <c r="DI28" s="19"/>
    </row>
    <row r="29" spans="1:113" ht="12" outlineLevel="1">
      <c r="A29" s="1" t="s">
        <v>703</v>
      </c>
      <c r="B29" s="19" t="s">
        <v>216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8"/>
      <c r="R29" s="408"/>
      <c r="S29" s="408"/>
      <c r="T29" s="394"/>
      <c r="U29" s="408"/>
      <c r="V29" s="408"/>
      <c r="W29" s="408"/>
      <c r="X29" s="408"/>
      <c r="Y29" s="394"/>
      <c r="Z29" s="394"/>
      <c r="AA29" s="394"/>
      <c r="AB29" s="394"/>
      <c r="AC29" s="394"/>
      <c r="AD29" s="394"/>
      <c r="AE29" s="394"/>
      <c r="AF29" s="394"/>
      <c r="AG29" s="394"/>
      <c r="AH29" s="394"/>
      <c r="AI29" s="394"/>
      <c r="AJ29" s="394"/>
      <c r="AK29" s="394"/>
      <c r="AL29" s="394"/>
      <c r="AM29" s="394"/>
      <c r="AN29" s="394"/>
      <c r="AO29" s="394"/>
      <c r="AP29" s="504">
        <v>1.9562583489765917E-2</v>
      </c>
      <c r="AQ29" s="504">
        <v>3.301646216430254E-2</v>
      </c>
      <c r="AR29" s="504">
        <v>3.9600839510476105E-2</v>
      </c>
      <c r="AS29" s="504">
        <v>3.7712686537877183E-2</v>
      </c>
      <c r="AT29" s="504">
        <v>2.602208162219477E-2</v>
      </c>
      <c r="AU29" s="504">
        <v>1.9979368569738476E-2</v>
      </c>
      <c r="AV29" s="504">
        <v>2.1370780741748252E-2</v>
      </c>
      <c r="AW29" s="557">
        <v>2.5272055611194943E-2</v>
      </c>
      <c r="AX29" s="422">
        <v>2.3101999999999956E-2</v>
      </c>
      <c r="AY29" s="422">
        <v>2.313199999999993E-2</v>
      </c>
      <c r="AZ29" s="422">
        <v>2.9189999999999827E-2</v>
      </c>
      <c r="BA29" s="422">
        <v>1.8080999999999792E-2</v>
      </c>
      <c r="BB29" s="422">
        <v>1.8080999999999792E-2</v>
      </c>
      <c r="BC29" s="422">
        <v>1.8080999999999792E-2</v>
      </c>
      <c r="BD29" s="422">
        <v>1.8080999999999792E-2</v>
      </c>
      <c r="BE29" s="422">
        <v>1.8080999999999792E-2</v>
      </c>
      <c r="BF29" s="422">
        <v>1.8080999999999792E-2</v>
      </c>
      <c r="BG29" s="422">
        <v>1.8080999999999792E-2</v>
      </c>
      <c r="BH29" s="422">
        <v>1.8080999999999792E-2</v>
      </c>
      <c r="BI29" s="422">
        <v>1.8080999999999792E-2</v>
      </c>
      <c r="BJ29" s="422">
        <v>1.8080999999999792E-2</v>
      </c>
      <c r="BK29" s="422">
        <v>1.8080999999999792E-2</v>
      </c>
      <c r="BL29" s="422">
        <v>1.8080999999999792E-2</v>
      </c>
      <c r="BM29" s="422">
        <v>1.8080999999999792E-2</v>
      </c>
      <c r="BN29" s="422">
        <v>1.8080999999999792E-2</v>
      </c>
      <c r="BO29" s="422">
        <v>1.8080999999999792E-2</v>
      </c>
      <c r="BP29" s="422">
        <v>1.8080999999999792E-2</v>
      </c>
      <c r="BQ29" s="422">
        <v>1.8080999999999792E-2</v>
      </c>
      <c r="BR29" s="162"/>
      <c r="BS29" s="422"/>
      <c r="BT29" s="422"/>
      <c r="BU29" s="422"/>
      <c r="BV29" s="422"/>
      <c r="BW29" s="422"/>
      <c r="BX29" s="422"/>
      <c r="BY29" s="422"/>
      <c r="BZ29" s="422"/>
      <c r="CA29" s="422"/>
      <c r="CB29" s="42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285"/>
      <c r="CN29" s="285"/>
      <c r="CO29" s="285"/>
      <c r="CP29" s="285"/>
      <c r="CQ29" s="285"/>
      <c r="CR29" s="285"/>
      <c r="CS29" s="285"/>
      <c r="CT29" s="504">
        <v>3.4503464976488152E-2</v>
      </c>
      <c r="CU29" s="504">
        <v>3.1661001542190981E-2</v>
      </c>
      <c r="CV29" s="504">
        <v>5.3224932951694059E-2</v>
      </c>
      <c r="CW29" s="504">
        <v>7.8806980095448509E-2</v>
      </c>
      <c r="CX29" s="504">
        <v>4.6521354951614802E-2</v>
      </c>
      <c r="CY29" s="557">
        <v>4.7182919912303278E-2</v>
      </c>
      <c r="CZ29" s="162">
        <v>4.6768395463999912E-2</v>
      </c>
      <c r="DA29" s="162">
        <v>4.7798784389999627E-2</v>
      </c>
      <c r="DB29" s="162">
        <v>3.648892256099967E-2</v>
      </c>
      <c r="DC29" s="162">
        <v>3.648892256099967E-2</v>
      </c>
      <c r="DD29" s="162">
        <v>3.648892256099967E-2</v>
      </c>
      <c r="DE29" s="162">
        <v>3.648892256099967E-2</v>
      </c>
      <c r="DF29" s="162">
        <v>3.648892256099967E-2</v>
      </c>
      <c r="DG29" s="162">
        <v>3.648892256099967E-2</v>
      </c>
      <c r="DH29" s="162">
        <v>3.648892256099967E-2</v>
      </c>
      <c r="DI29" s="162">
        <v>3.648892256099967E-2</v>
      </c>
    </row>
    <row r="30" spans="1:113" ht="12" outlineLevel="1">
      <c r="A30" s="1" t="s">
        <v>704</v>
      </c>
      <c r="B30" s="19" t="s">
        <v>217</v>
      </c>
      <c r="C30" s="408"/>
      <c r="D30" s="408"/>
      <c r="E30" s="408"/>
      <c r="F30" s="408"/>
      <c r="G30" s="408"/>
      <c r="H30" s="408"/>
      <c r="I30" s="408"/>
      <c r="J30" s="408"/>
      <c r="K30" s="408"/>
      <c r="L30" s="408"/>
      <c r="M30" s="408"/>
      <c r="N30" s="408"/>
      <c r="O30" s="408"/>
      <c r="P30" s="408"/>
      <c r="Q30" s="408"/>
      <c r="R30" s="408"/>
      <c r="S30" s="408"/>
      <c r="T30" s="394"/>
      <c r="U30" s="408"/>
      <c r="V30" s="408"/>
      <c r="W30" s="408"/>
      <c r="X30" s="408"/>
      <c r="Y30" s="394"/>
      <c r="Z30" s="394"/>
      <c r="AA30" s="394"/>
      <c r="AB30" s="394"/>
      <c r="AC30" s="394"/>
      <c r="AD30" s="394"/>
      <c r="AE30" s="394"/>
      <c r="AF30" s="394"/>
      <c r="AG30" s="394"/>
      <c r="AH30" s="394"/>
      <c r="AI30" s="394"/>
      <c r="AJ30" s="394"/>
      <c r="AK30" s="394"/>
      <c r="AL30" s="394"/>
      <c r="AM30" s="394"/>
      <c r="AN30" s="394"/>
      <c r="AO30" s="394"/>
      <c r="AP30" s="504">
        <v>-1.4374125489689416E-2</v>
      </c>
      <c r="AQ30" s="504">
        <v>2.2391836727059911E-2</v>
      </c>
      <c r="AR30" s="504">
        <v>5.2685437167809379E-2</v>
      </c>
      <c r="AS30" s="504">
        <v>6.2724302284956845E-2</v>
      </c>
      <c r="AT30" s="504">
        <v>5.0445001051820038E-2</v>
      </c>
      <c r="AU30" s="504">
        <v>2.9129106110899805E-2</v>
      </c>
      <c r="AV30" s="504">
        <v>3.4348916406252039E-2</v>
      </c>
      <c r="AW30" s="557">
        <v>4.115889180063137E-2</v>
      </c>
      <c r="AX30" s="422">
        <v>2.2120999999999835E-2</v>
      </c>
      <c r="AY30" s="422">
        <v>2.2120999999999835E-2</v>
      </c>
      <c r="AZ30" s="422">
        <v>2.2120999999999835E-2</v>
      </c>
      <c r="BA30" s="422">
        <v>2.2120999999999835E-2</v>
      </c>
      <c r="BB30" s="422">
        <v>2.2120999999999835E-2</v>
      </c>
      <c r="BC30" s="422">
        <v>2.2120999999999835E-2</v>
      </c>
      <c r="BD30" s="422">
        <v>2.2120999999999835E-2</v>
      </c>
      <c r="BE30" s="422">
        <v>2.2120999999999835E-2</v>
      </c>
      <c r="BF30" s="422">
        <v>2.2120999999999835E-2</v>
      </c>
      <c r="BG30" s="422">
        <v>2.2120999999999835E-2</v>
      </c>
      <c r="BH30" s="422">
        <v>2.2120999999999835E-2</v>
      </c>
      <c r="BI30" s="422">
        <v>2.2120999999999835E-2</v>
      </c>
      <c r="BJ30" s="422">
        <v>2.2120999999999835E-2</v>
      </c>
      <c r="BK30" s="422">
        <v>2.2120999999999835E-2</v>
      </c>
      <c r="BL30" s="422">
        <v>2.2120999999999835E-2</v>
      </c>
      <c r="BM30" s="422">
        <v>2.2120999999999835E-2</v>
      </c>
      <c r="BN30" s="422">
        <v>2.2120999999999835E-2</v>
      </c>
      <c r="BO30" s="422">
        <v>2.2120999999999835E-2</v>
      </c>
      <c r="BP30" s="422">
        <v>2.2120999999999835E-2</v>
      </c>
      <c r="BQ30" s="422">
        <v>2.2120999999999835E-2</v>
      </c>
      <c r="BR30" s="162"/>
      <c r="BS30" s="422"/>
      <c r="BT30" s="422"/>
      <c r="BU30" s="422"/>
      <c r="BV30" s="422"/>
      <c r="BW30" s="422"/>
      <c r="BX30" s="422"/>
      <c r="BY30" s="422"/>
      <c r="BZ30" s="422"/>
      <c r="CA30" s="422"/>
      <c r="CB30" s="42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285"/>
      <c r="CN30" s="285"/>
      <c r="CO30" s="285"/>
      <c r="CP30" s="285"/>
      <c r="CQ30" s="285"/>
      <c r="CR30" s="285"/>
      <c r="CS30" s="285"/>
      <c r="CT30" s="504">
        <v>4.0317506466999387E-2</v>
      </c>
      <c r="CU30" s="504">
        <v>3.0693550327283825E-2</v>
      </c>
      <c r="CV30" s="504">
        <v>7.6958481663111922E-3</v>
      </c>
      <c r="CW30" s="504">
        <v>0.11871439673969508</v>
      </c>
      <c r="CX30" s="504">
        <v>8.104352495112277E-2</v>
      </c>
      <c r="CY30" s="557">
        <v>7.6921571540716993E-2</v>
      </c>
      <c r="CZ30" s="162">
        <v>4.4731338640999763E-2</v>
      </c>
      <c r="DA30" s="162">
        <v>4.4731338640999763E-2</v>
      </c>
      <c r="DB30" s="162">
        <v>4.4731338640999763E-2</v>
      </c>
      <c r="DC30" s="162">
        <v>4.4731338640999763E-2</v>
      </c>
      <c r="DD30" s="162">
        <v>4.4731338640999763E-2</v>
      </c>
      <c r="DE30" s="162">
        <v>4.4731338640999763E-2</v>
      </c>
      <c r="DF30" s="162">
        <v>4.4731338640999763E-2</v>
      </c>
      <c r="DG30" s="162">
        <v>4.4731338640999763E-2</v>
      </c>
      <c r="DH30" s="162">
        <v>4.4731338640999763E-2</v>
      </c>
      <c r="DI30" s="162">
        <v>4.4731338640999763E-2</v>
      </c>
    </row>
    <row r="31" spans="1:113" ht="12" outlineLevel="1">
      <c r="A31" s="1" t="s">
        <v>842</v>
      </c>
      <c r="B31" s="19" t="s">
        <v>218</v>
      </c>
      <c r="C31" s="408"/>
      <c r="D31" s="408"/>
      <c r="E31" s="408"/>
      <c r="F31" s="408"/>
      <c r="G31" s="408"/>
      <c r="H31" s="408"/>
      <c r="I31" s="408"/>
      <c r="J31" s="408"/>
      <c r="K31" s="408"/>
      <c r="L31" s="408"/>
      <c r="M31" s="408"/>
      <c r="N31" s="408"/>
      <c r="O31" s="408"/>
      <c r="P31" s="408"/>
      <c r="Q31" s="408"/>
      <c r="R31" s="408"/>
      <c r="S31" s="408"/>
      <c r="T31" s="394"/>
      <c r="U31" s="408"/>
      <c r="V31" s="408"/>
      <c r="W31" s="408"/>
      <c r="X31" s="408"/>
      <c r="Y31" s="394"/>
      <c r="Z31" s="394"/>
      <c r="AA31" s="394"/>
      <c r="AB31" s="394"/>
      <c r="AC31" s="394"/>
      <c r="AD31" s="394"/>
      <c r="AE31" s="394"/>
      <c r="AF31" s="394"/>
      <c r="AG31" s="394"/>
      <c r="AH31" s="394"/>
      <c r="AI31" s="394"/>
      <c r="AJ31" s="394"/>
      <c r="AK31" s="394"/>
      <c r="AL31" s="394"/>
      <c r="AM31" s="394"/>
      <c r="AN31" s="394"/>
      <c r="AO31" s="394"/>
      <c r="AP31" s="504">
        <v>-4.7445077897241728E-2</v>
      </c>
      <c r="AQ31" s="504">
        <v>-1.3772662231135269E-2</v>
      </c>
      <c r="AR31" s="504">
        <v>-2.3413057354847222E-2</v>
      </c>
      <c r="AS31" s="504">
        <v>-3.7847208285164413E-3</v>
      </c>
      <c r="AT31" s="504">
        <v>-9.3885642349911258E-4</v>
      </c>
      <c r="AU31" s="504">
        <v>3.7049484512785558E-3</v>
      </c>
      <c r="AV31" s="504">
        <v>1.3674072293558437E-2</v>
      </c>
      <c r="AW31" s="557">
        <v>1.4219956107528908E-2</v>
      </c>
      <c r="AX31" s="422">
        <v>1.0024999999999729E-2</v>
      </c>
      <c r="AY31" s="422">
        <v>1.0024999999999729E-2</v>
      </c>
      <c r="AZ31" s="422">
        <v>1.0024999999999729E-2</v>
      </c>
      <c r="BA31" s="422">
        <v>1.0024999999999729E-2</v>
      </c>
      <c r="BB31" s="422">
        <v>1.0024999999999729E-2</v>
      </c>
      <c r="BC31" s="422">
        <v>1.0024999999999729E-2</v>
      </c>
      <c r="BD31" s="422">
        <v>1.0024999999999729E-2</v>
      </c>
      <c r="BE31" s="422">
        <v>1.0024999999999729E-2</v>
      </c>
      <c r="BF31" s="422">
        <v>1.0024999999999729E-2</v>
      </c>
      <c r="BG31" s="422">
        <v>1.0024999999999729E-2</v>
      </c>
      <c r="BH31" s="422">
        <v>1.0024999999999729E-2</v>
      </c>
      <c r="BI31" s="422">
        <v>1.0024999999999729E-2</v>
      </c>
      <c r="BJ31" s="422">
        <v>1.0024999999999729E-2</v>
      </c>
      <c r="BK31" s="422">
        <v>1.0024999999999729E-2</v>
      </c>
      <c r="BL31" s="422">
        <v>1.0024999999999729E-2</v>
      </c>
      <c r="BM31" s="422">
        <v>1.0024999999999729E-2</v>
      </c>
      <c r="BN31" s="422">
        <v>1.0024999999999729E-2</v>
      </c>
      <c r="BO31" s="422">
        <v>1.0024999999999729E-2</v>
      </c>
      <c r="BP31" s="422">
        <v>1.0024999999999729E-2</v>
      </c>
      <c r="BQ31" s="422">
        <v>1.0024999999999729E-2</v>
      </c>
      <c r="BR31" s="162"/>
      <c r="BS31" s="422"/>
      <c r="BT31" s="422"/>
      <c r="BU31" s="422"/>
      <c r="BV31" s="422"/>
      <c r="BW31" s="422"/>
      <c r="BX31" s="422"/>
      <c r="BY31" s="422"/>
      <c r="BZ31" s="422"/>
      <c r="CA31" s="422"/>
      <c r="CB31" s="42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285"/>
      <c r="CN31" s="285"/>
      <c r="CO31" s="285"/>
      <c r="CP31" s="285"/>
      <c r="CQ31" s="285"/>
      <c r="CR31" s="285"/>
      <c r="CS31" s="285"/>
      <c r="CT31" s="504">
        <v>-3.4990191932798398E-2</v>
      </c>
      <c r="CU31" s="504">
        <v>-0.10865612061815211</v>
      </c>
      <c r="CV31" s="504">
        <v>-6.0564295095968494E-2</v>
      </c>
      <c r="CW31" s="504">
        <v>-2.7109166297533571E-2</v>
      </c>
      <c r="CX31" s="504">
        <v>2.7626136131271295E-3</v>
      </c>
      <c r="CY31" s="557">
        <v>2.8088473108913048E-2</v>
      </c>
      <c r="CZ31" s="162">
        <v>2.0150500624999346E-2</v>
      </c>
      <c r="DA31" s="162">
        <v>2.0150500624999346E-2</v>
      </c>
      <c r="DB31" s="162">
        <v>2.0150500624999346E-2</v>
      </c>
      <c r="DC31" s="162">
        <v>2.0150500624999346E-2</v>
      </c>
      <c r="DD31" s="162">
        <v>2.0150500624999346E-2</v>
      </c>
      <c r="DE31" s="162">
        <v>2.0150500624999346E-2</v>
      </c>
      <c r="DF31" s="162">
        <v>2.0150500624999346E-2</v>
      </c>
      <c r="DG31" s="162">
        <v>2.0150500624999346E-2</v>
      </c>
      <c r="DH31" s="162">
        <v>2.0150500624999346E-2</v>
      </c>
      <c r="DI31" s="162">
        <v>2.0150500624999346E-2</v>
      </c>
    </row>
    <row r="32" spans="1:113" ht="12" outlineLevel="1">
      <c r="A32" s="1" t="s">
        <v>843</v>
      </c>
      <c r="B32" s="19" t="s">
        <v>219</v>
      </c>
      <c r="C32" s="408"/>
      <c r="D32" s="408"/>
      <c r="E32" s="408"/>
      <c r="F32" s="408"/>
      <c r="G32" s="408"/>
      <c r="H32" s="408"/>
      <c r="I32" s="408"/>
      <c r="J32" s="408"/>
      <c r="K32" s="408"/>
      <c r="L32" s="408"/>
      <c r="M32" s="408"/>
      <c r="N32" s="408"/>
      <c r="O32" s="408"/>
      <c r="P32" s="408"/>
      <c r="Q32" s="408"/>
      <c r="R32" s="408"/>
      <c r="S32" s="408"/>
      <c r="T32" s="394"/>
      <c r="U32" s="408"/>
      <c r="V32" s="408"/>
      <c r="W32" s="408"/>
      <c r="X32" s="408"/>
      <c r="Y32" s="394"/>
      <c r="Z32" s="394"/>
      <c r="AA32" s="394"/>
      <c r="AB32" s="394"/>
      <c r="AC32" s="394"/>
      <c r="AD32" s="394"/>
      <c r="AE32" s="394"/>
      <c r="AF32" s="394"/>
      <c r="AG32" s="394"/>
      <c r="AH32" s="394"/>
      <c r="AI32" s="394"/>
      <c r="AJ32" s="394"/>
      <c r="AK32" s="394"/>
      <c r="AL32" s="394"/>
      <c r="AM32" s="394"/>
      <c r="AN32" s="394"/>
      <c r="AO32" s="394"/>
      <c r="AP32" s="504">
        <v>5.562717491595337E-2</v>
      </c>
      <c r="AQ32" s="504">
        <v>6.0200313323740762E-2</v>
      </c>
      <c r="AR32" s="504">
        <v>4.2185603577249209E-2</v>
      </c>
      <c r="AS32" s="504">
        <v>2.5849783689566808E-2</v>
      </c>
      <c r="AT32" s="504">
        <v>1.8868725618259807E-2</v>
      </c>
      <c r="AU32" s="504">
        <v>1.2555521291722993E-2</v>
      </c>
      <c r="AV32" s="504">
        <v>1.6240569887267409E-2</v>
      </c>
      <c r="AW32" s="557">
        <v>1.5507578205110173E-2</v>
      </c>
      <c r="AX32" s="422">
        <v>2.0100000000000007E-2</v>
      </c>
      <c r="AY32" s="422">
        <v>2.0100000000000007E-2</v>
      </c>
      <c r="AZ32" s="422">
        <v>2.0100000000000007E-2</v>
      </c>
      <c r="BA32" s="422">
        <v>2.0100000000000007E-2</v>
      </c>
      <c r="BB32" s="422">
        <v>2.0100000000000007E-2</v>
      </c>
      <c r="BC32" s="422">
        <v>2.0100000000000007E-2</v>
      </c>
      <c r="BD32" s="422">
        <v>2.0100000000000007E-2</v>
      </c>
      <c r="BE32" s="422">
        <v>2.0100000000000007E-2</v>
      </c>
      <c r="BF32" s="422">
        <v>2.0100000000000007E-2</v>
      </c>
      <c r="BG32" s="422">
        <v>2.0100000000000007E-2</v>
      </c>
      <c r="BH32" s="422">
        <v>2.0100000000000007E-2</v>
      </c>
      <c r="BI32" s="422">
        <v>2.0100000000000007E-2</v>
      </c>
      <c r="BJ32" s="422">
        <v>2.0100000000000007E-2</v>
      </c>
      <c r="BK32" s="422">
        <v>2.0100000000000007E-2</v>
      </c>
      <c r="BL32" s="422">
        <v>2.0100000000000007E-2</v>
      </c>
      <c r="BM32" s="422">
        <v>2.0100000000000007E-2</v>
      </c>
      <c r="BN32" s="422">
        <v>2.0100000000000007E-2</v>
      </c>
      <c r="BO32" s="422">
        <v>2.0100000000000007E-2</v>
      </c>
      <c r="BP32" s="422">
        <v>2.0100000000000007E-2</v>
      </c>
      <c r="BQ32" s="422">
        <v>2.0100000000000007E-2</v>
      </c>
      <c r="BR32" s="162"/>
      <c r="BS32" s="422"/>
      <c r="BT32" s="422"/>
      <c r="BU32" s="422"/>
      <c r="BV32" s="422"/>
      <c r="BW32" s="422"/>
      <c r="BX32" s="422"/>
      <c r="BY32" s="422"/>
      <c r="BZ32" s="422"/>
      <c r="CA32" s="422"/>
      <c r="CB32" s="42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285"/>
      <c r="CN32" s="285"/>
      <c r="CO32" s="285"/>
      <c r="CP32" s="285"/>
      <c r="CQ32" s="285"/>
      <c r="CR32" s="285"/>
      <c r="CS32" s="285"/>
      <c r="CT32" s="504">
        <v>6.3E-2</v>
      </c>
      <c r="CU32" s="504">
        <v>6.2E-2</v>
      </c>
      <c r="CV32" s="504">
        <v>0.11900000000000001</v>
      </c>
      <c r="CW32" s="504">
        <v>6.9000000000000006E-2</v>
      </c>
      <c r="CX32" s="504">
        <v>3.1E-2</v>
      </c>
      <c r="CY32" s="557">
        <v>3.2000000000000001E-2</v>
      </c>
      <c r="CZ32" s="162">
        <v>4.0604010000000024E-2</v>
      </c>
      <c r="DA32" s="162">
        <v>4.0604010000000024E-2</v>
      </c>
      <c r="DB32" s="162">
        <v>4.0604010000000024E-2</v>
      </c>
      <c r="DC32" s="162">
        <v>4.0604010000000024E-2</v>
      </c>
      <c r="DD32" s="162">
        <v>4.0604010000000024E-2</v>
      </c>
      <c r="DE32" s="162">
        <v>4.0604010000000024E-2</v>
      </c>
      <c r="DF32" s="162">
        <v>4.0604010000000024E-2</v>
      </c>
      <c r="DG32" s="162">
        <v>4.0604010000000024E-2</v>
      </c>
      <c r="DH32" s="162">
        <v>4.0604010000000024E-2</v>
      </c>
      <c r="DI32" s="162">
        <v>4.0604010000000024E-2</v>
      </c>
    </row>
    <row r="33" spans="1:113" ht="12" outlineLevel="1">
      <c r="A33" s="1" t="s">
        <v>844</v>
      </c>
      <c r="B33" s="19" t="s">
        <v>315</v>
      </c>
      <c r="C33" s="408"/>
      <c r="D33" s="408"/>
      <c r="E33" s="408"/>
      <c r="F33" s="408"/>
      <c r="G33" s="408"/>
      <c r="H33" s="408"/>
      <c r="I33" s="408"/>
      <c r="J33" s="408"/>
      <c r="K33" s="408"/>
      <c r="L33" s="408"/>
      <c r="M33" s="408"/>
      <c r="N33" s="408"/>
      <c r="O33" s="408"/>
      <c r="P33" s="408"/>
      <c r="Q33" s="408"/>
      <c r="R33" s="408"/>
      <c r="S33" s="408"/>
      <c r="T33" s="394"/>
      <c r="U33" s="408"/>
      <c r="V33" s="408"/>
      <c r="W33" s="408"/>
      <c r="X33" s="408"/>
      <c r="Y33" s="394"/>
      <c r="Z33" s="394"/>
      <c r="AA33" s="394"/>
      <c r="AB33" s="394"/>
      <c r="AC33" s="394"/>
      <c r="AD33" s="394"/>
      <c r="AE33" s="394"/>
      <c r="AF33" s="394"/>
      <c r="AG33" s="394"/>
      <c r="AH33" s="394"/>
      <c r="AI33" s="394"/>
      <c r="AJ33" s="394"/>
      <c r="AK33" s="394"/>
      <c r="AL33" s="394"/>
      <c r="AM33" s="394"/>
      <c r="AN33" s="394"/>
      <c r="AO33" s="394"/>
      <c r="AP33" s="504">
        <v>-2.4231880853818222E-2</v>
      </c>
      <c r="AQ33" s="504">
        <v>-1.4041650374762682E-2</v>
      </c>
      <c r="AR33" s="504">
        <v>8.7141545418776278E-3</v>
      </c>
      <c r="AS33" s="504">
        <v>2.6950049409617982E-2</v>
      </c>
      <c r="AT33" s="504">
        <v>1.1372408277737556E-2</v>
      </c>
      <c r="AU33" s="504">
        <v>4.5414864807065136E-3</v>
      </c>
      <c r="AV33" s="504">
        <v>1.0151414430131345E-2</v>
      </c>
      <c r="AW33" s="557">
        <v>3.4073620407231164E-3</v>
      </c>
      <c r="AX33" s="422">
        <v>-9.9749999999999561E-3</v>
      </c>
      <c r="AY33" s="422">
        <v>4.9999999999998934E-3</v>
      </c>
      <c r="AZ33" s="422">
        <v>1.5050000000000008E-2</v>
      </c>
      <c r="BA33" s="422">
        <v>2.0100000000000007E-2</v>
      </c>
      <c r="BB33" s="422">
        <v>2.0100000000000007E-2</v>
      </c>
      <c r="BC33" s="422">
        <v>2.0100000000000007E-2</v>
      </c>
      <c r="BD33" s="422">
        <v>2.0100000000000007E-2</v>
      </c>
      <c r="BE33" s="422">
        <v>2.0100000000000007E-2</v>
      </c>
      <c r="BF33" s="422">
        <v>2.0100000000000007E-2</v>
      </c>
      <c r="BG33" s="422">
        <v>2.0100000000000007E-2</v>
      </c>
      <c r="BH33" s="422">
        <v>2.0100000000000007E-2</v>
      </c>
      <c r="BI33" s="422">
        <v>2.0100000000000007E-2</v>
      </c>
      <c r="BJ33" s="422">
        <v>2.0100000000000007E-2</v>
      </c>
      <c r="BK33" s="422">
        <v>2.0100000000000007E-2</v>
      </c>
      <c r="BL33" s="422">
        <v>2.0100000000000007E-2</v>
      </c>
      <c r="BM33" s="422">
        <v>2.0100000000000007E-2</v>
      </c>
      <c r="BN33" s="422">
        <v>2.0100000000000007E-2</v>
      </c>
      <c r="BO33" s="422">
        <v>2.0100000000000007E-2</v>
      </c>
      <c r="BP33" s="422">
        <v>2.0100000000000007E-2</v>
      </c>
      <c r="BQ33" s="422">
        <v>2.0100000000000007E-2</v>
      </c>
      <c r="BR33" s="162"/>
      <c r="BS33" s="422"/>
      <c r="BT33" s="422"/>
      <c r="BU33" s="422"/>
      <c r="BV33" s="422"/>
      <c r="BW33" s="422"/>
      <c r="BX33" s="422"/>
      <c r="BY33" s="422"/>
      <c r="BZ33" s="422"/>
      <c r="CA33" s="422"/>
      <c r="CB33" s="42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285"/>
      <c r="CN33" s="285"/>
      <c r="CO33" s="285"/>
      <c r="CP33" s="285"/>
      <c r="CQ33" s="285"/>
      <c r="CR33" s="285"/>
      <c r="CS33" s="285"/>
      <c r="CT33" s="504">
        <v>3.9914945075213648E-2</v>
      </c>
      <c r="CU33" s="504">
        <v>1.4751477546883773E-2</v>
      </c>
      <c r="CV33" s="504">
        <v>-3.7933275629708718E-2</v>
      </c>
      <c r="CW33" s="504">
        <v>3.5899050846962322E-2</v>
      </c>
      <c r="CX33" s="504">
        <v>1.596554239689052E-2</v>
      </c>
      <c r="CY33" s="557">
        <v>1.3593366015043351E-2</v>
      </c>
      <c r="CZ33" s="162">
        <v>-5.0248750000000397E-3</v>
      </c>
      <c r="DA33" s="162">
        <v>3.5452505000000079E-2</v>
      </c>
      <c r="DB33" s="162">
        <v>4.0604010000000024E-2</v>
      </c>
      <c r="DC33" s="162">
        <v>4.0604010000000024E-2</v>
      </c>
      <c r="DD33" s="162">
        <v>4.0604010000000024E-2</v>
      </c>
      <c r="DE33" s="162">
        <v>4.0604010000000024E-2</v>
      </c>
      <c r="DF33" s="162">
        <v>4.0604010000000024E-2</v>
      </c>
      <c r="DG33" s="162">
        <v>4.0604010000000024E-2</v>
      </c>
      <c r="DH33" s="162">
        <v>4.0604010000000024E-2</v>
      </c>
      <c r="DI33" s="162">
        <v>4.0604010000000024E-2</v>
      </c>
    </row>
    <row r="34" spans="1:113" ht="12" outlineLevel="1">
      <c r="A34" s="1" t="s">
        <v>845</v>
      </c>
      <c r="B34" s="19" t="s">
        <v>316</v>
      </c>
      <c r="C34" s="408"/>
      <c r="D34" s="408"/>
      <c r="E34" s="408"/>
      <c r="F34" s="408"/>
      <c r="G34" s="408"/>
      <c r="H34" s="408"/>
      <c r="I34" s="408"/>
      <c r="J34" s="408"/>
      <c r="K34" s="408"/>
      <c r="L34" s="408"/>
      <c r="M34" s="408"/>
      <c r="N34" s="408"/>
      <c r="O34" s="408"/>
      <c r="P34" s="408"/>
      <c r="Q34" s="408"/>
      <c r="R34" s="408"/>
      <c r="S34" s="408"/>
      <c r="T34" s="394"/>
      <c r="U34" s="408"/>
      <c r="V34" s="408"/>
      <c r="W34" s="408"/>
      <c r="X34" s="408"/>
      <c r="Y34" s="394"/>
      <c r="Z34" s="394"/>
      <c r="AA34" s="394"/>
      <c r="AB34" s="394"/>
      <c r="AC34" s="394"/>
      <c r="AD34" s="394"/>
      <c r="AE34" s="394"/>
      <c r="AF34" s="394"/>
      <c r="AG34" s="394"/>
      <c r="AH34" s="394"/>
      <c r="AI34" s="394"/>
      <c r="AJ34" s="394"/>
      <c r="AK34" s="394"/>
      <c r="AL34" s="394"/>
      <c r="AM34" s="394"/>
      <c r="AN34" s="394"/>
      <c r="AO34" s="394"/>
      <c r="AP34" s="427"/>
      <c r="AQ34" s="427"/>
      <c r="AR34" s="427"/>
      <c r="AS34" s="427"/>
      <c r="AT34" s="427"/>
      <c r="AU34" s="427"/>
      <c r="AV34" s="427"/>
      <c r="AW34" s="393"/>
      <c r="AX34" s="386">
        <v>0</v>
      </c>
      <c r="AY34" s="386">
        <v>0</v>
      </c>
      <c r="AZ34" s="386">
        <v>0</v>
      </c>
      <c r="BA34" s="386">
        <v>0</v>
      </c>
      <c r="BB34" s="386">
        <v>0</v>
      </c>
      <c r="BC34" s="386">
        <v>0</v>
      </c>
      <c r="BD34" s="386">
        <v>0</v>
      </c>
      <c r="BE34" s="386">
        <v>0</v>
      </c>
      <c r="BF34" s="386">
        <v>0</v>
      </c>
      <c r="BG34" s="386">
        <v>0</v>
      </c>
      <c r="BH34" s="386">
        <v>0</v>
      </c>
      <c r="BI34" s="386">
        <v>0</v>
      </c>
      <c r="BJ34" s="386">
        <v>0</v>
      </c>
      <c r="BK34" s="386">
        <v>0</v>
      </c>
      <c r="BL34" s="386">
        <v>0</v>
      </c>
      <c r="BM34" s="386">
        <v>0</v>
      </c>
      <c r="BN34" s="386">
        <v>0</v>
      </c>
      <c r="BO34" s="386">
        <v>0</v>
      </c>
      <c r="BP34" s="386">
        <v>0</v>
      </c>
      <c r="BQ34" s="386">
        <v>0</v>
      </c>
      <c r="BR34" s="162"/>
      <c r="BS34" s="422"/>
      <c r="BT34" s="422"/>
      <c r="BU34" s="422"/>
      <c r="BV34" s="422"/>
      <c r="BW34" s="422"/>
      <c r="BX34" s="422"/>
      <c r="BY34" s="422"/>
      <c r="BZ34" s="422"/>
      <c r="CA34" s="422"/>
      <c r="CB34" s="42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285"/>
      <c r="CN34" s="285"/>
      <c r="CO34" s="285"/>
      <c r="CP34" s="285"/>
      <c r="CQ34" s="285"/>
      <c r="CR34" s="285"/>
      <c r="CS34" s="285"/>
      <c r="CT34" s="427"/>
      <c r="CU34" s="427"/>
      <c r="CV34" s="427"/>
      <c r="CW34" s="427"/>
      <c r="CX34" s="427"/>
      <c r="CY34" s="393"/>
      <c r="CZ34" s="162">
        <v>0</v>
      </c>
      <c r="DA34" s="162">
        <v>0</v>
      </c>
      <c r="DB34" s="162">
        <v>0</v>
      </c>
      <c r="DC34" s="162">
        <v>0</v>
      </c>
      <c r="DD34" s="162">
        <v>0</v>
      </c>
      <c r="DE34" s="162">
        <v>0</v>
      </c>
      <c r="DF34" s="162">
        <v>0</v>
      </c>
      <c r="DG34" s="162">
        <v>0</v>
      </c>
      <c r="DH34" s="162">
        <v>0</v>
      </c>
      <c r="DI34" s="162">
        <v>0</v>
      </c>
    </row>
    <row r="35" spans="1:113" ht="12" outlineLevel="1">
      <c r="A35" s="1" t="s">
        <v>846</v>
      </c>
      <c r="B35" s="19" t="s">
        <v>317</v>
      </c>
      <c r="C35" s="408"/>
      <c r="D35" s="408"/>
      <c r="E35" s="408"/>
      <c r="F35" s="408"/>
      <c r="G35" s="408"/>
      <c r="H35" s="408"/>
      <c r="I35" s="408"/>
      <c r="J35" s="408"/>
      <c r="K35" s="408"/>
      <c r="L35" s="408"/>
      <c r="M35" s="408"/>
      <c r="N35" s="408"/>
      <c r="O35" s="408"/>
      <c r="P35" s="408"/>
      <c r="Q35" s="408"/>
      <c r="R35" s="408"/>
      <c r="S35" s="408"/>
      <c r="T35" s="394"/>
      <c r="U35" s="408"/>
      <c r="V35" s="408"/>
      <c r="W35" s="408"/>
      <c r="X35" s="408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427"/>
      <c r="AQ35" s="427"/>
      <c r="AR35" s="427"/>
      <c r="AS35" s="427"/>
      <c r="AT35" s="427"/>
      <c r="AU35" s="427"/>
      <c r="AV35" s="427"/>
      <c r="AW35" s="393"/>
      <c r="AX35" s="386">
        <v>0</v>
      </c>
      <c r="AY35" s="386">
        <v>0</v>
      </c>
      <c r="AZ35" s="386">
        <v>0</v>
      </c>
      <c r="BA35" s="386">
        <v>0</v>
      </c>
      <c r="BB35" s="386">
        <v>0</v>
      </c>
      <c r="BC35" s="386">
        <v>0</v>
      </c>
      <c r="BD35" s="386">
        <v>0</v>
      </c>
      <c r="BE35" s="386">
        <v>0</v>
      </c>
      <c r="BF35" s="386">
        <v>0</v>
      </c>
      <c r="BG35" s="386">
        <v>0</v>
      </c>
      <c r="BH35" s="386">
        <v>0</v>
      </c>
      <c r="BI35" s="386">
        <v>0</v>
      </c>
      <c r="BJ35" s="386">
        <v>0</v>
      </c>
      <c r="BK35" s="386">
        <v>0</v>
      </c>
      <c r="BL35" s="386">
        <v>0</v>
      </c>
      <c r="BM35" s="386">
        <v>0</v>
      </c>
      <c r="BN35" s="386">
        <v>0</v>
      </c>
      <c r="BO35" s="386">
        <v>0</v>
      </c>
      <c r="BP35" s="386">
        <v>0</v>
      </c>
      <c r="BQ35" s="386">
        <v>0</v>
      </c>
      <c r="BR35" s="162"/>
      <c r="BS35" s="422"/>
      <c r="BT35" s="422"/>
      <c r="BU35" s="422"/>
      <c r="BV35" s="422"/>
      <c r="BW35" s="422"/>
      <c r="BX35" s="422"/>
      <c r="BY35" s="422"/>
      <c r="BZ35" s="422"/>
      <c r="CA35" s="422"/>
      <c r="CB35" s="42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285"/>
      <c r="CN35" s="285"/>
      <c r="CO35" s="285"/>
      <c r="CP35" s="285"/>
      <c r="CQ35" s="285"/>
      <c r="CR35" s="285"/>
      <c r="CS35" s="285"/>
      <c r="CT35" s="427"/>
      <c r="CU35" s="427"/>
      <c r="CV35" s="427"/>
      <c r="CW35" s="427"/>
      <c r="CX35" s="427"/>
      <c r="CY35" s="393"/>
      <c r="CZ35" s="162">
        <v>0</v>
      </c>
      <c r="DA35" s="162">
        <v>0</v>
      </c>
      <c r="DB35" s="162">
        <v>0</v>
      </c>
      <c r="DC35" s="162">
        <v>0</v>
      </c>
      <c r="DD35" s="162">
        <v>0</v>
      </c>
      <c r="DE35" s="162">
        <v>0</v>
      </c>
      <c r="DF35" s="162">
        <v>0</v>
      </c>
      <c r="DG35" s="162">
        <v>0</v>
      </c>
      <c r="DH35" s="162">
        <v>0</v>
      </c>
      <c r="DI35" s="162">
        <v>0</v>
      </c>
    </row>
    <row r="36" spans="1:113" ht="12" outlineLevel="1">
      <c r="C36" s="408"/>
      <c r="D36" s="408"/>
      <c r="E36" s="408"/>
      <c r="F36" s="408"/>
      <c r="G36" s="408"/>
      <c r="H36" s="408"/>
      <c r="I36" s="408"/>
      <c r="J36" s="408"/>
      <c r="K36" s="408"/>
      <c r="L36" s="408"/>
      <c r="M36" s="408"/>
      <c r="N36" s="408"/>
      <c r="O36" s="408"/>
      <c r="P36" s="408"/>
      <c r="Q36" s="408"/>
      <c r="R36" s="408"/>
      <c r="S36" s="408"/>
      <c r="T36" s="394"/>
      <c r="U36" s="408"/>
      <c r="V36" s="408"/>
      <c r="W36" s="408"/>
      <c r="X36" s="408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285"/>
      <c r="AQ36" s="285"/>
      <c r="AR36" s="285"/>
      <c r="AS36" s="285"/>
      <c r="AT36" s="285"/>
      <c r="AU36" s="285"/>
      <c r="AV36" s="285"/>
      <c r="AW36" s="286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285"/>
      <c r="CN36" s="285"/>
      <c r="CO36" s="285"/>
      <c r="CP36" s="285"/>
      <c r="CQ36" s="285"/>
      <c r="CR36" s="285"/>
      <c r="CS36" s="285"/>
      <c r="CT36" s="285"/>
      <c r="CU36" s="285"/>
      <c r="CV36" s="285"/>
      <c r="CW36" s="285"/>
      <c r="CX36" s="285"/>
      <c r="CY36" s="286"/>
      <c r="CZ36" s="162"/>
      <c r="DA36" s="162"/>
      <c r="DB36" s="162"/>
      <c r="DC36" s="162"/>
      <c r="DD36" s="162"/>
      <c r="DE36" s="162"/>
      <c r="DF36" s="162"/>
      <c r="DG36" s="162"/>
      <c r="DH36" s="162"/>
      <c r="DI36" s="162"/>
    </row>
    <row r="37" spans="1:113" ht="12" outlineLevel="1">
      <c r="B37" s="24" t="s">
        <v>321</v>
      </c>
      <c r="C37" s="408"/>
      <c r="D37" s="408"/>
      <c r="E37" s="408"/>
      <c r="F37" s="408"/>
      <c r="G37" s="408"/>
      <c r="H37" s="408"/>
      <c r="I37" s="408"/>
      <c r="J37" s="408"/>
      <c r="K37" s="408"/>
      <c r="L37" s="408"/>
      <c r="M37" s="408"/>
      <c r="N37" s="408"/>
      <c r="O37" s="408"/>
      <c r="P37" s="408"/>
      <c r="Q37" s="408"/>
      <c r="R37" s="408"/>
      <c r="S37" s="408"/>
      <c r="T37" s="394"/>
      <c r="U37" s="408"/>
      <c r="V37" s="408"/>
      <c r="W37" s="408"/>
      <c r="X37" s="408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285"/>
      <c r="AQ37" s="285"/>
      <c r="AR37" s="285"/>
      <c r="AS37" s="285"/>
      <c r="AT37" s="285"/>
      <c r="AU37" s="285"/>
      <c r="AV37" s="285"/>
      <c r="AW37" s="286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285"/>
      <c r="CN37" s="285"/>
      <c r="CO37" s="285"/>
      <c r="CP37" s="285"/>
      <c r="CQ37" s="285"/>
      <c r="CR37" s="285"/>
      <c r="CS37" s="285"/>
      <c r="CT37" s="285"/>
      <c r="CU37" s="285"/>
      <c r="CV37" s="285"/>
      <c r="CW37" s="285"/>
      <c r="CX37" s="285"/>
      <c r="CY37" s="286"/>
      <c r="CZ37" s="162"/>
      <c r="DA37" s="162"/>
      <c r="DB37" s="162"/>
      <c r="DC37" s="162"/>
      <c r="DD37" s="162"/>
      <c r="DE37" s="162"/>
      <c r="DF37" s="162"/>
      <c r="DG37" s="162"/>
      <c r="DH37" s="162"/>
      <c r="DI37" s="162"/>
    </row>
    <row r="38" spans="1:113" ht="12" outlineLevel="1">
      <c r="A38" s="1" t="s">
        <v>847</v>
      </c>
      <c r="B38" s="19" t="s">
        <v>322</v>
      </c>
      <c r="C38" s="408"/>
      <c r="D38" s="408"/>
      <c r="E38" s="408"/>
      <c r="F38" s="408"/>
      <c r="G38" s="408"/>
      <c r="H38" s="408"/>
      <c r="I38" s="408"/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394"/>
      <c r="U38" s="408"/>
      <c r="V38" s="408"/>
      <c r="W38" s="408"/>
      <c r="X38" s="408"/>
      <c r="Y38" s="394"/>
      <c r="Z38" s="394"/>
      <c r="AA38" s="394"/>
      <c r="AB38" s="394"/>
      <c r="AC38" s="394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4"/>
      <c r="AP38" s="504">
        <v>0.13201339659805078</v>
      </c>
      <c r="AQ38" s="504">
        <v>0.12895116438882104</v>
      </c>
      <c r="AR38" s="504">
        <v>3.8410009244964849E-2</v>
      </c>
      <c r="AS38" s="504">
        <v>-9.9272091270705007E-2</v>
      </c>
      <c r="AT38" s="504">
        <v>9.8227906271230334E-2</v>
      </c>
      <c r="AU38" s="504">
        <v>4.5119990913830899E-2</v>
      </c>
      <c r="AV38" s="504">
        <v>7.5653975241849913E-2</v>
      </c>
      <c r="AW38" s="557">
        <v>4.2190024012100258E-2</v>
      </c>
      <c r="AX38" s="422">
        <v>5.062499999999992E-2</v>
      </c>
      <c r="AY38" s="422">
        <v>5.062499999999992E-2</v>
      </c>
      <c r="AZ38" s="422">
        <v>5.062499999999992E-2</v>
      </c>
      <c r="BA38" s="422">
        <v>5.062499999999992E-2</v>
      </c>
      <c r="BB38" s="422">
        <v>5.062499999999992E-2</v>
      </c>
      <c r="BC38" s="422">
        <v>5.062499999999992E-2</v>
      </c>
      <c r="BD38" s="422">
        <v>5.062499999999992E-2</v>
      </c>
      <c r="BE38" s="422">
        <v>5.062499999999992E-2</v>
      </c>
      <c r="BF38" s="422">
        <v>5.062499999999992E-2</v>
      </c>
      <c r="BG38" s="422">
        <v>5.062499999999992E-2</v>
      </c>
      <c r="BH38" s="422">
        <v>5.062499999999992E-2</v>
      </c>
      <c r="BI38" s="422">
        <v>5.062499999999992E-2</v>
      </c>
      <c r="BJ38" s="422">
        <v>5.062499999999992E-2</v>
      </c>
      <c r="BK38" s="422">
        <v>5.062499999999992E-2</v>
      </c>
      <c r="BL38" s="422">
        <v>5.062499999999992E-2</v>
      </c>
      <c r="BM38" s="422">
        <v>5.062499999999992E-2</v>
      </c>
      <c r="BN38" s="422">
        <v>5.062499999999992E-2</v>
      </c>
      <c r="BO38" s="422">
        <v>5.062499999999992E-2</v>
      </c>
      <c r="BP38" s="422">
        <v>5.062499999999992E-2</v>
      </c>
      <c r="BQ38" s="422">
        <v>5.062499999999992E-2</v>
      </c>
      <c r="BR38" s="422"/>
      <c r="BS38" s="422"/>
      <c r="BT38" s="422"/>
      <c r="BU38" s="422"/>
      <c r="BV38" s="422"/>
      <c r="BW38" s="422"/>
      <c r="BX38" s="422"/>
      <c r="BY38" s="422"/>
      <c r="BZ38" s="422"/>
      <c r="CA38" s="422"/>
      <c r="CB38" s="42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285"/>
      <c r="CN38" s="285"/>
      <c r="CO38" s="285"/>
      <c r="CP38" s="285"/>
      <c r="CQ38" s="285"/>
      <c r="CR38" s="285"/>
      <c r="CS38" s="285"/>
      <c r="CT38" s="504">
        <v>0.11546989028828293</v>
      </c>
      <c r="CU38" s="504">
        <v>-7.680739379698176E-2</v>
      </c>
      <c r="CV38" s="504">
        <v>0.27798784219311368</v>
      </c>
      <c r="CW38" s="504">
        <v>-6.4675123969214932E-2</v>
      </c>
      <c r="CX38" s="504">
        <v>0.14777993942350376</v>
      </c>
      <c r="CY38" s="557">
        <v>0.12103584228601472</v>
      </c>
      <c r="CZ38" s="162">
        <v>0.10381289062499977</v>
      </c>
      <c r="DA38" s="162">
        <v>0.10381289062499977</v>
      </c>
      <c r="DB38" s="162">
        <v>0.10381289062499977</v>
      </c>
      <c r="DC38" s="162">
        <v>0.10381289062499977</v>
      </c>
      <c r="DD38" s="162">
        <v>0.10381289062499977</v>
      </c>
      <c r="DE38" s="162">
        <v>0.10381289062499977</v>
      </c>
      <c r="DF38" s="162">
        <v>0.10381289062499977</v>
      </c>
      <c r="DG38" s="162">
        <v>0.10381289062499977</v>
      </c>
      <c r="DH38" s="162">
        <v>0.10381289062499977</v>
      </c>
      <c r="DI38" s="162">
        <v>0.10381289062499977</v>
      </c>
    </row>
    <row r="39" spans="1:113" ht="12" outlineLevel="1">
      <c r="A39" s="1" t="s">
        <v>848</v>
      </c>
      <c r="B39" s="19" t="s">
        <v>323</v>
      </c>
      <c r="C39" s="408"/>
      <c r="D39" s="408"/>
      <c r="E39" s="408"/>
      <c r="F39" s="408"/>
      <c r="G39" s="408"/>
      <c r="H39" s="408"/>
      <c r="I39" s="408"/>
      <c r="J39" s="408"/>
      <c r="K39" s="408"/>
      <c r="L39" s="408"/>
      <c r="M39" s="408"/>
      <c r="N39" s="408"/>
      <c r="O39" s="408"/>
      <c r="P39" s="408"/>
      <c r="Q39" s="408"/>
      <c r="R39" s="408"/>
      <c r="S39" s="408"/>
      <c r="T39" s="394"/>
      <c r="U39" s="408"/>
      <c r="V39" s="408"/>
      <c r="W39" s="408"/>
      <c r="X39" s="408"/>
      <c r="Y39" s="394"/>
      <c r="Z39" s="394"/>
      <c r="AA39" s="394"/>
      <c r="AB39" s="394"/>
      <c r="AC39" s="394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4"/>
      <c r="AP39" s="504">
        <v>9.193089689715217E-3</v>
      </c>
      <c r="AQ39" s="504">
        <v>-1.7431704668777415E-2</v>
      </c>
      <c r="AR39" s="504">
        <v>-1.1515614398047158E-2</v>
      </c>
      <c r="AS39" s="504">
        <v>-9.4632212575510355E-2</v>
      </c>
      <c r="AT39" s="504">
        <v>-2.6852435963321541E-3</v>
      </c>
      <c r="AU39" s="504">
        <v>1.513116203206244E-2</v>
      </c>
      <c r="AV39" s="504">
        <v>3.4926840945133319E-2</v>
      </c>
      <c r="AW39" s="557">
        <v>1.7883906472513367E-3</v>
      </c>
      <c r="AX39" s="422">
        <v>3.2002015625000269E-2</v>
      </c>
      <c r="AY39" s="422">
        <v>3.1367166992187556E-2</v>
      </c>
      <c r="AZ39" s="422">
        <v>2.9400359375000074E-2</v>
      </c>
      <c r="BA39" s="422">
        <v>2.7245559570312494E-2</v>
      </c>
      <c r="BB39" s="422">
        <v>2.6422265625000163E-2</v>
      </c>
      <c r="BC39" s="422">
        <v>2.6422265625000163E-2</v>
      </c>
      <c r="BD39" s="422">
        <v>2.6422265625000163E-2</v>
      </c>
      <c r="BE39" s="422">
        <v>2.6422265625000163E-2</v>
      </c>
      <c r="BF39" s="422">
        <v>2.6422265625000163E-2</v>
      </c>
      <c r="BG39" s="422">
        <v>2.6422265625000163E-2</v>
      </c>
      <c r="BH39" s="422">
        <v>2.6422265625000163E-2</v>
      </c>
      <c r="BI39" s="422">
        <v>2.6422265625000163E-2</v>
      </c>
      <c r="BJ39" s="422">
        <v>2.6422265625000163E-2</v>
      </c>
      <c r="BK39" s="422">
        <v>2.6422265625000163E-2</v>
      </c>
      <c r="BL39" s="422">
        <v>2.6422265625000163E-2</v>
      </c>
      <c r="BM39" s="422">
        <v>2.6422265625000163E-2</v>
      </c>
      <c r="BN39" s="422">
        <v>2.6422265625000163E-2</v>
      </c>
      <c r="BO39" s="422">
        <v>2.6422265625000163E-2</v>
      </c>
      <c r="BP39" s="422">
        <v>2.6422265625000163E-2</v>
      </c>
      <c r="BQ39" s="422">
        <v>2.6422265625000163E-2</v>
      </c>
      <c r="BR39" s="422"/>
      <c r="BS39" s="422"/>
      <c r="BT39" s="422"/>
      <c r="BU39" s="422"/>
      <c r="BV39" s="422"/>
      <c r="BW39" s="422"/>
      <c r="BX39" s="422"/>
      <c r="BY39" s="422"/>
      <c r="BZ39" s="422"/>
      <c r="CA39" s="422"/>
      <c r="CB39" s="42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285"/>
      <c r="CN39" s="285"/>
      <c r="CO39" s="285"/>
      <c r="CP39" s="285"/>
      <c r="CQ39" s="285"/>
      <c r="CR39" s="285"/>
      <c r="CS39" s="285"/>
      <c r="CT39" s="504">
        <v>9.5721511142349058E-2</v>
      </c>
      <c r="CU39" s="504">
        <v>4.1800660149551083E-2</v>
      </c>
      <c r="CV39" s="504">
        <v>-8.3988662035268113E-3</v>
      </c>
      <c r="CW39" s="504">
        <v>-0.10505807890390395</v>
      </c>
      <c r="CX39" s="504">
        <v>1.2405287579778657E-2</v>
      </c>
      <c r="CY39" s="557">
        <v>3.6777694428068886E-2</v>
      </c>
      <c r="CZ39" s="162">
        <v>6.4372995185383752E-2</v>
      </c>
      <c r="DA39" s="162">
        <v>5.7446948188052627E-2</v>
      </c>
      <c r="DB39" s="162">
        <v>5.3542667370758412E-2</v>
      </c>
      <c r="DC39" s="162">
        <v>5.3542667370758412E-2</v>
      </c>
      <c r="DD39" s="162">
        <v>5.3542667370758412E-2</v>
      </c>
      <c r="DE39" s="162">
        <v>5.3542667370758412E-2</v>
      </c>
      <c r="DF39" s="162">
        <v>5.3542667370758412E-2</v>
      </c>
      <c r="DG39" s="162">
        <v>5.3542667370758412E-2</v>
      </c>
      <c r="DH39" s="162">
        <v>5.3542667370758412E-2</v>
      </c>
      <c r="DI39" s="162">
        <v>5.3542667370758412E-2</v>
      </c>
    </row>
    <row r="40" spans="1:113" ht="12" outlineLevel="1">
      <c r="A40" s="1" t="s">
        <v>849</v>
      </c>
      <c r="B40" s="19" t="s">
        <v>324</v>
      </c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8"/>
      <c r="O40" s="408"/>
      <c r="P40" s="408"/>
      <c r="Q40" s="408"/>
      <c r="R40" s="408"/>
      <c r="S40" s="408"/>
      <c r="T40" s="394"/>
      <c r="U40" s="408"/>
      <c r="V40" s="408"/>
      <c r="W40" s="408"/>
      <c r="X40" s="408"/>
      <c r="Y40" s="394"/>
      <c r="Z40" s="394"/>
      <c r="AA40" s="394"/>
      <c r="AB40" s="394"/>
      <c r="AC40" s="3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4"/>
      <c r="AP40" s="504">
        <v>2.0000000000000005E-3</v>
      </c>
      <c r="AQ40" s="504">
        <v>1E-3</v>
      </c>
      <c r="AR40" s="504">
        <v>1E-3</v>
      </c>
      <c r="AS40" s="504">
        <v>2.6666666666666666E-3</v>
      </c>
      <c r="AT40" s="504">
        <v>2.35E-2</v>
      </c>
      <c r="AU40" s="504">
        <v>3.6000000000000004E-2</v>
      </c>
      <c r="AV40" s="504">
        <v>4.1833333333333333E-2</v>
      </c>
      <c r="AW40" s="557">
        <v>4.3500000000000004E-2</v>
      </c>
      <c r="AX40" s="422">
        <v>4.3499999999999997E-2</v>
      </c>
      <c r="AY40" s="422">
        <v>3.9750000000000001E-2</v>
      </c>
      <c r="AZ40" s="422">
        <v>3.4250000000000003E-2</v>
      </c>
      <c r="BA40" s="422">
        <v>3.2500000000000001E-2</v>
      </c>
      <c r="BB40" s="422">
        <v>3.2500000000000001E-2</v>
      </c>
      <c r="BC40" s="422">
        <v>3.2500000000000001E-2</v>
      </c>
      <c r="BD40" s="422">
        <v>3.2500000000000001E-2</v>
      </c>
      <c r="BE40" s="422">
        <v>3.2500000000000001E-2</v>
      </c>
      <c r="BF40" s="422">
        <v>3.2500000000000001E-2</v>
      </c>
      <c r="BG40" s="422">
        <v>3.2500000000000001E-2</v>
      </c>
      <c r="BH40" s="422">
        <v>3.2500000000000001E-2</v>
      </c>
      <c r="BI40" s="422">
        <v>3.2500000000000001E-2</v>
      </c>
      <c r="BJ40" s="422">
        <v>3.2500000000000001E-2</v>
      </c>
      <c r="BK40" s="422">
        <v>3.2500000000000001E-2</v>
      </c>
      <c r="BL40" s="422">
        <v>3.2500000000000001E-2</v>
      </c>
      <c r="BM40" s="422">
        <v>3.2500000000000001E-2</v>
      </c>
      <c r="BN40" s="422">
        <v>3.2500000000000001E-2</v>
      </c>
      <c r="BO40" s="422">
        <v>3.2500000000000001E-2</v>
      </c>
      <c r="BP40" s="422">
        <v>3.2500000000000001E-2</v>
      </c>
      <c r="BQ40" s="422">
        <v>3.2500000000000001E-2</v>
      </c>
      <c r="BR40" s="422"/>
      <c r="BS40" s="422"/>
      <c r="BT40" s="422"/>
      <c r="BU40" s="422"/>
      <c r="BV40" s="422"/>
      <c r="BW40" s="422"/>
      <c r="BX40" s="422"/>
      <c r="BY40" s="422"/>
      <c r="BZ40" s="422"/>
      <c r="CA40" s="422"/>
      <c r="CB40" s="42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285"/>
      <c r="CN40" s="285"/>
      <c r="CO40" s="285"/>
      <c r="CP40" s="285"/>
      <c r="CQ40" s="285"/>
      <c r="CR40" s="285"/>
      <c r="CS40" s="285"/>
      <c r="CT40" s="504">
        <v>1.4791666666666668E-2</v>
      </c>
      <c r="CU40" s="504">
        <v>6.4583333333333333E-3</v>
      </c>
      <c r="CV40" s="504">
        <v>1.5000000000000005E-3</v>
      </c>
      <c r="CW40" s="504">
        <v>1.8333333333333333E-3</v>
      </c>
      <c r="CX40" s="504">
        <v>2.9750000000000002E-2</v>
      </c>
      <c r="CY40" s="557">
        <v>4.2666666666666672E-2</v>
      </c>
      <c r="CZ40" s="162">
        <v>8.4979125000000044E-2</v>
      </c>
      <c r="DA40" s="162">
        <v>6.7863125000000135E-2</v>
      </c>
      <c r="DB40" s="162">
        <v>6.6056249999999928E-2</v>
      </c>
      <c r="DC40" s="162">
        <v>6.6056249999999928E-2</v>
      </c>
      <c r="DD40" s="162">
        <v>6.6056249999999928E-2</v>
      </c>
      <c r="DE40" s="162">
        <v>6.6056249999999928E-2</v>
      </c>
      <c r="DF40" s="162">
        <v>6.6056249999999928E-2</v>
      </c>
      <c r="DG40" s="162">
        <v>6.6056249999999928E-2</v>
      </c>
      <c r="DH40" s="162">
        <v>6.6056249999999928E-2</v>
      </c>
      <c r="DI40" s="162">
        <v>6.6056249999999928E-2</v>
      </c>
    </row>
    <row r="41" spans="1:113" ht="12" outlineLevel="1">
      <c r="C41" s="408"/>
      <c r="D41" s="408"/>
      <c r="E41" s="408"/>
      <c r="F41" s="408"/>
      <c r="G41" s="408"/>
      <c r="H41" s="408"/>
      <c r="I41" s="408"/>
      <c r="J41" s="408"/>
      <c r="K41" s="408"/>
      <c r="L41" s="408"/>
      <c r="M41" s="408"/>
      <c r="N41" s="408"/>
      <c r="O41" s="408"/>
      <c r="P41" s="408"/>
      <c r="Q41" s="408"/>
      <c r="R41" s="408"/>
      <c r="S41" s="408"/>
      <c r="T41" s="394"/>
      <c r="U41" s="408"/>
      <c r="V41" s="408"/>
      <c r="W41" s="408"/>
      <c r="X41" s="408"/>
      <c r="Y41" s="394"/>
      <c r="Z41" s="394"/>
      <c r="AA41" s="394"/>
      <c r="AB41" s="394"/>
      <c r="AC41" s="394"/>
      <c r="AD41" s="394"/>
      <c r="AE41" s="394"/>
      <c r="AF41" s="394"/>
      <c r="AG41" s="394"/>
      <c r="AH41" s="394"/>
      <c r="AI41" s="394"/>
      <c r="AJ41" s="394"/>
      <c r="AK41" s="394"/>
      <c r="AL41" s="394"/>
      <c r="AM41" s="394"/>
      <c r="AN41" s="394"/>
      <c r="AO41" s="394"/>
      <c r="AP41" s="285"/>
      <c r="AQ41" s="285"/>
      <c r="AR41" s="285"/>
      <c r="AS41" s="285"/>
      <c r="AT41" s="285"/>
      <c r="AU41" s="285"/>
      <c r="AV41" s="285"/>
      <c r="AW41" s="286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285"/>
      <c r="CN41" s="285"/>
      <c r="CO41" s="285"/>
      <c r="CP41" s="285"/>
      <c r="CQ41" s="285"/>
      <c r="CR41" s="285"/>
      <c r="CS41" s="285"/>
      <c r="CT41" s="285"/>
      <c r="CU41" s="285"/>
      <c r="CV41" s="285"/>
      <c r="CW41" s="285"/>
      <c r="CX41" s="285"/>
      <c r="CY41" s="286"/>
      <c r="CZ41" s="162"/>
      <c r="DA41" s="162"/>
      <c r="DB41" s="19"/>
      <c r="DC41" s="19"/>
      <c r="DD41" s="19"/>
      <c r="DE41" s="19"/>
      <c r="DF41" s="19"/>
      <c r="DG41" s="19"/>
      <c r="DH41" s="19"/>
      <c r="DI41" s="19"/>
    </row>
    <row r="42" spans="1:113" ht="12" outlineLevel="1">
      <c r="B42" s="24" t="s">
        <v>387</v>
      </c>
      <c r="C42" s="408"/>
      <c r="D42" s="408"/>
      <c r="E42" s="408"/>
      <c r="F42" s="408"/>
      <c r="G42" s="408"/>
      <c r="H42" s="408"/>
      <c r="I42" s="408"/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394"/>
      <c r="U42" s="408"/>
      <c r="V42" s="408"/>
      <c r="W42" s="408"/>
      <c r="X42" s="408"/>
      <c r="Y42" s="394"/>
      <c r="Z42" s="394"/>
      <c r="AA42" s="394"/>
      <c r="AB42" s="394"/>
      <c r="AC42" s="394"/>
      <c r="AD42" s="394"/>
      <c r="AE42" s="394"/>
      <c r="AF42" s="394"/>
      <c r="AG42" s="394"/>
      <c r="AH42" s="394"/>
      <c r="AI42" s="394"/>
      <c r="AJ42" s="394"/>
      <c r="AK42" s="394"/>
      <c r="AL42" s="394"/>
      <c r="AM42" s="394"/>
      <c r="AN42" s="394"/>
      <c r="AO42" s="394"/>
      <c r="AP42" s="285"/>
      <c r="AQ42" s="285"/>
      <c r="AR42" s="285"/>
      <c r="AS42" s="285"/>
      <c r="AT42" s="285"/>
      <c r="AU42" s="285"/>
      <c r="AV42" s="285"/>
      <c r="AW42" s="286"/>
      <c r="AX42" s="162"/>
      <c r="AY42" s="162"/>
      <c r="AZ42" s="162"/>
      <c r="BA42" s="44"/>
      <c r="BB42" s="162"/>
      <c r="BC42" s="44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285"/>
      <c r="CN42" s="285"/>
      <c r="CO42" s="285"/>
      <c r="CP42" s="285"/>
      <c r="CQ42" s="285"/>
      <c r="CR42" s="285"/>
      <c r="CS42" s="285"/>
      <c r="CT42" s="285"/>
      <c r="CU42" s="285"/>
      <c r="CV42" s="285"/>
      <c r="CW42" s="285"/>
      <c r="CX42" s="285"/>
      <c r="CY42" s="286"/>
      <c r="CZ42" s="162"/>
      <c r="DA42" s="162"/>
      <c r="DB42" s="19"/>
      <c r="DC42" s="19"/>
      <c r="DD42" s="19"/>
      <c r="DE42" s="19"/>
      <c r="DF42" s="19"/>
      <c r="DG42" s="19"/>
      <c r="DH42" s="19"/>
      <c r="DI42" s="19"/>
    </row>
    <row r="43" spans="1:113" ht="12" outlineLevel="1">
      <c r="A43" s="1" t="s">
        <v>381</v>
      </c>
      <c r="B43" s="19" t="s">
        <v>216</v>
      </c>
      <c r="C43" s="408"/>
      <c r="D43" s="408"/>
      <c r="E43" s="408"/>
      <c r="F43" s="408"/>
      <c r="G43" s="408"/>
      <c r="H43" s="408"/>
      <c r="I43" s="408"/>
      <c r="J43" s="408"/>
      <c r="K43" s="408"/>
      <c r="L43" s="408"/>
      <c r="M43" s="408"/>
      <c r="N43" s="408"/>
      <c r="O43" s="408"/>
      <c r="P43" s="408"/>
      <c r="Q43" s="408"/>
      <c r="R43" s="408"/>
      <c r="S43" s="408"/>
      <c r="T43" s="394"/>
      <c r="U43" s="408"/>
      <c r="V43" s="408"/>
      <c r="W43" s="408"/>
      <c r="X43" s="408"/>
      <c r="Y43" s="394"/>
      <c r="Z43" s="394"/>
      <c r="AA43" s="394"/>
      <c r="AB43" s="394"/>
      <c r="AC43" s="394"/>
      <c r="AD43" s="394"/>
      <c r="AE43" s="394"/>
      <c r="AF43" s="394"/>
      <c r="AG43" s="394"/>
      <c r="AH43" s="394"/>
      <c r="AI43" s="394"/>
      <c r="AJ43" s="394"/>
      <c r="AK43" s="394"/>
      <c r="AL43" s="394"/>
      <c r="AM43" s="394"/>
      <c r="AN43" s="394"/>
      <c r="AO43" s="394"/>
      <c r="AP43" s="285" t="s">
        <v>213</v>
      </c>
      <c r="AQ43" s="285">
        <v>0.45258024565462751</v>
      </c>
      <c r="AR43" s="285">
        <v>0.32050996381362351</v>
      </c>
      <c r="AS43" s="285">
        <v>0.22908975745397608</v>
      </c>
      <c r="AT43" s="285">
        <v>0.21240235567684063</v>
      </c>
      <c r="AU43" s="285">
        <v>0.2125274469566798</v>
      </c>
      <c r="AV43" s="285">
        <v>7.9745713886438141E-2</v>
      </c>
      <c r="AW43" s="286">
        <v>6.7132765509906989E-2</v>
      </c>
      <c r="AX43" s="386">
        <v>7.4999999999999997E-2</v>
      </c>
      <c r="AY43" s="386">
        <v>7.4999999999999997E-2</v>
      </c>
      <c r="AZ43" s="386">
        <v>0.06</v>
      </c>
      <c r="BA43" s="386">
        <v>0.06</v>
      </c>
      <c r="BB43" s="386">
        <v>2.5000000000000001E-2</v>
      </c>
      <c r="BC43" s="386">
        <v>2.5000000000000001E-2</v>
      </c>
      <c r="BD43" s="386">
        <v>2.5000000000000001E-2</v>
      </c>
      <c r="BE43" s="386">
        <v>2.5000000000000001E-2</v>
      </c>
      <c r="BF43" s="386">
        <v>0.01</v>
      </c>
      <c r="BG43" s="386">
        <v>0.01</v>
      </c>
      <c r="BH43" s="386">
        <v>0</v>
      </c>
      <c r="BI43" s="386">
        <v>0</v>
      </c>
      <c r="BJ43" s="386">
        <v>0</v>
      </c>
      <c r="BK43" s="386">
        <v>0</v>
      </c>
      <c r="BL43" s="386">
        <v>0</v>
      </c>
      <c r="BM43" s="386">
        <v>0</v>
      </c>
      <c r="BN43" s="386">
        <v>0</v>
      </c>
      <c r="BO43" s="386">
        <v>0</v>
      </c>
      <c r="BP43" s="386">
        <v>0</v>
      </c>
      <c r="BQ43" s="386">
        <v>0</v>
      </c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285"/>
      <c r="CN43" s="285"/>
      <c r="CO43" s="285"/>
      <c r="CP43" s="285"/>
      <c r="CQ43" s="285"/>
      <c r="CR43" s="285"/>
      <c r="CS43" s="285"/>
      <c r="CT43" s="285" t="s">
        <v>213</v>
      </c>
      <c r="CU43" s="285">
        <v>21.375854703574451</v>
      </c>
      <c r="CV43" s="285">
        <v>2.3275050598415241</v>
      </c>
      <c r="CW43" s="285">
        <v>0.64418470965524399</v>
      </c>
      <c r="CX43" s="285">
        <v>0.47984520453391566</v>
      </c>
      <c r="CY43" s="286">
        <v>0.15568204743549541</v>
      </c>
      <c r="CZ43" s="162">
        <v>0.15909254999999978</v>
      </c>
      <c r="DA43" s="162">
        <v>0.12643626000000019</v>
      </c>
      <c r="DB43" s="162">
        <v>5.1529049999999632E-2</v>
      </c>
      <c r="DC43" s="162">
        <v>5.1529049999999854E-2</v>
      </c>
      <c r="DD43" s="162">
        <v>2.0461619999999847E-2</v>
      </c>
      <c r="DE43" s="162">
        <v>0</v>
      </c>
      <c r="DF43" s="162">
        <v>0</v>
      </c>
      <c r="DG43" s="162">
        <v>-2.2204460492503131E-16</v>
      </c>
      <c r="DH43" s="162">
        <v>-2.2204460492503131E-16</v>
      </c>
      <c r="DI43" s="162">
        <v>0</v>
      </c>
    </row>
    <row r="44" spans="1:113" ht="12" outlineLevel="1">
      <c r="A44" s="1" t="s">
        <v>306</v>
      </c>
      <c r="B44" s="19" t="s">
        <v>217</v>
      </c>
      <c r="C44" s="408"/>
      <c r="D44" s="408"/>
      <c r="E44" s="408"/>
      <c r="F44" s="408"/>
      <c r="G44" s="408"/>
      <c r="H44" s="408"/>
      <c r="I44" s="408"/>
      <c r="J44" s="408"/>
      <c r="K44" s="408"/>
      <c r="L44" s="408"/>
      <c r="M44" s="408"/>
      <c r="N44" s="408"/>
      <c r="O44" s="408"/>
      <c r="P44" s="408"/>
      <c r="Q44" s="408"/>
      <c r="R44" s="408"/>
      <c r="S44" s="408"/>
      <c r="T44" s="394"/>
      <c r="U44" s="408"/>
      <c r="V44" s="408"/>
      <c r="W44" s="408"/>
      <c r="X44" s="408"/>
      <c r="Y44" s="394"/>
      <c r="Z44" s="394"/>
      <c r="AA44" s="394"/>
      <c r="AB44" s="394"/>
      <c r="AC44" s="394"/>
      <c r="AD44" s="394"/>
      <c r="AE44" s="394"/>
      <c r="AF44" s="394"/>
      <c r="AG44" s="394"/>
      <c r="AH44" s="394"/>
      <c r="AI44" s="394"/>
      <c r="AJ44" s="394"/>
      <c r="AK44" s="394"/>
      <c r="AL44" s="394"/>
      <c r="AM44" s="394"/>
      <c r="AN44" s="394"/>
      <c r="AO44" s="394"/>
      <c r="AP44" s="285" t="s">
        <v>213</v>
      </c>
      <c r="AQ44" s="285">
        <v>0.30185312971589306</v>
      </c>
      <c r="AR44" s="285">
        <v>0.32742226001305852</v>
      </c>
      <c r="AS44" s="285">
        <v>0.19272669610843307</v>
      </c>
      <c r="AT44" s="285">
        <v>0.17716011777816165</v>
      </c>
      <c r="AU44" s="285">
        <v>0.15603842925767797</v>
      </c>
      <c r="AV44" s="285">
        <v>5.3495373903357901E-2</v>
      </c>
      <c r="AW44" s="286">
        <v>6.4125543659951934E-2</v>
      </c>
      <c r="AX44" s="386">
        <v>7.4999999999999997E-2</v>
      </c>
      <c r="AY44" s="386">
        <v>7.4999999999999997E-2</v>
      </c>
      <c r="AZ44" s="386">
        <v>0.06</v>
      </c>
      <c r="BA44" s="386">
        <v>0.06</v>
      </c>
      <c r="BB44" s="386">
        <v>2.5000000000000001E-2</v>
      </c>
      <c r="BC44" s="386">
        <v>2.5000000000000001E-2</v>
      </c>
      <c r="BD44" s="386">
        <v>2.5000000000000001E-2</v>
      </c>
      <c r="BE44" s="386">
        <v>2.5000000000000001E-2</v>
      </c>
      <c r="BF44" s="386">
        <v>0.01</v>
      </c>
      <c r="BG44" s="386">
        <v>0.01</v>
      </c>
      <c r="BH44" s="386">
        <v>0</v>
      </c>
      <c r="BI44" s="386">
        <v>0</v>
      </c>
      <c r="BJ44" s="386">
        <v>0</v>
      </c>
      <c r="BK44" s="386">
        <v>0</v>
      </c>
      <c r="BL44" s="386">
        <v>0</v>
      </c>
      <c r="BM44" s="386">
        <v>0</v>
      </c>
      <c r="BN44" s="386">
        <v>0</v>
      </c>
      <c r="BO44" s="386">
        <v>0</v>
      </c>
      <c r="BP44" s="386">
        <v>0</v>
      </c>
      <c r="BQ44" s="386">
        <v>0</v>
      </c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285"/>
      <c r="CN44" s="285"/>
      <c r="CO44" s="285"/>
      <c r="CP44" s="285"/>
      <c r="CQ44" s="285"/>
      <c r="CR44" s="285"/>
      <c r="CS44" s="285"/>
      <c r="CT44" s="285" t="s">
        <v>213</v>
      </c>
      <c r="CU44" s="285">
        <v>6.1717222120316375</v>
      </c>
      <c r="CV44" s="285">
        <v>0.86944693638246218</v>
      </c>
      <c r="CW44" s="285">
        <v>0.61394318957642779</v>
      </c>
      <c r="CX44" s="285">
        <v>0.37387420813845673</v>
      </c>
      <c r="CY44" s="286">
        <v>0.12545579074315927</v>
      </c>
      <c r="CZ44" s="162">
        <v>0.15894314999999981</v>
      </c>
      <c r="DA44" s="162">
        <v>0.12625452000000004</v>
      </c>
      <c r="DB44" s="162">
        <v>5.1731049999999668E-2</v>
      </c>
      <c r="DC44" s="162">
        <v>5.1731049999999668E-2</v>
      </c>
      <c r="DD44" s="162">
        <v>2.0542419999999728E-2</v>
      </c>
      <c r="DE44" s="162">
        <v>0</v>
      </c>
      <c r="DF44" s="162">
        <v>-2.2204460492503131E-16</v>
      </c>
      <c r="DG44" s="162">
        <v>-2.2204460492503131E-16</v>
      </c>
      <c r="DH44" s="162">
        <v>-2.2204460492503131E-16</v>
      </c>
      <c r="DI44" s="162">
        <v>0</v>
      </c>
    </row>
    <row r="45" spans="1:113" ht="12" outlineLevel="1">
      <c r="A45" s="1" t="s">
        <v>307</v>
      </c>
      <c r="B45" s="19" t="s">
        <v>218</v>
      </c>
      <c r="C45" s="408"/>
      <c r="D45" s="408"/>
      <c r="E45" s="408"/>
      <c r="F45" s="408"/>
      <c r="G45" s="408"/>
      <c r="H45" s="408"/>
      <c r="I45" s="408"/>
      <c r="J45" s="408"/>
      <c r="K45" s="408"/>
      <c r="L45" s="408"/>
      <c r="M45" s="408"/>
      <c r="N45" s="408"/>
      <c r="O45" s="408"/>
      <c r="P45" s="408"/>
      <c r="Q45" s="408"/>
      <c r="R45" s="408"/>
      <c r="S45" s="408"/>
      <c r="T45" s="394"/>
      <c r="U45" s="408"/>
      <c r="V45" s="408"/>
      <c r="W45" s="408"/>
      <c r="X45" s="408"/>
      <c r="Y45" s="394"/>
      <c r="Z45" s="394"/>
      <c r="AA45" s="394"/>
      <c r="AB45" s="394"/>
      <c r="AC45" s="394"/>
      <c r="AD45" s="394"/>
      <c r="AE45" s="394"/>
      <c r="AF45" s="394"/>
      <c r="AG45" s="394"/>
      <c r="AH45" s="394"/>
      <c r="AI45" s="394"/>
      <c r="AJ45" s="394"/>
      <c r="AK45" s="394"/>
      <c r="AL45" s="394"/>
      <c r="AM45" s="394"/>
      <c r="AN45" s="394"/>
      <c r="AO45" s="394"/>
      <c r="AP45" s="285" t="s">
        <v>213</v>
      </c>
      <c r="AQ45" s="285" t="s">
        <v>213</v>
      </c>
      <c r="AR45" s="285" t="s">
        <v>213</v>
      </c>
      <c r="AS45" s="285" t="s">
        <v>213</v>
      </c>
      <c r="AT45" s="285" t="s">
        <v>213</v>
      </c>
      <c r="AU45" s="285" t="s">
        <v>213</v>
      </c>
      <c r="AV45" s="285" t="s">
        <v>213</v>
      </c>
      <c r="AW45" s="286" t="s">
        <v>213</v>
      </c>
      <c r="AX45" s="386">
        <v>0</v>
      </c>
      <c r="AY45" s="386">
        <v>0</v>
      </c>
      <c r="AZ45" s="386">
        <v>0</v>
      </c>
      <c r="BA45" s="386">
        <v>0</v>
      </c>
      <c r="BB45" s="386">
        <v>0</v>
      </c>
      <c r="BC45" s="386">
        <v>0</v>
      </c>
      <c r="BD45" s="386">
        <v>0</v>
      </c>
      <c r="BE45" s="386">
        <v>0</v>
      </c>
      <c r="BF45" s="386">
        <v>0</v>
      </c>
      <c r="BG45" s="386">
        <v>0</v>
      </c>
      <c r="BH45" s="386">
        <v>0</v>
      </c>
      <c r="BI45" s="386">
        <v>0</v>
      </c>
      <c r="BJ45" s="386">
        <v>0</v>
      </c>
      <c r="BK45" s="386">
        <v>0</v>
      </c>
      <c r="BL45" s="386">
        <v>0</v>
      </c>
      <c r="BM45" s="386">
        <v>0</v>
      </c>
      <c r="BN45" s="386">
        <v>0</v>
      </c>
      <c r="BO45" s="386">
        <v>0</v>
      </c>
      <c r="BP45" s="386">
        <v>0</v>
      </c>
      <c r="BQ45" s="386">
        <v>0</v>
      </c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285"/>
      <c r="CN45" s="285"/>
      <c r="CO45" s="285"/>
      <c r="CP45" s="285"/>
      <c r="CQ45" s="285"/>
      <c r="CR45" s="285"/>
      <c r="CS45" s="285"/>
      <c r="CT45" s="285" t="s">
        <v>213</v>
      </c>
      <c r="CU45" s="285" t="s">
        <v>213</v>
      </c>
      <c r="CV45" s="285" t="s">
        <v>213</v>
      </c>
      <c r="CW45" s="285" t="s">
        <v>213</v>
      </c>
      <c r="CX45" s="285" t="s">
        <v>213</v>
      </c>
      <c r="CY45" s="286" t="s">
        <v>213</v>
      </c>
      <c r="CZ45" s="285" t="s">
        <v>213</v>
      </c>
      <c r="DA45" s="285" t="s">
        <v>213</v>
      </c>
      <c r="DB45" s="285" t="s">
        <v>213</v>
      </c>
      <c r="DC45" s="285" t="s">
        <v>213</v>
      </c>
      <c r="DD45" s="285" t="s">
        <v>213</v>
      </c>
      <c r="DE45" s="285" t="s">
        <v>213</v>
      </c>
      <c r="DF45" s="285" t="s">
        <v>213</v>
      </c>
      <c r="DG45" s="285" t="s">
        <v>213</v>
      </c>
      <c r="DH45" s="285" t="s">
        <v>213</v>
      </c>
      <c r="DI45" s="285" t="s">
        <v>213</v>
      </c>
    </row>
    <row r="46" spans="1:113" ht="12" outlineLevel="1">
      <c r="A46" s="1" t="s">
        <v>308</v>
      </c>
      <c r="B46" s="19" t="s">
        <v>219</v>
      </c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8"/>
      <c r="O46" s="408"/>
      <c r="P46" s="408"/>
      <c r="Q46" s="408"/>
      <c r="R46" s="408"/>
      <c r="S46" s="408"/>
      <c r="T46" s="394"/>
      <c r="U46" s="408"/>
      <c r="V46" s="408"/>
      <c r="W46" s="408"/>
      <c r="X46" s="408"/>
      <c r="Y46" s="394"/>
      <c r="Z46" s="394"/>
      <c r="AA46" s="394"/>
      <c r="AB46" s="394"/>
      <c r="AC46" s="394"/>
      <c r="AD46" s="394"/>
      <c r="AE46" s="394"/>
      <c r="AF46" s="394"/>
      <c r="AG46" s="394"/>
      <c r="AH46" s="394"/>
      <c r="AI46" s="394"/>
      <c r="AJ46" s="394"/>
      <c r="AK46" s="394"/>
      <c r="AL46" s="394"/>
      <c r="AM46" s="394"/>
      <c r="AN46" s="394"/>
      <c r="AO46" s="394"/>
      <c r="AP46" s="285" t="s">
        <v>213</v>
      </c>
      <c r="AQ46" s="285" t="s">
        <v>213</v>
      </c>
      <c r="AR46" s="285" t="s">
        <v>213</v>
      </c>
      <c r="AS46" s="285" t="s">
        <v>213</v>
      </c>
      <c r="AT46" s="285" t="s">
        <v>213</v>
      </c>
      <c r="AU46" s="285" t="s">
        <v>213</v>
      </c>
      <c r="AV46" s="285" t="s">
        <v>213</v>
      </c>
      <c r="AW46" s="286" t="s">
        <v>213</v>
      </c>
      <c r="AX46" s="386">
        <v>0</v>
      </c>
      <c r="AY46" s="386">
        <v>0</v>
      </c>
      <c r="AZ46" s="386">
        <v>0</v>
      </c>
      <c r="BA46" s="386">
        <v>0</v>
      </c>
      <c r="BB46" s="386">
        <v>0</v>
      </c>
      <c r="BC46" s="386">
        <v>0</v>
      </c>
      <c r="BD46" s="386">
        <v>0</v>
      </c>
      <c r="BE46" s="386">
        <v>0</v>
      </c>
      <c r="BF46" s="386">
        <v>0</v>
      </c>
      <c r="BG46" s="386">
        <v>0</v>
      </c>
      <c r="BH46" s="386">
        <v>0</v>
      </c>
      <c r="BI46" s="386">
        <v>0</v>
      </c>
      <c r="BJ46" s="386">
        <v>0</v>
      </c>
      <c r="BK46" s="386">
        <v>0</v>
      </c>
      <c r="BL46" s="386">
        <v>0</v>
      </c>
      <c r="BM46" s="386">
        <v>0</v>
      </c>
      <c r="BN46" s="386">
        <v>0</v>
      </c>
      <c r="BO46" s="386">
        <v>0</v>
      </c>
      <c r="BP46" s="386">
        <v>0</v>
      </c>
      <c r="BQ46" s="386">
        <v>0</v>
      </c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285"/>
      <c r="CN46" s="285"/>
      <c r="CO46" s="285"/>
      <c r="CP46" s="285"/>
      <c r="CQ46" s="285"/>
      <c r="CR46" s="285"/>
      <c r="CS46" s="285"/>
      <c r="CT46" s="285" t="s">
        <v>213</v>
      </c>
      <c r="CU46" s="285" t="s">
        <v>213</v>
      </c>
      <c r="CV46" s="285" t="s">
        <v>213</v>
      </c>
      <c r="CW46" s="285" t="s">
        <v>213</v>
      </c>
      <c r="CX46" s="285" t="s">
        <v>213</v>
      </c>
      <c r="CY46" s="286" t="s">
        <v>213</v>
      </c>
      <c r="CZ46" s="285" t="s">
        <v>213</v>
      </c>
      <c r="DA46" s="285" t="s">
        <v>213</v>
      </c>
      <c r="DB46" s="285" t="s">
        <v>213</v>
      </c>
      <c r="DC46" s="285" t="s">
        <v>213</v>
      </c>
      <c r="DD46" s="285" t="s">
        <v>213</v>
      </c>
      <c r="DE46" s="285" t="s">
        <v>213</v>
      </c>
      <c r="DF46" s="285" t="s">
        <v>213</v>
      </c>
      <c r="DG46" s="285" t="s">
        <v>213</v>
      </c>
      <c r="DH46" s="285" t="s">
        <v>213</v>
      </c>
      <c r="DI46" s="285" t="s">
        <v>213</v>
      </c>
    </row>
    <row r="47" spans="1:113" ht="12" outlineLevel="1">
      <c r="A47" s="1" t="s">
        <v>309</v>
      </c>
      <c r="B47" s="19" t="s">
        <v>315</v>
      </c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394"/>
      <c r="U47" s="408"/>
      <c r="V47" s="408"/>
      <c r="W47" s="408"/>
      <c r="X47" s="408"/>
      <c r="Y47" s="394"/>
      <c r="Z47" s="394"/>
      <c r="AA47" s="394"/>
      <c r="AB47" s="394"/>
      <c r="AC47" s="394"/>
      <c r="AD47" s="394"/>
      <c r="AE47" s="394"/>
      <c r="AF47" s="394"/>
      <c r="AG47" s="394"/>
      <c r="AH47" s="394"/>
      <c r="AI47" s="394"/>
      <c r="AJ47" s="394"/>
      <c r="AK47" s="394"/>
      <c r="AL47" s="394"/>
      <c r="AM47" s="394"/>
      <c r="AN47" s="394"/>
      <c r="AO47" s="394"/>
      <c r="AP47" s="285" t="s">
        <v>213</v>
      </c>
      <c r="AQ47" s="285" t="s">
        <v>213</v>
      </c>
      <c r="AR47" s="285" t="s">
        <v>213</v>
      </c>
      <c r="AS47" s="285" t="s">
        <v>213</v>
      </c>
      <c r="AT47" s="285" t="s">
        <v>213</v>
      </c>
      <c r="AU47" s="285" t="s">
        <v>213</v>
      </c>
      <c r="AV47" s="285" t="s">
        <v>213</v>
      </c>
      <c r="AW47" s="286" t="s">
        <v>213</v>
      </c>
      <c r="AX47" s="386">
        <v>0</v>
      </c>
      <c r="AY47" s="386">
        <v>0</v>
      </c>
      <c r="AZ47" s="386">
        <v>0</v>
      </c>
      <c r="BA47" s="386">
        <v>0</v>
      </c>
      <c r="BB47" s="386">
        <v>0</v>
      </c>
      <c r="BC47" s="386">
        <v>0</v>
      </c>
      <c r="BD47" s="386">
        <v>0</v>
      </c>
      <c r="BE47" s="386">
        <v>0</v>
      </c>
      <c r="BF47" s="386">
        <v>0</v>
      </c>
      <c r="BG47" s="386">
        <v>0</v>
      </c>
      <c r="BH47" s="386">
        <v>0</v>
      </c>
      <c r="BI47" s="386">
        <v>0</v>
      </c>
      <c r="BJ47" s="386">
        <v>0</v>
      </c>
      <c r="BK47" s="386">
        <v>0</v>
      </c>
      <c r="BL47" s="386">
        <v>0</v>
      </c>
      <c r="BM47" s="386">
        <v>0</v>
      </c>
      <c r="BN47" s="386">
        <v>0</v>
      </c>
      <c r="BO47" s="386">
        <v>0</v>
      </c>
      <c r="BP47" s="386">
        <v>0</v>
      </c>
      <c r="BQ47" s="386">
        <v>0</v>
      </c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285"/>
      <c r="CN47" s="285"/>
      <c r="CO47" s="285"/>
      <c r="CP47" s="285"/>
      <c r="CQ47" s="285"/>
      <c r="CR47" s="285"/>
      <c r="CS47" s="285"/>
      <c r="CT47" s="285" t="s">
        <v>213</v>
      </c>
      <c r="CU47" s="285" t="s">
        <v>213</v>
      </c>
      <c r="CV47" s="285" t="s">
        <v>213</v>
      </c>
      <c r="CW47" s="285" t="s">
        <v>213</v>
      </c>
      <c r="CX47" s="285" t="s">
        <v>213</v>
      </c>
      <c r="CY47" s="286" t="s">
        <v>213</v>
      </c>
      <c r="CZ47" s="285" t="s">
        <v>213</v>
      </c>
      <c r="DA47" s="285" t="s">
        <v>213</v>
      </c>
      <c r="DB47" s="285" t="s">
        <v>213</v>
      </c>
      <c r="DC47" s="285" t="s">
        <v>213</v>
      </c>
      <c r="DD47" s="285" t="s">
        <v>213</v>
      </c>
      <c r="DE47" s="285" t="s">
        <v>213</v>
      </c>
      <c r="DF47" s="285" t="s">
        <v>213</v>
      </c>
      <c r="DG47" s="285" t="s">
        <v>213</v>
      </c>
      <c r="DH47" s="285" t="s">
        <v>213</v>
      </c>
      <c r="DI47" s="285" t="s">
        <v>213</v>
      </c>
    </row>
    <row r="48" spans="1:113" ht="12" outlineLevel="1">
      <c r="A48" s="1" t="s">
        <v>310</v>
      </c>
      <c r="B48" s="19" t="s">
        <v>316</v>
      </c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8"/>
      <c r="O48" s="408"/>
      <c r="P48" s="408"/>
      <c r="Q48" s="408"/>
      <c r="R48" s="408"/>
      <c r="S48" s="408"/>
      <c r="T48" s="394"/>
      <c r="U48" s="408"/>
      <c r="V48" s="408"/>
      <c r="W48" s="408"/>
      <c r="X48" s="408"/>
      <c r="Y48" s="394"/>
      <c r="Z48" s="394"/>
      <c r="AA48" s="394"/>
      <c r="AB48" s="394"/>
      <c r="AC48" s="394"/>
      <c r="AD48" s="394"/>
      <c r="AE48" s="394"/>
      <c r="AF48" s="394"/>
      <c r="AG48" s="394"/>
      <c r="AH48" s="394"/>
      <c r="AI48" s="394"/>
      <c r="AJ48" s="394"/>
      <c r="AK48" s="394"/>
      <c r="AL48" s="394"/>
      <c r="AM48" s="394"/>
      <c r="AN48" s="394"/>
      <c r="AO48" s="394"/>
      <c r="AP48" s="285" t="s">
        <v>213</v>
      </c>
      <c r="AQ48" s="285" t="s">
        <v>213</v>
      </c>
      <c r="AR48" s="285" t="s">
        <v>213</v>
      </c>
      <c r="AS48" s="285" t="s">
        <v>213</v>
      </c>
      <c r="AT48" s="285" t="s">
        <v>213</v>
      </c>
      <c r="AU48" s="285" t="s">
        <v>213</v>
      </c>
      <c r="AV48" s="285" t="s">
        <v>213</v>
      </c>
      <c r="AW48" s="286" t="s">
        <v>213</v>
      </c>
      <c r="AX48" s="386">
        <v>0</v>
      </c>
      <c r="AY48" s="386">
        <v>0</v>
      </c>
      <c r="AZ48" s="386">
        <v>0</v>
      </c>
      <c r="BA48" s="386">
        <v>0</v>
      </c>
      <c r="BB48" s="386">
        <v>0</v>
      </c>
      <c r="BC48" s="386">
        <v>0</v>
      </c>
      <c r="BD48" s="386">
        <v>0</v>
      </c>
      <c r="BE48" s="386">
        <v>0</v>
      </c>
      <c r="BF48" s="386">
        <v>0</v>
      </c>
      <c r="BG48" s="386">
        <v>0</v>
      </c>
      <c r="BH48" s="386">
        <v>0</v>
      </c>
      <c r="BI48" s="386">
        <v>0</v>
      </c>
      <c r="BJ48" s="386">
        <v>0</v>
      </c>
      <c r="BK48" s="386">
        <v>0</v>
      </c>
      <c r="BL48" s="386">
        <v>0</v>
      </c>
      <c r="BM48" s="386">
        <v>0</v>
      </c>
      <c r="BN48" s="386">
        <v>0</v>
      </c>
      <c r="BO48" s="386">
        <v>0</v>
      </c>
      <c r="BP48" s="386">
        <v>0</v>
      </c>
      <c r="BQ48" s="386">
        <v>0</v>
      </c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285"/>
      <c r="CN48" s="285"/>
      <c r="CO48" s="285"/>
      <c r="CP48" s="285"/>
      <c r="CQ48" s="285"/>
      <c r="CR48" s="285"/>
      <c r="CS48" s="285"/>
      <c r="CT48" s="285" t="s">
        <v>213</v>
      </c>
      <c r="CU48" s="285" t="s">
        <v>213</v>
      </c>
      <c r="CV48" s="285" t="s">
        <v>213</v>
      </c>
      <c r="CW48" s="285" t="s">
        <v>213</v>
      </c>
      <c r="CX48" s="285" t="s">
        <v>213</v>
      </c>
      <c r="CY48" s="286" t="s">
        <v>213</v>
      </c>
      <c r="CZ48" s="285" t="s">
        <v>213</v>
      </c>
      <c r="DA48" s="285" t="s">
        <v>213</v>
      </c>
      <c r="DB48" s="285" t="s">
        <v>213</v>
      </c>
      <c r="DC48" s="285" t="s">
        <v>213</v>
      </c>
      <c r="DD48" s="285" t="s">
        <v>213</v>
      </c>
      <c r="DE48" s="285" t="s">
        <v>213</v>
      </c>
      <c r="DF48" s="285" t="s">
        <v>213</v>
      </c>
      <c r="DG48" s="285" t="s">
        <v>213</v>
      </c>
      <c r="DH48" s="285" t="s">
        <v>213</v>
      </c>
      <c r="DI48" s="285" t="s">
        <v>213</v>
      </c>
    </row>
    <row r="49" spans="1:115" ht="12" outlineLevel="1">
      <c r="A49" s="1" t="s">
        <v>380</v>
      </c>
      <c r="B49" s="19" t="s">
        <v>317</v>
      </c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  <c r="N49" s="408"/>
      <c r="O49" s="408"/>
      <c r="P49" s="408"/>
      <c r="Q49" s="408"/>
      <c r="R49" s="408"/>
      <c r="S49" s="408"/>
      <c r="T49" s="394"/>
      <c r="U49" s="408"/>
      <c r="V49" s="408"/>
      <c r="W49" s="408"/>
      <c r="X49" s="408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285" t="s">
        <v>213</v>
      </c>
      <c r="AQ49" s="285" t="s">
        <v>213</v>
      </c>
      <c r="AR49" s="285" t="s">
        <v>213</v>
      </c>
      <c r="AS49" s="285" t="s">
        <v>213</v>
      </c>
      <c r="AT49" s="285" t="s">
        <v>213</v>
      </c>
      <c r="AU49" s="285" t="s">
        <v>213</v>
      </c>
      <c r="AV49" s="285" t="s">
        <v>213</v>
      </c>
      <c r="AW49" s="286" t="s">
        <v>213</v>
      </c>
      <c r="AX49" s="386">
        <v>0</v>
      </c>
      <c r="AY49" s="386">
        <v>0</v>
      </c>
      <c r="AZ49" s="386">
        <v>0</v>
      </c>
      <c r="BA49" s="386">
        <v>0</v>
      </c>
      <c r="BB49" s="386">
        <v>0</v>
      </c>
      <c r="BC49" s="386">
        <v>0</v>
      </c>
      <c r="BD49" s="386">
        <v>0</v>
      </c>
      <c r="BE49" s="386">
        <v>0</v>
      </c>
      <c r="BF49" s="386">
        <v>0</v>
      </c>
      <c r="BG49" s="386">
        <v>0</v>
      </c>
      <c r="BH49" s="386">
        <v>0</v>
      </c>
      <c r="BI49" s="386">
        <v>0</v>
      </c>
      <c r="BJ49" s="386">
        <v>0</v>
      </c>
      <c r="BK49" s="386">
        <v>0</v>
      </c>
      <c r="BL49" s="386">
        <v>0</v>
      </c>
      <c r="BM49" s="386">
        <v>0</v>
      </c>
      <c r="BN49" s="386">
        <v>0</v>
      </c>
      <c r="BO49" s="386">
        <v>0</v>
      </c>
      <c r="BP49" s="386">
        <v>0</v>
      </c>
      <c r="BQ49" s="386">
        <v>0</v>
      </c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285"/>
      <c r="CN49" s="285"/>
      <c r="CO49" s="285"/>
      <c r="CP49" s="285"/>
      <c r="CQ49" s="285"/>
      <c r="CR49" s="285"/>
      <c r="CS49" s="285"/>
      <c r="CT49" s="285" t="s">
        <v>213</v>
      </c>
      <c r="CU49" s="285" t="s">
        <v>213</v>
      </c>
      <c r="CV49" s="285" t="s">
        <v>213</v>
      </c>
      <c r="CW49" s="285" t="s">
        <v>213</v>
      </c>
      <c r="CX49" s="285" t="s">
        <v>213</v>
      </c>
      <c r="CY49" s="286" t="s">
        <v>213</v>
      </c>
      <c r="CZ49" s="285" t="s">
        <v>213</v>
      </c>
      <c r="DA49" s="285" t="s">
        <v>213</v>
      </c>
      <c r="DB49" s="285" t="s">
        <v>213</v>
      </c>
      <c r="DC49" s="285" t="s">
        <v>213</v>
      </c>
      <c r="DD49" s="285" t="s">
        <v>213</v>
      </c>
      <c r="DE49" s="285" t="s">
        <v>213</v>
      </c>
      <c r="DF49" s="285" t="s">
        <v>213</v>
      </c>
      <c r="DG49" s="285" t="s">
        <v>213</v>
      </c>
      <c r="DH49" s="285" t="s">
        <v>213</v>
      </c>
      <c r="DI49" s="285" t="s">
        <v>213</v>
      </c>
    </row>
    <row r="50" spans="1:115" ht="12" outlineLevel="1">
      <c r="AD50" s="394"/>
      <c r="AE50" s="394"/>
      <c r="AP50" s="172"/>
      <c r="AQ50" s="172"/>
      <c r="AR50" s="172"/>
      <c r="AS50" s="44"/>
      <c r="AT50" s="44"/>
      <c r="AU50" s="44"/>
      <c r="AV50" s="44"/>
      <c r="AW50" s="45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CV50" s="172"/>
      <c r="CW50" s="172"/>
      <c r="CX50" s="172"/>
      <c r="CY50" s="161"/>
      <c r="DB50" s="19"/>
      <c r="DC50" s="19"/>
      <c r="DD50" s="19"/>
      <c r="DE50" s="19"/>
      <c r="DF50" s="19"/>
      <c r="DG50" s="19"/>
      <c r="DH50" s="19"/>
      <c r="DI50" s="19"/>
    </row>
    <row r="51" spans="1:115" ht="12" outlineLevel="1">
      <c r="B51" s="24" t="s">
        <v>388</v>
      </c>
      <c r="AV51" s="44"/>
      <c r="AW51" s="658"/>
      <c r="AX51" s="44"/>
      <c r="AY51" s="632"/>
      <c r="BA51" s="44"/>
      <c r="BC51" s="632"/>
      <c r="BE51" s="44"/>
      <c r="BG51" s="44"/>
      <c r="BI51" s="44"/>
      <c r="BK51" s="44"/>
      <c r="BM51" s="44"/>
      <c r="BO51" s="44"/>
      <c r="BQ51" s="44"/>
      <c r="DB51" s="19"/>
      <c r="DC51" s="19"/>
      <c r="DD51" s="19"/>
      <c r="DE51" s="19"/>
      <c r="DF51" s="19"/>
      <c r="DG51" s="19"/>
      <c r="DH51" s="19"/>
      <c r="DI51" s="19"/>
    </row>
    <row r="52" spans="1:115" ht="12" outlineLevel="1">
      <c r="A52" s="1" t="s">
        <v>850</v>
      </c>
      <c r="B52" s="19" t="s">
        <v>216</v>
      </c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394"/>
      <c r="U52" s="408"/>
      <c r="V52" s="408"/>
      <c r="W52" s="408"/>
      <c r="X52" s="408"/>
      <c r="Y52" s="394"/>
      <c r="Z52" s="394"/>
      <c r="AA52" s="394"/>
      <c r="AB52" s="394"/>
      <c r="AC52" s="394"/>
      <c r="AD52" s="394"/>
      <c r="AE52" s="394"/>
      <c r="AF52" s="394"/>
      <c r="AG52" s="394"/>
      <c r="AH52" s="394"/>
      <c r="AI52" s="394"/>
      <c r="AJ52" s="394"/>
      <c r="AK52" s="394"/>
      <c r="AL52" s="394"/>
      <c r="AM52" s="394"/>
      <c r="AN52" s="394"/>
      <c r="AO52" s="394"/>
      <c r="AP52" s="285" t="s">
        <v>213</v>
      </c>
      <c r="AQ52" s="285">
        <v>0.48559670781893005</v>
      </c>
      <c r="AR52" s="285">
        <v>0.36011080332409962</v>
      </c>
      <c r="AS52" s="285">
        <v>0.26680244399185327</v>
      </c>
      <c r="AT52" s="285">
        <v>0.2384244372990354</v>
      </c>
      <c r="AU52" s="285">
        <v>0.23250681552641828</v>
      </c>
      <c r="AV52" s="285">
        <v>0.10111649462818639</v>
      </c>
      <c r="AW52" s="286">
        <v>9.2404821121101932E-2</v>
      </c>
      <c r="AX52" s="162">
        <v>9.8101999999999953E-2</v>
      </c>
      <c r="AY52" s="162">
        <v>9.8131999999999928E-2</v>
      </c>
      <c r="AZ52" s="162">
        <v>8.9189999999999825E-2</v>
      </c>
      <c r="BA52" s="162">
        <v>7.8080999999999789E-2</v>
      </c>
      <c r="BB52" s="162">
        <v>4.3080999999999793E-2</v>
      </c>
      <c r="BC52" s="162">
        <v>4.3080999999999793E-2</v>
      </c>
      <c r="BD52" s="162">
        <v>4.3080999999999793E-2</v>
      </c>
      <c r="BE52" s="162">
        <v>4.3080999999999793E-2</v>
      </c>
      <c r="BF52" s="162">
        <v>2.8080999999999794E-2</v>
      </c>
      <c r="BG52" s="162">
        <v>2.8080999999999794E-2</v>
      </c>
      <c r="BH52" s="162">
        <v>1.8080999999999792E-2</v>
      </c>
      <c r="BI52" s="162">
        <v>1.8080999999999792E-2</v>
      </c>
      <c r="BJ52" s="162">
        <v>1.8080999999999792E-2</v>
      </c>
      <c r="BK52" s="162">
        <v>1.8080999999999792E-2</v>
      </c>
      <c r="BL52" s="162">
        <v>1.8080999999999792E-2</v>
      </c>
      <c r="BM52" s="162">
        <v>1.8080999999999792E-2</v>
      </c>
      <c r="BN52" s="162">
        <v>1.8080999999999792E-2</v>
      </c>
      <c r="BO52" s="162">
        <v>1.8080999999999792E-2</v>
      </c>
      <c r="BP52" s="162">
        <v>1.8080999999999792E-2</v>
      </c>
      <c r="BQ52" s="162">
        <v>1.8080999999999792E-2</v>
      </c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285"/>
      <c r="CN52" s="285"/>
      <c r="CO52" s="285"/>
      <c r="CP52" s="285"/>
      <c r="CQ52" s="285"/>
      <c r="CR52" s="285"/>
      <c r="CS52" s="285"/>
      <c r="CT52" s="285" t="s">
        <v>213</v>
      </c>
      <c r="CU52" s="285">
        <v>21.407515705116641</v>
      </c>
      <c r="CV52" s="285">
        <v>2.380729992793218</v>
      </c>
      <c r="CW52" s="285">
        <v>0.7229916897506925</v>
      </c>
      <c r="CX52" s="285">
        <v>0.52636655948553046</v>
      </c>
      <c r="CY52" s="286">
        <v>0.20286496734779869</v>
      </c>
      <c r="CZ52" s="162">
        <v>0.20586094546399969</v>
      </c>
      <c r="DA52" s="162">
        <v>0.17423504438999982</v>
      </c>
      <c r="DB52" s="162">
        <v>8.8017972560999302E-2</v>
      </c>
      <c r="DC52" s="162">
        <v>8.8017972560999524E-2</v>
      </c>
      <c r="DD52" s="162">
        <v>5.6950542560999518E-2</v>
      </c>
      <c r="DE52" s="162">
        <v>3.648892256099967E-2</v>
      </c>
      <c r="DF52" s="162">
        <v>3.648892256099967E-2</v>
      </c>
      <c r="DG52" s="162">
        <v>3.6488922560999448E-2</v>
      </c>
      <c r="DH52" s="162">
        <v>3.6488922560999448E-2</v>
      </c>
      <c r="DI52" s="162">
        <v>3.648892256099967E-2</v>
      </c>
      <c r="DJ52" s="548"/>
      <c r="DK52" s="548"/>
    </row>
    <row r="53" spans="1:115" ht="12" outlineLevel="1">
      <c r="A53" s="1" t="s">
        <v>452</v>
      </c>
      <c r="B53" s="19" t="s">
        <v>217</v>
      </c>
      <c r="C53" s="408"/>
      <c r="D53" s="408"/>
      <c r="E53" s="408"/>
      <c r="F53" s="408"/>
      <c r="G53" s="408"/>
      <c r="H53" s="408"/>
      <c r="I53" s="408"/>
      <c r="J53" s="408"/>
      <c r="K53" s="408"/>
      <c r="L53" s="408"/>
      <c r="M53" s="408"/>
      <c r="N53" s="408"/>
      <c r="O53" s="408"/>
      <c r="P53" s="408"/>
      <c r="Q53" s="408"/>
      <c r="R53" s="408"/>
      <c r="S53" s="408"/>
      <c r="T53" s="394"/>
      <c r="U53" s="408"/>
      <c r="V53" s="408"/>
      <c r="W53" s="408"/>
      <c r="X53" s="408"/>
      <c r="Y53" s="394"/>
      <c r="Z53" s="394"/>
      <c r="AA53" s="394"/>
      <c r="AB53" s="394"/>
      <c r="AC53" s="394"/>
      <c r="AD53" s="394"/>
      <c r="AE53" s="394"/>
      <c r="AF53" s="394"/>
      <c r="AG53" s="394"/>
      <c r="AH53" s="394"/>
      <c r="AI53" s="394"/>
      <c r="AJ53" s="394"/>
      <c r="AK53" s="394"/>
      <c r="AL53" s="394"/>
      <c r="AM53" s="394"/>
      <c r="AN53" s="394"/>
      <c r="AO53" s="394"/>
      <c r="AP53" s="285" t="s">
        <v>213</v>
      </c>
      <c r="AQ53" s="285">
        <v>0.32424496644295298</v>
      </c>
      <c r="AR53" s="285">
        <v>0.3801076971808679</v>
      </c>
      <c r="AS53" s="285">
        <v>0.25545099839338992</v>
      </c>
      <c r="AT53" s="285">
        <v>0.22760511882998169</v>
      </c>
      <c r="AU53" s="285">
        <v>0.18516753536857777</v>
      </c>
      <c r="AV53" s="285">
        <v>8.784429030960994E-2</v>
      </c>
      <c r="AW53" s="286">
        <v>0.1052844354605833</v>
      </c>
      <c r="AX53" s="162">
        <v>9.7120999999999832E-2</v>
      </c>
      <c r="AY53" s="162">
        <v>9.7120999999999832E-2</v>
      </c>
      <c r="AZ53" s="162">
        <v>8.2120999999999833E-2</v>
      </c>
      <c r="BA53" s="162">
        <v>8.2120999999999833E-2</v>
      </c>
      <c r="BB53" s="162">
        <v>4.7120999999999837E-2</v>
      </c>
      <c r="BC53" s="162">
        <v>4.7120999999999837E-2</v>
      </c>
      <c r="BD53" s="162">
        <v>4.7120999999999837E-2</v>
      </c>
      <c r="BE53" s="162">
        <v>4.7120999999999837E-2</v>
      </c>
      <c r="BF53" s="162">
        <v>3.2120999999999837E-2</v>
      </c>
      <c r="BG53" s="162">
        <v>3.2120999999999837E-2</v>
      </c>
      <c r="BH53" s="162">
        <v>2.2120999999999835E-2</v>
      </c>
      <c r="BI53" s="162">
        <v>2.2120999999999835E-2</v>
      </c>
      <c r="BJ53" s="162">
        <v>2.2120999999999835E-2</v>
      </c>
      <c r="BK53" s="162">
        <v>2.2120999999999835E-2</v>
      </c>
      <c r="BL53" s="162">
        <v>2.2120999999999835E-2</v>
      </c>
      <c r="BM53" s="162">
        <v>2.2120999999999835E-2</v>
      </c>
      <c r="BN53" s="162">
        <v>2.2120999999999835E-2</v>
      </c>
      <c r="BO53" s="162">
        <v>2.2120999999999835E-2</v>
      </c>
      <c r="BP53" s="162">
        <v>2.2120999999999835E-2</v>
      </c>
      <c r="BQ53" s="162">
        <v>2.2120999999999835E-2</v>
      </c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285"/>
      <c r="CN53" s="285"/>
      <c r="CO53" s="285"/>
      <c r="CP53" s="285"/>
      <c r="CQ53" s="285"/>
      <c r="CR53" s="285"/>
      <c r="CS53" s="285"/>
      <c r="CT53" s="285" t="s">
        <v>213</v>
      </c>
      <c r="CU53" s="285">
        <v>6.2024157623589211</v>
      </c>
      <c r="CV53" s="285">
        <v>0.87714278454877337</v>
      </c>
      <c r="CW53" s="285">
        <v>0.73265758631612288</v>
      </c>
      <c r="CX53" s="285">
        <v>0.4549177330895795</v>
      </c>
      <c r="CY53" s="286">
        <v>0.20237736228387626</v>
      </c>
      <c r="CZ53" s="162">
        <v>0.20367448864099957</v>
      </c>
      <c r="DA53" s="162">
        <v>0.1709858586409998</v>
      </c>
      <c r="DB53" s="162">
        <v>9.646238864099943E-2</v>
      </c>
      <c r="DC53" s="162">
        <v>9.646238864099943E-2</v>
      </c>
      <c r="DD53" s="162">
        <v>6.5273758640999491E-2</v>
      </c>
      <c r="DE53" s="162">
        <v>4.4731338640999763E-2</v>
      </c>
      <c r="DF53" s="162">
        <v>4.4731338640999541E-2</v>
      </c>
      <c r="DG53" s="162">
        <v>4.4731338640999541E-2</v>
      </c>
      <c r="DH53" s="162">
        <v>4.4731338640999541E-2</v>
      </c>
      <c r="DI53" s="162">
        <v>4.4731338640999763E-2</v>
      </c>
      <c r="DJ53" s="548"/>
      <c r="DK53" s="548"/>
    </row>
    <row r="54" spans="1:115" ht="12" outlineLevel="1">
      <c r="A54" s="1" t="s">
        <v>453</v>
      </c>
      <c r="B54" s="19" t="s">
        <v>218</v>
      </c>
      <c r="C54" s="408"/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8"/>
      <c r="T54" s="394"/>
      <c r="U54" s="408"/>
      <c r="V54" s="408"/>
      <c r="W54" s="408"/>
      <c r="X54" s="408"/>
      <c r="Y54" s="394"/>
      <c r="Z54" s="394"/>
      <c r="AA54" s="394"/>
      <c r="AB54" s="394"/>
      <c r="AC54" s="394"/>
      <c r="AD54" s="394"/>
      <c r="AE54" s="394"/>
      <c r="AF54" s="394"/>
      <c r="AG54" s="394"/>
      <c r="AH54" s="394"/>
      <c r="AI54" s="394"/>
      <c r="AJ54" s="394"/>
      <c r="AK54" s="394"/>
      <c r="AL54" s="394"/>
      <c r="AM54" s="394"/>
      <c r="AN54" s="394"/>
      <c r="AO54" s="394"/>
      <c r="AP54" s="285" t="s">
        <v>213</v>
      </c>
      <c r="AQ54" s="285" t="s">
        <v>213</v>
      </c>
      <c r="AR54" s="285" t="s">
        <v>213</v>
      </c>
      <c r="AS54" s="285" t="s">
        <v>213</v>
      </c>
      <c r="AT54" s="285" t="s">
        <v>213</v>
      </c>
      <c r="AU54" s="285" t="s">
        <v>213</v>
      </c>
      <c r="AV54" s="285" t="s">
        <v>213</v>
      </c>
      <c r="AW54" s="286" t="s">
        <v>213</v>
      </c>
      <c r="AX54" s="162">
        <v>1.0024999999999729E-2</v>
      </c>
      <c r="AY54" s="162">
        <v>1.0024999999999729E-2</v>
      </c>
      <c r="AZ54" s="162">
        <v>1.0024999999999729E-2</v>
      </c>
      <c r="BA54" s="162">
        <v>1.0024999999999729E-2</v>
      </c>
      <c r="BB54" s="162">
        <v>1.0024999999999729E-2</v>
      </c>
      <c r="BC54" s="162">
        <v>1.0024999999999729E-2</v>
      </c>
      <c r="BD54" s="162">
        <v>1.0024999999999729E-2</v>
      </c>
      <c r="BE54" s="162">
        <v>1.0024999999999729E-2</v>
      </c>
      <c r="BF54" s="162">
        <v>1.0024999999999729E-2</v>
      </c>
      <c r="BG54" s="162">
        <v>1.0024999999999729E-2</v>
      </c>
      <c r="BH54" s="162">
        <v>1.0024999999999729E-2</v>
      </c>
      <c r="BI54" s="162">
        <v>1.0024999999999729E-2</v>
      </c>
      <c r="BJ54" s="162">
        <v>1.0024999999999729E-2</v>
      </c>
      <c r="BK54" s="162">
        <v>1.0024999999999729E-2</v>
      </c>
      <c r="BL54" s="162">
        <v>1.0024999999999729E-2</v>
      </c>
      <c r="BM54" s="162">
        <v>1.0024999999999729E-2</v>
      </c>
      <c r="BN54" s="162">
        <v>1.0024999999999729E-2</v>
      </c>
      <c r="BO54" s="162">
        <v>1.0024999999999729E-2</v>
      </c>
      <c r="BP54" s="162">
        <v>1.0024999999999729E-2</v>
      </c>
      <c r="BQ54" s="162">
        <v>1.0024999999999729E-2</v>
      </c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285"/>
      <c r="CN54" s="285"/>
      <c r="CO54" s="285"/>
      <c r="CP54" s="285"/>
      <c r="CQ54" s="285"/>
      <c r="CR54" s="285"/>
      <c r="CS54" s="285"/>
      <c r="CT54" s="285" t="s">
        <v>213</v>
      </c>
      <c r="CU54" s="285" t="s">
        <v>213</v>
      </c>
      <c r="CV54" s="285" t="s">
        <v>213</v>
      </c>
      <c r="CW54" s="285" t="s">
        <v>213</v>
      </c>
      <c r="CX54" s="285" t="s">
        <v>213</v>
      </c>
      <c r="CY54" s="286" t="s">
        <v>213</v>
      </c>
      <c r="CZ54" s="285" t="s">
        <v>213</v>
      </c>
      <c r="DA54" s="285" t="s">
        <v>213</v>
      </c>
      <c r="DB54" s="285" t="s">
        <v>213</v>
      </c>
      <c r="DC54" s="285" t="s">
        <v>213</v>
      </c>
      <c r="DD54" s="285" t="s">
        <v>213</v>
      </c>
      <c r="DE54" s="285" t="s">
        <v>213</v>
      </c>
      <c r="DF54" s="285" t="s">
        <v>213</v>
      </c>
      <c r="DG54" s="285" t="s">
        <v>213</v>
      </c>
      <c r="DH54" s="285" t="s">
        <v>213</v>
      </c>
      <c r="DI54" s="285" t="s">
        <v>213</v>
      </c>
    </row>
    <row r="55" spans="1:115" ht="12" outlineLevel="1">
      <c r="A55" s="1" t="s">
        <v>851</v>
      </c>
      <c r="B55" s="19" t="s">
        <v>472</v>
      </c>
      <c r="C55" s="408"/>
      <c r="D55" s="408"/>
      <c r="E55" s="408"/>
      <c r="F55" s="408"/>
      <c r="G55" s="408"/>
      <c r="H55" s="408"/>
      <c r="I55" s="408"/>
      <c r="J55" s="408"/>
      <c r="K55" s="408"/>
      <c r="L55" s="408"/>
      <c r="M55" s="408"/>
      <c r="N55" s="408"/>
      <c r="O55" s="408"/>
      <c r="P55" s="408"/>
      <c r="Q55" s="408"/>
      <c r="R55" s="408"/>
      <c r="S55" s="408"/>
      <c r="T55" s="394"/>
      <c r="U55" s="408"/>
      <c r="V55" s="408"/>
      <c r="W55" s="408"/>
      <c r="X55" s="408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285">
        <v>1.3222932501132532</v>
      </c>
      <c r="AQ55" s="285">
        <v>1.3808533186795935</v>
      </c>
      <c r="AR55" s="285">
        <v>1.4968506854390513</v>
      </c>
      <c r="AS55" s="285">
        <v>1.489304486004156</v>
      </c>
      <c r="AT55" s="285">
        <v>1.4233043676674715</v>
      </c>
      <c r="AU55" s="285">
        <v>1.4958522250209907</v>
      </c>
      <c r="AV55" s="285">
        <v>1.4019505851755527</v>
      </c>
      <c r="AW55" s="286">
        <v>1.3017744287797763</v>
      </c>
      <c r="AX55" s="660">
        <v>1.2383872143898882</v>
      </c>
      <c r="AY55" s="660">
        <v>1.175</v>
      </c>
      <c r="AZ55" s="660">
        <v>1.141370928536704</v>
      </c>
      <c r="BA55" s="660">
        <v>1.1077418570734079</v>
      </c>
      <c r="BB55" s="660">
        <v>1.0741127856101118</v>
      </c>
      <c r="BC55" s="672">
        <v>1.1000000000000001</v>
      </c>
      <c r="BD55" s="659">
        <v>1.1000000000000001</v>
      </c>
      <c r="BE55" s="659">
        <v>1.1000000000000001</v>
      </c>
      <c r="BF55" s="659">
        <v>1.1000000000000001</v>
      </c>
      <c r="BG55" s="659">
        <v>1.1000000000000001</v>
      </c>
      <c r="BH55" s="659">
        <v>1.1000000000000001</v>
      </c>
      <c r="BI55" s="659">
        <v>1.1000000000000001</v>
      </c>
      <c r="BJ55" s="659">
        <v>1.1000000000000001</v>
      </c>
      <c r="BK55" s="659">
        <v>1.1000000000000001</v>
      </c>
      <c r="BL55" s="659">
        <v>1.1000000000000001</v>
      </c>
      <c r="BM55" s="659">
        <v>1.1000000000000001</v>
      </c>
      <c r="BN55" s="659">
        <v>1.1000000000000001</v>
      </c>
      <c r="BO55" s="659">
        <v>1.1000000000000001</v>
      </c>
      <c r="BP55" s="659">
        <v>1.1000000000000001</v>
      </c>
      <c r="BQ55" s="659">
        <v>1.1000000000000001</v>
      </c>
      <c r="BR55" s="408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285"/>
      <c r="CN55" s="285"/>
      <c r="CO55" s="285"/>
      <c r="CP55" s="285"/>
      <c r="CQ55" s="285"/>
      <c r="CR55" s="285"/>
      <c r="CS55" s="285"/>
      <c r="CT55" s="285">
        <v>2.2822988505747124</v>
      </c>
      <c r="CU55" s="285">
        <v>1.2901918776599584</v>
      </c>
      <c r="CV55" s="285">
        <v>1.3808533186795935</v>
      </c>
      <c r="CW55" s="285">
        <v>1.489304486004156</v>
      </c>
      <c r="CX55" s="285">
        <v>1.4958522250209907</v>
      </c>
      <c r="CY55" s="286">
        <v>1.3017744287797763</v>
      </c>
      <c r="CZ55" s="162">
        <v>1.175</v>
      </c>
      <c r="DA55" s="162">
        <v>1.1077418570734079</v>
      </c>
      <c r="DB55" s="162">
        <v>1.1000000000000001</v>
      </c>
      <c r="DC55" s="162">
        <v>1.1000000000000001</v>
      </c>
      <c r="DD55" s="162">
        <v>1.1000000000000001</v>
      </c>
      <c r="DE55" s="162">
        <v>1.1000000000000001</v>
      </c>
      <c r="DF55" s="162">
        <v>1.1000000000000001</v>
      </c>
      <c r="DG55" s="162">
        <v>1.1000000000000001</v>
      </c>
      <c r="DH55" s="162">
        <v>1.1000000000000001</v>
      </c>
      <c r="DI55" s="162">
        <v>1.1000000000000001</v>
      </c>
    </row>
    <row r="56" spans="1:115" ht="12" outlineLevel="1">
      <c r="A56" s="1" t="s">
        <v>454</v>
      </c>
      <c r="B56" s="19" t="s">
        <v>383</v>
      </c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394"/>
      <c r="U56" s="408"/>
      <c r="V56" s="408"/>
      <c r="W56" s="408"/>
      <c r="X56" s="408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394"/>
      <c r="AM56" s="394"/>
      <c r="AN56" s="394"/>
      <c r="AO56" s="394"/>
      <c r="AP56" s="285" t="s">
        <v>213</v>
      </c>
      <c r="AQ56" s="285" t="s">
        <v>213</v>
      </c>
      <c r="AR56" s="285" t="s">
        <v>213</v>
      </c>
      <c r="AS56" s="285" t="s">
        <v>213</v>
      </c>
      <c r="AT56" s="285" t="s">
        <v>213</v>
      </c>
      <c r="AU56" s="285" t="s">
        <v>213</v>
      </c>
      <c r="AV56" s="285" t="s">
        <v>213</v>
      </c>
      <c r="AW56" s="286" t="s">
        <v>213</v>
      </c>
      <c r="AX56" s="162">
        <v>2.0100000000000007E-2</v>
      </c>
      <c r="AY56" s="162">
        <v>2.0100000000000007E-2</v>
      </c>
      <c r="AZ56" s="162">
        <v>2.0100000000000007E-2</v>
      </c>
      <c r="BA56" s="162">
        <v>2.0100000000000007E-2</v>
      </c>
      <c r="BB56" s="162">
        <v>2.0100000000000007E-2</v>
      </c>
      <c r="BC56" s="162">
        <v>2.0100000000000007E-2</v>
      </c>
      <c r="BD56" s="162">
        <v>2.0100000000000007E-2</v>
      </c>
      <c r="BE56" s="162">
        <v>2.0100000000000007E-2</v>
      </c>
      <c r="BF56" s="162">
        <v>2.0100000000000007E-2</v>
      </c>
      <c r="BG56" s="162">
        <v>2.0100000000000007E-2</v>
      </c>
      <c r="BH56" s="162">
        <v>2.0100000000000007E-2</v>
      </c>
      <c r="BI56" s="162">
        <v>2.0100000000000007E-2</v>
      </c>
      <c r="BJ56" s="162">
        <v>2.0100000000000007E-2</v>
      </c>
      <c r="BK56" s="162">
        <v>2.0100000000000007E-2</v>
      </c>
      <c r="BL56" s="162">
        <v>2.0100000000000007E-2</v>
      </c>
      <c r="BM56" s="162">
        <v>2.0100000000000007E-2</v>
      </c>
      <c r="BN56" s="162">
        <v>2.0100000000000007E-2</v>
      </c>
      <c r="BO56" s="162">
        <v>2.0100000000000007E-2</v>
      </c>
      <c r="BP56" s="162">
        <v>2.0100000000000007E-2</v>
      </c>
      <c r="BQ56" s="162">
        <v>2.0100000000000007E-2</v>
      </c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285"/>
      <c r="CN56" s="285"/>
      <c r="CO56" s="285"/>
      <c r="CP56" s="285"/>
      <c r="CQ56" s="285"/>
      <c r="CR56" s="285"/>
      <c r="CS56" s="285"/>
      <c r="CT56" s="285" t="s">
        <v>213</v>
      </c>
      <c r="CU56" s="285" t="s">
        <v>213</v>
      </c>
      <c r="CV56" s="285" t="s">
        <v>213</v>
      </c>
      <c r="CW56" s="285" t="s">
        <v>213</v>
      </c>
      <c r="CX56" s="285" t="s">
        <v>213</v>
      </c>
      <c r="CY56" s="286" t="s">
        <v>213</v>
      </c>
      <c r="CZ56" s="285" t="s">
        <v>213</v>
      </c>
      <c r="DA56" s="285" t="s">
        <v>213</v>
      </c>
      <c r="DB56" s="285" t="s">
        <v>213</v>
      </c>
      <c r="DC56" s="285" t="s">
        <v>213</v>
      </c>
      <c r="DD56" s="285" t="s">
        <v>213</v>
      </c>
      <c r="DE56" s="285" t="s">
        <v>213</v>
      </c>
      <c r="DF56" s="285" t="s">
        <v>213</v>
      </c>
      <c r="DG56" s="285" t="s">
        <v>213</v>
      </c>
      <c r="DH56" s="285" t="s">
        <v>213</v>
      </c>
      <c r="DI56" s="285" t="s">
        <v>213</v>
      </c>
    </row>
    <row r="57" spans="1:115" ht="12" outlineLevel="1">
      <c r="A57" s="1" t="s">
        <v>455</v>
      </c>
      <c r="B57" s="19" t="s">
        <v>507</v>
      </c>
      <c r="C57" s="408"/>
      <c r="D57" s="408"/>
      <c r="E57" s="408"/>
      <c r="F57" s="408"/>
      <c r="G57" s="408"/>
      <c r="H57" s="408"/>
      <c r="I57" s="408"/>
      <c r="J57" s="408"/>
      <c r="K57" s="408"/>
      <c r="L57" s="408"/>
      <c r="M57" s="408"/>
      <c r="N57" s="408"/>
      <c r="O57" s="408"/>
      <c r="P57" s="408"/>
      <c r="Q57" s="408"/>
      <c r="R57" s="408"/>
      <c r="S57" s="408"/>
      <c r="T57" s="394"/>
      <c r="U57" s="408"/>
      <c r="V57" s="408"/>
      <c r="W57" s="408"/>
      <c r="X57" s="408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394"/>
      <c r="AM57" s="394"/>
      <c r="AN57" s="394"/>
      <c r="AO57" s="394"/>
      <c r="AP57" s="285" t="s">
        <v>213</v>
      </c>
      <c r="AQ57" s="285" t="s">
        <v>213</v>
      </c>
      <c r="AR57" s="285" t="s">
        <v>213</v>
      </c>
      <c r="AS57" s="285" t="s">
        <v>213</v>
      </c>
      <c r="AT57" s="285" t="s">
        <v>213</v>
      </c>
      <c r="AU57" s="285" t="s">
        <v>213</v>
      </c>
      <c r="AV57" s="285" t="s">
        <v>213</v>
      </c>
      <c r="AW57" s="286" t="s">
        <v>213</v>
      </c>
      <c r="AX57" s="162">
        <v>-9.9749999999999561E-3</v>
      </c>
      <c r="AY57" s="162">
        <v>4.9999999999998934E-3</v>
      </c>
      <c r="AZ57" s="162">
        <v>1.5050000000000008E-2</v>
      </c>
      <c r="BA57" s="162">
        <v>2.0100000000000007E-2</v>
      </c>
      <c r="BB57" s="162">
        <v>2.0100000000000007E-2</v>
      </c>
      <c r="BC57" s="162">
        <v>2.0100000000000007E-2</v>
      </c>
      <c r="BD57" s="162">
        <v>2.0100000000000007E-2</v>
      </c>
      <c r="BE57" s="162">
        <v>2.0100000000000007E-2</v>
      </c>
      <c r="BF57" s="162">
        <v>2.0100000000000007E-2</v>
      </c>
      <c r="BG57" s="162">
        <v>2.0100000000000007E-2</v>
      </c>
      <c r="BH57" s="162">
        <v>2.0100000000000007E-2</v>
      </c>
      <c r="BI57" s="162">
        <v>2.0100000000000007E-2</v>
      </c>
      <c r="BJ57" s="162">
        <v>2.0100000000000007E-2</v>
      </c>
      <c r="BK57" s="162">
        <v>2.0100000000000007E-2</v>
      </c>
      <c r="BL57" s="162">
        <v>2.0100000000000007E-2</v>
      </c>
      <c r="BM57" s="162">
        <v>2.0100000000000007E-2</v>
      </c>
      <c r="BN57" s="162">
        <v>2.0100000000000007E-2</v>
      </c>
      <c r="BO57" s="162">
        <v>2.0100000000000007E-2</v>
      </c>
      <c r="BP57" s="162">
        <v>2.0100000000000007E-2</v>
      </c>
      <c r="BQ57" s="162">
        <v>2.0100000000000007E-2</v>
      </c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285"/>
      <c r="CN57" s="285"/>
      <c r="CO57" s="285"/>
      <c r="CP57" s="285"/>
      <c r="CQ57" s="285"/>
      <c r="CR57" s="285"/>
      <c r="CS57" s="285"/>
      <c r="CT57" s="285" t="s">
        <v>213</v>
      </c>
      <c r="CU57" s="285" t="s">
        <v>213</v>
      </c>
      <c r="CV57" s="285" t="s">
        <v>213</v>
      </c>
      <c r="CW57" s="285" t="s">
        <v>213</v>
      </c>
      <c r="CX57" s="285" t="s">
        <v>213</v>
      </c>
      <c r="CY57" s="286" t="s">
        <v>213</v>
      </c>
      <c r="CZ57" s="285" t="s">
        <v>213</v>
      </c>
      <c r="DA57" s="285" t="s">
        <v>213</v>
      </c>
      <c r="DB57" s="285" t="s">
        <v>213</v>
      </c>
      <c r="DC57" s="285" t="s">
        <v>213</v>
      </c>
      <c r="DD57" s="285" t="s">
        <v>213</v>
      </c>
      <c r="DE57" s="285" t="s">
        <v>213</v>
      </c>
      <c r="DF57" s="285" t="s">
        <v>213</v>
      </c>
      <c r="DG57" s="285" t="s">
        <v>213</v>
      </c>
      <c r="DH57" s="285" t="s">
        <v>213</v>
      </c>
      <c r="DI57" s="285" t="s">
        <v>213</v>
      </c>
    </row>
    <row r="58" spans="1:115" ht="12" outlineLevel="1">
      <c r="A58" s="1" t="s">
        <v>852</v>
      </c>
      <c r="B58" s="19" t="s">
        <v>508</v>
      </c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M58" s="408"/>
      <c r="N58" s="408"/>
      <c r="O58" s="408"/>
      <c r="P58" s="408"/>
      <c r="Q58" s="408"/>
      <c r="R58" s="408"/>
      <c r="S58" s="408"/>
      <c r="T58" s="394"/>
      <c r="U58" s="408"/>
      <c r="V58" s="408"/>
      <c r="W58" s="408"/>
      <c r="X58" s="408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394"/>
      <c r="AM58" s="394"/>
      <c r="AN58" s="394"/>
      <c r="AO58" s="394"/>
      <c r="AP58" s="285" t="s">
        <v>213</v>
      </c>
      <c r="AQ58" s="285" t="s">
        <v>213</v>
      </c>
      <c r="AR58" s="285" t="s">
        <v>213</v>
      </c>
      <c r="AS58" s="285" t="s">
        <v>213</v>
      </c>
      <c r="AT58" s="285" t="s">
        <v>213</v>
      </c>
      <c r="AU58" s="285" t="s">
        <v>213</v>
      </c>
      <c r="AV58" s="285" t="s">
        <v>213</v>
      </c>
      <c r="AW58" s="286" t="s">
        <v>213</v>
      </c>
      <c r="AX58" s="386" t="s">
        <v>213</v>
      </c>
      <c r="AY58" s="386" t="s">
        <v>213</v>
      </c>
      <c r="AZ58" s="386" t="s">
        <v>213</v>
      </c>
      <c r="BA58" s="386" t="s">
        <v>213</v>
      </c>
      <c r="BB58" s="386" t="s">
        <v>213</v>
      </c>
      <c r="BC58" s="386" t="s">
        <v>213</v>
      </c>
      <c r="BD58" s="386" t="s">
        <v>213</v>
      </c>
      <c r="BE58" s="386" t="s">
        <v>213</v>
      </c>
      <c r="BF58" s="386" t="s">
        <v>213</v>
      </c>
      <c r="BG58" s="386" t="s">
        <v>213</v>
      </c>
      <c r="BH58" s="386" t="s">
        <v>213</v>
      </c>
      <c r="BI58" s="386" t="s">
        <v>213</v>
      </c>
      <c r="BJ58" s="386" t="s">
        <v>213</v>
      </c>
      <c r="BK58" s="386" t="s">
        <v>213</v>
      </c>
      <c r="BL58" s="386" t="s">
        <v>213</v>
      </c>
      <c r="BM58" s="386" t="s">
        <v>213</v>
      </c>
      <c r="BN58" s="386" t="s">
        <v>213</v>
      </c>
      <c r="BO58" s="386" t="s">
        <v>213</v>
      </c>
      <c r="BP58" s="386" t="s">
        <v>213</v>
      </c>
      <c r="BQ58" s="386" t="s">
        <v>213</v>
      </c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285"/>
      <c r="CN58" s="285"/>
      <c r="CO58" s="285"/>
      <c r="CP58" s="285"/>
      <c r="CQ58" s="285"/>
      <c r="CR58" s="285"/>
      <c r="CS58" s="285"/>
      <c r="CT58" s="285" t="s">
        <v>213</v>
      </c>
      <c r="CU58" s="285" t="s">
        <v>213</v>
      </c>
      <c r="CV58" s="285" t="s">
        <v>213</v>
      </c>
      <c r="CW58" s="285" t="s">
        <v>213</v>
      </c>
      <c r="CX58" s="285" t="s">
        <v>213</v>
      </c>
      <c r="CY58" s="286" t="s">
        <v>213</v>
      </c>
      <c r="CZ58" s="285" t="s">
        <v>213</v>
      </c>
      <c r="DA58" s="285" t="s">
        <v>213</v>
      </c>
      <c r="DB58" s="285" t="s">
        <v>213</v>
      </c>
      <c r="DC58" s="285" t="s">
        <v>213</v>
      </c>
      <c r="DD58" s="285" t="s">
        <v>213</v>
      </c>
      <c r="DE58" s="285" t="s">
        <v>213</v>
      </c>
      <c r="DF58" s="285" t="s">
        <v>213</v>
      </c>
      <c r="DG58" s="285" t="s">
        <v>213</v>
      </c>
      <c r="DH58" s="285" t="s">
        <v>213</v>
      </c>
      <c r="DI58" s="285" t="s">
        <v>213</v>
      </c>
    </row>
    <row r="59" spans="1:115" ht="12" outlineLevel="1">
      <c r="A59" s="1" t="s">
        <v>456</v>
      </c>
      <c r="B59" s="19" t="s">
        <v>177</v>
      </c>
      <c r="C59" s="408"/>
      <c r="D59" s="408"/>
      <c r="E59" s="408"/>
      <c r="F59" s="408"/>
      <c r="G59" s="408"/>
      <c r="H59" s="408"/>
      <c r="I59" s="408"/>
      <c r="J59" s="408"/>
      <c r="K59" s="408"/>
      <c r="L59" s="408"/>
      <c r="M59" s="408"/>
      <c r="N59" s="408"/>
      <c r="O59" s="408"/>
      <c r="P59" s="408"/>
      <c r="Q59" s="408"/>
      <c r="R59" s="408"/>
      <c r="S59" s="408"/>
      <c r="T59" s="394"/>
      <c r="U59" s="408"/>
      <c r="V59" s="408"/>
      <c r="W59" s="408"/>
      <c r="X59" s="408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394"/>
      <c r="AM59" s="394"/>
      <c r="AN59" s="394"/>
      <c r="AO59" s="394"/>
      <c r="AP59" s="285" t="s">
        <v>213</v>
      </c>
      <c r="AQ59" s="285" t="s">
        <v>213</v>
      </c>
      <c r="AR59" s="285" t="s">
        <v>213</v>
      </c>
      <c r="AS59" s="285" t="s">
        <v>213</v>
      </c>
      <c r="AT59" s="285" t="s">
        <v>213</v>
      </c>
      <c r="AU59" s="285" t="s">
        <v>213</v>
      </c>
      <c r="AV59" s="285" t="s">
        <v>213</v>
      </c>
      <c r="AW59" s="286" t="s">
        <v>213</v>
      </c>
      <c r="AX59" s="162">
        <v>0</v>
      </c>
      <c r="AY59" s="162">
        <v>0</v>
      </c>
      <c r="AZ59" s="162">
        <v>0</v>
      </c>
      <c r="BA59" s="162">
        <v>0</v>
      </c>
      <c r="BB59" s="162">
        <v>0</v>
      </c>
      <c r="BC59" s="162">
        <v>0</v>
      </c>
      <c r="BD59" s="162">
        <v>0</v>
      </c>
      <c r="BE59" s="162">
        <v>0</v>
      </c>
      <c r="BF59" s="162">
        <v>0</v>
      </c>
      <c r="BG59" s="162">
        <v>0</v>
      </c>
      <c r="BH59" s="162">
        <v>0</v>
      </c>
      <c r="BI59" s="162">
        <v>0</v>
      </c>
      <c r="BJ59" s="162">
        <v>0</v>
      </c>
      <c r="BK59" s="162">
        <v>0</v>
      </c>
      <c r="BL59" s="162">
        <v>0</v>
      </c>
      <c r="BM59" s="162">
        <v>0</v>
      </c>
      <c r="BN59" s="162">
        <v>0</v>
      </c>
      <c r="BO59" s="162">
        <v>0</v>
      </c>
      <c r="BP59" s="162">
        <v>0</v>
      </c>
      <c r="BQ59" s="162">
        <v>0</v>
      </c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285"/>
      <c r="CN59" s="285"/>
      <c r="CO59" s="285"/>
      <c r="CP59" s="285"/>
      <c r="CQ59" s="285"/>
      <c r="CR59" s="285"/>
      <c r="CS59" s="285"/>
      <c r="CT59" s="285" t="s">
        <v>213</v>
      </c>
      <c r="CU59" s="285" t="s">
        <v>213</v>
      </c>
      <c r="CV59" s="285" t="s">
        <v>213</v>
      </c>
      <c r="CW59" s="285" t="s">
        <v>213</v>
      </c>
      <c r="CX59" s="285" t="s">
        <v>213</v>
      </c>
      <c r="CY59" s="286" t="s">
        <v>213</v>
      </c>
      <c r="CZ59" s="285" t="s">
        <v>213</v>
      </c>
      <c r="DA59" s="285" t="s">
        <v>213</v>
      </c>
      <c r="DB59" s="285" t="s">
        <v>213</v>
      </c>
      <c r="DC59" s="285" t="s">
        <v>213</v>
      </c>
      <c r="DD59" s="285" t="s">
        <v>213</v>
      </c>
      <c r="DE59" s="285" t="s">
        <v>213</v>
      </c>
      <c r="DF59" s="285" t="s">
        <v>213</v>
      </c>
      <c r="DG59" s="285" t="s">
        <v>213</v>
      </c>
      <c r="DH59" s="285" t="s">
        <v>213</v>
      </c>
      <c r="DI59" s="285" t="s">
        <v>213</v>
      </c>
    </row>
    <row r="60" spans="1:115" ht="12" outlineLevel="1">
      <c r="A60" s="1" t="s">
        <v>305</v>
      </c>
      <c r="B60" s="19" t="s">
        <v>178</v>
      </c>
      <c r="C60" s="408"/>
      <c r="D60" s="408"/>
      <c r="E60" s="408"/>
      <c r="F60" s="408"/>
      <c r="G60" s="408"/>
      <c r="H60" s="408"/>
      <c r="I60" s="408"/>
      <c r="J60" s="408"/>
      <c r="K60" s="408"/>
      <c r="L60" s="408"/>
      <c r="M60" s="408"/>
      <c r="N60" s="408"/>
      <c r="O60" s="408"/>
      <c r="P60" s="408"/>
      <c r="Q60" s="408"/>
      <c r="R60" s="408"/>
      <c r="S60" s="408"/>
      <c r="T60" s="394"/>
      <c r="U60" s="408"/>
      <c r="V60" s="408"/>
      <c r="W60" s="408"/>
      <c r="X60" s="408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394"/>
      <c r="AM60" s="394"/>
      <c r="AN60" s="394"/>
      <c r="AO60" s="394"/>
      <c r="AP60" s="285" t="s">
        <v>213</v>
      </c>
      <c r="AQ60" s="285" t="s">
        <v>213</v>
      </c>
      <c r="AR60" s="285" t="s">
        <v>213</v>
      </c>
      <c r="AS60" s="285" t="s">
        <v>213</v>
      </c>
      <c r="AT60" s="285" t="s">
        <v>213</v>
      </c>
      <c r="AU60" s="285" t="s">
        <v>213</v>
      </c>
      <c r="AV60" s="285" t="s">
        <v>213</v>
      </c>
      <c r="AW60" s="286" t="s">
        <v>213</v>
      </c>
      <c r="AX60" s="162">
        <v>0</v>
      </c>
      <c r="AY60" s="162">
        <v>0</v>
      </c>
      <c r="AZ60" s="162">
        <v>0</v>
      </c>
      <c r="BA60" s="162">
        <v>0</v>
      </c>
      <c r="BB60" s="162">
        <v>0</v>
      </c>
      <c r="BC60" s="162">
        <v>0</v>
      </c>
      <c r="BD60" s="162">
        <v>0</v>
      </c>
      <c r="BE60" s="162">
        <v>0</v>
      </c>
      <c r="BF60" s="162">
        <v>0</v>
      </c>
      <c r="BG60" s="162">
        <v>0</v>
      </c>
      <c r="BH60" s="162">
        <v>0</v>
      </c>
      <c r="BI60" s="162">
        <v>0</v>
      </c>
      <c r="BJ60" s="162">
        <v>0</v>
      </c>
      <c r="BK60" s="162">
        <v>0</v>
      </c>
      <c r="BL60" s="162">
        <v>0</v>
      </c>
      <c r="BM60" s="162">
        <v>0</v>
      </c>
      <c r="BN60" s="162">
        <v>0</v>
      </c>
      <c r="BO60" s="162">
        <v>0</v>
      </c>
      <c r="BP60" s="162">
        <v>0</v>
      </c>
      <c r="BQ60" s="162">
        <v>0</v>
      </c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285"/>
      <c r="CN60" s="285"/>
      <c r="CO60" s="285"/>
      <c r="CP60" s="285"/>
      <c r="CQ60" s="285"/>
      <c r="CR60" s="285"/>
      <c r="CS60" s="285"/>
      <c r="CT60" s="285" t="s">
        <v>213</v>
      </c>
      <c r="CU60" s="285" t="s">
        <v>213</v>
      </c>
      <c r="CV60" s="285" t="s">
        <v>213</v>
      </c>
      <c r="CW60" s="285" t="s">
        <v>213</v>
      </c>
      <c r="CX60" s="285" t="s">
        <v>213</v>
      </c>
      <c r="CY60" s="286" t="s">
        <v>213</v>
      </c>
      <c r="CZ60" s="285" t="s">
        <v>213</v>
      </c>
      <c r="DA60" s="285" t="s">
        <v>213</v>
      </c>
      <c r="DB60" s="285" t="s">
        <v>213</v>
      </c>
      <c r="DC60" s="285" t="s">
        <v>213</v>
      </c>
      <c r="DD60" s="285" t="s">
        <v>213</v>
      </c>
      <c r="DE60" s="285" t="s">
        <v>213</v>
      </c>
      <c r="DF60" s="285" t="s">
        <v>213</v>
      </c>
      <c r="DG60" s="285" t="s">
        <v>213</v>
      </c>
      <c r="DH60" s="285" t="s">
        <v>213</v>
      </c>
      <c r="DI60" s="285" t="s">
        <v>213</v>
      </c>
    </row>
    <row r="61" spans="1:115" ht="12" outlineLevel="1">
      <c r="A61" s="1" t="s">
        <v>853</v>
      </c>
      <c r="B61" s="19" t="s">
        <v>279</v>
      </c>
      <c r="C61" s="408"/>
      <c r="D61" s="408"/>
      <c r="E61" s="408"/>
      <c r="F61" s="408"/>
      <c r="G61" s="408"/>
      <c r="H61" s="408"/>
      <c r="I61" s="408"/>
      <c r="J61" s="408"/>
      <c r="K61" s="408"/>
      <c r="L61" s="408"/>
      <c r="M61" s="408"/>
      <c r="N61" s="408"/>
      <c r="O61" s="408"/>
      <c r="P61" s="408"/>
      <c r="Q61" s="408"/>
      <c r="R61" s="408"/>
      <c r="S61" s="408"/>
      <c r="T61" s="394"/>
      <c r="U61" s="408"/>
      <c r="V61" s="408"/>
      <c r="W61" s="408"/>
      <c r="X61" s="408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394"/>
      <c r="AM61" s="394"/>
      <c r="AN61" s="394"/>
      <c r="AO61" s="394"/>
      <c r="AP61" s="285" t="s">
        <v>213</v>
      </c>
      <c r="AQ61" s="285" t="s">
        <v>213</v>
      </c>
      <c r="AR61" s="285" t="s">
        <v>213</v>
      </c>
      <c r="AS61" s="285" t="s">
        <v>213</v>
      </c>
      <c r="AT61" s="285" t="s">
        <v>213</v>
      </c>
      <c r="AU61" s="285" t="s">
        <v>213</v>
      </c>
      <c r="AV61" s="285" t="s">
        <v>213</v>
      </c>
      <c r="AW61" s="286" t="s">
        <v>213</v>
      </c>
      <c r="AX61" s="386" t="s">
        <v>213</v>
      </c>
      <c r="AY61" s="386" t="s">
        <v>213</v>
      </c>
      <c r="AZ61" s="386" t="s">
        <v>213</v>
      </c>
      <c r="BA61" s="386" t="s">
        <v>213</v>
      </c>
      <c r="BB61" s="386" t="s">
        <v>213</v>
      </c>
      <c r="BC61" s="386" t="s">
        <v>213</v>
      </c>
      <c r="BD61" s="386" t="s">
        <v>213</v>
      </c>
      <c r="BE61" s="386" t="s">
        <v>213</v>
      </c>
      <c r="BF61" s="386" t="s">
        <v>213</v>
      </c>
      <c r="BG61" s="386" t="s">
        <v>213</v>
      </c>
      <c r="BH61" s="386" t="s">
        <v>213</v>
      </c>
      <c r="BI61" s="386" t="s">
        <v>213</v>
      </c>
      <c r="BJ61" s="386" t="s">
        <v>213</v>
      </c>
      <c r="BK61" s="386" t="s">
        <v>213</v>
      </c>
      <c r="BL61" s="386" t="s">
        <v>213</v>
      </c>
      <c r="BM61" s="386" t="s">
        <v>213</v>
      </c>
      <c r="BN61" s="386" t="s">
        <v>213</v>
      </c>
      <c r="BO61" s="386" t="s">
        <v>213</v>
      </c>
      <c r="BP61" s="386" t="s">
        <v>213</v>
      </c>
      <c r="BQ61" s="386" t="s">
        <v>213</v>
      </c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285"/>
      <c r="CN61" s="285"/>
      <c r="CO61" s="285"/>
      <c r="CP61" s="285"/>
      <c r="CQ61" s="285"/>
      <c r="CR61" s="285"/>
      <c r="CS61" s="285"/>
      <c r="CT61" s="285" t="s">
        <v>213</v>
      </c>
      <c r="CU61" s="285" t="s">
        <v>213</v>
      </c>
      <c r="CV61" s="285" t="s">
        <v>213</v>
      </c>
      <c r="CW61" s="285" t="s">
        <v>213</v>
      </c>
      <c r="CX61" s="285" t="s">
        <v>213</v>
      </c>
      <c r="CY61" s="286" t="s">
        <v>213</v>
      </c>
      <c r="CZ61" s="285" t="s">
        <v>213</v>
      </c>
      <c r="DA61" s="285" t="s">
        <v>213</v>
      </c>
      <c r="DB61" s="285" t="s">
        <v>213</v>
      </c>
      <c r="DC61" s="285" t="s">
        <v>213</v>
      </c>
      <c r="DD61" s="285" t="s">
        <v>213</v>
      </c>
      <c r="DE61" s="285" t="s">
        <v>213</v>
      </c>
      <c r="DF61" s="285" t="s">
        <v>213</v>
      </c>
      <c r="DG61" s="285" t="s">
        <v>213</v>
      </c>
      <c r="DH61" s="285" t="s">
        <v>213</v>
      </c>
      <c r="DI61" s="285" t="s">
        <v>213</v>
      </c>
    </row>
    <row r="62" spans="1:115" ht="12" outlineLevel="1"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08"/>
      <c r="N62" s="408"/>
      <c r="O62" s="408"/>
      <c r="P62" s="408"/>
      <c r="Q62" s="408"/>
      <c r="R62" s="408"/>
      <c r="S62" s="408"/>
      <c r="T62" s="394"/>
      <c r="U62" s="408"/>
      <c r="V62" s="408"/>
      <c r="W62" s="408"/>
      <c r="X62" s="408"/>
      <c r="Y62" s="394"/>
      <c r="Z62" s="394"/>
      <c r="AA62" s="394"/>
      <c r="AB62" s="394"/>
      <c r="AC62" s="394"/>
      <c r="AD62" s="394"/>
      <c r="AE62" s="394"/>
      <c r="AF62" s="394"/>
      <c r="AG62" s="394"/>
      <c r="AH62" s="394"/>
      <c r="AI62" s="394"/>
      <c r="AJ62" s="394"/>
      <c r="AK62" s="394"/>
      <c r="AL62" s="394"/>
      <c r="AM62" s="394"/>
      <c r="AN62" s="394"/>
      <c r="AO62" s="394"/>
      <c r="AP62" s="285"/>
      <c r="AQ62" s="285"/>
      <c r="AR62" s="285"/>
      <c r="AS62" s="285"/>
      <c r="AT62" s="285"/>
      <c r="AU62" s="285"/>
      <c r="AV62" s="285"/>
      <c r="AW62" s="286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285"/>
      <c r="CN62" s="285"/>
      <c r="CO62" s="285"/>
      <c r="CP62" s="285"/>
      <c r="CQ62" s="285"/>
      <c r="CR62" s="285"/>
      <c r="CS62" s="285"/>
      <c r="CT62" s="285"/>
      <c r="CU62" s="285"/>
      <c r="CV62" s="285"/>
      <c r="CW62" s="285"/>
      <c r="CX62" s="285"/>
      <c r="CY62" s="286"/>
      <c r="CZ62" s="285"/>
      <c r="DA62" s="285"/>
      <c r="DB62" s="285"/>
      <c r="DC62" s="285"/>
      <c r="DD62" s="285"/>
      <c r="DE62" s="285"/>
      <c r="DF62" s="285"/>
      <c r="DG62" s="285"/>
      <c r="DH62" s="285"/>
      <c r="DI62" s="285"/>
    </row>
    <row r="63" spans="1:115" ht="12" outlineLevel="1">
      <c r="A63" s="1" t="s">
        <v>864</v>
      </c>
      <c r="B63" s="19" t="s">
        <v>432</v>
      </c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408"/>
      <c r="N63" s="408"/>
      <c r="O63" s="408"/>
      <c r="P63" s="408"/>
      <c r="Q63" s="408"/>
      <c r="R63" s="408"/>
      <c r="S63" s="408"/>
      <c r="T63" s="394"/>
      <c r="U63" s="408"/>
      <c r="V63" s="408"/>
      <c r="W63" s="408"/>
      <c r="X63" s="408"/>
      <c r="Y63" s="394"/>
      <c r="Z63" s="394"/>
      <c r="AA63" s="394"/>
      <c r="AB63" s="394"/>
      <c r="AC63" s="394"/>
      <c r="AD63" s="394"/>
      <c r="AE63" s="394"/>
      <c r="AF63" s="394"/>
      <c r="AG63" s="394"/>
      <c r="AH63" s="394"/>
      <c r="AI63" s="394"/>
      <c r="AJ63" s="394"/>
      <c r="AK63" s="394"/>
      <c r="AL63" s="394"/>
      <c r="AM63" s="394"/>
      <c r="AN63" s="394"/>
      <c r="AO63" s="394"/>
      <c r="AP63" s="285">
        <v>0</v>
      </c>
      <c r="AQ63" s="285">
        <v>0</v>
      </c>
      <c r="AR63" s="285">
        <v>0</v>
      </c>
      <c r="AS63" s="285">
        <v>0</v>
      </c>
      <c r="AT63" s="285">
        <v>0</v>
      </c>
      <c r="AU63" s="285">
        <v>0</v>
      </c>
      <c r="AV63" s="285">
        <v>0</v>
      </c>
      <c r="AW63" s="286">
        <v>0</v>
      </c>
      <c r="AX63" s="386">
        <v>0.03</v>
      </c>
      <c r="AY63" s="386">
        <v>0.03</v>
      </c>
      <c r="AZ63" s="386">
        <v>0.03</v>
      </c>
      <c r="BA63" s="386">
        <v>0.03</v>
      </c>
      <c r="BB63" s="386">
        <v>0.03</v>
      </c>
      <c r="BC63" s="386">
        <v>0.03</v>
      </c>
      <c r="BD63" s="386">
        <v>0.03</v>
      </c>
      <c r="BE63" s="386">
        <v>0.03</v>
      </c>
      <c r="BF63" s="386">
        <v>0.03</v>
      </c>
      <c r="BG63" s="386">
        <v>0.03</v>
      </c>
      <c r="BH63" s="386">
        <v>0.03</v>
      </c>
      <c r="BI63" s="386">
        <v>0.03</v>
      </c>
      <c r="BJ63" s="386">
        <v>0.03</v>
      </c>
      <c r="BK63" s="386">
        <v>0.03</v>
      </c>
      <c r="BL63" s="386">
        <v>0.03</v>
      </c>
      <c r="BM63" s="386">
        <v>0.03</v>
      </c>
      <c r="BN63" s="386">
        <v>0.03</v>
      </c>
      <c r="BO63" s="386">
        <v>0.03</v>
      </c>
      <c r="BP63" s="386">
        <v>0.03</v>
      </c>
      <c r="BQ63" s="386">
        <v>0.03</v>
      </c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285"/>
      <c r="CN63" s="285"/>
      <c r="CO63" s="285"/>
      <c r="CP63" s="285"/>
      <c r="CQ63" s="285"/>
      <c r="CR63" s="285"/>
      <c r="CS63" s="285"/>
      <c r="CT63" s="285">
        <v>0</v>
      </c>
      <c r="CU63" s="285">
        <v>0</v>
      </c>
      <c r="CV63" s="285">
        <v>0</v>
      </c>
      <c r="CW63" s="285">
        <v>0</v>
      </c>
      <c r="CX63" s="285">
        <v>0</v>
      </c>
      <c r="CY63" s="286">
        <v>0</v>
      </c>
      <c r="CZ63" s="285">
        <v>0</v>
      </c>
      <c r="DA63" s="285">
        <v>0</v>
      </c>
      <c r="DB63" s="285">
        <v>0</v>
      </c>
      <c r="DC63" s="285">
        <v>0</v>
      </c>
      <c r="DD63" s="285">
        <v>0</v>
      </c>
      <c r="DE63" s="285">
        <v>0</v>
      </c>
      <c r="DF63" s="285">
        <v>0</v>
      </c>
      <c r="DG63" s="285">
        <v>0</v>
      </c>
      <c r="DH63" s="285">
        <v>0</v>
      </c>
      <c r="DI63" s="285">
        <v>0</v>
      </c>
    </row>
    <row r="64" spans="1:115" ht="12" outlineLevel="1">
      <c r="A64" s="1" t="s">
        <v>865</v>
      </c>
      <c r="B64" s="19" t="s">
        <v>433</v>
      </c>
      <c r="C64" s="408"/>
      <c r="D64" s="408"/>
      <c r="E64" s="408"/>
      <c r="F64" s="408"/>
      <c r="G64" s="408"/>
      <c r="H64" s="408"/>
      <c r="I64" s="408"/>
      <c r="J64" s="408"/>
      <c r="K64" s="408"/>
      <c r="L64" s="408"/>
      <c r="M64" s="408"/>
      <c r="N64" s="408"/>
      <c r="O64" s="408"/>
      <c r="P64" s="408"/>
      <c r="Q64" s="408"/>
      <c r="R64" s="408"/>
      <c r="S64" s="408"/>
      <c r="T64" s="394"/>
      <c r="U64" s="408"/>
      <c r="V64" s="408"/>
      <c r="W64" s="408"/>
      <c r="X64" s="408"/>
      <c r="Y64" s="394"/>
      <c r="Z64" s="394"/>
      <c r="AA64" s="394"/>
      <c r="AB64" s="394"/>
      <c r="AC64" s="394"/>
      <c r="AD64" s="394"/>
      <c r="AE64" s="394"/>
      <c r="AF64" s="394"/>
      <c r="AG64" s="394"/>
      <c r="AH64" s="394"/>
      <c r="AI64" s="394"/>
      <c r="AJ64" s="394"/>
      <c r="AK64" s="394"/>
      <c r="AL64" s="394"/>
      <c r="AM64" s="394"/>
      <c r="AN64" s="394"/>
      <c r="AO64" s="394"/>
      <c r="AP64" s="285" t="s">
        <v>213</v>
      </c>
      <c r="AQ64" s="285" t="s">
        <v>213</v>
      </c>
      <c r="AR64" s="285" t="s">
        <v>213</v>
      </c>
      <c r="AS64" s="285" t="s">
        <v>213</v>
      </c>
      <c r="AT64" s="285" t="s">
        <v>213</v>
      </c>
      <c r="AU64" s="285" t="s">
        <v>213</v>
      </c>
      <c r="AV64" s="285" t="s">
        <v>213</v>
      </c>
      <c r="AW64" s="286" t="s">
        <v>213</v>
      </c>
      <c r="AX64" s="386">
        <v>3.5312499999999962E-2</v>
      </c>
      <c r="AY64" s="386">
        <v>3.5312499999999962E-2</v>
      </c>
      <c r="AZ64" s="386">
        <v>3.5312499999999962E-2</v>
      </c>
      <c r="BA64" s="386">
        <v>3.5312499999999962E-2</v>
      </c>
      <c r="BB64" s="386">
        <v>3.5312499999999962E-2</v>
      </c>
      <c r="BC64" s="386">
        <v>3.5312499999999962E-2</v>
      </c>
      <c r="BD64" s="386">
        <v>3.5312499999999962E-2</v>
      </c>
      <c r="BE64" s="386">
        <v>3.5312499999999962E-2</v>
      </c>
      <c r="BF64" s="386">
        <v>3.5312499999999962E-2</v>
      </c>
      <c r="BG64" s="386">
        <v>3.5312499999999962E-2</v>
      </c>
      <c r="BH64" s="386">
        <v>3.5312499999999962E-2</v>
      </c>
      <c r="BI64" s="386">
        <v>3.5312499999999962E-2</v>
      </c>
      <c r="BJ64" s="386">
        <v>3.5312499999999962E-2</v>
      </c>
      <c r="BK64" s="386">
        <v>3.5312499999999962E-2</v>
      </c>
      <c r="BL64" s="386">
        <v>3.5312499999999962E-2</v>
      </c>
      <c r="BM64" s="386">
        <v>3.5312499999999962E-2</v>
      </c>
      <c r="BN64" s="386">
        <v>3.5312499999999962E-2</v>
      </c>
      <c r="BO64" s="386">
        <v>3.5312499999999962E-2</v>
      </c>
      <c r="BP64" s="386">
        <v>3.5312499999999962E-2</v>
      </c>
      <c r="BQ64" s="386">
        <v>3.5312499999999962E-2</v>
      </c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285"/>
      <c r="CN64" s="285"/>
      <c r="CO64" s="285"/>
      <c r="CP64" s="285"/>
      <c r="CQ64" s="285"/>
      <c r="CR64" s="285"/>
      <c r="CS64" s="285"/>
      <c r="CT64" s="285" t="s">
        <v>213</v>
      </c>
      <c r="CU64" s="285" t="s">
        <v>213</v>
      </c>
      <c r="CV64" s="285" t="s">
        <v>213</v>
      </c>
      <c r="CW64" s="285" t="s">
        <v>213</v>
      </c>
      <c r="CX64" s="285" t="s">
        <v>213</v>
      </c>
      <c r="CY64" s="286" t="s">
        <v>213</v>
      </c>
      <c r="CZ64" s="285" t="s">
        <v>213</v>
      </c>
      <c r="DA64" s="285" t="s">
        <v>213</v>
      </c>
      <c r="DB64" s="285" t="s">
        <v>213</v>
      </c>
      <c r="DC64" s="285" t="s">
        <v>213</v>
      </c>
      <c r="DD64" s="285" t="s">
        <v>213</v>
      </c>
      <c r="DE64" s="285" t="s">
        <v>213</v>
      </c>
      <c r="DF64" s="285" t="s">
        <v>213</v>
      </c>
      <c r="DG64" s="285" t="s">
        <v>213</v>
      </c>
      <c r="DH64" s="285" t="s">
        <v>213</v>
      </c>
      <c r="DI64" s="285" t="s">
        <v>213</v>
      </c>
    </row>
    <row r="65" spans="1:113" ht="12" outlineLevel="1">
      <c r="DB65" s="19"/>
      <c r="DC65" s="19"/>
      <c r="DD65" s="19"/>
      <c r="DE65" s="19"/>
      <c r="DF65" s="19"/>
      <c r="DG65" s="19"/>
      <c r="DH65" s="19"/>
      <c r="DI65" s="19"/>
    </row>
    <row r="66" spans="1:113" ht="12" outlineLevel="1">
      <c r="B66" s="24" t="s">
        <v>434</v>
      </c>
      <c r="AC66" s="600"/>
      <c r="AD66" s="600"/>
      <c r="AE66" s="600"/>
      <c r="AF66" s="600"/>
      <c r="AG66" s="600"/>
      <c r="CV66" s="165"/>
      <c r="CW66" s="165"/>
      <c r="CX66" s="165"/>
      <c r="CY66" s="173"/>
      <c r="DB66" s="19"/>
      <c r="DC66" s="19"/>
      <c r="DD66" s="19"/>
      <c r="DE66" s="19"/>
      <c r="DF66" s="19"/>
      <c r="DG66" s="19"/>
      <c r="DH66" s="19"/>
      <c r="DI66" s="19"/>
    </row>
    <row r="67" spans="1:113" ht="12" outlineLevel="1">
      <c r="A67" s="1" t="s">
        <v>866</v>
      </c>
      <c r="B67" s="19" t="s">
        <v>216</v>
      </c>
      <c r="C67" s="416"/>
      <c r="D67" s="416"/>
      <c r="E67" s="416"/>
      <c r="F67" s="416"/>
      <c r="G67" s="416"/>
      <c r="H67" s="416"/>
      <c r="I67" s="416"/>
      <c r="J67" s="416"/>
      <c r="K67" s="416"/>
      <c r="L67" s="416"/>
      <c r="M67" s="416"/>
      <c r="N67" s="416"/>
      <c r="O67" s="416"/>
      <c r="P67" s="416"/>
      <c r="Q67" s="416"/>
      <c r="R67" s="416"/>
      <c r="S67" s="416"/>
      <c r="T67" s="416"/>
      <c r="U67" s="416"/>
      <c r="V67" s="416"/>
      <c r="W67" s="416"/>
      <c r="X67" s="416"/>
      <c r="Y67" s="416"/>
      <c r="Z67" s="416"/>
      <c r="AA67" s="416"/>
      <c r="AB67" s="416"/>
      <c r="AC67" s="416"/>
      <c r="AD67" s="416"/>
      <c r="AE67" s="416"/>
      <c r="AF67" s="416"/>
      <c r="AG67" s="416"/>
      <c r="AH67" s="416"/>
      <c r="AI67" s="416"/>
      <c r="AJ67" s="416"/>
      <c r="AK67" s="416"/>
      <c r="AL67" s="416"/>
      <c r="AM67" s="416"/>
      <c r="AN67" s="416"/>
      <c r="AO67" s="416"/>
      <c r="AP67" s="416">
        <v>4.6841633728590265E-2</v>
      </c>
      <c r="AQ67" s="416">
        <v>4.5910715466499094E-2</v>
      </c>
      <c r="AR67" s="416">
        <v>4.4614336408355361E-2</v>
      </c>
      <c r="AS67" s="416">
        <v>3.8655283831899243E-2</v>
      </c>
      <c r="AT67" s="416">
        <v>3.604800790738534E-2</v>
      </c>
      <c r="AU67" s="416">
        <v>3.5828757708805753E-2</v>
      </c>
      <c r="AV67" s="416">
        <v>3.7121212460429598E-2</v>
      </c>
      <c r="AW67" s="435">
        <v>3.9122758354213139E-2</v>
      </c>
      <c r="AX67" s="166">
        <v>4.0311379177106574E-2</v>
      </c>
      <c r="AY67" s="166">
        <v>4.1500000000000002E-2</v>
      </c>
      <c r="AZ67" s="166">
        <v>4.2333333333333334E-2</v>
      </c>
      <c r="BA67" s="166">
        <v>4.3166666666666666E-2</v>
      </c>
      <c r="BB67" s="166">
        <v>4.3999999999999997E-2</v>
      </c>
      <c r="BC67" s="166">
        <v>4.3999999999999997E-2</v>
      </c>
      <c r="BD67" s="166">
        <v>4.3999999999999997E-2</v>
      </c>
      <c r="BE67" s="166">
        <v>4.3999999999999997E-2</v>
      </c>
      <c r="BF67" s="166">
        <v>4.3999999999999997E-2</v>
      </c>
      <c r="BG67" s="166">
        <v>4.3999999999999997E-2</v>
      </c>
      <c r="BH67" s="166">
        <v>4.3999999999999997E-2</v>
      </c>
      <c r="BI67" s="166">
        <v>4.3999999999999997E-2</v>
      </c>
      <c r="BJ67" s="166">
        <v>4.3999999999999997E-2</v>
      </c>
      <c r="BK67" s="166">
        <v>4.3999999999999997E-2</v>
      </c>
      <c r="BL67" s="166">
        <v>4.3999999999999997E-2</v>
      </c>
      <c r="BM67" s="166">
        <v>4.3999999999999997E-2</v>
      </c>
      <c r="BN67" s="166">
        <v>4.3999999999999997E-2</v>
      </c>
      <c r="BO67" s="166">
        <v>4.3999999999999997E-2</v>
      </c>
      <c r="BP67" s="166">
        <v>4.3999999999999997E-2</v>
      </c>
      <c r="BQ67" s="166">
        <v>4.3999999999999997E-2</v>
      </c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7"/>
      <c r="CN67" s="167"/>
      <c r="CO67" s="167"/>
      <c r="CP67" s="167"/>
      <c r="CQ67" s="167"/>
      <c r="CR67" s="167"/>
      <c r="CS67" s="167"/>
      <c r="CT67" s="409">
        <v>2.4461945833333294E-2</v>
      </c>
      <c r="CU67" s="409">
        <v>2.8680270525412967E-2</v>
      </c>
      <c r="CV67" s="409">
        <v>2.9475841614085899E-2</v>
      </c>
      <c r="CW67" s="409">
        <v>2.9475841614085899E-2</v>
      </c>
      <c r="CX67" s="416">
        <v>3.5605891827913939E-2</v>
      </c>
      <c r="CY67" s="435">
        <v>3.8350759992520307E-2</v>
      </c>
      <c r="CZ67" s="166">
        <v>4.0928606361341643E-2</v>
      </c>
      <c r="DA67" s="166">
        <v>4.2763258858471702E-2</v>
      </c>
      <c r="DB67" s="166">
        <v>4.3999999999999991E-2</v>
      </c>
      <c r="DC67" s="166">
        <v>4.3999999999999984E-2</v>
      </c>
      <c r="DD67" s="166">
        <v>4.3999999999999997E-2</v>
      </c>
      <c r="DE67" s="166">
        <v>4.3999999999999997E-2</v>
      </c>
      <c r="DF67" s="166">
        <v>4.3999999999999997E-2</v>
      </c>
      <c r="DG67" s="166">
        <v>4.3999999999999997E-2</v>
      </c>
      <c r="DH67" s="166">
        <v>4.3999999999999997E-2</v>
      </c>
      <c r="DI67" s="166">
        <v>4.3999999999999984E-2</v>
      </c>
    </row>
    <row r="68" spans="1:113" ht="12" outlineLevel="1">
      <c r="A68" s="1" t="s">
        <v>867</v>
      </c>
      <c r="B68" s="19" t="s">
        <v>435</v>
      </c>
      <c r="C68" s="416"/>
      <c r="D68" s="416"/>
      <c r="E68" s="416"/>
      <c r="F68" s="416"/>
      <c r="G68" s="416"/>
      <c r="H68" s="416"/>
      <c r="I68" s="416"/>
      <c r="J68" s="416"/>
      <c r="K68" s="416"/>
      <c r="L68" s="416"/>
      <c r="M68" s="416"/>
      <c r="N68" s="416"/>
      <c r="O68" s="416"/>
      <c r="P68" s="416"/>
      <c r="Q68" s="416"/>
      <c r="R68" s="416"/>
      <c r="S68" s="416"/>
      <c r="T68" s="416"/>
      <c r="U68" s="416"/>
      <c r="V68" s="416"/>
      <c r="W68" s="416"/>
      <c r="X68" s="416"/>
      <c r="Y68" s="416"/>
      <c r="Z68" s="416"/>
      <c r="AA68" s="416"/>
      <c r="AB68" s="416"/>
      <c r="AC68" s="416"/>
      <c r="AD68" s="416"/>
      <c r="AE68" s="416"/>
      <c r="AF68" s="416"/>
      <c r="AG68" s="416"/>
      <c r="AH68" s="416"/>
      <c r="AI68" s="416"/>
      <c r="AJ68" s="416"/>
      <c r="AK68" s="416"/>
      <c r="AL68" s="416"/>
      <c r="AM68" s="416"/>
      <c r="AN68" s="416"/>
      <c r="AO68" s="416"/>
      <c r="AP68" s="167">
        <v>4.6841633728590258E-2</v>
      </c>
      <c r="AQ68" s="167">
        <v>4.5910715466499087E-2</v>
      </c>
      <c r="AR68" s="167">
        <v>4.4614336408355354E-2</v>
      </c>
      <c r="AS68" s="167">
        <v>3.8655283831899243E-2</v>
      </c>
      <c r="AT68" s="167">
        <v>3.604800790738534E-2</v>
      </c>
      <c r="AU68" s="167">
        <v>3.5828757708805753E-2</v>
      </c>
      <c r="AV68" s="167">
        <v>3.7121212460429598E-2</v>
      </c>
      <c r="AW68" s="174">
        <v>3.9122758354213139E-2</v>
      </c>
      <c r="AX68" s="499">
        <v>4.0311379177106574E-2</v>
      </c>
      <c r="AY68" s="499">
        <v>4.1500000000000002E-2</v>
      </c>
      <c r="AZ68" s="499">
        <v>4.2333333333333334E-2</v>
      </c>
      <c r="BA68" s="499">
        <v>4.3166666666666666E-2</v>
      </c>
      <c r="BB68" s="499">
        <v>4.3999999999999997E-2</v>
      </c>
      <c r="BC68" s="499">
        <v>4.3999999999999997E-2</v>
      </c>
      <c r="BD68" s="499">
        <v>4.3999999999999997E-2</v>
      </c>
      <c r="BE68" s="499">
        <v>4.3999999999999997E-2</v>
      </c>
      <c r="BF68" s="499">
        <v>4.3999999999999997E-2</v>
      </c>
      <c r="BG68" s="499">
        <v>4.3999999999999997E-2</v>
      </c>
      <c r="BH68" s="499">
        <v>4.3999999999999997E-2</v>
      </c>
      <c r="BI68" s="499">
        <v>4.3999999999999997E-2</v>
      </c>
      <c r="BJ68" s="499">
        <v>4.3999999999999997E-2</v>
      </c>
      <c r="BK68" s="499">
        <v>4.3999999999999997E-2</v>
      </c>
      <c r="BL68" s="499">
        <v>4.3999999999999997E-2</v>
      </c>
      <c r="BM68" s="499">
        <v>4.3999999999999997E-2</v>
      </c>
      <c r="BN68" s="499">
        <v>4.3999999999999997E-2</v>
      </c>
      <c r="BO68" s="499">
        <v>4.3999999999999997E-2</v>
      </c>
      <c r="BP68" s="499">
        <v>4.3999999999999997E-2</v>
      </c>
      <c r="BQ68" s="499">
        <v>4.3999999999999997E-2</v>
      </c>
      <c r="BR68" s="166"/>
      <c r="BS68" s="166"/>
      <c r="BT68" s="166"/>
      <c r="BU68" s="166"/>
      <c r="BV68" s="166"/>
      <c r="BW68" s="166"/>
      <c r="BX68" s="166"/>
      <c r="BY68" s="166"/>
      <c r="BZ68" s="166"/>
      <c r="CA68" s="166"/>
      <c r="CB68" s="166"/>
      <c r="CC68" s="166"/>
      <c r="CD68" s="166"/>
      <c r="CE68" s="166"/>
      <c r="CF68" s="166"/>
      <c r="CG68" s="166"/>
      <c r="CH68" s="166"/>
      <c r="CI68" s="166"/>
      <c r="CJ68" s="166"/>
      <c r="CK68" s="166"/>
      <c r="CL68" s="166"/>
      <c r="CM68" s="167"/>
      <c r="CN68" s="167"/>
      <c r="CO68" s="167"/>
      <c r="CP68" s="167"/>
      <c r="CQ68" s="167"/>
      <c r="CR68" s="167"/>
      <c r="CS68" s="167"/>
      <c r="CT68" s="167">
        <v>4.3767260132129782E-2</v>
      </c>
      <c r="CU68" s="167">
        <v>4.4314220398418494E-2</v>
      </c>
      <c r="CV68" s="167">
        <v>4.5923545948211353E-2</v>
      </c>
      <c r="CW68" s="167">
        <v>4.130224182325079E-2</v>
      </c>
      <c r="CX68" s="167">
        <v>3.5969356565473051E-2</v>
      </c>
      <c r="CY68" s="174">
        <v>3.812392048248564E-2</v>
      </c>
      <c r="CZ68" s="166">
        <v>4.092833692385877E-2</v>
      </c>
      <c r="DA68" s="166">
        <v>4.276301332416773E-2</v>
      </c>
      <c r="DB68" s="166">
        <v>4.3999999999999997E-2</v>
      </c>
      <c r="DC68" s="166">
        <v>4.3999999999999997E-2</v>
      </c>
      <c r="DD68" s="166">
        <v>4.3999999999999991E-2</v>
      </c>
      <c r="DE68" s="166">
        <v>4.4000000000000004E-2</v>
      </c>
      <c r="DF68" s="166">
        <v>4.3999999999999991E-2</v>
      </c>
      <c r="DG68" s="166">
        <v>4.3999999999999997E-2</v>
      </c>
      <c r="DH68" s="166">
        <v>4.3999999999999997E-2</v>
      </c>
      <c r="DI68" s="166">
        <v>4.3999999999999997E-2</v>
      </c>
    </row>
    <row r="69" spans="1:113" ht="12" outlineLevel="1">
      <c r="A69" s="1" t="s">
        <v>868</v>
      </c>
      <c r="B69" s="19" t="s">
        <v>436</v>
      </c>
      <c r="C69" s="601"/>
      <c r="D69" s="601"/>
      <c r="E69" s="601"/>
      <c r="F69" s="601"/>
      <c r="G69" s="601"/>
      <c r="H69" s="601"/>
      <c r="I69" s="601"/>
      <c r="J69" s="601"/>
      <c r="K69" s="601"/>
      <c r="L69" s="601"/>
      <c r="M69" s="601"/>
      <c r="N69" s="601"/>
      <c r="O69" s="601"/>
      <c r="P69" s="601"/>
      <c r="Q69" s="601"/>
      <c r="R69" s="601"/>
      <c r="S69" s="601"/>
      <c r="T69" s="416"/>
      <c r="U69" s="601"/>
      <c r="V69" s="601"/>
      <c r="W69" s="601"/>
      <c r="X69" s="601"/>
      <c r="Y69" s="416"/>
      <c r="Z69" s="416"/>
      <c r="AA69" s="416"/>
      <c r="AB69" s="416"/>
      <c r="AC69" s="416"/>
      <c r="AD69" s="416"/>
      <c r="AE69" s="416"/>
      <c r="AF69" s="416"/>
      <c r="AG69" s="416"/>
      <c r="AH69" s="416"/>
      <c r="AI69" s="416"/>
      <c r="AJ69" s="416"/>
      <c r="AK69" s="416"/>
      <c r="AL69" s="416"/>
      <c r="AM69" s="416"/>
      <c r="AN69" s="416"/>
      <c r="AO69" s="416"/>
      <c r="AP69" s="409">
        <v>1.6582E-2</v>
      </c>
      <c r="AQ69" s="409">
        <v>1.5839083333333337E-2</v>
      </c>
      <c r="AR69" s="409">
        <v>1.4994833333333334E-2</v>
      </c>
      <c r="AS69" s="409">
        <v>1.2483416666666667E-2</v>
      </c>
      <c r="AT69" s="409">
        <v>8.9397499999999998E-3</v>
      </c>
      <c r="AU69" s="409">
        <v>1.2081916666666666E-2</v>
      </c>
      <c r="AV69" s="409">
        <v>1.3563916666666669E-2</v>
      </c>
      <c r="AW69" s="519">
        <v>1.3563916666666669E-2</v>
      </c>
      <c r="AX69" s="499">
        <v>1.3563916666666669E-2</v>
      </c>
      <c r="AY69" s="499">
        <v>1.3563916666666669E-2</v>
      </c>
      <c r="AZ69" s="499">
        <v>1.3563916666666669E-2</v>
      </c>
      <c r="BA69" s="499">
        <v>1.3563916666666669E-2</v>
      </c>
      <c r="BB69" s="499">
        <v>1.3563916666666669E-2</v>
      </c>
      <c r="BC69" s="499">
        <v>1.3563916666666669E-2</v>
      </c>
      <c r="BD69" s="499">
        <v>1.3563916666666669E-2</v>
      </c>
      <c r="BE69" s="499">
        <v>1.3563916666666669E-2</v>
      </c>
      <c r="BF69" s="499">
        <v>1.3563916666666669E-2</v>
      </c>
      <c r="BG69" s="499">
        <v>1.3563916666666669E-2</v>
      </c>
      <c r="BH69" s="499">
        <v>1.3563916666666669E-2</v>
      </c>
      <c r="BI69" s="499">
        <v>1.3563916666666669E-2</v>
      </c>
      <c r="BJ69" s="499">
        <v>1.3563916666666669E-2</v>
      </c>
      <c r="BK69" s="499">
        <v>1.3563916666666669E-2</v>
      </c>
      <c r="BL69" s="499">
        <v>1.3563916666666669E-2</v>
      </c>
      <c r="BM69" s="499">
        <v>1.3563916666666669E-2</v>
      </c>
      <c r="BN69" s="499">
        <v>1.3563916666666669E-2</v>
      </c>
      <c r="BO69" s="499">
        <v>1.3563916666666669E-2</v>
      </c>
      <c r="BP69" s="499">
        <v>1.3563916666666669E-2</v>
      </c>
      <c r="BQ69" s="499">
        <v>1.3563916666666669E-2</v>
      </c>
      <c r="BR69" s="166"/>
      <c r="BS69" s="166"/>
      <c r="BT69" s="166"/>
      <c r="BU69" s="166"/>
      <c r="BV69" s="166"/>
      <c r="BW69" s="166"/>
      <c r="BX69" s="166"/>
      <c r="BY69" s="166"/>
      <c r="BZ69" s="166"/>
      <c r="CA69" s="166"/>
      <c r="CB69" s="166"/>
      <c r="CC69" s="166"/>
      <c r="CD69" s="166"/>
      <c r="CE69" s="166"/>
      <c r="CF69" s="166"/>
      <c r="CG69" s="166"/>
      <c r="CH69" s="166"/>
      <c r="CI69" s="166"/>
      <c r="CJ69" s="166"/>
      <c r="CK69" s="166"/>
      <c r="CL69" s="166"/>
      <c r="CM69" s="167"/>
      <c r="CN69" s="167"/>
      <c r="CO69" s="167"/>
      <c r="CP69" s="167"/>
      <c r="CQ69" s="167"/>
      <c r="CR69" s="167"/>
      <c r="CS69" s="167"/>
      <c r="CT69" s="409">
        <v>1.5691475421072076E-2</v>
      </c>
      <c r="CU69" s="409">
        <v>1.7048333333333335E-2</v>
      </c>
      <c r="CV69" s="409">
        <v>1.6210541666666668E-2</v>
      </c>
      <c r="CW69" s="409">
        <v>1.6210541666666668E-2</v>
      </c>
      <c r="CX69" s="409">
        <v>0</v>
      </c>
      <c r="CY69" s="519">
        <v>0</v>
      </c>
      <c r="CZ69" s="166">
        <v>0</v>
      </c>
      <c r="DA69" s="166">
        <v>0</v>
      </c>
      <c r="DB69" s="166">
        <v>0</v>
      </c>
      <c r="DC69" s="166">
        <v>0</v>
      </c>
      <c r="DD69" s="166">
        <v>0</v>
      </c>
      <c r="DE69" s="166">
        <v>0</v>
      </c>
      <c r="DF69" s="166">
        <v>0</v>
      </c>
      <c r="DG69" s="166">
        <v>0</v>
      </c>
      <c r="DH69" s="166">
        <v>0</v>
      </c>
      <c r="DI69" s="166">
        <v>0</v>
      </c>
    </row>
    <row r="70" spans="1:113" ht="12" outlineLevel="1">
      <c r="A70" s="1" t="s">
        <v>869</v>
      </c>
      <c r="B70" s="19" t="s">
        <v>218</v>
      </c>
      <c r="C70" s="416"/>
      <c r="D70" s="416"/>
      <c r="E70" s="416"/>
      <c r="F70" s="416"/>
      <c r="G70" s="416"/>
      <c r="H70" s="416"/>
      <c r="I70" s="416"/>
      <c r="J70" s="416"/>
      <c r="K70" s="416"/>
      <c r="L70" s="416"/>
      <c r="M70" s="416"/>
      <c r="N70" s="416"/>
      <c r="O70" s="416"/>
      <c r="P70" s="416"/>
      <c r="Q70" s="416"/>
      <c r="R70" s="416"/>
      <c r="S70" s="416"/>
      <c r="T70" s="416"/>
      <c r="U70" s="416"/>
      <c r="V70" s="416"/>
      <c r="W70" s="416"/>
      <c r="X70" s="416"/>
      <c r="Y70" s="416"/>
      <c r="Z70" s="416"/>
      <c r="AA70" s="416"/>
      <c r="AB70" s="416"/>
      <c r="AC70" s="416"/>
      <c r="AD70" s="416"/>
      <c r="AE70" s="416"/>
      <c r="AF70" s="416"/>
      <c r="AG70" s="416"/>
      <c r="AH70" s="416"/>
      <c r="AI70" s="416"/>
      <c r="AJ70" s="416"/>
      <c r="AK70" s="416"/>
      <c r="AL70" s="416"/>
      <c r="AM70" s="416"/>
      <c r="AN70" s="416"/>
      <c r="AO70" s="416"/>
      <c r="AP70" s="409">
        <v>6.6399064031689881E-2</v>
      </c>
      <c r="AQ70" s="409">
        <v>6.4497411434484814E-2</v>
      </c>
      <c r="AR70" s="409">
        <v>6.2440975267959012E-2</v>
      </c>
      <c r="AS70" s="409">
        <v>5.7809015859684038E-2</v>
      </c>
      <c r="AT70" s="409">
        <v>4.5787666504944105E-2</v>
      </c>
      <c r="AU70" s="409">
        <v>4.165275439335963E-2</v>
      </c>
      <c r="AV70" s="409">
        <v>3.9897816350236322E-2</v>
      </c>
      <c r="AW70" s="519">
        <v>3.9897816350236322E-2</v>
      </c>
      <c r="AX70" s="499">
        <v>3.9897816350236322E-2</v>
      </c>
      <c r="AY70" s="499">
        <v>3.9897816350236322E-2</v>
      </c>
      <c r="AZ70" s="499">
        <v>3.9897816350236322E-2</v>
      </c>
      <c r="BA70" s="499">
        <v>3.9897816350236322E-2</v>
      </c>
      <c r="BB70" s="499">
        <v>3.9897816350236322E-2</v>
      </c>
      <c r="BC70" s="499">
        <v>3.9897816350236322E-2</v>
      </c>
      <c r="BD70" s="499">
        <v>3.9897816350236322E-2</v>
      </c>
      <c r="BE70" s="499">
        <v>3.9897816350236322E-2</v>
      </c>
      <c r="BF70" s="499">
        <v>3.9897816350236322E-2</v>
      </c>
      <c r="BG70" s="499">
        <v>3.9897816350236322E-2</v>
      </c>
      <c r="BH70" s="499">
        <v>3.9897816350236322E-2</v>
      </c>
      <c r="BI70" s="499">
        <v>3.9897816350236322E-2</v>
      </c>
      <c r="BJ70" s="499">
        <v>3.9897816350236322E-2</v>
      </c>
      <c r="BK70" s="499">
        <v>3.9897816350236322E-2</v>
      </c>
      <c r="BL70" s="499">
        <v>3.9897816350236322E-2</v>
      </c>
      <c r="BM70" s="499">
        <v>3.9897816350236322E-2</v>
      </c>
      <c r="BN70" s="499">
        <v>3.9897816350236322E-2</v>
      </c>
      <c r="BO70" s="499">
        <v>3.9897816350236322E-2</v>
      </c>
      <c r="BP70" s="499">
        <v>3.9897816350236322E-2</v>
      </c>
      <c r="BQ70" s="499">
        <v>3.9897816350236322E-2</v>
      </c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7"/>
      <c r="CN70" s="167"/>
      <c r="CO70" s="167"/>
      <c r="CP70" s="167"/>
      <c r="CQ70" s="167"/>
      <c r="CR70" s="167"/>
      <c r="CS70" s="167"/>
      <c r="CT70" s="409">
        <v>6.1180343239283744E-2</v>
      </c>
      <c r="CU70" s="409">
        <v>6.6218619106021642E-2</v>
      </c>
      <c r="CV70" s="409">
        <v>6.5448237733087347E-2</v>
      </c>
      <c r="CW70" s="409">
        <v>6.5448237733087347E-2</v>
      </c>
      <c r="CX70" s="409" t="s">
        <v>213</v>
      </c>
      <c r="CY70" s="519" t="s">
        <v>213</v>
      </c>
      <c r="CZ70" s="166" t="s">
        <v>213</v>
      </c>
      <c r="DA70" s="166" t="s">
        <v>213</v>
      </c>
      <c r="DB70" s="166" t="s">
        <v>213</v>
      </c>
      <c r="DC70" s="166" t="s">
        <v>213</v>
      </c>
      <c r="DD70" s="166" t="s">
        <v>213</v>
      </c>
      <c r="DE70" s="166" t="s">
        <v>213</v>
      </c>
      <c r="DF70" s="166" t="s">
        <v>213</v>
      </c>
      <c r="DG70" s="166" t="s">
        <v>213</v>
      </c>
      <c r="DH70" s="166" t="s">
        <v>213</v>
      </c>
      <c r="DI70" s="166" t="s">
        <v>213</v>
      </c>
    </row>
    <row r="71" spans="1:113" ht="12" outlineLevel="1">
      <c r="A71" s="1" t="s">
        <v>870</v>
      </c>
      <c r="B71" s="19" t="s">
        <v>439</v>
      </c>
      <c r="C71" s="601"/>
      <c r="D71" s="601"/>
      <c r="E71" s="601"/>
      <c r="F71" s="601"/>
      <c r="G71" s="601"/>
      <c r="H71" s="601"/>
      <c r="I71" s="601"/>
      <c r="J71" s="601"/>
      <c r="K71" s="601"/>
      <c r="L71" s="601"/>
      <c r="M71" s="601"/>
      <c r="N71" s="601"/>
      <c r="O71" s="601"/>
      <c r="P71" s="601"/>
      <c r="Q71" s="601"/>
      <c r="R71" s="601"/>
      <c r="S71" s="601"/>
      <c r="T71" s="416"/>
      <c r="U71" s="601"/>
      <c r="V71" s="601"/>
      <c r="W71" s="601"/>
      <c r="X71" s="601"/>
      <c r="Y71" s="416"/>
      <c r="Z71" s="416"/>
      <c r="AA71" s="416"/>
      <c r="AB71" s="416"/>
      <c r="AC71" s="416"/>
      <c r="AD71" s="416"/>
      <c r="AE71" s="416"/>
      <c r="AF71" s="416"/>
      <c r="AG71" s="416"/>
      <c r="AH71" s="416"/>
      <c r="AI71" s="416"/>
      <c r="AJ71" s="416"/>
      <c r="AK71" s="416"/>
      <c r="AL71" s="416"/>
      <c r="AM71" s="416"/>
      <c r="AN71" s="416"/>
      <c r="AO71" s="416"/>
      <c r="AP71" s="167">
        <v>4.6841633728590258E-2</v>
      </c>
      <c r="AQ71" s="167">
        <v>4.5910715466499094E-2</v>
      </c>
      <c r="AR71" s="167">
        <v>4.4614336408355354E-2</v>
      </c>
      <c r="AS71" s="167">
        <v>3.8655283831899243E-2</v>
      </c>
      <c r="AT71" s="167">
        <v>3.6048007907385347E-2</v>
      </c>
      <c r="AU71" s="167">
        <v>3.5828757708805746E-2</v>
      </c>
      <c r="AV71" s="167">
        <v>3.7121212460429598E-2</v>
      </c>
      <c r="AW71" s="174">
        <v>3.9122758354213132E-2</v>
      </c>
      <c r="AX71" s="166">
        <v>4.0311379177106581E-2</v>
      </c>
      <c r="AY71" s="166">
        <v>4.1500000000000009E-2</v>
      </c>
      <c r="AZ71" s="166">
        <v>4.2333333333333341E-2</v>
      </c>
      <c r="BA71" s="166">
        <v>4.3166666666666659E-2</v>
      </c>
      <c r="BB71" s="166">
        <v>4.3999999999999997E-2</v>
      </c>
      <c r="BC71" s="166">
        <v>4.3999999999999997E-2</v>
      </c>
      <c r="BD71" s="166">
        <v>4.3999999999999991E-2</v>
      </c>
      <c r="BE71" s="166">
        <v>4.3999999999999984E-2</v>
      </c>
      <c r="BF71" s="166">
        <v>4.3999999999999997E-2</v>
      </c>
      <c r="BG71" s="166">
        <v>4.3999999999999991E-2</v>
      </c>
      <c r="BH71" s="166">
        <v>4.3999999999999997E-2</v>
      </c>
      <c r="BI71" s="166">
        <v>4.3999999999999991E-2</v>
      </c>
      <c r="BJ71" s="166">
        <v>4.3999999999999984E-2</v>
      </c>
      <c r="BK71" s="166">
        <v>4.3999999999999984E-2</v>
      </c>
      <c r="BL71" s="166">
        <v>4.3999999999999997E-2</v>
      </c>
      <c r="BM71" s="166">
        <v>4.3999999999999991E-2</v>
      </c>
      <c r="BN71" s="166">
        <v>4.3999999999999991E-2</v>
      </c>
      <c r="BO71" s="166">
        <v>4.3999999999999991E-2</v>
      </c>
      <c r="BP71" s="166">
        <v>4.4000000000000004E-2</v>
      </c>
      <c r="BQ71" s="166">
        <v>4.3999999999999997E-2</v>
      </c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7"/>
      <c r="CN71" s="167"/>
      <c r="CO71" s="167"/>
      <c r="CP71" s="167"/>
      <c r="CQ71" s="167"/>
      <c r="CR71" s="167"/>
      <c r="CS71" s="167"/>
      <c r="CT71" s="167">
        <v>4.3381153846153847E-2</v>
      </c>
      <c r="CU71" s="167">
        <v>4.3453816793893124E-2</v>
      </c>
      <c r="CV71" s="167">
        <v>4.6310505050194413E-2</v>
      </c>
      <c r="CW71" s="167">
        <v>4.1279111403439796E-2</v>
      </c>
      <c r="CX71" s="167">
        <v>3.5931279491872047E-2</v>
      </c>
      <c r="CY71" s="174">
        <v>3.8148101989575106E-2</v>
      </c>
      <c r="CZ71" s="166">
        <v>4.0928365675222157E-2</v>
      </c>
      <c r="DA71" s="166">
        <v>4.2763039639133672E-2</v>
      </c>
      <c r="DB71" s="166">
        <v>4.3999999999999997E-2</v>
      </c>
      <c r="DC71" s="166">
        <v>4.3999999999999991E-2</v>
      </c>
      <c r="DD71" s="166">
        <v>4.3999999999999991E-2</v>
      </c>
      <c r="DE71" s="166">
        <v>4.3999999999999997E-2</v>
      </c>
      <c r="DF71" s="166">
        <v>4.3999999999999984E-2</v>
      </c>
      <c r="DG71" s="166">
        <v>4.3999999999999997E-2</v>
      </c>
      <c r="DH71" s="166">
        <v>4.3999999999999991E-2</v>
      </c>
      <c r="DI71" s="166">
        <v>4.3999999999999997E-2</v>
      </c>
    </row>
    <row r="72" spans="1:113" ht="12" outlineLevel="1">
      <c r="A72" s="1" t="s">
        <v>871</v>
      </c>
      <c r="B72" s="19" t="s">
        <v>362</v>
      </c>
      <c r="C72" s="601"/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1"/>
      <c r="O72" s="601"/>
      <c r="P72" s="601"/>
      <c r="Q72" s="601"/>
      <c r="R72" s="601"/>
      <c r="S72" s="601"/>
      <c r="T72" s="416"/>
      <c r="U72" s="601"/>
      <c r="V72" s="601"/>
      <c r="W72" s="601"/>
      <c r="X72" s="601"/>
      <c r="Y72" s="416"/>
      <c r="Z72" s="416"/>
      <c r="AA72" s="416"/>
      <c r="AB72" s="416"/>
      <c r="AC72" s="416"/>
      <c r="AD72" s="416"/>
      <c r="AE72" s="416"/>
      <c r="AF72" s="416"/>
      <c r="AG72" s="416"/>
      <c r="AH72" s="416"/>
      <c r="AI72" s="416"/>
      <c r="AJ72" s="416"/>
      <c r="AK72" s="416"/>
      <c r="AL72" s="416"/>
      <c r="AM72" s="416"/>
      <c r="AN72" s="416"/>
      <c r="AO72" s="416"/>
      <c r="AP72" s="167">
        <v>0</v>
      </c>
      <c r="AQ72" s="167">
        <v>0</v>
      </c>
      <c r="AR72" s="167">
        <v>0</v>
      </c>
      <c r="AS72" s="167">
        <v>0</v>
      </c>
      <c r="AT72" s="167">
        <v>0</v>
      </c>
      <c r="AU72" s="167">
        <v>0</v>
      </c>
      <c r="AV72" s="167">
        <v>0</v>
      </c>
      <c r="AW72" s="174">
        <v>0</v>
      </c>
      <c r="AX72" s="499">
        <v>0</v>
      </c>
      <c r="AY72" s="499">
        <v>0</v>
      </c>
      <c r="AZ72" s="499">
        <v>0</v>
      </c>
      <c r="BA72" s="499">
        <v>0</v>
      </c>
      <c r="BB72" s="499">
        <v>0</v>
      </c>
      <c r="BC72" s="499">
        <v>0</v>
      </c>
      <c r="BD72" s="499">
        <v>0</v>
      </c>
      <c r="BE72" s="499">
        <v>0</v>
      </c>
      <c r="BF72" s="499">
        <v>0</v>
      </c>
      <c r="BG72" s="499">
        <v>0</v>
      </c>
      <c r="BH72" s="499">
        <v>0</v>
      </c>
      <c r="BI72" s="499">
        <v>0</v>
      </c>
      <c r="BJ72" s="499">
        <v>0</v>
      </c>
      <c r="BK72" s="499">
        <v>0</v>
      </c>
      <c r="BL72" s="499">
        <v>0</v>
      </c>
      <c r="BM72" s="499">
        <v>0</v>
      </c>
      <c r="BN72" s="499">
        <v>0</v>
      </c>
      <c r="BO72" s="499">
        <v>0</v>
      </c>
      <c r="BP72" s="499">
        <v>0</v>
      </c>
      <c r="BQ72" s="499">
        <v>0</v>
      </c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7"/>
      <c r="CN72" s="167"/>
      <c r="CO72" s="167"/>
      <c r="CP72" s="167"/>
      <c r="CQ72" s="167"/>
      <c r="CR72" s="167"/>
      <c r="CS72" s="167"/>
      <c r="CT72" s="167">
        <v>0</v>
      </c>
      <c r="CU72" s="167">
        <v>0</v>
      </c>
      <c r="CV72" s="167">
        <v>0</v>
      </c>
      <c r="CW72" s="167">
        <v>0</v>
      </c>
      <c r="CX72" s="167">
        <v>0</v>
      </c>
      <c r="CY72" s="174">
        <v>0</v>
      </c>
      <c r="CZ72" s="166">
        <v>0</v>
      </c>
      <c r="DA72" s="166">
        <v>0</v>
      </c>
      <c r="DB72" s="166">
        <v>0</v>
      </c>
      <c r="DC72" s="166">
        <v>0</v>
      </c>
      <c r="DD72" s="166">
        <v>0</v>
      </c>
      <c r="DE72" s="166">
        <v>0</v>
      </c>
      <c r="DF72" s="166">
        <v>0</v>
      </c>
      <c r="DG72" s="166">
        <v>0</v>
      </c>
      <c r="DH72" s="166">
        <v>0</v>
      </c>
      <c r="DI72" s="166">
        <v>0</v>
      </c>
    </row>
    <row r="73" spans="1:113" ht="12" outlineLevel="1">
      <c r="A73" s="1" t="s">
        <v>872</v>
      </c>
      <c r="B73" s="19" t="s">
        <v>260</v>
      </c>
      <c r="C73" s="601"/>
      <c r="D73" s="601"/>
      <c r="E73" s="601"/>
      <c r="F73" s="601"/>
      <c r="G73" s="601"/>
      <c r="H73" s="601"/>
      <c r="I73" s="601"/>
      <c r="J73" s="601"/>
      <c r="K73" s="601"/>
      <c r="L73" s="601"/>
      <c r="M73" s="601"/>
      <c r="N73" s="601"/>
      <c r="O73" s="601"/>
      <c r="P73" s="601"/>
      <c r="Q73" s="601"/>
      <c r="R73" s="601"/>
      <c r="S73" s="601"/>
      <c r="T73" s="416"/>
      <c r="U73" s="601"/>
      <c r="V73" s="601"/>
      <c r="W73" s="601"/>
      <c r="X73" s="601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6"/>
      <c r="AJ73" s="416"/>
      <c r="AK73" s="416"/>
      <c r="AL73" s="416"/>
      <c r="AM73" s="416"/>
      <c r="AN73" s="416"/>
      <c r="AO73" s="416"/>
      <c r="AP73" s="167">
        <v>-1.5806208998462003E-2</v>
      </c>
      <c r="AQ73" s="167">
        <v>-1.1913688284719266E-2</v>
      </c>
      <c r="AR73" s="167">
        <v>-1.046789342470061E-2</v>
      </c>
      <c r="AS73" s="167">
        <v>-5.0592261707766836E-3</v>
      </c>
      <c r="AT73" s="167">
        <v>2.4596109968384149E-3</v>
      </c>
      <c r="AU73" s="167">
        <v>-2.3391725881853065E-3</v>
      </c>
      <c r="AV73" s="167">
        <v>-7.0336409450644025E-3</v>
      </c>
      <c r="AW73" s="174">
        <v>-7.7289020743301767E-3</v>
      </c>
      <c r="AX73" s="499">
        <v>-8.5000000000000006E-3</v>
      </c>
      <c r="AY73" s="499">
        <v>-8.5000000000000006E-3</v>
      </c>
      <c r="AZ73" s="499">
        <v>-8.5000000000000006E-3</v>
      </c>
      <c r="BA73" s="499">
        <v>-8.5000000000000006E-3</v>
      </c>
      <c r="BB73" s="499">
        <v>-8.5000000000000006E-3</v>
      </c>
      <c r="BC73" s="499">
        <v>-8.5000000000000006E-3</v>
      </c>
      <c r="BD73" s="499">
        <v>-8.5000000000000006E-3</v>
      </c>
      <c r="BE73" s="499">
        <v>-8.5000000000000006E-3</v>
      </c>
      <c r="BF73" s="499">
        <v>-8.5000000000000006E-3</v>
      </c>
      <c r="BG73" s="499">
        <v>-8.5000000000000006E-3</v>
      </c>
      <c r="BH73" s="499">
        <v>-8.5000000000000006E-3</v>
      </c>
      <c r="BI73" s="499">
        <v>-8.5000000000000006E-3</v>
      </c>
      <c r="BJ73" s="499">
        <v>-8.5000000000000006E-3</v>
      </c>
      <c r="BK73" s="499">
        <v>-8.5000000000000006E-3</v>
      </c>
      <c r="BL73" s="499">
        <v>-8.5000000000000006E-3</v>
      </c>
      <c r="BM73" s="499">
        <v>-8.5000000000000006E-3</v>
      </c>
      <c r="BN73" s="499">
        <v>-8.5000000000000006E-3</v>
      </c>
      <c r="BO73" s="499">
        <v>-8.5000000000000006E-3</v>
      </c>
      <c r="BP73" s="499">
        <v>-8.5000000000000006E-3</v>
      </c>
      <c r="BQ73" s="499">
        <v>-8.5000000000000006E-3</v>
      </c>
      <c r="BR73" s="166"/>
      <c r="BS73" s="166"/>
      <c r="BT73" s="166"/>
      <c r="BU73" s="166"/>
      <c r="BV73" s="166"/>
      <c r="BW73" s="166"/>
      <c r="BX73" s="166"/>
      <c r="BY73" s="166"/>
      <c r="BZ73" s="166"/>
      <c r="CA73" s="166"/>
      <c r="CB73" s="166"/>
      <c r="CC73" s="166"/>
      <c r="CD73" s="166"/>
      <c r="CE73" s="166"/>
      <c r="CF73" s="166"/>
      <c r="CG73" s="166"/>
      <c r="CH73" s="166"/>
      <c r="CI73" s="166"/>
      <c r="CJ73" s="166"/>
      <c r="CK73" s="166"/>
      <c r="CL73" s="166"/>
      <c r="CM73" s="167"/>
      <c r="CN73" s="167"/>
      <c r="CO73" s="167"/>
      <c r="CP73" s="167"/>
      <c r="CQ73" s="167"/>
      <c r="CR73" s="167"/>
      <c r="CS73" s="167"/>
      <c r="CT73" s="167">
        <v>-8.4811538461538431E-3</v>
      </c>
      <c r="CU73" s="167">
        <v>-1.545381679389313E-2</v>
      </c>
      <c r="CV73" s="167">
        <v>-1.3630860608690409E-2</v>
      </c>
      <c r="CW73" s="167">
        <v>-7.4837681298465146E-3</v>
      </c>
      <c r="CX73" s="167">
        <v>0</v>
      </c>
      <c r="CY73" s="174">
        <v>0</v>
      </c>
      <c r="CZ73" s="166">
        <v>0</v>
      </c>
      <c r="DA73" s="166">
        <v>0</v>
      </c>
      <c r="DB73" s="166">
        <v>0</v>
      </c>
      <c r="DC73" s="166">
        <v>0</v>
      </c>
      <c r="DD73" s="166">
        <v>0</v>
      </c>
      <c r="DE73" s="166">
        <v>0</v>
      </c>
      <c r="DF73" s="166">
        <v>0</v>
      </c>
      <c r="DG73" s="166">
        <v>0</v>
      </c>
      <c r="DH73" s="166">
        <v>0</v>
      </c>
      <c r="DI73" s="166">
        <v>0</v>
      </c>
    </row>
    <row r="74" spans="1:113" ht="12" outlineLevel="1">
      <c r="A74" s="1" t="s">
        <v>873</v>
      </c>
      <c r="B74" s="19" t="s">
        <v>357</v>
      </c>
      <c r="C74" s="601"/>
      <c r="D74" s="601"/>
      <c r="E74" s="601"/>
      <c r="F74" s="601"/>
      <c r="G74" s="601"/>
      <c r="H74" s="601"/>
      <c r="I74" s="601"/>
      <c r="J74" s="601"/>
      <c r="K74" s="601"/>
      <c r="L74" s="601"/>
      <c r="M74" s="601"/>
      <c r="N74" s="601"/>
      <c r="O74" s="601"/>
      <c r="P74" s="601"/>
      <c r="Q74" s="601"/>
      <c r="R74" s="601"/>
      <c r="S74" s="601"/>
      <c r="T74" s="416"/>
      <c r="U74" s="601"/>
      <c r="V74" s="601"/>
      <c r="W74" s="601"/>
      <c r="X74" s="601"/>
      <c r="Y74" s="416"/>
      <c r="Z74" s="416"/>
      <c r="AA74" s="416"/>
      <c r="AB74" s="416"/>
      <c r="AC74" s="416"/>
      <c r="AD74" s="416"/>
      <c r="AE74" s="416"/>
      <c r="AF74" s="416"/>
      <c r="AG74" s="416"/>
      <c r="AH74" s="416"/>
      <c r="AI74" s="416"/>
      <c r="AJ74" s="416"/>
      <c r="AK74" s="416"/>
      <c r="AL74" s="416"/>
      <c r="AM74" s="416"/>
      <c r="AN74" s="416"/>
      <c r="AO74" s="416"/>
      <c r="AP74" s="167">
        <v>-1.5806208998462003E-2</v>
      </c>
      <c r="AQ74" s="167">
        <v>-1.1913688284719266E-2</v>
      </c>
      <c r="AR74" s="167">
        <v>-1.046789342470061E-2</v>
      </c>
      <c r="AS74" s="167">
        <v>-5.0592261707766836E-3</v>
      </c>
      <c r="AT74" s="167">
        <v>2.4596109968384149E-3</v>
      </c>
      <c r="AU74" s="167">
        <v>-2.3391725881853065E-3</v>
      </c>
      <c r="AV74" s="167">
        <v>-7.0336409450644033E-3</v>
      </c>
      <c r="AW74" s="174">
        <v>-7.7289020743301767E-3</v>
      </c>
      <c r="AX74" s="166">
        <v>-8.4999999999999989E-3</v>
      </c>
      <c r="AY74" s="166">
        <v>-8.5000000000000006E-3</v>
      </c>
      <c r="AZ74" s="166">
        <v>-8.4999999999999989E-3</v>
      </c>
      <c r="BA74" s="166">
        <v>-8.5000000000000006E-3</v>
      </c>
      <c r="BB74" s="166">
        <v>-8.4999999999999989E-3</v>
      </c>
      <c r="BC74" s="166">
        <v>-8.5000000000000006E-3</v>
      </c>
      <c r="BD74" s="166">
        <v>-8.5000000000000006E-3</v>
      </c>
      <c r="BE74" s="166">
        <v>-8.4999999999999989E-3</v>
      </c>
      <c r="BF74" s="166">
        <v>-8.5000000000000006E-3</v>
      </c>
      <c r="BG74" s="166">
        <v>-8.5000000000000006E-3</v>
      </c>
      <c r="BH74" s="166">
        <v>-8.5000000000000006E-3</v>
      </c>
      <c r="BI74" s="166">
        <v>-8.5000000000000006E-3</v>
      </c>
      <c r="BJ74" s="166">
        <v>-8.5000000000000006E-3</v>
      </c>
      <c r="BK74" s="166">
        <v>-8.5000000000000023E-3</v>
      </c>
      <c r="BL74" s="166">
        <v>-8.5000000000000006E-3</v>
      </c>
      <c r="BM74" s="166">
        <v>-8.5000000000000006E-3</v>
      </c>
      <c r="BN74" s="166">
        <v>-8.5000000000000006E-3</v>
      </c>
      <c r="BO74" s="166">
        <v>-8.5000000000000006E-3</v>
      </c>
      <c r="BP74" s="166">
        <v>-8.4999999999999989E-3</v>
      </c>
      <c r="BQ74" s="166">
        <v>-8.5000000000000006E-3</v>
      </c>
      <c r="BR74" s="166"/>
      <c r="BS74" s="166"/>
      <c r="BT74" s="166"/>
      <c r="BU74" s="166"/>
      <c r="BV74" s="166"/>
      <c r="BW74" s="166"/>
      <c r="BX74" s="166"/>
      <c r="BY74" s="166"/>
      <c r="BZ74" s="166"/>
      <c r="CA74" s="166"/>
      <c r="CB74" s="166"/>
      <c r="CC74" s="166"/>
      <c r="CD74" s="166"/>
      <c r="CE74" s="166"/>
      <c r="CF74" s="166"/>
      <c r="CG74" s="166"/>
      <c r="CH74" s="166"/>
      <c r="CI74" s="166"/>
      <c r="CJ74" s="166"/>
      <c r="CK74" s="166"/>
      <c r="CL74" s="166"/>
      <c r="CM74" s="167"/>
      <c r="CN74" s="167"/>
      <c r="CO74" s="167"/>
      <c r="CP74" s="167"/>
      <c r="CQ74" s="167"/>
      <c r="CR74" s="167"/>
      <c r="CS74" s="167"/>
      <c r="CT74" s="167">
        <v>-8.4811538461538431E-3</v>
      </c>
      <c r="CU74" s="167">
        <v>-1.5453816793893132E-2</v>
      </c>
      <c r="CV74" s="167">
        <v>-1.3630860608690409E-2</v>
      </c>
      <c r="CW74" s="167">
        <v>-7.4837681298465146E-3</v>
      </c>
      <c r="CX74" s="167">
        <v>-9.4220146745295524E-5</v>
      </c>
      <c r="CY74" s="174">
        <v>-7.39141342638813E-3</v>
      </c>
      <c r="CZ74" s="166">
        <v>-8.5000000000000006E-3</v>
      </c>
      <c r="DA74" s="166">
        <v>-8.5000000000000006E-3</v>
      </c>
      <c r="DB74" s="166">
        <v>-8.5000000000000006E-3</v>
      </c>
      <c r="DC74" s="166">
        <v>-8.5000000000000006E-3</v>
      </c>
      <c r="DD74" s="166">
        <v>-8.4999999999999989E-3</v>
      </c>
      <c r="DE74" s="166">
        <v>-8.5000000000000006E-3</v>
      </c>
      <c r="DF74" s="166">
        <v>-8.5000000000000023E-3</v>
      </c>
      <c r="DG74" s="166">
        <v>-8.4999999999999989E-3</v>
      </c>
      <c r="DH74" s="166">
        <v>-8.5000000000000006E-3</v>
      </c>
      <c r="DI74" s="166">
        <v>-8.4999999999999989E-3</v>
      </c>
    </row>
    <row r="75" spans="1:113" ht="12" outlineLevel="1">
      <c r="A75" s="1" t="s">
        <v>874</v>
      </c>
      <c r="B75" s="19" t="s">
        <v>271</v>
      </c>
      <c r="C75" s="601"/>
      <c r="D75" s="601"/>
      <c r="E75" s="601"/>
      <c r="F75" s="601"/>
      <c r="G75" s="601"/>
      <c r="H75" s="601"/>
      <c r="I75" s="601"/>
      <c r="J75" s="601"/>
      <c r="K75" s="601"/>
      <c r="L75" s="601"/>
      <c r="M75" s="601"/>
      <c r="N75" s="601"/>
      <c r="O75" s="601"/>
      <c r="P75" s="601"/>
      <c r="Q75" s="601"/>
      <c r="R75" s="601"/>
      <c r="S75" s="601"/>
      <c r="T75" s="416"/>
      <c r="U75" s="601"/>
      <c r="V75" s="601"/>
      <c r="W75" s="601"/>
      <c r="X75" s="601"/>
      <c r="Y75" s="416"/>
      <c r="Z75" s="416"/>
      <c r="AA75" s="416"/>
      <c r="AB75" s="416"/>
      <c r="AC75" s="416"/>
      <c r="AD75" s="416"/>
      <c r="AE75" s="416"/>
      <c r="AF75" s="416"/>
      <c r="AG75" s="416"/>
      <c r="AH75" s="416"/>
      <c r="AI75" s="416"/>
      <c r="AJ75" s="416"/>
      <c r="AK75" s="416"/>
      <c r="AL75" s="416"/>
      <c r="AM75" s="416"/>
      <c r="AN75" s="416"/>
      <c r="AO75" s="416"/>
      <c r="AP75" s="167">
        <v>0</v>
      </c>
      <c r="AQ75" s="167">
        <v>0</v>
      </c>
      <c r="AR75" s="167">
        <v>0</v>
      </c>
      <c r="AS75" s="167">
        <v>0</v>
      </c>
      <c r="AT75" s="167">
        <v>0</v>
      </c>
      <c r="AU75" s="167">
        <v>0</v>
      </c>
      <c r="AV75" s="167">
        <v>0</v>
      </c>
      <c r="AW75" s="174">
        <v>0</v>
      </c>
      <c r="AX75" s="499">
        <v>0</v>
      </c>
      <c r="AY75" s="499">
        <v>0</v>
      </c>
      <c r="AZ75" s="499">
        <v>0</v>
      </c>
      <c r="BA75" s="499">
        <v>0</v>
      </c>
      <c r="BB75" s="499">
        <v>0</v>
      </c>
      <c r="BC75" s="499">
        <v>0</v>
      </c>
      <c r="BD75" s="499">
        <v>0</v>
      </c>
      <c r="BE75" s="499">
        <v>0</v>
      </c>
      <c r="BF75" s="499">
        <v>0</v>
      </c>
      <c r="BG75" s="499">
        <v>0</v>
      </c>
      <c r="BH75" s="499">
        <v>0</v>
      </c>
      <c r="BI75" s="499">
        <v>0</v>
      </c>
      <c r="BJ75" s="499">
        <v>0</v>
      </c>
      <c r="BK75" s="499">
        <v>0</v>
      </c>
      <c r="BL75" s="499">
        <v>0</v>
      </c>
      <c r="BM75" s="499">
        <v>0</v>
      </c>
      <c r="BN75" s="499">
        <v>0</v>
      </c>
      <c r="BO75" s="499">
        <v>0</v>
      </c>
      <c r="BP75" s="499">
        <v>0</v>
      </c>
      <c r="BQ75" s="499">
        <v>0</v>
      </c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7"/>
      <c r="CN75" s="167"/>
      <c r="CO75" s="167"/>
      <c r="CP75" s="167"/>
      <c r="CQ75" s="167"/>
      <c r="CR75" s="167"/>
      <c r="CS75" s="167"/>
      <c r="CT75" s="167">
        <v>0</v>
      </c>
      <c r="CU75" s="167">
        <v>0</v>
      </c>
      <c r="CV75" s="167">
        <v>0</v>
      </c>
      <c r="CW75" s="167">
        <v>0</v>
      </c>
      <c r="CX75" s="167">
        <v>0</v>
      </c>
      <c r="CY75" s="174">
        <v>0</v>
      </c>
      <c r="CZ75" s="166">
        <v>0</v>
      </c>
      <c r="DA75" s="166">
        <v>0</v>
      </c>
      <c r="DB75" s="166">
        <v>0</v>
      </c>
      <c r="DC75" s="166">
        <v>0</v>
      </c>
      <c r="DD75" s="166">
        <v>0</v>
      </c>
      <c r="DE75" s="166">
        <v>0</v>
      </c>
      <c r="DF75" s="166">
        <v>0</v>
      </c>
      <c r="DG75" s="166">
        <v>0</v>
      </c>
      <c r="DH75" s="166">
        <v>0</v>
      </c>
      <c r="DI75" s="166">
        <v>0</v>
      </c>
    </row>
    <row r="76" spans="1:113" ht="12" outlineLevel="1">
      <c r="A76" s="1" t="s">
        <v>829</v>
      </c>
      <c r="B76" s="19" t="s">
        <v>272</v>
      </c>
      <c r="C76" s="601"/>
      <c r="D76" s="601"/>
      <c r="E76" s="601"/>
      <c r="F76" s="601"/>
      <c r="G76" s="601"/>
      <c r="H76" s="601"/>
      <c r="I76" s="601"/>
      <c r="J76" s="601"/>
      <c r="K76" s="601"/>
      <c r="L76" s="601"/>
      <c r="M76" s="601"/>
      <c r="N76" s="601"/>
      <c r="O76" s="601"/>
      <c r="P76" s="601"/>
      <c r="Q76" s="601"/>
      <c r="R76" s="601"/>
      <c r="S76" s="601"/>
      <c r="T76" s="416"/>
      <c r="U76" s="601"/>
      <c r="V76" s="601"/>
      <c r="W76" s="601"/>
      <c r="X76" s="601"/>
      <c r="Y76" s="416"/>
      <c r="Z76" s="416"/>
      <c r="AA76" s="416"/>
      <c r="AB76" s="416"/>
      <c r="AC76" s="416"/>
      <c r="AD76" s="416"/>
      <c r="AE76" s="416"/>
      <c r="AF76" s="416"/>
      <c r="AG76" s="416"/>
      <c r="AH76" s="416"/>
      <c r="AI76" s="416"/>
      <c r="AJ76" s="416"/>
      <c r="AK76" s="416"/>
      <c r="AL76" s="416"/>
      <c r="AM76" s="416"/>
      <c r="AN76" s="416"/>
      <c r="AO76" s="416"/>
      <c r="AP76" s="167">
        <v>0</v>
      </c>
      <c r="AQ76" s="167">
        <v>0</v>
      </c>
      <c r="AR76" s="167">
        <v>0</v>
      </c>
      <c r="AS76" s="167">
        <v>0</v>
      </c>
      <c r="AT76" s="167">
        <v>0</v>
      </c>
      <c r="AU76" s="167">
        <v>0</v>
      </c>
      <c r="AV76" s="167">
        <v>0</v>
      </c>
      <c r="AW76" s="174">
        <v>0</v>
      </c>
      <c r="AX76" s="499">
        <v>0</v>
      </c>
      <c r="AY76" s="499">
        <v>0</v>
      </c>
      <c r="AZ76" s="499">
        <v>0</v>
      </c>
      <c r="BA76" s="499">
        <v>0</v>
      </c>
      <c r="BB76" s="499">
        <v>0</v>
      </c>
      <c r="BC76" s="499">
        <v>0</v>
      </c>
      <c r="BD76" s="499">
        <v>0</v>
      </c>
      <c r="BE76" s="499">
        <v>0</v>
      </c>
      <c r="BF76" s="499">
        <v>0</v>
      </c>
      <c r="BG76" s="499">
        <v>0</v>
      </c>
      <c r="BH76" s="499">
        <v>0</v>
      </c>
      <c r="BI76" s="499">
        <v>0</v>
      </c>
      <c r="BJ76" s="499">
        <v>0</v>
      </c>
      <c r="BK76" s="499">
        <v>0</v>
      </c>
      <c r="BL76" s="499">
        <v>0</v>
      </c>
      <c r="BM76" s="499">
        <v>0</v>
      </c>
      <c r="BN76" s="499">
        <v>0</v>
      </c>
      <c r="BO76" s="499">
        <v>0</v>
      </c>
      <c r="BP76" s="499">
        <v>0</v>
      </c>
      <c r="BQ76" s="499">
        <v>0</v>
      </c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7"/>
      <c r="CN76" s="167"/>
      <c r="CO76" s="167"/>
      <c r="CP76" s="167"/>
      <c r="CQ76" s="167"/>
      <c r="CR76" s="167"/>
      <c r="CS76" s="167"/>
      <c r="CT76" s="167">
        <v>0</v>
      </c>
      <c r="CU76" s="167">
        <v>0</v>
      </c>
      <c r="CV76" s="167">
        <v>0</v>
      </c>
      <c r="CW76" s="167">
        <v>0</v>
      </c>
      <c r="CX76" s="167">
        <v>0</v>
      </c>
      <c r="CY76" s="174">
        <v>0</v>
      </c>
      <c r="CZ76" s="166">
        <v>0</v>
      </c>
      <c r="DA76" s="166">
        <v>0</v>
      </c>
      <c r="DB76" s="166">
        <v>0</v>
      </c>
      <c r="DC76" s="166">
        <v>0</v>
      </c>
      <c r="DD76" s="166">
        <v>0</v>
      </c>
      <c r="DE76" s="166">
        <v>0</v>
      </c>
      <c r="DF76" s="166">
        <v>0</v>
      </c>
      <c r="DG76" s="166">
        <v>0</v>
      </c>
      <c r="DH76" s="166">
        <v>0</v>
      </c>
      <c r="DI76" s="166">
        <v>0</v>
      </c>
    </row>
    <row r="77" spans="1:113" ht="12" outlineLevel="1">
      <c r="A77" s="1" t="s">
        <v>379</v>
      </c>
      <c r="B77" s="19" t="s">
        <v>273</v>
      </c>
      <c r="C77" s="601"/>
      <c r="D77" s="601"/>
      <c r="E77" s="601"/>
      <c r="F77" s="601"/>
      <c r="G77" s="601"/>
      <c r="H77" s="601"/>
      <c r="I77" s="601"/>
      <c r="J77" s="601"/>
      <c r="K77" s="601"/>
      <c r="L77" s="601"/>
      <c r="M77" s="601"/>
      <c r="N77" s="601"/>
      <c r="O77" s="601"/>
      <c r="P77" s="601"/>
      <c r="Q77" s="601"/>
      <c r="R77" s="601"/>
      <c r="S77" s="601"/>
      <c r="T77" s="416"/>
      <c r="U77" s="601"/>
      <c r="V77" s="601"/>
      <c r="W77" s="601"/>
      <c r="X77" s="601"/>
      <c r="Y77" s="416"/>
      <c r="Z77" s="416"/>
      <c r="AA77" s="416"/>
      <c r="AB77" s="416"/>
      <c r="AC77" s="416"/>
      <c r="AD77" s="416"/>
      <c r="AE77" s="416"/>
      <c r="AF77" s="416"/>
      <c r="AG77" s="416"/>
      <c r="AH77" s="416"/>
      <c r="AI77" s="416"/>
      <c r="AJ77" s="416"/>
      <c r="AK77" s="416"/>
      <c r="AL77" s="416"/>
      <c r="AM77" s="416"/>
      <c r="AN77" s="416"/>
      <c r="AO77" s="416"/>
      <c r="AP77" s="167">
        <v>0</v>
      </c>
      <c r="AQ77" s="167">
        <v>0</v>
      </c>
      <c r="AR77" s="167">
        <v>0</v>
      </c>
      <c r="AS77" s="167">
        <v>0</v>
      </c>
      <c r="AT77" s="167">
        <v>0</v>
      </c>
      <c r="AU77" s="167">
        <v>0</v>
      </c>
      <c r="AV77" s="167">
        <v>0</v>
      </c>
      <c r="AW77" s="174">
        <v>0</v>
      </c>
      <c r="AX77" s="499">
        <v>0</v>
      </c>
      <c r="AY77" s="499">
        <v>0</v>
      </c>
      <c r="AZ77" s="499">
        <v>0</v>
      </c>
      <c r="BA77" s="499">
        <v>0</v>
      </c>
      <c r="BB77" s="499">
        <v>0</v>
      </c>
      <c r="BC77" s="499">
        <v>0</v>
      </c>
      <c r="BD77" s="499">
        <v>0</v>
      </c>
      <c r="BE77" s="499">
        <v>0</v>
      </c>
      <c r="BF77" s="499">
        <v>0</v>
      </c>
      <c r="BG77" s="499">
        <v>0</v>
      </c>
      <c r="BH77" s="499">
        <v>0</v>
      </c>
      <c r="BI77" s="499">
        <v>0</v>
      </c>
      <c r="BJ77" s="499">
        <v>0</v>
      </c>
      <c r="BK77" s="499">
        <v>0</v>
      </c>
      <c r="BL77" s="499">
        <v>0</v>
      </c>
      <c r="BM77" s="499">
        <v>0</v>
      </c>
      <c r="BN77" s="499">
        <v>0</v>
      </c>
      <c r="BO77" s="499">
        <v>0</v>
      </c>
      <c r="BP77" s="499">
        <v>0</v>
      </c>
      <c r="BQ77" s="499">
        <v>0</v>
      </c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7"/>
      <c r="CN77" s="167"/>
      <c r="CO77" s="167"/>
      <c r="CP77" s="167"/>
      <c r="CQ77" s="167"/>
      <c r="CR77" s="167"/>
      <c r="CS77" s="167"/>
      <c r="CT77" s="167">
        <v>0</v>
      </c>
      <c r="CU77" s="167">
        <v>0</v>
      </c>
      <c r="CV77" s="167">
        <v>0</v>
      </c>
      <c r="CW77" s="167">
        <v>0</v>
      </c>
      <c r="CX77" s="167">
        <v>0</v>
      </c>
      <c r="CY77" s="174">
        <v>0</v>
      </c>
      <c r="CZ77" s="166">
        <v>0</v>
      </c>
      <c r="DA77" s="166">
        <v>0</v>
      </c>
      <c r="DB77" s="166">
        <v>0</v>
      </c>
      <c r="DC77" s="166">
        <v>0</v>
      </c>
      <c r="DD77" s="166">
        <v>0</v>
      </c>
      <c r="DE77" s="166">
        <v>0</v>
      </c>
      <c r="DF77" s="166">
        <v>0</v>
      </c>
      <c r="DG77" s="166">
        <v>0</v>
      </c>
      <c r="DH77" s="166">
        <v>0</v>
      </c>
      <c r="DI77" s="166">
        <v>0</v>
      </c>
    </row>
    <row r="78" spans="1:113" ht="12" outlineLevel="1">
      <c r="A78" s="1" t="s">
        <v>451</v>
      </c>
      <c r="B78" s="19" t="s">
        <v>274</v>
      </c>
      <c r="C78" s="601"/>
      <c r="D78" s="601"/>
      <c r="E78" s="601"/>
      <c r="F78" s="601"/>
      <c r="G78" s="601"/>
      <c r="H78" s="601"/>
      <c r="I78" s="601"/>
      <c r="J78" s="601"/>
      <c r="K78" s="601"/>
      <c r="L78" s="601"/>
      <c r="M78" s="601"/>
      <c r="N78" s="601"/>
      <c r="O78" s="601"/>
      <c r="P78" s="601"/>
      <c r="Q78" s="601"/>
      <c r="R78" s="601"/>
      <c r="S78" s="601"/>
      <c r="T78" s="416"/>
      <c r="U78" s="601"/>
      <c r="V78" s="601"/>
      <c r="W78" s="601"/>
      <c r="X78" s="601"/>
      <c r="Y78" s="416"/>
      <c r="Z78" s="416"/>
      <c r="AA78" s="416"/>
      <c r="AB78" s="416"/>
      <c r="AC78" s="416"/>
      <c r="AD78" s="416"/>
      <c r="AE78" s="416"/>
      <c r="AF78" s="416"/>
      <c r="AG78" s="416"/>
      <c r="AH78" s="416"/>
      <c r="AI78" s="416"/>
      <c r="AJ78" s="416"/>
      <c r="AK78" s="416"/>
      <c r="AL78" s="416"/>
      <c r="AM78" s="416"/>
      <c r="AN78" s="416"/>
      <c r="AO78" s="416"/>
      <c r="AP78" s="167">
        <v>0</v>
      </c>
      <c r="AQ78" s="167">
        <v>0</v>
      </c>
      <c r="AR78" s="167">
        <v>0</v>
      </c>
      <c r="AS78" s="167">
        <v>0</v>
      </c>
      <c r="AT78" s="167">
        <v>0</v>
      </c>
      <c r="AU78" s="167">
        <v>0</v>
      </c>
      <c r="AV78" s="167">
        <v>0</v>
      </c>
      <c r="AW78" s="174">
        <v>0</v>
      </c>
      <c r="AX78" s="499">
        <v>0</v>
      </c>
      <c r="AY78" s="499">
        <v>0</v>
      </c>
      <c r="AZ78" s="499">
        <v>0</v>
      </c>
      <c r="BA78" s="499">
        <v>0</v>
      </c>
      <c r="BB78" s="499">
        <v>0</v>
      </c>
      <c r="BC78" s="499">
        <v>0</v>
      </c>
      <c r="BD78" s="499">
        <v>0</v>
      </c>
      <c r="BE78" s="499">
        <v>0</v>
      </c>
      <c r="BF78" s="499">
        <v>0</v>
      </c>
      <c r="BG78" s="499">
        <v>0</v>
      </c>
      <c r="BH78" s="499">
        <v>0</v>
      </c>
      <c r="BI78" s="499">
        <v>0</v>
      </c>
      <c r="BJ78" s="499">
        <v>0</v>
      </c>
      <c r="BK78" s="499">
        <v>0</v>
      </c>
      <c r="BL78" s="499">
        <v>0</v>
      </c>
      <c r="BM78" s="499">
        <v>0</v>
      </c>
      <c r="BN78" s="499">
        <v>0</v>
      </c>
      <c r="BO78" s="499">
        <v>0</v>
      </c>
      <c r="BP78" s="499">
        <v>0</v>
      </c>
      <c r="BQ78" s="499">
        <v>0</v>
      </c>
      <c r="BR78" s="166"/>
      <c r="BS78" s="166"/>
      <c r="BT78" s="166"/>
      <c r="BU78" s="166"/>
      <c r="BV78" s="166"/>
      <c r="BW78" s="166"/>
      <c r="BX78" s="166"/>
      <c r="BY78" s="166"/>
      <c r="BZ78" s="166"/>
      <c r="CA78" s="166"/>
      <c r="CB78" s="166"/>
      <c r="CC78" s="166"/>
      <c r="CD78" s="166"/>
      <c r="CE78" s="166"/>
      <c r="CF78" s="166"/>
      <c r="CG78" s="166"/>
      <c r="CH78" s="166"/>
      <c r="CI78" s="166"/>
      <c r="CJ78" s="166"/>
      <c r="CK78" s="166"/>
      <c r="CL78" s="166"/>
      <c r="CM78" s="167"/>
      <c r="CN78" s="167"/>
      <c r="CO78" s="167"/>
      <c r="CP78" s="167"/>
      <c r="CQ78" s="167"/>
      <c r="CR78" s="167"/>
      <c r="CS78" s="167"/>
      <c r="CT78" s="167">
        <v>0</v>
      </c>
      <c r="CU78" s="167">
        <v>0</v>
      </c>
      <c r="CV78" s="167">
        <v>0</v>
      </c>
      <c r="CW78" s="167">
        <v>0</v>
      </c>
      <c r="CX78" s="167">
        <v>0</v>
      </c>
      <c r="CY78" s="174">
        <v>0</v>
      </c>
      <c r="CZ78" s="166">
        <v>0</v>
      </c>
      <c r="DA78" s="166">
        <v>0</v>
      </c>
      <c r="DB78" s="166">
        <v>0</v>
      </c>
      <c r="DC78" s="166">
        <v>0</v>
      </c>
      <c r="DD78" s="166">
        <v>0</v>
      </c>
      <c r="DE78" s="166">
        <v>0</v>
      </c>
      <c r="DF78" s="166">
        <v>0</v>
      </c>
      <c r="DG78" s="166">
        <v>0</v>
      </c>
      <c r="DH78" s="166">
        <v>0</v>
      </c>
      <c r="DI78" s="166">
        <v>0</v>
      </c>
    </row>
    <row r="79" spans="1:113" ht="12" outlineLevel="1">
      <c r="A79" s="1" t="s">
        <v>830</v>
      </c>
      <c r="B79" s="19" t="s">
        <v>275</v>
      </c>
      <c r="C79" s="601"/>
      <c r="D79" s="601"/>
      <c r="E79" s="601"/>
      <c r="F79" s="601"/>
      <c r="G79" s="601"/>
      <c r="H79" s="601"/>
      <c r="I79" s="601"/>
      <c r="J79" s="601"/>
      <c r="K79" s="601"/>
      <c r="L79" s="601"/>
      <c r="M79" s="601"/>
      <c r="N79" s="601"/>
      <c r="O79" s="601"/>
      <c r="P79" s="601"/>
      <c r="Q79" s="601"/>
      <c r="R79" s="601"/>
      <c r="S79" s="601"/>
      <c r="T79" s="416"/>
      <c r="U79" s="601"/>
      <c r="V79" s="601"/>
      <c r="W79" s="601"/>
      <c r="X79" s="601"/>
      <c r="Y79" s="416"/>
      <c r="Z79" s="416"/>
      <c r="AA79" s="416"/>
      <c r="AB79" s="416"/>
      <c r="AC79" s="416"/>
      <c r="AD79" s="416"/>
      <c r="AE79" s="416"/>
      <c r="AF79" s="416"/>
      <c r="AG79" s="416"/>
      <c r="AH79" s="416"/>
      <c r="AI79" s="416"/>
      <c r="AJ79" s="416"/>
      <c r="AK79" s="416"/>
      <c r="AL79" s="416"/>
      <c r="AM79" s="416"/>
      <c r="AN79" s="416"/>
      <c r="AO79" s="416"/>
      <c r="AP79" s="167">
        <v>-1.5025020050930326E-2</v>
      </c>
      <c r="AQ79" s="167">
        <v>-8.4908304256025528E-3</v>
      </c>
      <c r="AR79" s="167">
        <v>-4.7643893084880163E-3</v>
      </c>
      <c r="AS79" s="167">
        <v>1.7399123929745996E-3</v>
      </c>
      <c r="AT79" s="167">
        <v>1.7338670945058858E-2</v>
      </c>
      <c r="AU79" s="167">
        <v>1.7492539851449239E-2</v>
      </c>
      <c r="AV79" s="167">
        <v>1.1649587977649159E-2</v>
      </c>
      <c r="AW79" s="174">
        <v>-1.3982993179234918E-3</v>
      </c>
      <c r="AX79" s="499">
        <v>-2.0898299317923492E-2</v>
      </c>
      <c r="AY79" s="499">
        <v>-2.1088342689095041E-2</v>
      </c>
      <c r="AZ79" s="499">
        <v>-2.127838606026659E-2</v>
      </c>
      <c r="BA79" s="631">
        <v>-2.1468429431438139E-2</v>
      </c>
      <c r="BB79" s="499">
        <v>-2.1468429431438139E-2</v>
      </c>
      <c r="BC79" s="499">
        <v>-2.1468429431438139E-2</v>
      </c>
      <c r="BD79" s="499">
        <v>-2.1468429431438139E-2</v>
      </c>
      <c r="BE79" s="499">
        <v>-2.1468429431438139E-2</v>
      </c>
      <c r="BF79" s="499">
        <v>-2.1468429431438139E-2</v>
      </c>
      <c r="BG79" s="499">
        <v>-2.1468429431438139E-2</v>
      </c>
      <c r="BH79" s="499">
        <v>-2.1468429431438139E-2</v>
      </c>
      <c r="BI79" s="499">
        <v>-2.1468429431438139E-2</v>
      </c>
      <c r="BJ79" s="499">
        <v>-2.1468429431438139E-2</v>
      </c>
      <c r="BK79" s="499">
        <v>-2.1468429431438139E-2</v>
      </c>
      <c r="BL79" s="499">
        <v>-2.1468429431438139E-2</v>
      </c>
      <c r="BM79" s="499">
        <v>-2.1468429431438139E-2</v>
      </c>
      <c r="BN79" s="499">
        <v>-2.1468429431438139E-2</v>
      </c>
      <c r="BO79" s="499">
        <v>-2.1468429431438139E-2</v>
      </c>
      <c r="BP79" s="499">
        <v>-2.1468429431438139E-2</v>
      </c>
      <c r="BQ79" s="499">
        <v>-2.1468429431438139E-2</v>
      </c>
      <c r="BR79" s="166"/>
      <c r="BS79" s="166"/>
      <c r="BT79" s="166"/>
      <c r="BU79" s="166"/>
      <c r="BV79" s="166"/>
      <c r="BW79" s="166"/>
      <c r="BX79" s="166"/>
      <c r="BY79" s="166"/>
      <c r="BZ79" s="166"/>
      <c r="CA79" s="166"/>
      <c r="CB79" s="166"/>
      <c r="CC79" s="166"/>
      <c r="CD79" s="166"/>
      <c r="CE79" s="166"/>
      <c r="CF79" s="166"/>
      <c r="CG79" s="166"/>
      <c r="CH79" s="166"/>
      <c r="CI79" s="166"/>
      <c r="CJ79" s="166"/>
      <c r="CK79" s="166"/>
      <c r="CL79" s="166"/>
      <c r="CM79" s="167"/>
      <c r="CN79" s="167"/>
      <c r="CO79" s="167"/>
      <c r="CP79" s="167"/>
      <c r="CQ79" s="167"/>
      <c r="CR79" s="167"/>
      <c r="CS79" s="167"/>
      <c r="CT79" s="167">
        <v>0.12228552645253896</v>
      </c>
      <c r="CU79" s="167">
        <v>-3.0072306787307972E-2</v>
      </c>
      <c r="CV79" s="167">
        <v>-1.0455576641498534E-2</v>
      </c>
      <c r="CW79" s="167">
        <v>-1.5131575133717173E-3</v>
      </c>
      <c r="CX79" s="167">
        <v>1.7412615621397055E-2</v>
      </c>
      <c r="CY79" s="174">
        <v>5.4913985372458075E-3</v>
      </c>
      <c r="CZ79" s="166">
        <v>-2.0986401704387696E-2</v>
      </c>
      <c r="DA79" s="166">
        <v>-2.137124849541841E-2</v>
      </c>
      <c r="DB79" s="166">
        <v>-2.1468429431438139E-2</v>
      </c>
      <c r="DC79" s="166">
        <v>-2.1468429431438139E-2</v>
      </c>
      <c r="DD79" s="166">
        <v>-2.1468429431438143E-2</v>
      </c>
      <c r="DE79" s="166">
        <v>-2.1468429431438139E-2</v>
      </c>
      <c r="DF79" s="166">
        <v>-2.1468429431438136E-2</v>
      </c>
      <c r="DG79" s="166">
        <v>-2.1468429431438136E-2</v>
      </c>
      <c r="DH79" s="166">
        <v>-2.1468429431438136E-2</v>
      </c>
      <c r="DI79" s="166">
        <v>-2.1468429431438139E-2</v>
      </c>
    </row>
    <row r="80" spans="1:113" ht="12" outlineLevel="1">
      <c r="A80" s="121" t="s">
        <v>1124</v>
      </c>
      <c r="B80" s="19" t="s">
        <v>1066</v>
      </c>
      <c r="C80" s="601"/>
      <c r="D80" s="601"/>
      <c r="E80" s="601"/>
      <c r="F80" s="601"/>
      <c r="G80" s="601"/>
      <c r="H80" s="601"/>
      <c r="I80" s="601"/>
      <c r="J80" s="601"/>
      <c r="K80" s="601"/>
      <c r="L80" s="601"/>
      <c r="M80" s="601"/>
      <c r="N80" s="601"/>
      <c r="O80" s="601"/>
      <c r="P80" s="601"/>
      <c r="Q80" s="601"/>
      <c r="R80" s="601"/>
      <c r="S80" s="601"/>
      <c r="T80" s="601"/>
      <c r="U80" s="601"/>
      <c r="V80" s="601"/>
      <c r="W80" s="601"/>
      <c r="X80" s="601"/>
      <c r="Y80" s="416"/>
      <c r="Z80" s="416"/>
      <c r="AA80" s="416"/>
      <c r="AB80" s="416"/>
      <c r="AC80" s="416"/>
      <c r="AD80" s="416"/>
      <c r="AE80" s="416"/>
      <c r="AF80" s="416"/>
      <c r="AG80" s="416"/>
      <c r="AH80" s="416"/>
      <c r="AI80" s="416"/>
      <c r="AJ80" s="416"/>
      <c r="AK80" s="416"/>
      <c r="AL80" s="416"/>
      <c r="AM80" s="416"/>
      <c r="AN80" s="416"/>
      <c r="AO80" s="416"/>
      <c r="AP80" s="379">
        <v>6.7689393939393842E-4</v>
      </c>
      <c r="AQ80" s="379">
        <v>3.6350364963503521E-4</v>
      </c>
      <c r="AR80" s="379">
        <v>4.4586466165413526E-4</v>
      </c>
      <c r="AS80" s="379">
        <v>5.7041162790697634E-3</v>
      </c>
      <c r="AT80" s="379">
        <v>2.7344832061068712E-2</v>
      </c>
      <c r="AU80" s="379">
        <v>3.7218838461538457E-2</v>
      </c>
      <c r="AV80" s="379">
        <v>4.2656746153846153E-2</v>
      </c>
      <c r="AW80" s="502">
        <v>4.3675592307692294E-2</v>
      </c>
      <c r="AX80" s="409">
        <v>4.5999999999999999E-2</v>
      </c>
      <c r="AY80" s="409">
        <v>4.2250000000000003E-2</v>
      </c>
      <c r="AZ80" s="409">
        <v>3.6750000000000005E-2</v>
      </c>
      <c r="BA80" s="409">
        <v>3.5000000000000003E-2</v>
      </c>
      <c r="BB80" s="409">
        <v>3.5000000000000003E-2</v>
      </c>
      <c r="BC80" s="409">
        <v>3.5000000000000003E-2</v>
      </c>
      <c r="BD80" s="409">
        <v>3.5000000000000003E-2</v>
      </c>
      <c r="BE80" s="409">
        <v>3.5000000000000003E-2</v>
      </c>
      <c r="BF80" s="409">
        <v>3.5000000000000003E-2</v>
      </c>
      <c r="BG80" s="409">
        <v>3.5000000000000003E-2</v>
      </c>
      <c r="BH80" s="409">
        <v>3.5000000000000003E-2</v>
      </c>
      <c r="BI80" s="409">
        <v>3.5000000000000003E-2</v>
      </c>
      <c r="BJ80" s="409">
        <v>3.5000000000000003E-2</v>
      </c>
      <c r="BK80" s="409">
        <v>3.5000000000000003E-2</v>
      </c>
      <c r="BL80" s="409">
        <v>3.5000000000000003E-2</v>
      </c>
      <c r="BM80" s="409">
        <v>3.5000000000000003E-2</v>
      </c>
      <c r="BN80" s="409">
        <v>3.5000000000000003E-2</v>
      </c>
      <c r="BO80" s="409">
        <v>3.5000000000000003E-2</v>
      </c>
      <c r="BP80" s="409">
        <v>3.5000000000000003E-2</v>
      </c>
      <c r="BQ80" s="409">
        <v>3.5000000000000003E-2</v>
      </c>
      <c r="BR80" s="166"/>
      <c r="BS80" s="417"/>
      <c r="BT80" s="417"/>
      <c r="BU80" s="417"/>
      <c r="BV80" s="417"/>
      <c r="BW80" s="417"/>
      <c r="BX80" s="417"/>
      <c r="BY80" s="417"/>
      <c r="BZ80" s="417"/>
      <c r="CA80" s="417"/>
      <c r="CB80" s="417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7"/>
      <c r="CN80" s="167"/>
      <c r="CO80" s="167"/>
      <c r="CP80" s="167"/>
      <c r="CQ80" s="167"/>
      <c r="CR80" s="167"/>
      <c r="CS80" s="167"/>
      <c r="CT80" s="379">
        <v>1.851884615384616E-2</v>
      </c>
      <c r="CU80" s="379">
        <v>7.0461832061068722E-3</v>
      </c>
      <c r="CV80" s="379">
        <v>5.1728624535315787E-4</v>
      </c>
      <c r="CW80" s="379">
        <v>5.1728624535315787E-4</v>
      </c>
      <c r="CX80" s="379">
        <v>3.243110785068172E-2</v>
      </c>
      <c r="CY80" s="502">
        <v>4.3183001861762861E-2</v>
      </c>
      <c r="CZ80" s="166">
        <v>4.4125608752280783E-2</v>
      </c>
      <c r="DA80" s="166">
        <v>3.5867083818782584E-2</v>
      </c>
      <c r="DB80" s="166">
        <v>3.4999999999999989E-2</v>
      </c>
      <c r="DC80" s="166">
        <v>3.4999999999999989E-2</v>
      </c>
      <c r="DD80" s="166">
        <v>3.4999999999999969E-2</v>
      </c>
      <c r="DE80" s="166">
        <v>3.4999999999999955E-2</v>
      </c>
      <c r="DF80" s="166">
        <v>3.4999999999999927E-2</v>
      </c>
      <c r="DG80" s="166">
        <v>3.5000000000000003E-2</v>
      </c>
      <c r="DH80" s="166">
        <v>3.500000000000001E-2</v>
      </c>
      <c r="DI80" s="166">
        <v>3.5000000000000003E-2</v>
      </c>
    </row>
    <row r="81" spans="1:113" ht="12" outlineLevel="1">
      <c r="A81" s="1" t="s">
        <v>695</v>
      </c>
      <c r="B81" s="19" t="s">
        <v>528</v>
      </c>
      <c r="C81" s="601"/>
      <c r="D81" s="601"/>
      <c r="E81" s="601"/>
      <c r="F81" s="601"/>
      <c r="G81" s="601"/>
      <c r="H81" s="601"/>
      <c r="I81" s="601"/>
      <c r="J81" s="601"/>
      <c r="K81" s="601"/>
      <c r="L81" s="601"/>
      <c r="M81" s="601"/>
      <c r="N81" s="601"/>
      <c r="O81" s="601"/>
      <c r="P81" s="601"/>
      <c r="Q81" s="601"/>
      <c r="R81" s="601"/>
      <c r="S81" s="601"/>
      <c r="T81" s="416"/>
      <c r="U81" s="601"/>
      <c r="V81" s="601"/>
      <c r="W81" s="601"/>
      <c r="X81" s="601"/>
      <c r="Y81" s="416"/>
      <c r="Z81" s="416"/>
      <c r="AA81" s="416"/>
      <c r="AB81" s="416"/>
      <c r="AC81" s="416"/>
      <c r="AD81" s="416"/>
      <c r="AE81" s="416"/>
      <c r="AF81" s="416"/>
      <c r="AG81" s="416"/>
      <c r="AH81" s="416"/>
      <c r="AI81" s="416"/>
      <c r="AJ81" s="416"/>
      <c r="AK81" s="416"/>
      <c r="AL81" s="416"/>
      <c r="AM81" s="416"/>
      <c r="AN81" s="416"/>
      <c r="AO81" s="416"/>
      <c r="AP81" s="167">
        <v>2.2801099450274857E-2</v>
      </c>
      <c r="AQ81" s="167">
        <v>2.016982056757937E-2</v>
      </c>
      <c r="AR81" s="167">
        <v>1.8962365773804477E-2</v>
      </c>
      <c r="AS81" s="167">
        <v>2.2347080851172048E-2</v>
      </c>
      <c r="AT81" s="167">
        <v>3.2324541767904405E-2</v>
      </c>
      <c r="AU81" s="167">
        <v>3.3437498294106464E-2</v>
      </c>
      <c r="AV81" s="167">
        <v>3.0192710798566502E-2</v>
      </c>
      <c r="AW81" s="174">
        <v>2.8508559573274632E-2</v>
      </c>
      <c r="AX81" s="166">
        <v>2.7847532821386592E-2</v>
      </c>
      <c r="AY81" s="166">
        <v>2.9535370180991789E-2</v>
      </c>
      <c r="AZ81" s="166">
        <v>2.981155867669491E-2</v>
      </c>
      <c r="BA81" s="166">
        <v>3.0279539659559027E-2</v>
      </c>
      <c r="BB81" s="166">
        <v>3.1135695108537711E-2</v>
      </c>
      <c r="BC81" s="166">
        <v>3.103007529324206E-2</v>
      </c>
      <c r="BD81" s="166">
        <v>3.078937974953435E-2</v>
      </c>
      <c r="BE81" s="166">
        <v>3.0672436370766859E-2</v>
      </c>
      <c r="BF81" s="166">
        <v>3.060290296453079E-2</v>
      </c>
      <c r="BG81" s="166">
        <v>3.057712660517025E-2</v>
      </c>
      <c r="BH81" s="166">
        <v>3.0579096506180459E-2</v>
      </c>
      <c r="BI81" s="166">
        <v>3.0611610331573988E-2</v>
      </c>
      <c r="BJ81" s="166">
        <v>3.0640819341964692E-2</v>
      </c>
      <c r="BK81" s="166">
        <v>3.0672257918350397E-2</v>
      </c>
      <c r="BL81" s="166">
        <v>3.0700439666500469E-2</v>
      </c>
      <c r="BM81" s="166">
        <v>3.0733325480754421E-2</v>
      </c>
      <c r="BN81" s="166">
        <v>3.076406188588688E-2</v>
      </c>
      <c r="BO81" s="166">
        <v>3.0796250757044202E-2</v>
      </c>
      <c r="BP81" s="166">
        <v>3.0824541168629746E-2</v>
      </c>
      <c r="BQ81" s="166">
        <v>3.0855904212596139E-2</v>
      </c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7"/>
      <c r="CN81" s="167"/>
      <c r="CO81" s="167"/>
      <c r="CP81" s="167"/>
      <c r="CQ81" s="167"/>
      <c r="CR81" s="167"/>
      <c r="CS81" s="167"/>
      <c r="CT81" s="167">
        <v>5.2999999999999992E-3</v>
      </c>
      <c r="CU81" s="167">
        <v>0.02</v>
      </c>
      <c r="CV81" s="167">
        <v>2.094695091720377E-2</v>
      </c>
      <c r="CW81" s="167">
        <v>2.0760484166768553E-2</v>
      </c>
      <c r="CX81" s="167">
        <v>3.2932259592610133E-2</v>
      </c>
      <c r="CY81" s="174">
        <v>2.9398324447829395E-2</v>
      </c>
      <c r="CZ81" s="166">
        <v>2.8714960518742436E-2</v>
      </c>
      <c r="DA81" s="166">
        <v>3.0052871931892516E-2</v>
      </c>
      <c r="DB81" s="166">
        <v>3.1082114406222702E-2</v>
      </c>
      <c r="DC81" s="166">
        <v>3.0729893506889178E-2</v>
      </c>
      <c r="DD81" s="166">
        <v>3.0589919642602229E-2</v>
      </c>
      <c r="DE81" s="166">
        <v>3.0595394283678044E-2</v>
      </c>
      <c r="DF81" s="166">
        <v>3.0656578166533714E-2</v>
      </c>
      <c r="DG81" s="166">
        <v>3.0716969250581552E-2</v>
      </c>
      <c r="DH81" s="166">
        <v>3.0780196848041015E-2</v>
      </c>
      <c r="DI81" s="166">
        <v>3.0840262199963227E-2</v>
      </c>
    </row>
    <row r="82" spans="1:113" ht="12" outlineLevel="1">
      <c r="C82" s="601"/>
      <c r="D82" s="601"/>
      <c r="E82" s="601"/>
      <c r="F82" s="601"/>
      <c r="G82" s="601"/>
      <c r="H82" s="601"/>
      <c r="I82" s="601"/>
      <c r="J82" s="601"/>
      <c r="K82" s="601"/>
      <c r="L82" s="601"/>
      <c r="M82" s="601"/>
      <c r="N82" s="601"/>
      <c r="O82" s="601"/>
      <c r="P82" s="601"/>
      <c r="Q82" s="601"/>
      <c r="R82" s="601"/>
      <c r="S82" s="601"/>
      <c r="T82" s="416"/>
      <c r="U82" s="416"/>
      <c r="V82" s="416"/>
      <c r="W82" s="416"/>
      <c r="X82" s="416"/>
      <c r="Y82" s="416"/>
      <c r="Z82" s="416"/>
      <c r="AA82" s="416"/>
      <c r="AB82" s="416"/>
      <c r="AC82" s="416"/>
      <c r="AD82" s="416"/>
      <c r="AE82" s="416"/>
      <c r="AF82" s="408"/>
      <c r="AG82" s="416"/>
      <c r="AH82" s="602"/>
      <c r="AI82" s="602"/>
      <c r="AJ82" s="416"/>
      <c r="AK82" s="602"/>
      <c r="AL82" s="416"/>
      <c r="AM82" s="416"/>
      <c r="AN82" s="416"/>
      <c r="AO82" s="416"/>
      <c r="AP82" s="167"/>
      <c r="AQ82" s="167"/>
      <c r="AR82" s="167"/>
      <c r="AS82" s="167"/>
      <c r="AT82" s="652"/>
      <c r="AU82" s="652"/>
      <c r="AV82" s="652"/>
      <c r="AW82" s="641"/>
      <c r="AX82" s="640"/>
      <c r="AY82" s="640"/>
      <c r="AZ82" s="640"/>
      <c r="BA82" s="640"/>
      <c r="BB82" s="640"/>
      <c r="BC82" s="640"/>
      <c r="BD82" s="640"/>
      <c r="BE82" s="640"/>
      <c r="BF82" s="640"/>
      <c r="BG82" s="640"/>
      <c r="BH82" s="640"/>
      <c r="BI82" s="640"/>
      <c r="BJ82" s="640"/>
      <c r="BK82" s="640"/>
      <c r="BL82" s="640"/>
      <c r="BM82" s="640"/>
      <c r="BN82" s="640"/>
      <c r="BO82" s="640"/>
      <c r="BP82" s="640"/>
      <c r="BQ82" s="640"/>
      <c r="BR82" s="640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7"/>
      <c r="CN82" s="167"/>
      <c r="CO82" s="167"/>
      <c r="CP82" s="167"/>
      <c r="CQ82" s="167"/>
      <c r="CR82" s="167"/>
      <c r="CS82" s="167"/>
      <c r="CT82" s="167"/>
      <c r="CU82" s="167"/>
      <c r="CV82" s="167"/>
      <c r="CW82" s="167"/>
      <c r="CX82" s="167"/>
      <c r="CY82" s="174"/>
      <c r="CZ82" s="640"/>
      <c r="DA82" s="640"/>
      <c r="DB82" s="640"/>
      <c r="DC82" s="640"/>
      <c r="DD82" s="19"/>
      <c r="DE82" s="19"/>
      <c r="DF82" s="19"/>
      <c r="DG82" s="19"/>
      <c r="DH82" s="19"/>
      <c r="DI82" s="19"/>
    </row>
    <row r="83" spans="1:113" ht="12" outlineLevel="1">
      <c r="B83" s="24" t="s">
        <v>529</v>
      </c>
      <c r="C83" s="601"/>
      <c r="D83" s="601"/>
      <c r="E83" s="601"/>
      <c r="F83" s="601"/>
      <c r="G83" s="601"/>
      <c r="H83" s="601"/>
      <c r="I83" s="601"/>
      <c r="J83" s="601"/>
      <c r="K83" s="601"/>
      <c r="L83" s="601"/>
      <c r="M83" s="601"/>
      <c r="N83" s="601"/>
      <c r="O83" s="601"/>
      <c r="P83" s="601"/>
      <c r="Q83" s="601"/>
      <c r="R83" s="601"/>
      <c r="S83" s="601"/>
      <c r="T83" s="416"/>
      <c r="U83" s="601"/>
      <c r="V83" s="601"/>
      <c r="W83" s="601"/>
      <c r="X83" s="601"/>
      <c r="Y83" s="416"/>
      <c r="Z83" s="416"/>
      <c r="AA83" s="416"/>
      <c r="AB83" s="416"/>
      <c r="AC83" s="416"/>
      <c r="AD83" s="416"/>
      <c r="AE83" s="602"/>
      <c r="AF83" s="408"/>
      <c r="AG83" s="602"/>
      <c r="AH83" s="394"/>
      <c r="AI83" s="394"/>
      <c r="AJ83" s="394"/>
      <c r="AK83" s="602"/>
      <c r="AL83" s="416"/>
      <c r="AM83" s="416"/>
      <c r="AN83" s="416"/>
      <c r="AO83" s="416"/>
      <c r="AP83" s="167"/>
      <c r="AQ83" s="167"/>
      <c r="AR83" s="635"/>
      <c r="AS83" s="635"/>
      <c r="AT83" s="635"/>
      <c r="AU83" s="635"/>
      <c r="AV83" s="635"/>
      <c r="AW83" s="623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6"/>
      <c r="BI83" s="166"/>
      <c r="BJ83" s="166"/>
      <c r="BK83" s="166"/>
      <c r="BL83" s="166"/>
      <c r="BM83" s="166"/>
      <c r="BN83" s="166"/>
      <c r="BO83" s="166"/>
      <c r="BP83" s="166"/>
      <c r="BQ83" s="166"/>
      <c r="BR83" s="166"/>
      <c r="BS83" s="166"/>
      <c r="BT83" s="166"/>
      <c r="BU83" s="166"/>
      <c r="BV83" s="166"/>
      <c r="BW83" s="166"/>
      <c r="BX83" s="166"/>
      <c r="BY83" s="166"/>
      <c r="BZ83" s="166"/>
      <c r="CA83" s="166"/>
      <c r="CB83" s="166"/>
      <c r="CC83" s="166"/>
      <c r="CD83" s="166"/>
      <c r="CE83" s="166"/>
      <c r="CF83" s="166"/>
      <c r="CG83" s="166"/>
      <c r="CH83" s="166"/>
      <c r="CI83" s="166"/>
      <c r="CJ83" s="166"/>
      <c r="CK83" s="166"/>
      <c r="CL83" s="166"/>
      <c r="CM83" s="167"/>
      <c r="CN83" s="167"/>
      <c r="CO83" s="167"/>
      <c r="CP83" s="167"/>
      <c r="CQ83" s="167"/>
      <c r="CR83" s="167"/>
      <c r="CS83" s="167"/>
      <c r="CT83" s="167"/>
      <c r="CU83" s="167"/>
      <c r="CV83" s="167"/>
      <c r="CW83" s="167"/>
      <c r="CX83" s="167"/>
      <c r="CY83" s="174"/>
      <c r="CZ83" s="166"/>
      <c r="DA83" s="166"/>
      <c r="DB83" s="19"/>
      <c r="DC83" s="19"/>
      <c r="DD83" s="19"/>
      <c r="DE83" s="19"/>
      <c r="DF83" s="19"/>
      <c r="DG83" s="19"/>
      <c r="DH83" s="19"/>
      <c r="DI83" s="19"/>
    </row>
    <row r="84" spans="1:113" ht="12" outlineLevel="1">
      <c r="A84" s="1" t="s">
        <v>696</v>
      </c>
      <c r="B84" s="19" t="s">
        <v>530</v>
      </c>
      <c r="C84" s="601"/>
      <c r="D84" s="601"/>
      <c r="E84" s="601"/>
      <c r="F84" s="601"/>
      <c r="G84" s="601"/>
      <c r="H84" s="601"/>
      <c r="I84" s="601"/>
      <c r="J84" s="601"/>
      <c r="K84" s="601"/>
      <c r="L84" s="601"/>
      <c r="M84" s="601"/>
      <c r="N84" s="601"/>
      <c r="O84" s="601"/>
      <c r="P84" s="601"/>
      <c r="Q84" s="601"/>
      <c r="R84" s="601"/>
      <c r="S84" s="601"/>
      <c r="T84" s="416"/>
      <c r="U84" s="601"/>
      <c r="V84" s="601"/>
      <c r="W84" s="601"/>
      <c r="X84" s="601"/>
      <c r="Y84" s="416"/>
      <c r="Z84" s="416"/>
      <c r="AA84" s="416"/>
      <c r="AB84" s="416"/>
      <c r="AC84" s="416"/>
      <c r="AD84" s="416"/>
      <c r="AE84" s="416"/>
      <c r="AF84" s="416"/>
      <c r="AG84" s="416"/>
      <c r="AH84" s="416"/>
      <c r="AI84" s="416"/>
      <c r="AJ84" s="416"/>
      <c r="AK84" s="416"/>
      <c r="AL84" s="416"/>
      <c r="AM84" s="416"/>
      <c r="AN84" s="416"/>
      <c r="AO84" s="416"/>
      <c r="AP84" s="167">
        <v>0</v>
      </c>
      <c r="AQ84" s="167">
        <v>0</v>
      </c>
      <c r="AR84" s="167">
        <v>0</v>
      </c>
      <c r="AS84" s="167">
        <v>0</v>
      </c>
      <c r="AT84" s="167">
        <v>0</v>
      </c>
      <c r="AU84" s="167">
        <v>0</v>
      </c>
      <c r="AV84" s="167">
        <v>0</v>
      </c>
      <c r="AW84" s="174">
        <v>0</v>
      </c>
      <c r="AX84" s="499">
        <v>0</v>
      </c>
      <c r="AY84" s="499">
        <v>0</v>
      </c>
      <c r="AZ84" s="499">
        <v>0</v>
      </c>
      <c r="BA84" s="499">
        <v>0</v>
      </c>
      <c r="BB84" s="499">
        <v>0</v>
      </c>
      <c r="BC84" s="499">
        <v>0</v>
      </c>
      <c r="BD84" s="499">
        <v>0</v>
      </c>
      <c r="BE84" s="499">
        <v>0</v>
      </c>
      <c r="BF84" s="499">
        <v>0</v>
      </c>
      <c r="BG84" s="499">
        <v>0</v>
      </c>
      <c r="BH84" s="499">
        <v>0</v>
      </c>
      <c r="BI84" s="499">
        <v>0</v>
      </c>
      <c r="BJ84" s="499">
        <v>0</v>
      </c>
      <c r="BK84" s="499">
        <v>0</v>
      </c>
      <c r="BL84" s="499">
        <v>0</v>
      </c>
      <c r="BM84" s="499">
        <v>0</v>
      </c>
      <c r="BN84" s="499">
        <v>0</v>
      </c>
      <c r="BO84" s="499">
        <v>0</v>
      </c>
      <c r="BP84" s="499">
        <v>0</v>
      </c>
      <c r="BQ84" s="499">
        <v>0</v>
      </c>
      <c r="BR84" s="166"/>
      <c r="BS84" s="166"/>
      <c r="BT84" s="166"/>
      <c r="BU84" s="166"/>
      <c r="BV84" s="166"/>
      <c r="BW84" s="166"/>
      <c r="BX84" s="166"/>
      <c r="BY84" s="166"/>
      <c r="BZ84" s="166"/>
      <c r="CA84" s="166"/>
      <c r="CB84" s="166"/>
      <c r="CC84" s="166"/>
      <c r="CD84" s="166"/>
      <c r="CE84" s="166"/>
      <c r="CF84" s="166"/>
      <c r="CG84" s="166"/>
      <c r="CH84" s="166"/>
      <c r="CI84" s="166"/>
      <c r="CJ84" s="166"/>
      <c r="CK84" s="166"/>
      <c r="CL84" s="166"/>
      <c r="CM84" s="167"/>
      <c r="CN84" s="167"/>
      <c r="CO84" s="167"/>
      <c r="CP84" s="167"/>
      <c r="CQ84" s="167"/>
      <c r="CR84" s="167"/>
      <c r="CS84" s="167"/>
      <c r="CT84" s="167">
        <v>0</v>
      </c>
      <c r="CU84" s="167">
        <v>0</v>
      </c>
      <c r="CV84" s="167">
        <v>0</v>
      </c>
      <c r="CW84" s="167">
        <v>0</v>
      </c>
      <c r="CX84" s="167">
        <v>0</v>
      </c>
      <c r="CY84" s="174">
        <v>0</v>
      </c>
      <c r="CZ84" s="166">
        <v>0</v>
      </c>
      <c r="DA84" s="166">
        <v>0</v>
      </c>
      <c r="DB84" s="166">
        <v>0</v>
      </c>
      <c r="DC84" s="166">
        <v>0</v>
      </c>
      <c r="DD84" s="166">
        <v>0</v>
      </c>
      <c r="DE84" s="166">
        <v>0</v>
      </c>
      <c r="DF84" s="166">
        <v>0</v>
      </c>
      <c r="DG84" s="166">
        <v>0</v>
      </c>
      <c r="DH84" s="166">
        <v>0</v>
      </c>
      <c r="DI84" s="166">
        <v>0</v>
      </c>
    </row>
    <row r="85" spans="1:113" ht="12" outlineLevel="1">
      <c r="A85" s="1" t="s">
        <v>697</v>
      </c>
      <c r="B85" s="19" t="s">
        <v>531</v>
      </c>
      <c r="C85" s="601"/>
      <c r="D85" s="601"/>
      <c r="E85" s="601"/>
      <c r="F85" s="601"/>
      <c r="G85" s="601"/>
      <c r="H85" s="601"/>
      <c r="I85" s="601"/>
      <c r="J85" s="601"/>
      <c r="K85" s="601"/>
      <c r="L85" s="601"/>
      <c r="M85" s="601"/>
      <c r="N85" s="601"/>
      <c r="O85" s="601"/>
      <c r="P85" s="601"/>
      <c r="Q85" s="601"/>
      <c r="R85" s="601"/>
      <c r="S85" s="601"/>
      <c r="T85" s="416"/>
      <c r="U85" s="601"/>
      <c r="V85" s="601"/>
      <c r="W85" s="601"/>
      <c r="X85" s="601"/>
      <c r="Y85" s="416"/>
      <c r="Z85" s="416"/>
      <c r="AA85" s="416"/>
      <c r="AB85" s="416"/>
      <c r="AC85" s="416"/>
      <c r="AD85" s="416"/>
      <c r="AE85" s="416"/>
      <c r="AF85" s="416"/>
      <c r="AG85" s="416"/>
      <c r="AH85" s="416"/>
      <c r="AI85" s="416"/>
      <c r="AJ85" s="416"/>
      <c r="AK85" s="416"/>
      <c r="AL85" s="416"/>
      <c r="AM85" s="416"/>
      <c r="AN85" s="416"/>
      <c r="AO85" s="416"/>
      <c r="AP85" s="167">
        <v>4.5786397049599843E-4</v>
      </c>
      <c r="AQ85" s="167">
        <v>5.4972501198601346E-4</v>
      </c>
      <c r="AR85" s="167">
        <v>2.7455995185798106E-4</v>
      </c>
      <c r="AS85" s="167">
        <v>1.5615211844336812E-3</v>
      </c>
      <c r="AT85" s="167">
        <v>9.216748542307516E-4</v>
      </c>
      <c r="AU85" s="167">
        <v>1.1786372007366484E-3</v>
      </c>
      <c r="AV85" s="167">
        <v>1.4543527931388455E-3</v>
      </c>
      <c r="AW85" s="174">
        <v>1.5870566031079675E-3</v>
      </c>
      <c r="AX85" s="499">
        <v>1.5870566031079675E-3</v>
      </c>
      <c r="AY85" s="499">
        <v>1.5870566031079675E-3</v>
      </c>
      <c r="AZ85" s="499">
        <v>1.5870566031079675E-3</v>
      </c>
      <c r="BA85" s="499">
        <v>1.5870566031079675E-3</v>
      </c>
      <c r="BB85" s="499">
        <v>1.5870566031079675E-3</v>
      </c>
      <c r="BC85" s="499">
        <v>1.5870566031079675E-3</v>
      </c>
      <c r="BD85" s="499">
        <v>1.5870566031079675E-3</v>
      </c>
      <c r="BE85" s="499">
        <v>1.5870566031079675E-3</v>
      </c>
      <c r="BF85" s="499">
        <v>1.5870566031079675E-3</v>
      </c>
      <c r="BG85" s="499">
        <v>1.5870566031079675E-3</v>
      </c>
      <c r="BH85" s="499">
        <v>1.5870566031079675E-3</v>
      </c>
      <c r="BI85" s="499">
        <v>1.5870566031079675E-3</v>
      </c>
      <c r="BJ85" s="499">
        <v>1.5870566031079675E-3</v>
      </c>
      <c r="BK85" s="499">
        <v>1.5870566031079675E-3</v>
      </c>
      <c r="BL85" s="499">
        <v>1.5870566031079675E-3</v>
      </c>
      <c r="BM85" s="499">
        <v>1.5870566031079675E-3</v>
      </c>
      <c r="BN85" s="499">
        <v>1.5870566031079675E-3</v>
      </c>
      <c r="BO85" s="499">
        <v>1.5870566031079675E-3</v>
      </c>
      <c r="BP85" s="499">
        <v>1.5870566031079675E-3</v>
      </c>
      <c r="BQ85" s="499">
        <v>1.5870566031079675E-3</v>
      </c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7"/>
      <c r="CN85" s="167"/>
      <c r="CO85" s="167"/>
      <c r="CP85" s="167"/>
      <c r="CQ85" s="167"/>
      <c r="CR85" s="167"/>
      <c r="CS85" s="167"/>
      <c r="CT85" s="167">
        <v>4.7701149425287354E-3</v>
      </c>
      <c r="CU85" s="167">
        <v>5.581270544039713E-4</v>
      </c>
      <c r="CV85" s="167">
        <v>5.0838840874428064E-4</v>
      </c>
      <c r="CW85" s="167">
        <v>9.8461538461538456E-4</v>
      </c>
      <c r="CX85" s="167">
        <v>1.0602788140585118E-3</v>
      </c>
      <c r="CY85" s="174">
        <v>1.5224815025611836E-3</v>
      </c>
      <c r="CZ85" s="166">
        <v>1.5870566031079675E-3</v>
      </c>
      <c r="DA85" s="166">
        <v>1.5870566031079673E-3</v>
      </c>
      <c r="DB85" s="166">
        <v>1.5870566031079675E-3</v>
      </c>
      <c r="DC85" s="166">
        <v>1.5870566031079673E-3</v>
      </c>
      <c r="DD85" s="166">
        <v>1.5870566031079673E-3</v>
      </c>
      <c r="DE85" s="166">
        <v>1.5870566031079677E-3</v>
      </c>
      <c r="DF85" s="166">
        <v>1.5870566031079677E-3</v>
      </c>
      <c r="DG85" s="166">
        <v>1.5870566031079671E-3</v>
      </c>
      <c r="DH85" s="166">
        <v>1.5870566031079673E-3</v>
      </c>
      <c r="DI85" s="166">
        <v>1.5870566031079675E-3</v>
      </c>
    </row>
    <row r="86" spans="1:113" ht="12" outlineLevel="1">
      <c r="A86" s="1" t="s">
        <v>698</v>
      </c>
      <c r="B86" s="19" t="s">
        <v>532</v>
      </c>
      <c r="C86" s="601"/>
      <c r="D86" s="601"/>
      <c r="E86" s="601"/>
      <c r="F86" s="601"/>
      <c r="G86" s="601"/>
      <c r="H86" s="601"/>
      <c r="I86" s="601"/>
      <c r="J86" s="601"/>
      <c r="K86" s="601"/>
      <c r="L86" s="601"/>
      <c r="M86" s="601"/>
      <c r="N86" s="601"/>
      <c r="O86" s="601"/>
      <c r="P86" s="601"/>
      <c r="Q86" s="601"/>
      <c r="R86" s="601"/>
      <c r="S86" s="601"/>
      <c r="T86" s="416"/>
      <c r="U86" s="601"/>
      <c r="V86" s="601"/>
      <c r="W86" s="601"/>
      <c r="X86" s="601"/>
      <c r="Y86" s="416"/>
      <c r="Z86" s="416"/>
      <c r="AA86" s="416"/>
      <c r="AB86" s="416"/>
      <c r="AC86" s="416"/>
      <c r="AD86" s="416"/>
      <c r="AE86" s="416"/>
      <c r="AF86" s="416"/>
      <c r="AG86" s="416"/>
      <c r="AH86" s="416"/>
      <c r="AI86" s="416"/>
      <c r="AJ86" s="416"/>
      <c r="AK86" s="416"/>
      <c r="AL86" s="416"/>
      <c r="AM86" s="416"/>
      <c r="AN86" s="416"/>
      <c r="AO86" s="416"/>
      <c r="AP86" s="167">
        <v>0</v>
      </c>
      <c r="AQ86" s="167">
        <v>0</v>
      </c>
      <c r="AR86" s="167">
        <v>0</v>
      </c>
      <c r="AS86" s="167">
        <v>0</v>
      </c>
      <c r="AT86" s="167">
        <v>0</v>
      </c>
      <c r="AU86" s="167">
        <v>0</v>
      </c>
      <c r="AV86" s="167">
        <v>0</v>
      </c>
      <c r="AW86" s="174">
        <v>0</v>
      </c>
      <c r="AX86" s="499">
        <v>0</v>
      </c>
      <c r="AY86" s="499">
        <v>0</v>
      </c>
      <c r="AZ86" s="499">
        <v>0</v>
      </c>
      <c r="BA86" s="499">
        <v>0</v>
      </c>
      <c r="BB86" s="499">
        <v>0</v>
      </c>
      <c r="BC86" s="499">
        <v>0</v>
      </c>
      <c r="BD86" s="499">
        <v>0</v>
      </c>
      <c r="BE86" s="499">
        <v>0</v>
      </c>
      <c r="BF86" s="499">
        <v>0</v>
      </c>
      <c r="BG86" s="499">
        <v>0</v>
      </c>
      <c r="BH86" s="499">
        <v>0</v>
      </c>
      <c r="BI86" s="499">
        <v>0</v>
      </c>
      <c r="BJ86" s="499">
        <v>0</v>
      </c>
      <c r="BK86" s="499">
        <v>0</v>
      </c>
      <c r="BL86" s="499">
        <v>0</v>
      </c>
      <c r="BM86" s="499">
        <v>0</v>
      </c>
      <c r="BN86" s="499">
        <v>0</v>
      </c>
      <c r="BO86" s="499">
        <v>0</v>
      </c>
      <c r="BP86" s="499">
        <v>0</v>
      </c>
      <c r="BQ86" s="499">
        <v>0</v>
      </c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7"/>
      <c r="CN86" s="167"/>
      <c r="CO86" s="167"/>
      <c r="CP86" s="167"/>
      <c r="CQ86" s="167"/>
      <c r="CR86" s="167"/>
      <c r="CS86" s="167"/>
      <c r="CT86" s="167">
        <v>0</v>
      </c>
      <c r="CU86" s="167">
        <v>0</v>
      </c>
      <c r="CV86" s="167">
        <v>0</v>
      </c>
      <c r="CW86" s="167">
        <v>0</v>
      </c>
      <c r="CX86" s="167">
        <v>0</v>
      </c>
      <c r="CY86" s="174">
        <v>0</v>
      </c>
      <c r="CZ86" s="166">
        <v>0</v>
      </c>
      <c r="DA86" s="166">
        <v>0</v>
      </c>
      <c r="DB86" s="166">
        <v>0</v>
      </c>
      <c r="DC86" s="166">
        <v>0</v>
      </c>
      <c r="DD86" s="166">
        <v>0</v>
      </c>
      <c r="DE86" s="166">
        <v>0</v>
      </c>
      <c r="DF86" s="166">
        <v>0</v>
      </c>
      <c r="DG86" s="166">
        <v>0</v>
      </c>
      <c r="DH86" s="166">
        <v>0</v>
      </c>
      <c r="DI86" s="166">
        <v>0</v>
      </c>
    </row>
    <row r="87" spans="1:113" ht="12" outlineLevel="1">
      <c r="A87" s="1" t="s">
        <v>699</v>
      </c>
      <c r="B87" s="19" t="s">
        <v>647</v>
      </c>
      <c r="C87" s="601"/>
      <c r="D87" s="601"/>
      <c r="E87" s="601"/>
      <c r="F87" s="601"/>
      <c r="G87" s="601"/>
      <c r="H87" s="601"/>
      <c r="I87" s="601"/>
      <c r="J87" s="601"/>
      <c r="K87" s="601"/>
      <c r="L87" s="601"/>
      <c r="M87" s="601"/>
      <c r="N87" s="601"/>
      <c r="O87" s="601"/>
      <c r="P87" s="601"/>
      <c r="Q87" s="601"/>
      <c r="R87" s="601"/>
      <c r="S87" s="601"/>
      <c r="T87" s="416"/>
      <c r="U87" s="601"/>
      <c r="V87" s="601"/>
      <c r="W87" s="601"/>
      <c r="X87" s="601"/>
      <c r="Y87" s="416"/>
      <c r="Z87" s="416"/>
      <c r="AA87" s="416"/>
      <c r="AB87" s="416"/>
      <c r="AC87" s="416"/>
      <c r="AD87" s="416"/>
      <c r="AE87" s="416"/>
      <c r="AF87" s="416"/>
      <c r="AG87" s="416"/>
      <c r="AH87" s="416"/>
      <c r="AI87" s="416"/>
      <c r="AJ87" s="416"/>
      <c r="AK87" s="416"/>
      <c r="AL87" s="416"/>
      <c r="AM87" s="416"/>
      <c r="AN87" s="416"/>
      <c r="AO87" s="416"/>
      <c r="AP87" s="167" t="s">
        <v>213</v>
      </c>
      <c r="AQ87" s="167" t="s">
        <v>213</v>
      </c>
      <c r="AR87" s="167" t="s">
        <v>213</v>
      </c>
      <c r="AS87" s="167" t="s">
        <v>213</v>
      </c>
      <c r="AT87" s="167" t="s">
        <v>213</v>
      </c>
      <c r="AU87" s="167" t="s">
        <v>213</v>
      </c>
      <c r="AV87" s="167" t="s">
        <v>213</v>
      </c>
      <c r="AW87" s="174" t="s">
        <v>213</v>
      </c>
      <c r="AX87" s="499">
        <v>0</v>
      </c>
      <c r="AY87" s="499">
        <v>0</v>
      </c>
      <c r="AZ87" s="499">
        <v>0</v>
      </c>
      <c r="BA87" s="499">
        <v>0</v>
      </c>
      <c r="BB87" s="499">
        <v>0</v>
      </c>
      <c r="BC87" s="499">
        <v>0</v>
      </c>
      <c r="BD87" s="499">
        <v>0</v>
      </c>
      <c r="BE87" s="499">
        <v>0</v>
      </c>
      <c r="BF87" s="499">
        <v>0</v>
      </c>
      <c r="BG87" s="499">
        <v>0</v>
      </c>
      <c r="BH87" s="499">
        <v>0</v>
      </c>
      <c r="BI87" s="499">
        <v>0</v>
      </c>
      <c r="BJ87" s="499">
        <v>0</v>
      </c>
      <c r="BK87" s="499">
        <v>0</v>
      </c>
      <c r="BL87" s="499">
        <v>0</v>
      </c>
      <c r="BM87" s="499">
        <v>0</v>
      </c>
      <c r="BN87" s="499">
        <v>0</v>
      </c>
      <c r="BO87" s="499">
        <v>0</v>
      </c>
      <c r="BP87" s="499">
        <v>0</v>
      </c>
      <c r="BQ87" s="499">
        <v>0</v>
      </c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7"/>
      <c r="CN87" s="167"/>
      <c r="CO87" s="167"/>
      <c r="CP87" s="167"/>
      <c r="CQ87" s="167"/>
      <c r="CR87" s="167"/>
      <c r="CS87" s="167"/>
      <c r="CT87" s="167" t="s">
        <v>213</v>
      </c>
      <c r="CU87" s="167" t="s">
        <v>213</v>
      </c>
      <c r="CV87" s="167" t="s">
        <v>213</v>
      </c>
      <c r="CW87" s="167" t="s">
        <v>213</v>
      </c>
      <c r="CX87" s="167" t="s">
        <v>213</v>
      </c>
      <c r="CY87" s="174" t="s">
        <v>213</v>
      </c>
      <c r="CZ87" s="167" t="s">
        <v>213</v>
      </c>
      <c r="DA87" s="167" t="s">
        <v>213</v>
      </c>
      <c r="DB87" s="167" t="s">
        <v>213</v>
      </c>
      <c r="DC87" s="167" t="s">
        <v>213</v>
      </c>
      <c r="DD87" s="167" t="s">
        <v>213</v>
      </c>
      <c r="DE87" s="167" t="s">
        <v>213</v>
      </c>
      <c r="DF87" s="167" t="s">
        <v>213</v>
      </c>
      <c r="DG87" s="167" t="s">
        <v>213</v>
      </c>
      <c r="DH87" s="167" t="s">
        <v>213</v>
      </c>
      <c r="DI87" s="167" t="s">
        <v>213</v>
      </c>
    </row>
    <row r="88" spans="1:113" ht="12" outlineLevel="1">
      <c r="A88" s="1" t="s">
        <v>700</v>
      </c>
      <c r="B88" s="19" t="s">
        <v>382</v>
      </c>
      <c r="C88" s="601"/>
      <c r="D88" s="601"/>
      <c r="E88" s="601"/>
      <c r="F88" s="601"/>
      <c r="G88" s="601"/>
      <c r="H88" s="601"/>
      <c r="I88" s="601"/>
      <c r="J88" s="601"/>
      <c r="K88" s="601"/>
      <c r="L88" s="601"/>
      <c r="M88" s="601"/>
      <c r="N88" s="601"/>
      <c r="O88" s="601"/>
      <c r="P88" s="601"/>
      <c r="Q88" s="601"/>
      <c r="R88" s="601"/>
      <c r="S88" s="601"/>
      <c r="T88" s="416"/>
      <c r="U88" s="601"/>
      <c r="V88" s="601"/>
      <c r="W88" s="601"/>
      <c r="X88" s="601"/>
      <c r="Y88" s="416"/>
      <c r="Z88" s="416"/>
      <c r="AA88" s="416"/>
      <c r="AB88" s="416"/>
      <c r="AC88" s="416"/>
      <c r="AD88" s="416"/>
      <c r="AE88" s="416"/>
      <c r="AF88" s="416"/>
      <c r="AG88" s="416"/>
      <c r="AH88" s="416"/>
      <c r="AI88" s="416"/>
      <c r="AJ88" s="416"/>
      <c r="AK88" s="416"/>
      <c r="AL88" s="416"/>
      <c r="AM88" s="416"/>
      <c r="AN88" s="416"/>
      <c r="AO88" s="416"/>
      <c r="AP88" s="167" t="s">
        <v>213</v>
      </c>
      <c r="AQ88" s="167" t="s">
        <v>213</v>
      </c>
      <c r="AR88" s="167" t="s">
        <v>213</v>
      </c>
      <c r="AS88" s="167" t="s">
        <v>213</v>
      </c>
      <c r="AT88" s="167" t="s">
        <v>213</v>
      </c>
      <c r="AU88" s="167" t="s">
        <v>213</v>
      </c>
      <c r="AV88" s="167" t="s">
        <v>213</v>
      </c>
      <c r="AW88" s="174" t="s">
        <v>213</v>
      </c>
      <c r="AX88" s="499" t="s">
        <v>213</v>
      </c>
      <c r="AY88" s="499" t="s">
        <v>213</v>
      </c>
      <c r="AZ88" s="499" t="s">
        <v>213</v>
      </c>
      <c r="BA88" s="499" t="s">
        <v>213</v>
      </c>
      <c r="BB88" s="499" t="s">
        <v>213</v>
      </c>
      <c r="BC88" s="499" t="s">
        <v>213</v>
      </c>
      <c r="BD88" s="499" t="s">
        <v>213</v>
      </c>
      <c r="BE88" s="499" t="s">
        <v>213</v>
      </c>
      <c r="BF88" s="499" t="s">
        <v>213</v>
      </c>
      <c r="BG88" s="499" t="s">
        <v>213</v>
      </c>
      <c r="BH88" s="499" t="s">
        <v>213</v>
      </c>
      <c r="BI88" s="499" t="s">
        <v>213</v>
      </c>
      <c r="BJ88" s="499" t="s">
        <v>213</v>
      </c>
      <c r="BK88" s="499" t="s">
        <v>213</v>
      </c>
      <c r="BL88" s="499" t="s">
        <v>213</v>
      </c>
      <c r="BM88" s="499" t="s">
        <v>213</v>
      </c>
      <c r="BN88" s="499" t="s">
        <v>213</v>
      </c>
      <c r="BO88" s="499" t="s">
        <v>213</v>
      </c>
      <c r="BP88" s="499" t="s">
        <v>213</v>
      </c>
      <c r="BQ88" s="499" t="s">
        <v>213</v>
      </c>
      <c r="BR88" s="166"/>
      <c r="BS88" s="166"/>
      <c r="BT88" s="166"/>
      <c r="BU88" s="166"/>
      <c r="BV88" s="166"/>
      <c r="BW88" s="166"/>
      <c r="BX88" s="166"/>
      <c r="BY88" s="166"/>
      <c r="BZ88" s="166"/>
      <c r="CA88" s="166"/>
      <c r="CB88" s="166"/>
      <c r="CC88" s="166"/>
      <c r="CD88" s="166"/>
      <c r="CE88" s="166"/>
      <c r="CF88" s="166"/>
      <c r="CG88" s="166"/>
      <c r="CH88" s="166"/>
      <c r="CI88" s="166"/>
      <c r="CJ88" s="166"/>
      <c r="CK88" s="166"/>
      <c r="CL88" s="166"/>
      <c r="CM88" s="167"/>
      <c r="CN88" s="167"/>
      <c r="CO88" s="167"/>
      <c r="CP88" s="167"/>
      <c r="CQ88" s="167"/>
      <c r="CR88" s="167"/>
      <c r="CS88" s="167"/>
      <c r="CT88" s="167" t="s">
        <v>213</v>
      </c>
      <c r="CU88" s="167" t="s">
        <v>213</v>
      </c>
      <c r="CV88" s="167" t="s">
        <v>213</v>
      </c>
      <c r="CW88" s="167" t="s">
        <v>213</v>
      </c>
      <c r="CX88" s="167" t="s">
        <v>213</v>
      </c>
      <c r="CY88" s="174" t="s">
        <v>213</v>
      </c>
      <c r="CZ88" s="167" t="s">
        <v>213</v>
      </c>
      <c r="DA88" s="167" t="s">
        <v>213</v>
      </c>
      <c r="DB88" s="167" t="s">
        <v>213</v>
      </c>
      <c r="DC88" s="167" t="s">
        <v>213</v>
      </c>
      <c r="DD88" s="167" t="s">
        <v>213</v>
      </c>
      <c r="DE88" s="167" t="s">
        <v>213</v>
      </c>
      <c r="DF88" s="167" t="s">
        <v>213</v>
      </c>
      <c r="DG88" s="167" t="s">
        <v>213</v>
      </c>
      <c r="DH88" s="167" t="s">
        <v>213</v>
      </c>
      <c r="DI88" s="167" t="s">
        <v>213</v>
      </c>
    </row>
    <row r="89" spans="1:113" ht="12" outlineLevel="1">
      <c r="A89" s="1" t="s">
        <v>701</v>
      </c>
      <c r="B89" s="19" t="s">
        <v>319</v>
      </c>
      <c r="C89" s="601"/>
      <c r="D89" s="601"/>
      <c r="E89" s="601"/>
      <c r="F89" s="601"/>
      <c r="G89" s="601"/>
      <c r="H89" s="601"/>
      <c r="I89" s="601"/>
      <c r="J89" s="601"/>
      <c r="K89" s="601"/>
      <c r="L89" s="601"/>
      <c r="M89" s="601"/>
      <c r="N89" s="601"/>
      <c r="O89" s="601"/>
      <c r="P89" s="601"/>
      <c r="Q89" s="601"/>
      <c r="R89" s="601"/>
      <c r="S89" s="601"/>
      <c r="T89" s="416"/>
      <c r="U89" s="601"/>
      <c r="V89" s="601"/>
      <c r="W89" s="601"/>
      <c r="X89" s="601"/>
      <c r="Y89" s="416"/>
      <c r="Z89" s="416"/>
      <c r="AA89" s="416"/>
      <c r="AB89" s="416"/>
      <c r="AC89" s="416"/>
      <c r="AD89" s="416"/>
      <c r="AE89" s="416"/>
      <c r="AF89" s="416"/>
      <c r="AG89" s="416"/>
      <c r="AH89" s="416"/>
      <c r="AI89" s="416"/>
      <c r="AJ89" s="416"/>
      <c r="AK89" s="416"/>
      <c r="AL89" s="416"/>
      <c r="AM89" s="416"/>
      <c r="AN89" s="416"/>
      <c r="AO89" s="416"/>
      <c r="AP89" s="167">
        <v>0</v>
      </c>
      <c r="AQ89" s="167">
        <v>0</v>
      </c>
      <c r="AR89" s="167">
        <v>0</v>
      </c>
      <c r="AS89" s="167">
        <v>0</v>
      </c>
      <c r="AT89" s="167">
        <v>0</v>
      </c>
      <c r="AU89" s="167">
        <v>0</v>
      </c>
      <c r="AV89" s="167">
        <v>0</v>
      </c>
      <c r="AW89" s="174">
        <v>0</v>
      </c>
      <c r="AX89" s="499">
        <v>0</v>
      </c>
      <c r="AY89" s="499">
        <v>0</v>
      </c>
      <c r="AZ89" s="499">
        <v>0</v>
      </c>
      <c r="BA89" s="499">
        <v>0</v>
      </c>
      <c r="BB89" s="499">
        <v>0</v>
      </c>
      <c r="BC89" s="499">
        <v>0</v>
      </c>
      <c r="BD89" s="499">
        <v>0</v>
      </c>
      <c r="BE89" s="499">
        <v>0</v>
      </c>
      <c r="BF89" s="499">
        <v>0</v>
      </c>
      <c r="BG89" s="499">
        <v>0</v>
      </c>
      <c r="BH89" s="499">
        <v>0</v>
      </c>
      <c r="BI89" s="499">
        <v>0</v>
      </c>
      <c r="BJ89" s="499">
        <v>0</v>
      </c>
      <c r="BK89" s="499">
        <v>0</v>
      </c>
      <c r="BL89" s="499">
        <v>0</v>
      </c>
      <c r="BM89" s="499">
        <v>0</v>
      </c>
      <c r="BN89" s="499">
        <v>0</v>
      </c>
      <c r="BO89" s="499">
        <v>0</v>
      </c>
      <c r="BP89" s="499">
        <v>0</v>
      </c>
      <c r="BQ89" s="499">
        <v>0</v>
      </c>
      <c r="BR89" s="166"/>
      <c r="BS89" s="166"/>
      <c r="BT89" s="166"/>
      <c r="BU89" s="166"/>
      <c r="BV89" s="166"/>
      <c r="BW89" s="166"/>
      <c r="BX89" s="166"/>
      <c r="BY89" s="166"/>
      <c r="BZ89" s="166"/>
      <c r="CA89" s="166"/>
      <c r="CB89" s="166"/>
      <c r="CC89" s="166"/>
      <c r="CD89" s="166"/>
      <c r="CE89" s="166"/>
      <c r="CF89" s="166"/>
      <c r="CG89" s="166"/>
      <c r="CH89" s="166"/>
      <c r="CI89" s="166"/>
      <c r="CJ89" s="166"/>
      <c r="CK89" s="166"/>
      <c r="CL89" s="166"/>
      <c r="CM89" s="167"/>
      <c r="CN89" s="167"/>
      <c r="CO89" s="167"/>
      <c r="CP89" s="167"/>
      <c r="CQ89" s="167"/>
      <c r="CR89" s="167"/>
      <c r="CS89" s="167"/>
      <c r="CT89" s="167">
        <v>0</v>
      </c>
      <c r="CU89" s="167">
        <v>0</v>
      </c>
      <c r="CV89" s="167">
        <v>0</v>
      </c>
      <c r="CW89" s="167">
        <v>0</v>
      </c>
      <c r="CX89" s="167">
        <v>0</v>
      </c>
      <c r="CY89" s="174">
        <v>0</v>
      </c>
      <c r="CZ89" s="166">
        <v>0</v>
      </c>
      <c r="DA89" s="166">
        <v>0</v>
      </c>
      <c r="DB89" s="166">
        <v>0</v>
      </c>
      <c r="DC89" s="166">
        <v>0</v>
      </c>
      <c r="DD89" s="166">
        <v>0</v>
      </c>
      <c r="DE89" s="166">
        <v>0</v>
      </c>
      <c r="DF89" s="166">
        <v>0</v>
      </c>
      <c r="DG89" s="166">
        <v>0</v>
      </c>
      <c r="DH89" s="166">
        <v>0</v>
      </c>
      <c r="DI89" s="166">
        <v>0</v>
      </c>
    </row>
    <row r="90" spans="1:113" ht="12" outlineLevel="1">
      <c r="AA90" s="165"/>
      <c r="AB90" s="165"/>
      <c r="AC90" s="165"/>
      <c r="AD90" s="42"/>
      <c r="AE90" s="95"/>
      <c r="AF90" s="42"/>
      <c r="AG90" s="42"/>
      <c r="AH90" s="165"/>
      <c r="AI90" s="165"/>
      <c r="AJ90" s="165"/>
      <c r="AK90" s="165"/>
      <c r="AL90" s="42"/>
      <c r="AM90" s="42"/>
      <c r="AN90" s="42"/>
      <c r="AO90" s="42"/>
      <c r="AY90" s="627"/>
      <c r="BA90" s="627"/>
      <c r="BB90" s="165"/>
      <c r="BC90" s="165"/>
      <c r="BD90" s="165"/>
      <c r="BE90" s="165"/>
      <c r="BF90" s="165"/>
      <c r="BG90" s="165"/>
      <c r="BH90" s="165"/>
      <c r="BI90" s="165"/>
      <c r="BJ90" s="165"/>
      <c r="BK90" s="165"/>
      <c r="BL90" s="165"/>
      <c r="BM90" s="165"/>
      <c r="BN90" s="165"/>
      <c r="BO90" s="165"/>
      <c r="BP90" s="165"/>
      <c r="BQ90" s="165"/>
      <c r="CU90" s="42"/>
      <c r="DB90" s="19"/>
      <c r="DC90" s="19"/>
      <c r="DD90" s="19"/>
      <c r="DE90" s="19"/>
      <c r="DF90" s="19"/>
      <c r="DG90" s="19"/>
      <c r="DH90" s="19"/>
      <c r="DI90" s="19"/>
    </row>
    <row r="91" spans="1:113" ht="12" outlineLevel="1">
      <c r="B91" s="24" t="s">
        <v>320</v>
      </c>
      <c r="AC91" s="394"/>
      <c r="AD91" s="394"/>
      <c r="AE91" s="394"/>
      <c r="AF91" s="394"/>
      <c r="AG91" s="42"/>
      <c r="AH91" s="555"/>
      <c r="AI91" s="555"/>
      <c r="AJ91" s="42"/>
      <c r="AK91" s="42"/>
      <c r="AL91" s="42"/>
      <c r="AM91" s="42"/>
      <c r="AN91" s="42"/>
      <c r="AO91" s="42"/>
      <c r="AP91" s="620"/>
      <c r="AQ91" s="620"/>
      <c r="AR91" s="620"/>
      <c r="AS91" s="620"/>
      <c r="AT91" s="620"/>
      <c r="AY91" s="636"/>
      <c r="AZ91" s="95"/>
      <c r="BA91" s="636"/>
      <c r="BC91" s="636"/>
      <c r="BE91" s="636"/>
      <c r="CU91" s="42"/>
      <c r="CV91" s="620"/>
      <c r="CW91" s="620"/>
      <c r="CX91" s="620"/>
      <c r="CY91" s="542"/>
      <c r="DB91" s="19"/>
      <c r="DC91" s="19"/>
      <c r="DD91" s="19"/>
      <c r="DE91" s="19"/>
      <c r="DF91" s="19"/>
      <c r="DG91" s="19"/>
      <c r="DH91" s="19"/>
      <c r="DI91" s="19"/>
    </row>
    <row r="92" spans="1:113" ht="12" outlineLevel="1">
      <c r="A92" s="1" t="s">
        <v>840</v>
      </c>
      <c r="B92" s="19" t="s">
        <v>458</v>
      </c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113">
        <v>246</v>
      </c>
      <c r="AQ92" s="113">
        <v>320</v>
      </c>
      <c r="AR92" s="113">
        <v>359</v>
      </c>
      <c r="AS92" s="113">
        <v>465</v>
      </c>
      <c r="AT92" s="113">
        <v>518</v>
      </c>
      <c r="AU92" s="113">
        <v>543</v>
      </c>
      <c r="AV92" s="113">
        <v>557</v>
      </c>
      <c r="AW92" s="115">
        <v>543</v>
      </c>
      <c r="AX92" s="41">
        <v>553</v>
      </c>
      <c r="AY92" s="41">
        <v>563</v>
      </c>
      <c r="AZ92" s="41">
        <v>573</v>
      </c>
      <c r="BA92" s="41">
        <v>583</v>
      </c>
      <c r="BB92" s="41">
        <v>593</v>
      </c>
      <c r="BC92" s="41">
        <v>603</v>
      </c>
      <c r="BD92" s="41">
        <v>603</v>
      </c>
      <c r="BE92" s="41">
        <v>603</v>
      </c>
      <c r="BF92" s="41">
        <v>603</v>
      </c>
      <c r="BG92" s="41">
        <v>603</v>
      </c>
      <c r="BH92" s="41">
        <v>603</v>
      </c>
      <c r="BI92" s="41">
        <v>603</v>
      </c>
      <c r="BJ92" s="41">
        <v>603</v>
      </c>
      <c r="BK92" s="41">
        <v>603</v>
      </c>
      <c r="BL92" s="41">
        <v>603</v>
      </c>
      <c r="BM92" s="41">
        <v>603</v>
      </c>
      <c r="BN92" s="41">
        <v>603</v>
      </c>
      <c r="BO92" s="41">
        <v>603</v>
      </c>
      <c r="BP92" s="41">
        <v>603</v>
      </c>
      <c r="BQ92" s="41">
        <v>603</v>
      </c>
      <c r="BR92" s="42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113">
        <v>105</v>
      </c>
      <c r="CU92" s="113">
        <v>197</v>
      </c>
      <c r="CV92" s="42">
        <v>320</v>
      </c>
      <c r="CW92" s="42">
        <v>465</v>
      </c>
      <c r="CX92" s="42">
        <v>543</v>
      </c>
      <c r="CY92" s="43">
        <v>543</v>
      </c>
      <c r="CZ92" s="42">
        <v>563</v>
      </c>
      <c r="DA92" s="42">
        <v>583</v>
      </c>
      <c r="DB92" s="42">
        <v>603</v>
      </c>
      <c r="DC92" s="42">
        <v>603</v>
      </c>
      <c r="DD92" s="42">
        <v>603</v>
      </c>
      <c r="DE92" s="42">
        <v>603</v>
      </c>
      <c r="DF92" s="42">
        <v>603</v>
      </c>
      <c r="DG92" s="42">
        <v>603</v>
      </c>
      <c r="DH92" s="42">
        <v>603</v>
      </c>
      <c r="DI92" s="42">
        <v>603</v>
      </c>
    </row>
    <row r="93" spans="1:113" ht="12" outlineLevel="1">
      <c r="A93" s="1" t="s">
        <v>841</v>
      </c>
      <c r="B93" s="19" t="s">
        <v>976</v>
      </c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>
        <v>183048.33863556027</v>
      </c>
      <c r="AQ93" s="42">
        <v>201657.45856353591</v>
      </c>
      <c r="AR93" s="42">
        <v>215022.09131075107</v>
      </c>
      <c r="AS93" s="42">
        <v>208999.35632677146</v>
      </c>
      <c r="AT93" s="42">
        <v>227226.98925206778</v>
      </c>
      <c r="AU93" s="42">
        <v>239480.11101795972</v>
      </c>
      <c r="AV93" s="42">
        <v>234355.73122529642</v>
      </c>
      <c r="AW93" s="43">
        <v>235468.5314685315</v>
      </c>
      <c r="AX93" s="42">
        <v>228404.47552447554</v>
      </c>
      <c r="AY93" s="42">
        <v>221552.34125874127</v>
      </c>
      <c r="AZ93" s="42">
        <v>219336.81784615386</v>
      </c>
      <c r="BA93" s="42">
        <v>217143.44966769233</v>
      </c>
      <c r="BB93" s="42">
        <v>213886.29792267695</v>
      </c>
      <c r="BC93" s="42">
        <v>210678.00345383681</v>
      </c>
      <c r="BD93" s="42">
        <v>212784.78348837516</v>
      </c>
      <c r="BE93" s="42">
        <v>214912.63132325892</v>
      </c>
      <c r="BF93" s="42">
        <v>217061.7576364915</v>
      </c>
      <c r="BG93" s="42">
        <v>219232.37521285642</v>
      </c>
      <c r="BH93" s="42">
        <v>221972.77990301713</v>
      </c>
      <c r="BI93" s="42">
        <v>224747.43965180483</v>
      </c>
      <c r="BJ93" s="42">
        <v>227556.78264745238</v>
      </c>
      <c r="BK93" s="42">
        <v>230401.24243054551</v>
      </c>
      <c r="BL93" s="42">
        <v>232705.25485485097</v>
      </c>
      <c r="BM93" s="42">
        <v>236777.59681481088</v>
      </c>
      <c r="BN93" s="42">
        <v>243880.92471925521</v>
      </c>
      <c r="BO93" s="42">
        <v>248148.8409018422</v>
      </c>
      <c r="BP93" s="42">
        <v>254972.93402664288</v>
      </c>
      <c r="BQ93" s="42">
        <v>260072.39270717575</v>
      </c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>
        <v>156523.8095238095</v>
      </c>
      <c r="CU93" s="42">
        <v>240596.0264900662</v>
      </c>
      <c r="CV93" s="42">
        <v>197292.06963249514</v>
      </c>
      <c r="CW93" s="42">
        <v>170967.74193548385</v>
      </c>
      <c r="CX93" s="42">
        <v>219705.34069981583</v>
      </c>
      <c r="CY93" s="43">
        <v>237937.38489871085</v>
      </c>
      <c r="CZ93" s="42">
        <v>220963.15452217456</v>
      </c>
      <c r="DA93" s="42">
        <v>214480.80511323983</v>
      </c>
      <c r="DB93" s="42">
        <v>208746.91420834936</v>
      </c>
      <c r="DC93" s="42">
        <v>213842.89361391848</v>
      </c>
      <c r="DD93" s="42">
        <v>218138.1460784697</v>
      </c>
      <c r="DE93" s="42">
        <v>223348.70706611458</v>
      </c>
      <c r="DF93" s="42">
        <v>228967.32297824652</v>
      </c>
      <c r="DG93" s="42">
        <v>234730.29921745398</v>
      </c>
      <c r="DH93" s="42">
        <v>245997.34342897646</v>
      </c>
      <c r="DI93" s="42">
        <v>257501.70668740023</v>
      </c>
    </row>
    <row r="94" spans="1:113" ht="12" outlineLevel="1">
      <c r="A94" s="1" t="s">
        <v>977</v>
      </c>
      <c r="B94" s="19" t="s">
        <v>559</v>
      </c>
      <c r="C94" s="412"/>
      <c r="D94" s="412"/>
      <c r="E94" s="412"/>
      <c r="F94" s="412"/>
      <c r="G94" s="412"/>
      <c r="H94" s="412"/>
      <c r="I94" s="412"/>
      <c r="J94" s="412"/>
      <c r="K94" s="412"/>
      <c r="L94" s="412"/>
      <c r="M94" s="412"/>
      <c r="N94" s="412"/>
      <c r="O94" s="412"/>
      <c r="P94" s="412"/>
      <c r="Q94" s="412"/>
      <c r="R94" s="412"/>
      <c r="S94" s="412"/>
      <c r="T94" s="388"/>
      <c r="U94" s="412"/>
      <c r="V94" s="412"/>
      <c r="W94" s="412"/>
      <c r="X94" s="412"/>
      <c r="Y94" s="388"/>
      <c r="Z94" s="388"/>
      <c r="AA94" s="388"/>
      <c r="AB94" s="388"/>
      <c r="AC94" s="388"/>
      <c r="AD94" s="388"/>
      <c r="AE94" s="388"/>
      <c r="AF94" s="388"/>
      <c r="AG94" s="388"/>
      <c r="AH94" s="388"/>
      <c r="AI94" s="388"/>
      <c r="AJ94" s="388"/>
      <c r="AK94" s="388"/>
      <c r="AL94" s="388"/>
      <c r="AM94" s="388"/>
      <c r="AN94" s="388"/>
      <c r="AO94" s="388"/>
      <c r="AP94" s="426"/>
      <c r="AQ94" s="426"/>
      <c r="AR94" s="426"/>
      <c r="AS94" s="426"/>
      <c r="AT94" s="426"/>
      <c r="AU94" s="426"/>
      <c r="AV94" s="426"/>
      <c r="AW94" s="392"/>
      <c r="AX94" s="387">
        <v>0.6</v>
      </c>
      <c r="AY94" s="387">
        <v>0.6</v>
      </c>
      <c r="AZ94" s="387">
        <v>0.6</v>
      </c>
      <c r="BA94" s="387">
        <v>0.6</v>
      </c>
      <c r="BB94" s="387">
        <v>0.6</v>
      </c>
      <c r="BC94" s="387">
        <v>0.6</v>
      </c>
      <c r="BD94" s="387">
        <v>0.6</v>
      </c>
      <c r="BE94" s="387">
        <v>0.6</v>
      </c>
      <c r="BF94" s="387">
        <v>0.6</v>
      </c>
      <c r="BG94" s="387">
        <v>0.6</v>
      </c>
      <c r="BH94" s="387">
        <v>0.6</v>
      </c>
      <c r="BI94" s="387">
        <v>0.6</v>
      </c>
      <c r="BJ94" s="387">
        <v>0.6</v>
      </c>
      <c r="BK94" s="387">
        <v>0.6</v>
      </c>
      <c r="BL94" s="387">
        <v>0.6</v>
      </c>
      <c r="BM94" s="387">
        <v>0.6</v>
      </c>
      <c r="BN94" s="387">
        <v>0.6</v>
      </c>
      <c r="BO94" s="387">
        <v>0.6</v>
      </c>
      <c r="BP94" s="387">
        <v>0.6</v>
      </c>
      <c r="BQ94" s="387">
        <v>0.6</v>
      </c>
      <c r="BR94" s="160"/>
      <c r="BS94" s="160"/>
      <c r="BT94" s="160"/>
      <c r="BU94" s="160"/>
      <c r="BV94" s="160"/>
      <c r="BW94" s="160"/>
      <c r="BX94" s="160"/>
      <c r="BY94" s="160"/>
      <c r="BZ94" s="160"/>
      <c r="CA94" s="160"/>
      <c r="CB94" s="160"/>
      <c r="CC94" s="160"/>
      <c r="CD94" s="160"/>
      <c r="CE94" s="160"/>
      <c r="CF94" s="160"/>
      <c r="CG94" s="160"/>
      <c r="CH94" s="160"/>
      <c r="CI94" s="160"/>
      <c r="CJ94" s="160"/>
      <c r="CK94" s="160"/>
      <c r="CL94" s="160"/>
      <c r="CM94" s="172"/>
      <c r="CN94" s="172"/>
      <c r="CO94" s="172"/>
      <c r="CP94" s="172"/>
      <c r="CQ94" s="172"/>
      <c r="CR94" s="172"/>
      <c r="CS94" s="172"/>
      <c r="CT94" s="426"/>
      <c r="CU94" s="426"/>
      <c r="CV94" s="426"/>
      <c r="CW94" s="426"/>
      <c r="CX94" s="426"/>
      <c r="CY94" s="392"/>
      <c r="CZ94" s="160"/>
      <c r="DA94" s="160"/>
      <c r="DB94" s="19"/>
      <c r="DC94" s="19"/>
      <c r="DD94" s="19"/>
      <c r="DE94" s="19"/>
      <c r="DF94" s="19"/>
      <c r="DG94" s="19"/>
      <c r="DH94" s="19"/>
      <c r="DI94" s="19"/>
    </row>
    <row r="95" spans="1:113" ht="12" outlineLevel="1">
      <c r="A95" s="1" t="s">
        <v>978</v>
      </c>
      <c r="B95" s="19" t="s">
        <v>560</v>
      </c>
      <c r="C95" s="408"/>
      <c r="D95" s="408"/>
      <c r="E95" s="408"/>
      <c r="F95" s="408"/>
      <c r="G95" s="408"/>
      <c r="H95" s="408"/>
      <c r="I95" s="408"/>
      <c r="J95" s="408"/>
      <c r="K95" s="408"/>
      <c r="L95" s="408"/>
      <c r="M95" s="408"/>
      <c r="N95" s="408"/>
      <c r="O95" s="408"/>
      <c r="P95" s="408"/>
      <c r="Q95" s="408"/>
      <c r="R95" s="408"/>
      <c r="S95" s="408"/>
      <c r="T95" s="394"/>
      <c r="U95" s="408"/>
      <c r="V95" s="408"/>
      <c r="W95" s="408"/>
      <c r="X95" s="408"/>
      <c r="Y95" s="394"/>
      <c r="Z95" s="394"/>
      <c r="AA95" s="394"/>
      <c r="AB95" s="394"/>
      <c r="AC95" s="394"/>
      <c r="AD95" s="394"/>
      <c r="AE95" s="394"/>
      <c r="AF95" s="394"/>
      <c r="AG95" s="394"/>
      <c r="AH95" s="394"/>
      <c r="AI95" s="394"/>
      <c r="AJ95" s="394"/>
      <c r="AK95" s="394"/>
      <c r="AL95" s="394"/>
      <c r="AM95" s="394"/>
      <c r="AN95" s="394"/>
      <c r="AO95" s="394"/>
      <c r="AP95" s="427"/>
      <c r="AQ95" s="427"/>
      <c r="AR95" s="427"/>
      <c r="AS95" s="427"/>
      <c r="AT95" s="427"/>
      <c r="AU95" s="427"/>
      <c r="AV95" s="427"/>
      <c r="AW95" s="393"/>
      <c r="AX95" s="386">
        <v>-0.03</v>
      </c>
      <c r="AY95" s="386">
        <v>-0.03</v>
      </c>
      <c r="AZ95" s="386">
        <v>-0.01</v>
      </c>
      <c r="BA95" s="386">
        <v>-0.01</v>
      </c>
      <c r="BB95" s="386">
        <v>-1.4999999999999999E-2</v>
      </c>
      <c r="BC95" s="386">
        <v>-1.4999999999999999E-2</v>
      </c>
      <c r="BD95" s="386">
        <v>0.01</v>
      </c>
      <c r="BE95" s="386">
        <v>0.01</v>
      </c>
      <c r="BF95" s="386">
        <v>0.01</v>
      </c>
      <c r="BG95" s="386">
        <v>0.01</v>
      </c>
      <c r="BH95" s="386">
        <v>1.2500000000000001E-2</v>
      </c>
      <c r="BI95" s="386">
        <v>1.2500000000000001E-2</v>
      </c>
      <c r="BJ95" s="386">
        <v>1.2500000000000001E-2</v>
      </c>
      <c r="BK95" s="386">
        <v>1.2500000000000001E-2</v>
      </c>
      <c r="BL95" s="386">
        <v>0.01</v>
      </c>
      <c r="BM95" s="386">
        <v>1.7500000000000002E-2</v>
      </c>
      <c r="BN95" s="386">
        <v>0.03</v>
      </c>
      <c r="BO95" s="386">
        <v>1.7500000000000002E-2</v>
      </c>
      <c r="BP95" s="386">
        <v>2.75E-2</v>
      </c>
      <c r="BQ95" s="386">
        <v>0.02</v>
      </c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285"/>
      <c r="CN95" s="285"/>
      <c r="CO95" s="285"/>
      <c r="CP95" s="285"/>
      <c r="CQ95" s="285"/>
      <c r="CR95" s="285"/>
      <c r="CS95" s="285"/>
      <c r="CT95" s="427"/>
      <c r="CU95" s="427"/>
      <c r="CV95" s="427"/>
      <c r="CW95" s="427"/>
      <c r="CX95" s="427"/>
      <c r="CY95" s="393"/>
      <c r="CZ95" s="162"/>
      <c r="DA95" s="162"/>
      <c r="DB95" s="19"/>
      <c r="DC95" s="19"/>
      <c r="DD95" s="19"/>
      <c r="DE95" s="19"/>
      <c r="DF95" s="19"/>
      <c r="DG95" s="19"/>
      <c r="DH95" s="19"/>
      <c r="DI95" s="19"/>
    </row>
    <row r="96" spans="1:113" ht="12" outlineLevel="1">
      <c r="A96" s="1" t="s">
        <v>983</v>
      </c>
      <c r="B96" s="19" t="s">
        <v>562</v>
      </c>
      <c r="C96" s="408"/>
      <c r="D96" s="408"/>
      <c r="E96" s="408"/>
      <c r="F96" s="408"/>
      <c r="G96" s="408"/>
      <c r="H96" s="408"/>
      <c r="I96" s="408"/>
      <c r="J96" s="408"/>
      <c r="K96" s="408"/>
      <c r="L96" s="408"/>
      <c r="M96" s="408"/>
      <c r="N96" s="408"/>
      <c r="O96" s="408"/>
      <c r="P96" s="394"/>
      <c r="Q96" s="394"/>
      <c r="R96" s="394"/>
      <c r="S96" s="394"/>
      <c r="T96" s="394"/>
      <c r="U96" s="394"/>
      <c r="V96" s="394"/>
      <c r="W96" s="394"/>
      <c r="X96" s="394"/>
      <c r="Y96" s="394"/>
      <c r="Z96" s="394"/>
      <c r="AA96" s="394"/>
      <c r="AB96" s="394"/>
      <c r="AC96" s="394"/>
      <c r="AD96" s="394"/>
      <c r="AE96" s="394"/>
      <c r="AF96" s="394"/>
      <c r="AG96" s="394"/>
      <c r="AH96" s="394"/>
      <c r="AI96" s="394"/>
      <c r="AJ96" s="394"/>
      <c r="AK96" s="394"/>
      <c r="AL96" s="394"/>
      <c r="AM96" s="394"/>
      <c r="AN96" s="394"/>
      <c r="AO96" s="394"/>
      <c r="AP96" s="285" t="s">
        <v>213</v>
      </c>
      <c r="AQ96" s="285">
        <v>0.16402116402116404</v>
      </c>
      <c r="AR96" s="285">
        <v>5.6795131845841784E-2</v>
      </c>
      <c r="AS96" s="285">
        <v>0.19902120717781402</v>
      </c>
      <c r="AT96" s="285">
        <v>0.12729844413012728</v>
      </c>
      <c r="AU96" s="285">
        <v>0.13043478260869565</v>
      </c>
      <c r="AV96" s="285">
        <v>0.10869565217391304</v>
      </c>
      <c r="AW96" s="286">
        <v>0.11247637051039697</v>
      </c>
      <c r="AX96" s="386">
        <v>0.08</v>
      </c>
      <c r="AY96" s="386">
        <v>0.08</v>
      </c>
      <c r="AZ96" s="386">
        <v>0.08</v>
      </c>
      <c r="BA96" s="386">
        <v>0.08</v>
      </c>
      <c r="BB96" s="386">
        <v>0.08</v>
      </c>
      <c r="BC96" s="386">
        <v>0.08</v>
      </c>
      <c r="BD96" s="386">
        <v>0.08</v>
      </c>
      <c r="BE96" s="386">
        <v>0.08</v>
      </c>
      <c r="BF96" s="386">
        <v>0.08</v>
      </c>
      <c r="BG96" s="386">
        <v>0.08</v>
      </c>
      <c r="BH96" s="386">
        <v>0.08</v>
      </c>
      <c r="BI96" s="386">
        <v>0.08</v>
      </c>
      <c r="BJ96" s="386">
        <v>0.08</v>
      </c>
      <c r="BK96" s="386">
        <v>0.08</v>
      </c>
      <c r="BL96" s="386">
        <v>0.08</v>
      </c>
      <c r="BM96" s="386">
        <v>0.08</v>
      </c>
      <c r="BN96" s="386">
        <v>0.08</v>
      </c>
      <c r="BO96" s="386">
        <v>0.08</v>
      </c>
      <c r="BP96" s="386">
        <v>0.08</v>
      </c>
      <c r="BQ96" s="386">
        <v>0.08</v>
      </c>
      <c r="BR96" s="162"/>
      <c r="BS96" s="162"/>
      <c r="BT96" s="285"/>
      <c r="BU96" s="285"/>
      <c r="BV96" s="285"/>
      <c r="BW96" s="285"/>
      <c r="BX96" s="285"/>
      <c r="BY96" s="285"/>
      <c r="BZ96" s="285"/>
      <c r="CA96" s="285"/>
      <c r="CB96" s="285"/>
      <c r="CC96" s="285"/>
      <c r="CD96" s="285"/>
      <c r="CE96" s="285"/>
      <c r="CF96" s="285"/>
      <c r="CG96" s="285"/>
      <c r="CH96" s="285"/>
      <c r="CI96" s="285"/>
      <c r="CJ96" s="285"/>
      <c r="CK96" s="285"/>
      <c r="CL96" s="285"/>
      <c r="CM96" s="285"/>
      <c r="CN96" s="285"/>
      <c r="CO96" s="285"/>
      <c r="CP96" s="285"/>
      <c r="CQ96" s="285"/>
      <c r="CR96" s="285"/>
      <c r="CS96" s="285"/>
      <c r="CT96" s="285" t="s">
        <v>213</v>
      </c>
      <c r="CU96" s="285">
        <v>8.3095645559992395E-2</v>
      </c>
      <c r="CV96" s="285">
        <v>0.11884038564542047</v>
      </c>
      <c r="CW96" s="285">
        <v>0.17221584385763491</v>
      </c>
      <c r="CX96" s="285">
        <v>0.1568181818181818</v>
      </c>
      <c r="CY96" s="286">
        <v>0.11995809324253535</v>
      </c>
      <c r="CZ96" s="285">
        <v>8.3071704209484426E-2</v>
      </c>
      <c r="DA96" s="285">
        <v>8.1165514997908056E-2</v>
      </c>
      <c r="DB96" s="285">
        <v>8.1324112749790539E-2</v>
      </c>
      <c r="DC96" s="285">
        <v>8.0938057985603898E-2</v>
      </c>
      <c r="DD96" s="285">
        <v>8.1325192328394663E-2</v>
      </c>
      <c r="DE96" s="285">
        <v>8.1175436419956434E-2</v>
      </c>
      <c r="DF96" s="285">
        <v>8.116706488491772E-2</v>
      </c>
      <c r="DG96" s="285">
        <v>8.1003965561548569E-2</v>
      </c>
      <c r="DH96" s="285">
        <v>8.1932934894602544E-2</v>
      </c>
      <c r="DI96" s="285">
        <v>8.1786428135222092E-2</v>
      </c>
    </row>
    <row r="97" spans="1:115" ht="12" outlineLevel="1">
      <c r="A97" s="1" t="s">
        <v>984</v>
      </c>
      <c r="B97" s="19" t="s">
        <v>563</v>
      </c>
      <c r="C97" s="408"/>
      <c r="D97" s="408"/>
      <c r="E97" s="408"/>
      <c r="F97" s="408"/>
      <c r="G97" s="408"/>
      <c r="H97" s="408"/>
      <c r="I97" s="408"/>
      <c r="J97" s="408"/>
      <c r="K97" s="408"/>
      <c r="L97" s="408"/>
      <c r="M97" s="408"/>
      <c r="N97" s="408"/>
      <c r="O97" s="408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>
        <v>3.0526636225266364</v>
      </c>
      <c r="AQ97" s="44">
        <v>6.6945205479452055</v>
      </c>
      <c r="AR97" s="44">
        <v>5.2616438356164386</v>
      </c>
      <c r="AS97" s="44">
        <v>5.3634462869502526</v>
      </c>
      <c r="AT97" s="44">
        <v>7.6736681887366816</v>
      </c>
      <c r="AU97" s="44">
        <v>5.925035427491733</v>
      </c>
      <c r="AV97" s="44">
        <v>4.8694878637692218</v>
      </c>
      <c r="AW97" s="45">
        <v>2.9740437158469946</v>
      </c>
      <c r="AX97" s="46">
        <v>3.2</v>
      </c>
      <c r="AY97" s="46">
        <v>3.2</v>
      </c>
      <c r="AZ97" s="46">
        <v>3.2</v>
      </c>
      <c r="BA97" s="46">
        <v>3.2</v>
      </c>
      <c r="BB97" s="46">
        <v>3.2</v>
      </c>
      <c r="BC97" s="46">
        <v>3.2</v>
      </c>
      <c r="BD97" s="46">
        <v>3.2</v>
      </c>
      <c r="BE97" s="46">
        <v>3.2</v>
      </c>
      <c r="BF97" s="46">
        <v>3.2</v>
      </c>
      <c r="BG97" s="46">
        <v>3.2</v>
      </c>
      <c r="BH97" s="46">
        <v>3.2</v>
      </c>
      <c r="BI97" s="46">
        <v>3.2</v>
      </c>
      <c r="BJ97" s="46">
        <v>3.2</v>
      </c>
      <c r="BK97" s="46">
        <v>3.2</v>
      </c>
      <c r="BL97" s="46">
        <v>3.2</v>
      </c>
      <c r="BM97" s="46">
        <v>3.2</v>
      </c>
      <c r="BN97" s="46">
        <v>3.2</v>
      </c>
      <c r="BO97" s="46">
        <v>3.2</v>
      </c>
      <c r="BP97" s="46">
        <v>3.2</v>
      </c>
      <c r="BQ97" s="46">
        <v>3.2</v>
      </c>
      <c r="BR97" s="46"/>
      <c r="BS97" s="162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>
        <v>0</v>
      </c>
      <c r="CU97" s="44">
        <v>0</v>
      </c>
      <c r="CV97" s="44">
        <v>4.2368421052631584</v>
      </c>
      <c r="CW97" s="44">
        <v>5.7000000000000011</v>
      </c>
      <c r="CX97" s="44">
        <v>6.6063829787234036</v>
      </c>
      <c r="CY97" s="45">
        <v>3.5785123966942147</v>
      </c>
      <c r="CZ97" s="44">
        <v>3.1960176036767001</v>
      </c>
      <c r="DA97" s="44">
        <v>3.2042017274285808</v>
      </c>
      <c r="DB97" s="44">
        <v>3.203554337212815</v>
      </c>
      <c r="DC97" s="44">
        <v>3.2034988823172932</v>
      </c>
      <c r="DD97" s="44">
        <v>3.2036057913041782</v>
      </c>
      <c r="DE97" s="44">
        <v>3.2040078544450279</v>
      </c>
      <c r="DF97" s="44">
        <v>3.2039552189029732</v>
      </c>
      <c r="DG97" s="44">
        <v>3.2027278944514239</v>
      </c>
      <c r="DH97" s="44">
        <v>3.2053788886689638</v>
      </c>
      <c r="DI97" s="44">
        <v>3.2053081177251812</v>
      </c>
    </row>
    <row r="98" spans="1:115" ht="12" outlineLevel="1">
      <c r="A98" s="1" t="s">
        <v>564</v>
      </c>
      <c r="B98" s="19" t="s">
        <v>642</v>
      </c>
      <c r="C98" s="408"/>
      <c r="D98" s="408"/>
      <c r="E98" s="408"/>
      <c r="F98" s="408"/>
      <c r="G98" s="408"/>
      <c r="H98" s="408"/>
      <c r="I98" s="408"/>
      <c r="J98" s="408"/>
      <c r="K98" s="408"/>
      <c r="L98" s="408"/>
      <c r="M98" s="408"/>
      <c r="N98" s="408"/>
      <c r="O98" s="408"/>
      <c r="P98" s="408"/>
      <c r="Q98" s="408"/>
      <c r="R98" s="408"/>
      <c r="S98" s="408"/>
      <c r="T98" s="394"/>
      <c r="U98" s="408"/>
      <c r="V98" s="408"/>
      <c r="W98" s="408"/>
      <c r="X98" s="408"/>
      <c r="Y98" s="394"/>
      <c r="Z98" s="394"/>
      <c r="AA98" s="394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394"/>
      <c r="AM98" s="394"/>
      <c r="AN98" s="394"/>
      <c r="AO98" s="394"/>
      <c r="AP98" s="285" t="s">
        <v>213</v>
      </c>
      <c r="AQ98" s="285" t="s">
        <v>213</v>
      </c>
      <c r="AR98" s="285">
        <v>0.62169312169312163</v>
      </c>
      <c r="AS98" s="285">
        <v>0.43407707910750526</v>
      </c>
      <c r="AT98" s="285">
        <v>0.46329526916802632</v>
      </c>
      <c r="AU98" s="285">
        <v>0.43140028288543131</v>
      </c>
      <c r="AV98" s="285">
        <v>0.17948717948717952</v>
      </c>
      <c r="AW98" s="286">
        <v>0.15118577075098805</v>
      </c>
      <c r="AX98" s="162">
        <v>8.0675785180575055E-2</v>
      </c>
      <c r="AY98" s="162">
        <v>-2.1626364834284928E-2</v>
      </c>
      <c r="AZ98" s="162">
        <v>2.909264376722942E-2</v>
      </c>
      <c r="BA98" s="162">
        <v>3.864227430852929E-2</v>
      </c>
      <c r="BB98" s="162">
        <v>3.3204547337681189E-2</v>
      </c>
      <c r="BC98" s="162">
        <v>1.9994292675449721E-2</v>
      </c>
      <c r="BD98" s="162">
        <v>2.3372675337445914E-2</v>
      </c>
      <c r="BE98" s="162">
        <v>3.811403052253115E-2</v>
      </c>
      <c r="BF98" s="162">
        <v>3.325553305311213E-2</v>
      </c>
      <c r="BG98" s="162">
        <v>2.7088953981420083E-2</v>
      </c>
      <c r="BH98" s="162">
        <v>2.9409072896802613E-2</v>
      </c>
      <c r="BI98" s="162">
        <v>2.9955654771791185E-2</v>
      </c>
      <c r="BJ98" s="162">
        <v>2.9207377674077772E-2</v>
      </c>
      <c r="BK98" s="162">
        <v>2.9188894114147157E-2</v>
      </c>
      <c r="BL98" s="162">
        <v>2.5125370595552976E-2</v>
      </c>
      <c r="BM98" s="162">
        <v>3.317657904727267E-2</v>
      </c>
      <c r="BN98" s="162">
        <v>4.8564035539199413E-2</v>
      </c>
      <c r="BO98" s="162">
        <v>4.4389572429696544E-2</v>
      </c>
      <c r="BP98" s="162">
        <v>4.4793340112713187E-2</v>
      </c>
      <c r="BQ98" s="162">
        <v>4.6858473042019844E-2</v>
      </c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285"/>
      <c r="CN98" s="285"/>
      <c r="CO98" s="285"/>
      <c r="CP98" s="285"/>
      <c r="CQ98" s="285"/>
      <c r="CR98" s="285"/>
      <c r="CS98" s="285"/>
      <c r="CT98" s="285" t="s">
        <v>213</v>
      </c>
      <c r="CU98" s="285" t="s">
        <v>213</v>
      </c>
      <c r="CV98" s="285">
        <v>1.760347341066109</v>
      </c>
      <c r="CW98" s="285">
        <v>0.51549942594718723</v>
      </c>
      <c r="CX98" s="285">
        <v>0.44621212121212128</v>
      </c>
      <c r="CY98" s="286">
        <v>0.16448402304871657</v>
      </c>
      <c r="CZ98" s="162">
        <v>2.706264763342614E-2</v>
      </c>
      <c r="DA98" s="162">
        <v>3.3860035493530782E-2</v>
      </c>
      <c r="DB98" s="162">
        <v>2.6579183913520543E-2</v>
      </c>
      <c r="DC98" s="162">
        <v>3.0718511101698098E-2</v>
      </c>
      <c r="DD98" s="162">
        <v>3.016058692788115E-2</v>
      </c>
      <c r="DE98" s="162">
        <v>2.9682579076492965E-2</v>
      </c>
      <c r="DF98" s="162">
        <v>2.9198126162460314E-2</v>
      </c>
      <c r="DG98" s="162">
        <v>2.9155177659562215E-2</v>
      </c>
      <c r="DH98" s="162">
        <v>4.646646053243586E-2</v>
      </c>
      <c r="DI98" s="162">
        <v>4.5828964090855573E-2</v>
      </c>
    </row>
    <row r="99" spans="1:115" ht="12" outlineLevel="1">
      <c r="A99" s="1" t="s">
        <v>565</v>
      </c>
      <c r="B99" s="19" t="s">
        <v>471</v>
      </c>
      <c r="C99" s="408"/>
      <c r="D99" s="408"/>
      <c r="E99" s="408"/>
      <c r="F99" s="408"/>
      <c r="G99" s="408"/>
      <c r="H99" s="408"/>
      <c r="I99" s="408"/>
      <c r="J99" s="408"/>
      <c r="K99" s="408"/>
      <c r="L99" s="408"/>
      <c r="M99" s="408"/>
      <c r="N99" s="408"/>
      <c r="O99" s="408"/>
      <c r="P99" s="408"/>
      <c r="Q99" s="408"/>
      <c r="R99" s="408"/>
      <c r="S99" s="408"/>
      <c r="T99" s="394"/>
      <c r="U99" s="408"/>
      <c r="V99" s="408"/>
      <c r="W99" s="408"/>
      <c r="X99" s="408"/>
      <c r="Y99" s="394"/>
      <c r="Z99" s="394"/>
      <c r="AA99" s="394"/>
      <c r="AB99" s="394"/>
      <c r="AC99" s="394"/>
      <c r="AD99" s="394"/>
      <c r="AE99" s="394"/>
      <c r="AF99" s="394"/>
      <c r="AG99" s="394"/>
      <c r="AH99" s="394"/>
      <c r="AI99" s="394"/>
      <c r="AJ99" s="394"/>
      <c r="AK99" s="394"/>
      <c r="AL99" s="394"/>
      <c r="AM99" s="394"/>
      <c r="AN99" s="394"/>
      <c r="AO99" s="394"/>
      <c r="AP99" s="285">
        <v>0.95214105793450865</v>
      </c>
      <c r="AQ99" s="285">
        <v>0.98403193612774442</v>
      </c>
      <c r="AR99" s="285">
        <v>0.82949932341001342</v>
      </c>
      <c r="AS99" s="285">
        <v>0.71342078708375389</v>
      </c>
      <c r="AT99" s="285">
        <v>0.54297820823244558</v>
      </c>
      <c r="AU99" s="285">
        <v>0.53887113951011723</v>
      </c>
      <c r="AV99" s="285">
        <v>0.52900000000000003</v>
      </c>
      <c r="AW99" s="286">
        <v>0.59227249618708688</v>
      </c>
      <c r="AX99" s="162">
        <v>0.5812077035942147</v>
      </c>
      <c r="AY99" s="162">
        <v>0.51643912709840334</v>
      </c>
      <c r="AZ99" s="162">
        <v>0.47625764333693055</v>
      </c>
      <c r="BA99" s="162">
        <v>0.44291601867465652</v>
      </c>
      <c r="BB99" s="162">
        <v>0.40909411472216478</v>
      </c>
      <c r="BC99" s="162">
        <v>0.39590473051568864</v>
      </c>
      <c r="BD99" s="162">
        <v>0.38746176213887112</v>
      </c>
      <c r="BE99" s="162">
        <v>0.3784689158421185</v>
      </c>
      <c r="BF99" s="162">
        <v>0.36926894603212135</v>
      </c>
      <c r="BG99" s="162">
        <v>0.36472604484697269</v>
      </c>
      <c r="BH99" s="162">
        <v>0.35916611052633296</v>
      </c>
      <c r="BI99" s="162">
        <v>0.35775245322349519</v>
      </c>
      <c r="BJ99" s="162">
        <v>0.35343528388615358</v>
      </c>
      <c r="BK99" s="162">
        <v>0.35204940095630677</v>
      </c>
      <c r="BL99" s="162">
        <v>0.34738773162467124</v>
      </c>
      <c r="BM99" s="162">
        <v>0.34681094919701871</v>
      </c>
      <c r="BN99" s="162">
        <v>0.34730034580889813</v>
      </c>
      <c r="BO99" s="162">
        <v>0.34725860292098426</v>
      </c>
      <c r="BP99" s="162">
        <v>0.34694564218324969</v>
      </c>
      <c r="BQ99" s="162">
        <v>0.34759824485904378</v>
      </c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285"/>
      <c r="CN99" s="285"/>
      <c r="CO99" s="285"/>
      <c r="CP99" s="285"/>
      <c r="CQ99" s="285"/>
      <c r="CR99" s="285"/>
      <c r="CS99" s="285"/>
      <c r="CT99" s="285">
        <v>23.26991150442478</v>
      </c>
      <c r="CU99" s="285">
        <v>2.1143827859569648</v>
      </c>
      <c r="CV99" s="285">
        <v>0.96993318485523383</v>
      </c>
      <c r="CW99" s="285">
        <v>0.76300578034682076</v>
      </c>
      <c r="CX99" s="285">
        <v>0.54079320113314444</v>
      </c>
      <c r="CY99" s="286">
        <v>0.56037307789261415</v>
      </c>
      <c r="CZ99" s="162">
        <v>0.54696270171187011</v>
      </c>
      <c r="DA99" s="162">
        <v>0.45893112127018981</v>
      </c>
      <c r="DB99" s="162">
        <v>0.40241359460331355</v>
      </c>
      <c r="DC99" s="162">
        <v>0.38289555022710259</v>
      </c>
      <c r="DD99" s="162">
        <v>0.36698164789103488</v>
      </c>
      <c r="DE99" s="162">
        <v>0.35845714382287924</v>
      </c>
      <c r="DF99" s="162">
        <v>0.35274025773362361</v>
      </c>
      <c r="DG99" s="162">
        <v>0.34709767165779559</v>
      </c>
      <c r="DH99" s="162">
        <v>0.34727941130853451</v>
      </c>
      <c r="DI99" s="162">
        <v>0.34727292529315579</v>
      </c>
    </row>
    <row r="100" spans="1:115" ht="12" outlineLevel="1">
      <c r="AA100" s="157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394"/>
      <c r="AM100" s="394"/>
      <c r="AN100" s="394"/>
      <c r="AO100" s="394"/>
      <c r="AP100" s="285"/>
      <c r="AQ100" s="285"/>
      <c r="AR100" s="285"/>
      <c r="AS100" s="285"/>
      <c r="AT100" s="285"/>
      <c r="AU100" s="285"/>
      <c r="AV100" s="285"/>
      <c r="AW100" s="286"/>
      <c r="AX100" s="636"/>
      <c r="AY100" s="157"/>
      <c r="AZ100" s="636"/>
      <c r="BA100" s="636"/>
      <c r="BB100" s="636"/>
      <c r="BC100" s="636"/>
      <c r="BD100" s="636"/>
      <c r="BE100" s="636"/>
      <c r="BF100" s="636"/>
      <c r="BG100" s="636"/>
      <c r="BH100" s="636"/>
      <c r="BI100" s="636"/>
      <c r="BJ100" s="636"/>
      <c r="BK100" s="636"/>
      <c r="BL100" s="636"/>
      <c r="BM100" s="636"/>
      <c r="BN100" s="636"/>
      <c r="BO100" s="636"/>
      <c r="BP100" s="636"/>
      <c r="BQ100" s="636"/>
      <c r="CN100" s="42"/>
      <c r="CO100" s="285"/>
      <c r="CP100" s="285"/>
      <c r="CQ100" s="42"/>
      <c r="CR100" s="42"/>
      <c r="CS100" s="42"/>
      <c r="CT100" s="285"/>
      <c r="CU100" s="285"/>
      <c r="CV100" s="285"/>
      <c r="CW100" s="285"/>
      <c r="CX100" s="285"/>
      <c r="CY100" s="286"/>
      <c r="DA100" s="157"/>
      <c r="DB100" s="19"/>
      <c r="DC100" s="19"/>
      <c r="DD100" s="19"/>
      <c r="DE100" s="19"/>
      <c r="DF100" s="19"/>
      <c r="DG100" s="19"/>
      <c r="DH100" s="19"/>
      <c r="DI100" s="19"/>
    </row>
    <row r="101" spans="1:115" ht="12" outlineLevel="1">
      <c r="A101" s="1" t="s">
        <v>985</v>
      </c>
      <c r="B101" s="19" t="s">
        <v>566</v>
      </c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4">
        <v>0</v>
      </c>
      <c r="AQ101" s="44">
        <v>10.9</v>
      </c>
      <c r="AR101" s="44">
        <v>16.100000000000001</v>
      </c>
      <c r="AS101" s="44">
        <v>17.3</v>
      </c>
      <c r="AT101" s="44">
        <v>23.8</v>
      </c>
      <c r="AU101" s="44">
        <v>31</v>
      </c>
      <c r="AV101" s="44">
        <v>38.299999999999997</v>
      </c>
      <c r="AW101" s="45">
        <v>45</v>
      </c>
      <c r="AX101" s="44">
        <v>48.3</v>
      </c>
      <c r="AY101" s="44">
        <v>49.886158730158726</v>
      </c>
      <c r="AZ101" s="44">
        <v>51.200512492334923</v>
      </c>
      <c r="BA101" s="44">
        <v>52.176263511503102</v>
      </c>
      <c r="BB101" s="44">
        <v>53.408219621194561</v>
      </c>
      <c r="BC101" s="44">
        <v>54.38820498208289</v>
      </c>
      <c r="BD101" s="44">
        <v>55.592111849003139</v>
      </c>
      <c r="BE101" s="44">
        <v>56.451067396263241</v>
      </c>
      <c r="BF101" s="44">
        <v>57.546484732534012</v>
      </c>
      <c r="BG101" s="44">
        <v>58.438991672957869</v>
      </c>
      <c r="BH101" s="44">
        <v>59.578455448589828</v>
      </c>
      <c r="BI101" s="44">
        <v>60.426052340165811</v>
      </c>
      <c r="BJ101" s="44">
        <v>61.560421395199981</v>
      </c>
      <c r="BK101" s="44">
        <v>62.404603216314349</v>
      </c>
      <c r="BL101" s="44">
        <v>63.541374581257045</v>
      </c>
      <c r="BM101" s="44">
        <v>64.408842372494348</v>
      </c>
      <c r="BN101" s="44">
        <v>65.485481538593206</v>
      </c>
      <c r="BO101" s="44">
        <v>66.379302478361083</v>
      </c>
      <c r="BP101" s="44">
        <v>67.701904955545345</v>
      </c>
      <c r="BQ101" s="44">
        <v>68.736229713576776</v>
      </c>
      <c r="BR101" s="44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4">
        <v>0</v>
      </c>
      <c r="CU101" s="44">
        <v>0</v>
      </c>
      <c r="CV101" s="44">
        <v>0</v>
      </c>
      <c r="CW101" s="44">
        <v>16.100000000000001</v>
      </c>
      <c r="CX101" s="44">
        <v>23.8</v>
      </c>
      <c r="CY101" s="45">
        <v>38.299999999999997</v>
      </c>
      <c r="CZ101" s="44">
        <v>48.3</v>
      </c>
      <c r="DA101" s="44">
        <v>51.200512492334923</v>
      </c>
      <c r="DB101" s="44">
        <v>53.408219621194561</v>
      </c>
      <c r="DC101" s="44">
        <v>55.592111849003139</v>
      </c>
      <c r="DD101" s="44">
        <v>57.546484732534012</v>
      </c>
      <c r="DE101" s="44">
        <v>59.578455448589828</v>
      </c>
      <c r="DF101" s="44">
        <v>61.560421395199981</v>
      </c>
      <c r="DG101" s="44">
        <v>63.541374581257045</v>
      </c>
      <c r="DH101" s="44">
        <v>65.485481538593206</v>
      </c>
      <c r="DI101" s="44">
        <v>67.701904955545345</v>
      </c>
    </row>
    <row r="102" spans="1:115" ht="12" outlineLevel="1">
      <c r="A102" s="1" t="s">
        <v>774</v>
      </c>
      <c r="B102" s="19" t="s">
        <v>693</v>
      </c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525">
        <v>0.9</v>
      </c>
      <c r="AQ102" s="525">
        <v>6.2</v>
      </c>
      <c r="AR102" s="525">
        <v>2.8</v>
      </c>
      <c r="AS102" s="525">
        <v>12.2</v>
      </c>
      <c r="AT102" s="525">
        <v>9</v>
      </c>
      <c r="AU102" s="525">
        <v>11.7</v>
      </c>
      <c r="AV102" s="525">
        <v>11</v>
      </c>
      <c r="AW102" s="523">
        <v>11.899999999999999</v>
      </c>
      <c r="AX102" s="44">
        <v>9.32</v>
      </c>
      <c r="AY102" s="44">
        <v>9.1468398457683868</v>
      </c>
      <c r="AZ102" s="44">
        <v>9.118442279744464</v>
      </c>
      <c r="BA102" s="44">
        <v>9.4129455989972275</v>
      </c>
      <c r="BB102" s="44">
        <v>9.4707996275848423</v>
      </c>
      <c r="BC102" s="44">
        <v>9.7254981967261482</v>
      </c>
      <c r="BD102" s="44">
        <v>9.6601615672093128</v>
      </c>
      <c r="BE102" s="44">
        <v>9.9528091085731436</v>
      </c>
      <c r="BF102" s="44">
        <v>10.02834926003451</v>
      </c>
      <c r="BG102" s="44">
        <v>10.283795080854613</v>
      </c>
      <c r="BH102" s="44">
        <v>10.300006751649194</v>
      </c>
      <c r="BI102" s="44">
        <v>10.586231960043246</v>
      </c>
      <c r="BJ102" s="44">
        <v>10.608550198048716</v>
      </c>
      <c r="BK102" s="44">
        <v>10.895428035045622</v>
      </c>
      <c r="BL102" s="44">
        <v>10.918202046484174</v>
      </c>
      <c r="BM102" s="44">
        <v>11.169179702223321</v>
      </c>
      <c r="BN102" s="44">
        <v>11.280430639733449</v>
      </c>
      <c r="BO102" s="44">
        <v>11.711600142225798</v>
      </c>
      <c r="BP102" s="44">
        <v>11.781164132654068</v>
      </c>
      <c r="BQ102" s="44">
        <v>12.236201830660619</v>
      </c>
      <c r="BR102" s="44"/>
      <c r="BZ102" s="40"/>
      <c r="CA102" s="40"/>
      <c r="CB102" s="40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525">
        <v>0.49399999999999999</v>
      </c>
      <c r="CU102" s="525">
        <v>2.6219999999999999</v>
      </c>
      <c r="CV102" s="44">
        <v>7.1000000000000005</v>
      </c>
      <c r="CW102" s="44">
        <v>15</v>
      </c>
      <c r="CX102" s="44">
        <v>20.7</v>
      </c>
      <c r="CY102" s="45">
        <v>22.9</v>
      </c>
      <c r="CZ102" s="44">
        <v>18.466839845768387</v>
      </c>
      <c r="DA102" s="44">
        <v>18.53138787874169</v>
      </c>
      <c r="DB102" s="44">
        <v>19.196297824310989</v>
      </c>
      <c r="DC102" s="44">
        <v>19.612970675782456</v>
      </c>
      <c r="DD102" s="44">
        <v>20.312144340889123</v>
      </c>
      <c r="DE102" s="44">
        <v>20.886238711692442</v>
      </c>
      <c r="DF102" s="44">
        <v>21.503978233094337</v>
      </c>
      <c r="DG102" s="44">
        <v>22.087381748707493</v>
      </c>
      <c r="DH102" s="44">
        <v>22.992030781959247</v>
      </c>
      <c r="DI102" s="44">
        <v>24.017365963314688</v>
      </c>
    </row>
    <row r="103" spans="1:115" ht="12" outlineLevel="1">
      <c r="A103" s="1" t="s">
        <v>775</v>
      </c>
      <c r="B103" s="19" t="s">
        <v>694</v>
      </c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525">
        <v>-0.9</v>
      </c>
      <c r="AQ103" s="525">
        <v>-1</v>
      </c>
      <c r="AR103" s="525">
        <v>-1.6</v>
      </c>
      <c r="AS103" s="525">
        <v>-1.9</v>
      </c>
      <c r="AT103" s="525">
        <v>-1.8</v>
      </c>
      <c r="AU103" s="525">
        <v>-2.9000000000000004</v>
      </c>
      <c r="AV103" s="525">
        <v>-4.3</v>
      </c>
      <c r="AW103" s="523">
        <v>-7.8</v>
      </c>
      <c r="AX103" s="44">
        <v>-7.7338412698412693</v>
      </c>
      <c r="AY103" s="44">
        <v>-7.8324860835921859</v>
      </c>
      <c r="AZ103" s="44">
        <v>-8.1426912605762833</v>
      </c>
      <c r="BA103" s="44">
        <v>-8.1809894893057695</v>
      </c>
      <c r="BB103" s="44">
        <v>-8.4908142666965105</v>
      </c>
      <c r="BC103" s="44">
        <v>-8.5215913298058936</v>
      </c>
      <c r="BD103" s="44">
        <v>-8.8012060199492037</v>
      </c>
      <c r="BE103" s="44">
        <v>-8.8573917723023818</v>
      </c>
      <c r="BF103" s="44">
        <v>-9.1358423196106617</v>
      </c>
      <c r="BG103" s="44">
        <v>-9.1443313052226589</v>
      </c>
      <c r="BH103" s="44">
        <v>-9.4524098600732174</v>
      </c>
      <c r="BI103" s="44">
        <v>-9.4518629050090777</v>
      </c>
      <c r="BJ103" s="44">
        <v>-9.7643683769343479</v>
      </c>
      <c r="BK103" s="44">
        <v>-9.7586566701029192</v>
      </c>
      <c r="BL103" s="44">
        <v>-10.050734255246866</v>
      </c>
      <c r="BM103" s="44">
        <v>-10.09254053612446</v>
      </c>
      <c r="BN103" s="44">
        <v>-10.386609699965575</v>
      </c>
      <c r="BO103" s="44">
        <v>-10.388997665041547</v>
      </c>
      <c r="BP103" s="44">
        <v>-10.746839374622633</v>
      </c>
      <c r="BQ103" s="44">
        <v>-10.765700312937769</v>
      </c>
      <c r="BR103" s="44"/>
      <c r="BZ103" s="40"/>
      <c r="CA103" s="40"/>
      <c r="CB103" s="40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525">
        <v>-0.49399999999999999</v>
      </c>
      <c r="CU103" s="525">
        <v>-2.6219999999999999</v>
      </c>
      <c r="CV103" s="44">
        <v>-1.9</v>
      </c>
      <c r="CW103" s="44">
        <v>-3.5</v>
      </c>
      <c r="CX103" s="44">
        <v>-4.7</v>
      </c>
      <c r="CY103" s="45">
        <v>-12.1</v>
      </c>
      <c r="CZ103" s="44">
        <v>-15.566327353433454</v>
      </c>
      <c r="DA103" s="44">
        <v>-16.323680749882051</v>
      </c>
      <c r="DB103" s="44">
        <v>-17.012405596502404</v>
      </c>
      <c r="DC103" s="44">
        <v>-17.658597792251584</v>
      </c>
      <c r="DD103" s="44">
        <v>-18.280173624833321</v>
      </c>
      <c r="DE103" s="44">
        <v>-18.904272765082297</v>
      </c>
      <c r="DF103" s="44">
        <v>-19.523025047037265</v>
      </c>
      <c r="DG103" s="44">
        <v>-20.143274791371326</v>
      </c>
      <c r="DH103" s="44">
        <v>-20.775607365007122</v>
      </c>
      <c r="DI103" s="44">
        <v>-21.512539687560402</v>
      </c>
    </row>
    <row r="104" spans="1:115" ht="12" outlineLevel="1">
      <c r="A104" s="1" t="s">
        <v>986</v>
      </c>
      <c r="B104" s="19" t="s">
        <v>561</v>
      </c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525">
        <v>0</v>
      </c>
      <c r="AQ104" s="525">
        <v>0</v>
      </c>
      <c r="AR104" s="525">
        <v>0</v>
      </c>
      <c r="AS104" s="525">
        <v>0</v>
      </c>
      <c r="AT104" s="525">
        <v>0</v>
      </c>
      <c r="AU104" s="525">
        <v>-1.5</v>
      </c>
      <c r="AV104" s="525">
        <v>0</v>
      </c>
      <c r="AW104" s="523">
        <v>-0.8</v>
      </c>
      <c r="AX104" s="46">
        <v>0</v>
      </c>
      <c r="AY104" s="46">
        <v>0</v>
      </c>
      <c r="AZ104" s="46">
        <v>0</v>
      </c>
      <c r="BA104" s="46">
        <v>0</v>
      </c>
      <c r="BB104" s="46">
        <v>0</v>
      </c>
      <c r="BC104" s="46">
        <v>0</v>
      </c>
      <c r="BD104" s="46">
        <v>0</v>
      </c>
      <c r="BE104" s="46">
        <v>0</v>
      </c>
      <c r="BF104" s="46">
        <v>0</v>
      </c>
      <c r="BG104" s="46">
        <v>0</v>
      </c>
      <c r="BH104" s="46">
        <v>0</v>
      </c>
      <c r="BI104" s="46">
        <v>0</v>
      </c>
      <c r="BJ104" s="46">
        <v>0</v>
      </c>
      <c r="BK104" s="46">
        <v>0</v>
      </c>
      <c r="BL104" s="46">
        <v>0</v>
      </c>
      <c r="BM104" s="46">
        <v>0</v>
      </c>
      <c r="BN104" s="46">
        <v>0</v>
      </c>
      <c r="BO104" s="46">
        <v>0</v>
      </c>
      <c r="BP104" s="46">
        <v>0</v>
      </c>
      <c r="BQ104" s="46">
        <v>0</v>
      </c>
      <c r="BR104" s="44"/>
      <c r="BZ104" s="40"/>
      <c r="CA104" s="40"/>
      <c r="CB104" s="40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525">
        <v>0</v>
      </c>
      <c r="CU104" s="525">
        <v>0</v>
      </c>
      <c r="CV104" s="44">
        <v>0</v>
      </c>
      <c r="CW104" s="44">
        <v>0</v>
      </c>
      <c r="CX104" s="44">
        <v>-1.5</v>
      </c>
      <c r="CY104" s="45">
        <v>-0.8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</row>
    <row r="105" spans="1:115" ht="12" outlineLevel="1">
      <c r="A105" s="1" t="s">
        <v>861</v>
      </c>
      <c r="B105" s="19" t="s">
        <v>269</v>
      </c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4">
        <v>10.9</v>
      </c>
      <c r="AQ105" s="44">
        <v>0</v>
      </c>
      <c r="AR105" s="44">
        <v>0</v>
      </c>
      <c r="AS105" s="44">
        <v>-3.8000000000000007</v>
      </c>
      <c r="AT105" s="44">
        <v>0</v>
      </c>
      <c r="AU105" s="44">
        <v>0</v>
      </c>
      <c r="AV105" s="44">
        <v>0</v>
      </c>
      <c r="AW105" s="45">
        <v>0</v>
      </c>
      <c r="AX105" s="46">
        <v>0</v>
      </c>
      <c r="AY105" s="46">
        <v>0</v>
      </c>
      <c r="AZ105" s="46">
        <v>0</v>
      </c>
      <c r="BA105" s="46">
        <v>0</v>
      </c>
      <c r="BB105" s="46">
        <v>0</v>
      </c>
      <c r="BC105" s="46">
        <v>0</v>
      </c>
      <c r="BD105" s="46">
        <v>0</v>
      </c>
      <c r="BE105" s="46">
        <v>0</v>
      </c>
      <c r="BF105" s="46">
        <v>0</v>
      </c>
      <c r="BG105" s="46">
        <v>0</v>
      </c>
      <c r="BH105" s="46">
        <v>0</v>
      </c>
      <c r="BI105" s="46">
        <v>0</v>
      </c>
      <c r="BJ105" s="46">
        <v>0</v>
      </c>
      <c r="BK105" s="46">
        <v>0</v>
      </c>
      <c r="BL105" s="46">
        <v>0</v>
      </c>
      <c r="BM105" s="46">
        <v>0</v>
      </c>
      <c r="BN105" s="46">
        <v>0</v>
      </c>
      <c r="BO105" s="46">
        <v>0</v>
      </c>
      <c r="BP105" s="46">
        <v>0</v>
      </c>
      <c r="BQ105" s="46">
        <v>0</v>
      </c>
      <c r="BR105" s="44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4">
        <v>0</v>
      </c>
      <c r="CU105" s="44">
        <v>0</v>
      </c>
      <c r="CV105" s="44">
        <v>10.9</v>
      </c>
      <c r="CW105" s="44">
        <v>-3.8000000000000007</v>
      </c>
      <c r="CX105" s="44">
        <v>0</v>
      </c>
      <c r="CY105" s="45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</row>
    <row r="106" spans="1:115" ht="12" outlineLevel="1">
      <c r="A106" s="1" t="s">
        <v>862</v>
      </c>
      <c r="B106" s="19" t="s">
        <v>459</v>
      </c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525">
        <v>10.9</v>
      </c>
      <c r="AQ106" s="525">
        <v>16.100000000000001</v>
      </c>
      <c r="AR106" s="525">
        <v>17.3</v>
      </c>
      <c r="AS106" s="525">
        <v>23.8</v>
      </c>
      <c r="AT106" s="525">
        <v>31</v>
      </c>
      <c r="AU106" s="525">
        <v>38.299999999999997</v>
      </c>
      <c r="AV106" s="525">
        <v>45</v>
      </c>
      <c r="AW106" s="523">
        <v>48.3</v>
      </c>
      <c r="AX106" s="44">
        <v>49.886158730158726</v>
      </c>
      <c r="AY106" s="44">
        <v>51.200512492334923</v>
      </c>
      <c r="AZ106" s="44">
        <v>52.176263511503102</v>
      </c>
      <c r="BA106" s="44">
        <v>53.408219621194561</v>
      </c>
      <c r="BB106" s="44">
        <v>54.38820498208289</v>
      </c>
      <c r="BC106" s="44">
        <v>55.592111849003139</v>
      </c>
      <c r="BD106" s="44">
        <v>56.451067396263241</v>
      </c>
      <c r="BE106" s="44">
        <v>57.546484732534012</v>
      </c>
      <c r="BF106" s="44">
        <v>58.438991672957869</v>
      </c>
      <c r="BG106" s="44">
        <v>59.578455448589828</v>
      </c>
      <c r="BH106" s="44">
        <v>60.426052340165811</v>
      </c>
      <c r="BI106" s="44">
        <v>61.560421395199981</v>
      </c>
      <c r="BJ106" s="44">
        <v>62.404603216314349</v>
      </c>
      <c r="BK106" s="44">
        <v>63.541374581257045</v>
      </c>
      <c r="BL106" s="44">
        <v>64.408842372494348</v>
      </c>
      <c r="BM106" s="44">
        <v>65.485481538593206</v>
      </c>
      <c r="BN106" s="44">
        <v>66.379302478361083</v>
      </c>
      <c r="BO106" s="44">
        <v>67.701904955545345</v>
      </c>
      <c r="BP106" s="44">
        <v>68.736229713576776</v>
      </c>
      <c r="BQ106" s="44">
        <v>70.206731231299628</v>
      </c>
      <c r="BR106" s="44"/>
      <c r="BZ106" s="114"/>
      <c r="CA106" s="40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525">
        <v>0</v>
      </c>
      <c r="CU106" s="525">
        <v>0</v>
      </c>
      <c r="CV106" s="44">
        <v>16.100000000000001</v>
      </c>
      <c r="CW106" s="44">
        <v>23.8</v>
      </c>
      <c r="CX106" s="44">
        <v>38.299999999999997</v>
      </c>
      <c r="CY106" s="45">
        <v>48.3</v>
      </c>
      <c r="CZ106" s="44">
        <v>51.200512492334923</v>
      </c>
      <c r="DA106" s="44">
        <v>53.408219621194561</v>
      </c>
      <c r="DB106" s="44">
        <v>55.592111849003139</v>
      </c>
      <c r="DC106" s="44">
        <v>57.546484732534012</v>
      </c>
      <c r="DD106" s="44">
        <v>59.578455448589828</v>
      </c>
      <c r="DE106" s="44">
        <v>61.560421395199981</v>
      </c>
      <c r="DF106" s="44">
        <v>63.541374581257045</v>
      </c>
      <c r="DG106" s="44">
        <v>65.485481538593206</v>
      </c>
      <c r="DH106" s="44">
        <v>67.701904955545345</v>
      </c>
      <c r="DI106" s="44">
        <v>70.206731231299628</v>
      </c>
    </row>
    <row r="107" spans="1:115" ht="12" outlineLevel="1">
      <c r="AB107" s="157"/>
      <c r="AC107" s="157"/>
      <c r="AD107" s="157"/>
      <c r="AE107" s="157"/>
      <c r="AF107" s="157"/>
      <c r="AG107" s="157"/>
      <c r="AH107" s="157"/>
      <c r="AI107" s="157"/>
      <c r="AJ107" s="416"/>
      <c r="AK107" s="416"/>
      <c r="AL107" s="42"/>
      <c r="AM107" s="42"/>
      <c r="AN107" s="42"/>
      <c r="AO107" s="42"/>
      <c r="AP107" s="42"/>
      <c r="AQ107" s="167"/>
      <c r="AR107" s="167"/>
      <c r="AS107" s="167"/>
      <c r="AT107" s="167"/>
      <c r="AU107" s="167"/>
      <c r="AV107" s="167"/>
      <c r="AW107" s="174"/>
      <c r="AX107" s="44"/>
      <c r="AY107" s="44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CO107" s="42"/>
      <c r="CU107" s="42"/>
      <c r="DB107" s="19"/>
      <c r="DC107" s="19"/>
      <c r="DD107" s="19"/>
      <c r="DE107" s="19"/>
      <c r="DF107" s="19"/>
      <c r="DG107" s="19"/>
      <c r="DH107" s="19"/>
      <c r="DI107" s="19"/>
    </row>
    <row r="108" spans="1:115" ht="12" outlineLevel="1">
      <c r="B108" s="24" t="s">
        <v>570</v>
      </c>
      <c r="AD108" s="165"/>
      <c r="AH108" s="42"/>
      <c r="AI108" s="42"/>
      <c r="AJ108" s="416"/>
      <c r="AK108" s="416"/>
      <c r="AL108" s="42"/>
      <c r="AM108" s="42"/>
      <c r="AN108" s="42"/>
      <c r="AO108" s="42"/>
      <c r="AP108" s="42"/>
      <c r="AQ108" s="167"/>
      <c r="AR108" s="167"/>
      <c r="AS108" s="167"/>
      <c r="AT108" s="167"/>
      <c r="AU108" s="167"/>
      <c r="AV108" s="167"/>
      <c r="AW108" s="592"/>
      <c r="AX108" s="421"/>
      <c r="AY108" s="421"/>
      <c r="AZ108" s="166"/>
      <c r="BA108" s="166"/>
      <c r="BB108" s="166"/>
      <c r="BC108" s="166"/>
      <c r="BD108" s="166"/>
      <c r="BE108" s="166"/>
      <c r="BF108" s="166"/>
      <c r="BG108" s="166"/>
      <c r="BH108" s="166"/>
      <c r="BI108" s="166"/>
      <c r="BJ108" s="166"/>
      <c r="BK108" s="166"/>
      <c r="BL108" s="166"/>
      <c r="BM108" s="166"/>
      <c r="BN108" s="166"/>
      <c r="BO108" s="166"/>
      <c r="BP108" s="166"/>
      <c r="BQ108" s="166"/>
      <c r="CT108" s="42"/>
      <c r="CU108" s="42"/>
      <c r="CV108" s="42"/>
      <c r="CW108" s="42"/>
      <c r="CX108" s="42"/>
      <c r="CY108" s="43"/>
      <c r="DB108" s="19"/>
      <c r="DC108" s="19"/>
      <c r="DD108" s="19"/>
      <c r="DE108" s="19"/>
      <c r="DF108" s="19"/>
      <c r="DG108" s="19"/>
      <c r="DH108" s="19"/>
      <c r="DI108" s="19"/>
      <c r="DJ108" s="544"/>
    </row>
    <row r="109" spans="1:115" ht="12" outlineLevel="1">
      <c r="A109" s="1" t="s">
        <v>460</v>
      </c>
      <c r="B109" s="19" t="s">
        <v>486</v>
      </c>
      <c r="C109" s="601"/>
      <c r="D109" s="601"/>
      <c r="E109" s="601"/>
      <c r="F109" s="601"/>
      <c r="G109" s="601"/>
      <c r="H109" s="601"/>
      <c r="I109" s="601"/>
      <c r="J109" s="601"/>
      <c r="K109" s="601"/>
      <c r="L109" s="601"/>
      <c r="M109" s="601"/>
      <c r="N109" s="601"/>
      <c r="O109" s="601"/>
      <c r="P109" s="601"/>
      <c r="Q109" s="601"/>
      <c r="R109" s="601"/>
      <c r="S109" s="601"/>
      <c r="T109" s="416"/>
      <c r="U109" s="601"/>
      <c r="V109" s="601"/>
      <c r="W109" s="601"/>
      <c r="X109" s="601"/>
      <c r="Y109" s="416"/>
      <c r="Z109" s="416"/>
      <c r="AA109" s="416"/>
      <c r="AB109" s="416"/>
      <c r="AC109" s="416"/>
      <c r="AD109" s="416"/>
      <c r="AE109" s="416"/>
      <c r="AF109" s="416"/>
      <c r="AG109" s="416"/>
      <c r="AH109" s="416"/>
      <c r="AI109" s="416"/>
      <c r="AJ109" s="416"/>
      <c r="AK109" s="416"/>
      <c r="AL109" s="416"/>
      <c r="AM109" s="416"/>
      <c r="AN109" s="416"/>
      <c r="AO109" s="416"/>
      <c r="AP109" s="167">
        <v>0</v>
      </c>
      <c r="AQ109" s="167">
        <v>0</v>
      </c>
      <c r="AR109" s="167">
        <v>0</v>
      </c>
      <c r="AS109" s="167">
        <v>0</v>
      </c>
      <c r="AT109" s="167">
        <v>0</v>
      </c>
      <c r="AU109" s="167">
        <v>0</v>
      </c>
      <c r="AV109" s="167">
        <v>0</v>
      </c>
      <c r="AW109" s="174">
        <v>0</v>
      </c>
      <c r="AX109" s="499">
        <v>0</v>
      </c>
      <c r="AY109" s="499">
        <v>0</v>
      </c>
      <c r="AZ109" s="499">
        <v>0</v>
      </c>
      <c r="BA109" s="499">
        <v>0</v>
      </c>
      <c r="BB109" s="499">
        <v>0</v>
      </c>
      <c r="BC109" s="499">
        <v>0</v>
      </c>
      <c r="BD109" s="499">
        <v>0</v>
      </c>
      <c r="BE109" s="499">
        <v>0</v>
      </c>
      <c r="BF109" s="499">
        <v>0</v>
      </c>
      <c r="BG109" s="499">
        <v>0</v>
      </c>
      <c r="BH109" s="499">
        <v>0</v>
      </c>
      <c r="BI109" s="499">
        <v>0</v>
      </c>
      <c r="BJ109" s="499">
        <v>0</v>
      </c>
      <c r="BK109" s="499">
        <v>0</v>
      </c>
      <c r="BL109" s="499">
        <v>0</v>
      </c>
      <c r="BM109" s="499">
        <v>0</v>
      </c>
      <c r="BN109" s="499">
        <v>0</v>
      </c>
      <c r="BO109" s="499">
        <v>0</v>
      </c>
      <c r="BP109" s="499">
        <v>0</v>
      </c>
      <c r="BQ109" s="499">
        <v>0</v>
      </c>
      <c r="BR109" s="166"/>
      <c r="BS109" s="166"/>
      <c r="BT109" s="417"/>
      <c r="BU109" s="417"/>
      <c r="BV109" s="417"/>
      <c r="BW109" s="417"/>
      <c r="BX109" s="417"/>
      <c r="BY109" s="417"/>
      <c r="BZ109" s="417"/>
      <c r="CA109" s="417"/>
      <c r="CB109" s="417"/>
      <c r="CC109" s="417"/>
      <c r="CD109" s="417"/>
      <c r="CE109" s="417"/>
      <c r="CF109" s="417"/>
      <c r="CG109" s="417"/>
      <c r="CH109" s="417"/>
      <c r="CI109" s="166"/>
      <c r="CJ109" s="166"/>
      <c r="CK109" s="166"/>
      <c r="CL109" s="166"/>
      <c r="CM109" s="167"/>
      <c r="CN109" s="167"/>
      <c r="CO109" s="167"/>
      <c r="CP109" s="167"/>
      <c r="CQ109" s="167"/>
      <c r="CR109" s="167"/>
      <c r="CS109" s="167"/>
      <c r="CT109" s="167">
        <v>0</v>
      </c>
      <c r="CU109" s="167">
        <v>0</v>
      </c>
      <c r="CV109" s="167">
        <v>0</v>
      </c>
      <c r="CW109" s="167">
        <v>0</v>
      </c>
      <c r="CX109" s="167">
        <v>0</v>
      </c>
      <c r="CY109" s="174">
        <v>0</v>
      </c>
      <c r="CZ109" s="166">
        <v>0</v>
      </c>
      <c r="DA109" s="166">
        <v>0</v>
      </c>
      <c r="DB109" s="166">
        <v>0</v>
      </c>
      <c r="DC109" s="166">
        <v>0</v>
      </c>
      <c r="DD109" s="166">
        <v>0</v>
      </c>
      <c r="DE109" s="166">
        <v>0</v>
      </c>
      <c r="DF109" s="166">
        <v>0</v>
      </c>
      <c r="DG109" s="166">
        <v>0</v>
      </c>
      <c r="DH109" s="166">
        <v>0</v>
      </c>
      <c r="DI109" s="166">
        <v>0</v>
      </c>
      <c r="DJ109" s="545"/>
      <c r="DK109" s="545"/>
    </row>
    <row r="110" spans="1:115" ht="12" outlineLevel="1">
      <c r="A110" s="1" t="s">
        <v>461</v>
      </c>
      <c r="B110" s="19" t="s">
        <v>488</v>
      </c>
      <c r="C110" s="601"/>
      <c r="D110" s="601"/>
      <c r="E110" s="601"/>
      <c r="F110" s="601"/>
      <c r="G110" s="601"/>
      <c r="H110" s="601"/>
      <c r="I110" s="601"/>
      <c r="J110" s="601"/>
      <c r="K110" s="601"/>
      <c r="L110" s="601"/>
      <c r="M110" s="601"/>
      <c r="N110" s="601"/>
      <c r="O110" s="601"/>
      <c r="P110" s="601"/>
      <c r="Q110" s="601"/>
      <c r="R110" s="601"/>
      <c r="S110" s="601"/>
      <c r="T110" s="416"/>
      <c r="U110" s="601"/>
      <c r="V110" s="601"/>
      <c r="W110" s="601"/>
      <c r="X110" s="601"/>
      <c r="Y110" s="416"/>
      <c r="Z110" s="416"/>
      <c r="AA110" s="416"/>
      <c r="AB110" s="416"/>
      <c r="AC110" s="416"/>
      <c r="AD110" s="416"/>
      <c r="AE110" s="416"/>
      <c r="AF110" s="416"/>
      <c r="AG110" s="416"/>
      <c r="AH110" s="416"/>
      <c r="AI110" s="416"/>
      <c r="AJ110" s="416"/>
      <c r="AK110" s="416"/>
      <c r="AL110" s="416"/>
      <c r="AM110" s="416"/>
      <c r="AN110" s="416"/>
      <c r="AO110" s="416"/>
      <c r="AP110" s="167">
        <v>0</v>
      </c>
      <c r="AQ110" s="167">
        <v>0</v>
      </c>
      <c r="AR110" s="167">
        <v>0</v>
      </c>
      <c r="AS110" s="167">
        <v>2.2087143336980437E-3</v>
      </c>
      <c r="AT110" s="167">
        <v>0</v>
      </c>
      <c r="AU110" s="167">
        <v>1.4273119989962222E-3</v>
      </c>
      <c r="AV110" s="167">
        <v>1.4058613835114463E-3</v>
      </c>
      <c r="AW110" s="174">
        <v>5.616227721980482E-3</v>
      </c>
      <c r="AX110" s="661">
        <v>4.4999999999999997E-3</v>
      </c>
      <c r="AY110" s="661">
        <v>1.9499999999999999E-3</v>
      </c>
      <c r="AZ110" s="661">
        <v>2.5000000000000001E-3</v>
      </c>
      <c r="BA110" s="661">
        <v>2.5000000000000001E-3</v>
      </c>
      <c r="BB110" s="661">
        <v>3.5999999999999999E-3</v>
      </c>
      <c r="BC110" s="661">
        <v>3.5000000000000001E-3</v>
      </c>
      <c r="BD110" s="499">
        <v>4.1000000000000003E-3</v>
      </c>
      <c r="BE110" s="499">
        <v>4.1000000000000003E-3</v>
      </c>
      <c r="BF110" s="499">
        <v>4.5999999999999999E-3</v>
      </c>
      <c r="BG110" s="499">
        <v>4.5999999999999999E-3</v>
      </c>
      <c r="BH110" s="499">
        <v>4.8999999999999998E-3</v>
      </c>
      <c r="BI110" s="499">
        <v>4.8999999999999998E-3</v>
      </c>
      <c r="BJ110" s="499">
        <v>4.8999999999999998E-3</v>
      </c>
      <c r="BK110" s="499">
        <v>4.8999999999999998E-3</v>
      </c>
      <c r="BL110" s="499">
        <v>4.8999999999999998E-3</v>
      </c>
      <c r="BM110" s="499">
        <v>4.8999999999999998E-3</v>
      </c>
      <c r="BN110" s="499">
        <v>4.8999999999999998E-3</v>
      </c>
      <c r="BO110" s="499">
        <v>4.8999999999999998E-3</v>
      </c>
      <c r="BP110" s="499">
        <v>4.8999999999999998E-3</v>
      </c>
      <c r="BQ110" s="499">
        <v>4.8999999999999998E-3</v>
      </c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7"/>
      <c r="CN110" s="167"/>
      <c r="CO110" s="167"/>
      <c r="CP110" s="167"/>
      <c r="CQ110" s="167"/>
      <c r="CR110" s="167"/>
      <c r="CS110" s="167"/>
      <c r="CT110" s="167">
        <v>0</v>
      </c>
      <c r="CU110" s="167">
        <v>0</v>
      </c>
      <c r="CV110" s="167">
        <v>0</v>
      </c>
      <c r="CW110" s="167">
        <v>1.2369382653590428E-3</v>
      </c>
      <c r="CX110" s="167">
        <v>7.6879963270786171E-4</v>
      </c>
      <c r="CY110" s="174">
        <v>3.5704595853006124E-3</v>
      </c>
      <c r="CZ110" s="166">
        <v>3.176413685578547E-3</v>
      </c>
      <c r="DA110" s="166">
        <v>2.5000000000000001E-3</v>
      </c>
      <c r="DB110" s="166">
        <v>3.5492599098777633E-3</v>
      </c>
      <c r="DC110" s="166">
        <v>4.1000000000000012E-3</v>
      </c>
      <c r="DD110" s="166">
        <v>4.5999999999999999E-3</v>
      </c>
      <c r="DE110" s="166">
        <v>4.8999999999999998E-3</v>
      </c>
      <c r="DF110" s="166">
        <v>4.8999999999999998E-3</v>
      </c>
      <c r="DG110" s="166">
        <v>4.8999999999999998E-3</v>
      </c>
      <c r="DH110" s="166">
        <v>4.8999999999999998E-3</v>
      </c>
      <c r="DI110" s="166">
        <v>4.8999999999999998E-3</v>
      </c>
      <c r="DJ110" s="544"/>
      <c r="DK110" s="544"/>
    </row>
    <row r="111" spans="1:115" ht="12" outlineLevel="1">
      <c r="A111" s="1" t="s">
        <v>462</v>
      </c>
      <c r="B111" s="19" t="s">
        <v>487</v>
      </c>
      <c r="C111" s="601"/>
      <c r="D111" s="601"/>
      <c r="E111" s="601"/>
      <c r="F111" s="601"/>
      <c r="G111" s="601"/>
      <c r="H111" s="601"/>
      <c r="I111" s="601"/>
      <c r="J111" s="601"/>
      <c r="K111" s="601"/>
      <c r="L111" s="601"/>
      <c r="M111" s="601"/>
      <c r="N111" s="601"/>
      <c r="O111" s="601"/>
      <c r="P111" s="601"/>
      <c r="Q111" s="601"/>
      <c r="R111" s="601"/>
      <c r="S111" s="601"/>
      <c r="T111" s="416"/>
      <c r="U111" s="601"/>
      <c r="V111" s="601"/>
      <c r="W111" s="601"/>
      <c r="X111" s="601"/>
      <c r="Y111" s="416"/>
      <c r="Z111" s="416"/>
      <c r="AA111" s="416"/>
      <c r="AB111" s="416"/>
      <c r="AC111" s="416"/>
      <c r="AD111" s="416"/>
      <c r="AE111" s="416"/>
      <c r="AF111" s="416"/>
      <c r="AG111" s="416"/>
      <c r="AH111" s="416"/>
      <c r="AI111" s="416"/>
      <c r="AJ111" s="416"/>
      <c r="AK111" s="416"/>
      <c r="AL111" s="416"/>
      <c r="AM111" s="416"/>
      <c r="AN111" s="416"/>
      <c r="AO111" s="416"/>
      <c r="AP111" s="167" t="s">
        <v>213</v>
      </c>
      <c r="AQ111" s="167" t="s">
        <v>213</v>
      </c>
      <c r="AR111" s="167" t="s">
        <v>213</v>
      </c>
      <c r="AS111" s="167" t="s">
        <v>213</v>
      </c>
      <c r="AT111" s="167" t="s">
        <v>213</v>
      </c>
      <c r="AU111" s="167" t="s">
        <v>213</v>
      </c>
      <c r="AV111" s="167" t="s">
        <v>213</v>
      </c>
      <c r="AW111" s="174" t="s">
        <v>213</v>
      </c>
      <c r="AX111" s="499">
        <v>0</v>
      </c>
      <c r="AY111" s="499">
        <v>0</v>
      </c>
      <c r="AZ111" s="499">
        <v>0</v>
      </c>
      <c r="BA111" s="499">
        <v>0</v>
      </c>
      <c r="BB111" s="499">
        <v>0</v>
      </c>
      <c r="BC111" s="499">
        <v>0</v>
      </c>
      <c r="BD111" s="499">
        <v>0</v>
      </c>
      <c r="BE111" s="499">
        <v>0</v>
      </c>
      <c r="BF111" s="499">
        <v>0</v>
      </c>
      <c r="BG111" s="499">
        <v>0</v>
      </c>
      <c r="BH111" s="499">
        <v>0</v>
      </c>
      <c r="BI111" s="499">
        <v>0</v>
      </c>
      <c r="BJ111" s="499">
        <v>0</v>
      </c>
      <c r="BK111" s="499">
        <v>0</v>
      </c>
      <c r="BL111" s="499">
        <v>0</v>
      </c>
      <c r="BM111" s="499">
        <v>0</v>
      </c>
      <c r="BN111" s="499">
        <v>0</v>
      </c>
      <c r="BO111" s="499">
        <v>0</v>
      </c>
      <c r="BP111" s="499">
        <v>0</v>
      </c>
      <c r="BQ111" s="499">
        <v>0</v>
      </c>
      <c r="BR111" s="166"/>
      <c r="BS111" s="166"/>
      <c r="BT111" s="417"/>
      <c r="BU111" s="417"/>
      <c r="BV111" s="417"/>
      <c r="BW111" s="417"/>
      <c r="BX111" s="417"/>
      <c r="BY111" s="417"/>
      <c r="BZ111" s="417"/>
      <c r="CA111" s="417"/>
      <c r="CB111" s="417"/>
      <c r="CC111" s="417"/>
      <c r="CD111" s="417"/>
      <c r="CE111" s="417"/>
      <c r="CF111" s="417"/>
      <c r="CG111" s="417"/>
      <c r="CH111" s="417"/>
      <c r="CI111" s="166"/>
      <c r="CJ111" s="166"/>
      <c r="CK111" s="166"/>
      <c r="CL111" s="166"/>
      <c r="CM111" s="167"/>
      <c r="CN111" s="167"/>
      <c r="CO111" s="167"/>
      <c r="CP111" s="167"/>
      <c r="CQ111" s="167"/>
      <c r="CR111" s="167"/>
      <c r="CS111" s="167"/>
      <c r="CT111" s="167" t="s">
        <v>213</v>
      </c>
      <c r="CU111" s="167" t="s">
        <v>213</v>
      </c>
      <c r="CV111" s="167" t="s">
        <v>213</v>
      </c>
      <c r="CW111" s="167" t="s">
        <v>213</v>
      </c>
      <c r="CX111" s="167" t="s">
        <v>213</v>
      </c>
      <c r="CY111" s="174" t="s">
        <v>213</v>
      </c>
      <c r="CZ111" s="167" t="s">
        <v>213</v>
      </c>
      <c r="DA111" s="167" t="s">
        <v>213</v>
      </c>
      <c r="DB111" s="167" t="s">
        <v>213</v>
      </c>
      <c r="DC111" s="167" t="s">
        <v>213</v>
      </c>
      <c r="DD111" s="167" t="s">
        <v>213</v>
      </c>
      <c r="DE111" s="167" t="s">
        <v>213</v>
      </c>
      <c r="DF111" s="167" t="s">
        <v>213</v>
      </c>
      <c r="DG111" s="167" t="s">
        <v>213</v>
      </c>
      <c r="DH111" s="167" t="s">
        <v>213</v>
      </c>
      <c r="DI111" s="167" t="s">
        <v>213</v>
      </c>
      <c r="DJ111" s="545"/>
      <c r="DK111" s="545"/>
    </row>
    <row r="112" spans="1:115" ht="12" outlineLevel="1">
      <c r="A112" s="1" t="s">
        <v>463</v>
      </c>
      <c r="B112" s="19" t="s">
        <v>859</v>
      </c>
      <c r="C112" s="601"/>
      <c r="D112" s="601"/>
      <c r="E112" s="601"/>
      <c r="F112" s="601"/>
      <c r="G112" s="601"/>
      <c r="H112" s="601"/>
      <c r="I112" s="601"/>
      <c r="J112" s="601"/>
      <c r="K112" s="601"/>
      <c r="L112" s="601"/>
      <c r="M112" s="601"/>
      <c r="N112" s="601"/>
      <c r="O112" s="601"/>
      <c r="P112" s="601"/>
      <c r="Q112" s="601"/>
      <c r="R112" s="601"/>
      <c r="S112" s="601"/>
      <c r="T112" s="416"/>
      <c r="U112" s="601"/>
      <c r="V112" s="601"/>
      <c r="W112" s="601"/>
      <c r="X112" s="601"/>
      <c r="Y112" s="416"/>
      <c r="Z112" s="416"/>
      <c r="AA112" s="416"/>
      <c r="AB112" s="416"/>
      <c r="AC112" s="416"/>
      <c r="AD112" s="416"/>
      <c r="AE112" s="416"/>
      <c r="AF112" s="416"/>
      <c r="AG112" s="416"/>
      <c r="AH112" s="416"/>
      <c r="AI112" s="416"/>
      <c r="AJ112" s="416"/>
      <c r="AK112" s="416"/>
      <c r="AL112" s="416"/>
      <c r="AM112" s="416"/>
      <c r="AN112" s="416"/>
      <c r="AO112" s="416"/>
      <c r="AP112" s="167">
        <v>0</v>
      </c>
      <c r="AQ112" s="167">
        <v>0</v>
      </c>
      <c r="AR112" s="167">
        <v>0</v>
      </c>
      <c r="AS112" s="167">
        <v>1.9840069247943942E-3</v>
      </c>
      <c r="AT112" s="167">
        <v>0</v>
      </c>
      <c r="AU112" s="167">
        <v>1.2775814145019047E-3</v>
      </c>
      <c r="AV112" s="167">
        <v>1.2551732155312717E-3</v>
      </c>
      <c r="AW112" s="174">
        <v>5.0144349964816749E-3</v>
      </c>
      <c r="AX112" s="166">
        <v>4.0200123677647248E-3</v>
      </c>
      <c r="AY112" s="166">
        <v>1.7418365737372334E-3</v>
      </c>
      <c r="AZ112" s="166">
        <v>2.2322097845782858E-3</v>
      </c>
      <c r="BA112" s="166">
        <v>2.2319275720472757E-3</v>
      </c>
      <c r="BB112" s="166">
        <v>3.2152742900739273E-3</v>
      </c>
      <c r="BC112" s="166">
        <v>3.1272505397394877E-3</v>
      </c>
      <c r="BD112" s="166">
        <v>3.6648565125607393E-3</v>
      </c>
      <c r="BE112" s="166">
        <v>3.6663578142532008E-3</v>
      </c>
      <c r="BF112" s="166">
        <v>4.1151602130017721E-3</v>
      </c>
      <c r="BG112" s="166">
        <v>4.1168586800667453E-3</v>
      </c>
      <c r="BH112" s="166">
        <v>4.3871576270737558E-3</v>
      </c>
      <c r="BI112" s="166">
        <v>4.3889732673601193E-3</v>
      </c>
      <c r="BJ112" s="166">
        <v>4.3907832257454845E-3</v>
      </c>
      <c r="BK112" s="166">
        <v>4.3925875147319427E-3</v>
      </c>
      <c r="BL112" s="166">
        <v>4.3943861468320328E-3</v>
      </c>
      <c r="BM112" s="166">
        <v>4.3961791345684068E-3</v>
      </c>
      <c r="BN112" s="166">
        <v>4.397966490473494E-3</v>
      </c>
      <c r="BO112" s="166">
        <v>4.3997482270891758E-3</v>
      </c>
      <c r="BP112" s="166">
        <v>4.4015243569664577E-3</v>
      </c>
      <c r="BQ112" s="166">
        <v>4.40329489266514E-3</v>
      </c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7"/>
      <c r="CN112" s="167"/>
      <c r="CO112" s="167"/>
      <c r="CP112" s="167"/>
      <c r="CQ112" s="167"/>
      <c r="CR112" s="167"/>
      <c r="CS112" s="167"/>
      <c r="CT112" s="167">
        <v>0</v>
      </c>
      <c r="CU112" s="167">
        <v>0</v>
      </c>
      <c r="CV112" s="167">
        <v>0</v>
      </c>
      <c r="CW112" s="167">
        <v>1.1104127383197151E-3</v>
      </c>
      <c r="CX112" s="167">
        <v>6.8825910931174085E-4</v>
      </c>
      <c r="CY112" s="174">
        <v>3.1898420563641994E-3</v>
      </c>
      <c r="CZ112" s="166">
        <v>2.8374622406122348E-3</v>
      </c>
      <c r="DA112" s="166">
        <v>2.2320642623733051E-3</v>
      </c>
      <c r="DB112" s="166">
        <v>3.1706200331987578E-3</v>
      </c>
      <c r="DC112" s="166">
        <v>3.6656201880907496E-3</v>
      </c>
      <c r="DD112" s="166">
        <v>4.1160157156886002E-3</v>
      </c>
      <c r="DE112" s="166">
        <v>4.3880677291932273E-3</v>
      </c>
      <c r="DF112" s="166">
        <v>4.3916876392679216E-3</v>
      </c>
      <c r="DG112" s="166">
        <v>4.3952873664678269E-3</v>
      </c>
      <c r="DH112" s="166">
        <v>4.3988596020312779E-3</v>
      </c>
      <c r="DI112" s="166">
        <v>4.4024118552343505E-3</v>
      </c>
      <c r="DJ112" s="544"/>
      <c r="DK112" s="544"/>
    </row>
    <row r="113" spans="1:115" ht="12" outlineLevel="1">
      <c r="A113" s="1" t="s">
        <v>464</v>
      </c>
      <c r="B113" s="19" t="s">
        <v>421</v>
      </c>
      <c r="C113" s="601"/>
      <c r="D113" s="601"/>
      <c r="E113" s="601"/>
      <c r="F113" s="601"/>
      <c r="G113" s="601"/>
      <c r="H113" s="601"/>
      <c r="I113" s="601"/>
      <c r="J113" s="601"/>
      <c r="K113" s="601"/>
      <c r="L113" s="601"/>
      <c r="M113" s="601"/>
      <c r="N113" s="601"/>
      <c r="O113" s="601"/>
      <c r="P113" s="601"/>
      <c r="Q113" s="601"/>
      <c r="R113" s="601"/>
      <c r="S113" s="601"/>
      <c r="T113" s="416"/>
      <c r="U113" s="601"/>
      <c r="V113" s="601"/>
      <c r="W113" s="601"/>
      <c r="X113" s="601"/>
      <c r="Y113" s="416"/>
      <c r="Z113" s="416"/>
      <c r="AA113" s="416"/>
      <c r="AB113" s="416"/>
      <c r="AC113" s="416"/>
      <c r="AD113" s="416"/>
      <c r="AE113" s="416"/>
      <c r="AF113" s="416"/>
      <c r="AG113" s="416"/>
      <c r="AH113" s="416"/>
      <c r="AI113" s="416"/>
      <c r="AJ113" s="416"/>
      <c r="AK113" s="416"/>
      <c r="AL113" s="416"/>
      <c r="AM113" s="416"/>
      <c r="AN113" s="416"/>
      <c r="AO113" s="416"/>
      <c r="AP113" s="167">
        <v>0</v>
      </c>
      <c r="AQ113" s="167">
        <v>0</v>
      </c>
      <c r="AR113" s="167">
        <v>0</v>
      </c>
      <c r="AS113" s="167">
        <v>2.2087143336980437E-3</v>
      </c>
      <c r="AT113" s="167">
        <v>0</v>
      </c>
      <c r="AU113" s="167">
        <v>1.4273119989962222E-3</v>
      </c>
      <c r="AV113" s="167">
        <v>1.4058613835114461E-3</v>
      </c>
      <c r="AW113" s="174">
        <v>5.616227721980482E-3</v>
      </c>
      <c r="AX113" s="166">
        <v>4.4999999999999988E-3</v>
      </c>
      <c r="AY113" s="166">
        <v>1.9499999999999997E-3</v>
      </c>
      <c r="AZ113" s="166">
        <v>2.5000000000000001E-3</v>
      </c>
      <c r="BA113" s="166">
        <v>2.5000000000000001E-3</v>
      </c>
      <c r="BB113" s="166">
        <v>3.5999999999999999E-3</v>
      </c>
      <c r="BC113" s="166">
        <v>3.5000000000000001E-3</v>
      </c>
      <c r="BD113" s="166">
        <v>4.0999999999999995E-3</v>
      </c>
      <c r="BE113" s="166">
        <v>4.1000000000000003E-3</v>
      </c>
      <c r="BF113" s="166">
        <v>4.5999999999999999E-3</v>
      </c>
      <c r="BG113" s="166">
        <v>4.6000000000000008E-3</v>
      </c>
      <c r="BH113" s="166">
        <v>4.899999999999999E-3</v>
      </c>
      <c r="BI113" s="166">
        <v>4.8999999999999998E-3</v>
      </c>
      <c r="BJ113" s="166">
        <v>4.899999999999999E-3</v>
      </c>
      <c r="BK113" s="166">
        <v>4.8999999999999998E-3</v>
      </c>
      <c r="BL113" s="166">
        <v>4.8999999999999998E-3</v>
      </c>
      <c r="BM113" s="166">
        <v>4.8999999999999998E-3</v>
      </c>
      <c r="BN113" s="166">
        <v>4.899999999999999E-3</v>
      </c>
      <c r="BO113" s="166">
        <v>4.8999999999999998E-3</v>
      </c>
      <c r="BP113" s="166">
        <v>4.899999999999999E-3</v>
      </c>
      <c r="BQ113" s="166">
        <v>4.9000000000000007E-3</v>
      </c>
      <c r="BR113" s="166"/>
      <c r="BS113" s="166"/>
      <c r="BT113" s="166"/>
      <c r="BU113" s="166"/>
      <c r="BV113" s="166"/>
      <c r="BW113" s="166"/>
      <c r="BX113" s="166"/>
      <c r="BY113" s="166"/>
      <c r="BZ113" s="166"/>
      <c r="CA113" s="166"/>
      <c r="CB113" s="166"/>
      <c r="CC113" s="166"/>
      <c r="CD113" s="166"/>
      <c r="CE113" s="166"/>
      <c r="CF113" s="166"/>
      <c r="CG113" s="166"/>
      <c r="CH113" s="166"/>
      <c r="CI113" s="166"/>
      <c r="CJ113" s="166"/>
      <c r="CK113" s="166"/>
      <c r="CL113" s="166"/>
      <c r="CM113" s="167"/>
      <c r="CN113" s="167"/>
      <c r="CO113" s="167"/>
      <c r="CP113" s="167"/>
      <c r="CQ113" s="167"/>
      <c r="CR113" s="167"/>
      <c r="CS113" s="167"/>
      <c r="CT113" s="167">
        <v>0</v>
      </c>
      <c r="CU113" s="167">
        <v>0</v>
      </c>
      <c r="CV113" s="167">
        <v>0</v>
      </c>
      <c r="CW113" s="167">
        <v>1.2369382653590428E-3</v>
      </c>
      <c r="CX113" s="167">
        <v>7.6879963270786171E-4</v>
      </c>
      <c r="CY113" s="174">
        <v>3.5704595853006124E-3</v>
      </c>
      <c r="CZ113" s="166">
        <v>3.1764136855785465E-3</v>
      </c>
      <c r="DA113" s="166">
        <v>2.5000000000000001E-3</v>
      </c>
      <c r="DB113" s="166">
        <v>3.5492599098777633E-3</v>
      </c>
      <c r="DC113" s="166">
        <v>4.1000000000000003E-3</v>
      </c>
      <c r="DD113" s="166">
        <v>4.5999999999999999E-3</v>
      </c>
      <c r="DE113" s="166">
        <v>4.8999999999999998E-3</v>
      </c>
      <c r="DF113" s="166">
        <v>4.8999999999999981E-3</v>
      </c>
      <c r="DG113" s="166">
        <v>4.8999999999999998E-3</v>
      </c>
      <c r="DH113" s="166">
        <v>4.8999999999999998E-3</v>
      </c>
      <c r="DI113" s="166">
        <v>4.8999999999999998E-3</v>
      </c>
      <c r="DJ113" s="545"/>
      <c r="DK113" s="545"/>
    </row>
    <row r="114" spans="1:115" ht="12" outlineLevel="1">
      <c r="A114" s="1" t="s">
        <v>465</v>
      </c>
      <c r="B114" s="19" t="s">
        <v>622</v>
      </c>
      <c r="C114" s="601"/>
      <c r="D114" s="601"/>
      <c r="E114" s="601"/>
      <c r="F114" s="601"/>
      <c r="G114" s="601"/>
      <c r="H114" s="601"/>
      <c r="I114" s="601"/>
      <c r="J114" s="601"/>
      <c r="K114" s="601"/>
      <c r="L114" s="601"/>
      <c r="M114" s="601"/>
      <c r="N114" s="601"/>
      <c r="O114" s="601"/>
      <c r="P114" s="601"/>
      <c r="Q114" s="601"/>
      <c r="R114" s="601"/>
      <c r="S114" s="601"/>
      <c r="T114" s="416"/>
      <c r="U114" s="601"/>
      <c r="V114" s="601"/>
      <c r="W114" s="601"/>
      <c r="X114" s="601"/>
      <c r="Y114" s="416"/>
      <c r="Z114" s="416"/>
      <c r="AA114" s="416"/>
      <c r="AB114" s="416"/>
      <c r="AC114" s="416"/>
      <c r="AD114" s="416"/>
      <c r="AE114" s="416"/>
      <c r="AF114" s="416"/>
      <c r="AG114" s="416"/>
      <c r="AH114" s="416"/>
      <c r="AI114" s="416"/>
      <c r="AJ114" s="416"/>
      <c r="AK114" s="416"/>
      <c r="AL114" s="416"/>
      <c r="AM114" s="416"/>
      <c r="AN114" s="416"/>
      <c r="AO114" s="416"/>
      <c r="AP114" s="167">
        <v>1.0067114093959731E-2</v>
      </c>
      <c r="AQ114" s="167">
        <v>2.9458346531517268E-3</v>
      </c>
      <c r="AR114" s="167">
        <v>2.3181087904521457E-3</v>
      </c>
      <c r="AS114" s="167">
        <v>1.7001828153564902E-3</v>
      </c>
      <c r="AT114" s="167">
        <v>2.2040208488458674E-3</v>
      </c>
      <c r="AU114" s="167">
        <v>6.546542018496181E-3</v>
      </c>
      <c r="AV114" s="167">
        <v>1.1053999422466071E-2</v>
      </c>
      <c r="AW114" s="174">
        <v>1.3585536628696833E-2</v>
      </c>
      <c r="AX114" s="661">
        <v>1.4571280523914027E-2</v>
      </c>
      <c r="AY114" s="661">
        <v>1.5557024419131222E-2</v>
      </c>
      <c r="AZ114" s="661">
        <v>1.6542768314348415E-2</v>
      </c>
      <c r="BA114" s="661">
        <v>1.7528512209565611E-2</v>
      </c>
      <c r="BB114" s="661">
        <v>1.8514256104782807E-2</v>
      </c>
      <c r="BC114" s="631">
        <v>1.95E-2</v>
      </c>
      <c r="BD114" s="499">
        <v>1.95E-2</v>
      </c>
      <c r="BE114" s="499">
        <v>1.95E-2</v>
      </c>
      <c r="BF114" s="499">
        <v>1.95E-2</v>
      </c>
      <c r="BG114" s="499">
        <v>1.95E-2</v>
      </c>
      <c r="BH114" s="499">
        <v>1.95E-2</v>
      </c>
      <c r="BI114" s="499">
        <v>1.95E-2</v>
      </c>
      <c r="BJ114" s="499">
        <v>1.95E-2</v>
      </c>
      <c r="BK114" s="499">
        <v>1.95E-2</v>
      </c>
      <c r="BL114" s="499">
        <v>1.95E-2</v>
      </c>
      <c r="BM114" s="499">
        <v>1.95E-2</v>
      </c>
      <c r="BN114" s="499">
        <v>1.95E-2</v>
      </c>
      <c r="BO114" s="499">
        <v>1.95E-2</v>
      </c>
      <c r="BP114" s="499">
        <v>1.95E-2</v>
      </c>
      <c r="BQ114" s="499">
        <v>1.95E-2</v>
      </c>
      <c r="BR114" s="166"/>
      <c r="BS114" s="166"/>
      <c r="BT114" s="166"/>
      <c r="BU114" s="166"/>
      <c r="BV114" s="166"/>
      <c r="BW114" s="166"/>
      <c r="BX114" s="166"/>
      <c r="BY114" s="166"/>
      <c r="BZ114" s="166"/>
      <c r="CA114" s="166"/>
      <c r="CB114" s="166"/>
      <c r="CC114" s="166"/>
      <c r="CD114" s="166"/>
      <c r="CE114" s="166"/>
      <c r="CF114" s="166"/>
      <c r="CG114" s="166"/>
      <c r="CH114" s="166"/>
      <c r="CI114" s="166"/>
      <c r="CJ114" s="166"/>
      <c r="CK114" s="166"/>
      <c r="CL114" s="166"/>
      <c r="CM114" s="167"/>
      <c r="CN114" s="167"/>
      <c r="CO114" s="167"/>
      <c r="CP114" s="167"/>
      <c r="CQ114" s="167"/>
      <c r="CR114" s="167"/>
      <c r="CS114" s="167"/>
      <c r="CT114" s="167">
        <v>0</v>
      </c>
      <c r="CU114" s="167">
        <v>0</v>
      </c>
      <c r="CV114" s="167">
        <v>2.9458346531517268E-3</v>
      </c>
      <c r="CW114" s="167">
        <v>1.7001828153564902E-3</v>
      </c>
      <c r="CX114" s="167">
        <v>6.546542018496181E-3</v>
      </c>
      <c r="CY114" s="174">
        <v>1.3585536628696833E-2</v>
      </c>
      <c r="CZ114" s="166">
        <v>1.5557024419131222E-2</v>
      </c>
      <c r="DA114" s="166">
        <v>1.7528512209565611E-2</v>
      </c>
      <c r="DB114" s="166">
        <v>1.95E-2</v>
      </c>
      <c r="DC114" s="166">
        <v>1.95E-2</v>
      </c>
      <c r="DD114" s="166">
        <v>1.95E-2</v>
      </c>
      <c r="DE114" s="166">
        <v>1.95E-2</v>
      </c>
      <c r="DF114" s="166">
        <v>1.95E-2</v>
      </c>
      <c r="DG114" s="166">
        <v>1.95E-2</v>
      </c>
      <c r="DH114" s="166">
        <v>1.95E-2</v>
      </c>
      <c r="DI114" s="166">
        <v>1.95E-2</v>
      </c>
    </row>
    <row r="115" spans="1:115" ht="12" outlineLevel="1">
      <c r="A115" s="1" t="s">
        <v>466</v>
      </c>
      <c r="B115" s="19" t="s">
        <v>512</v>
      </c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394"/>
      <c r="U115" s="408"/>
      <c r="V115" s="408"/>
      <c r="W115" s="408"/>
      <c r="X115" s="408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394"/>
      <c r="AM115" s="394"/>
      <c r="AN115" s="394"/>
      <c r="AO115" s="394"/>
      <c r="AP115" s="285">
        <v>0.1125</v>
      </c>
      <c r="AQ115" s="285">
        <v>0.62365591397849451</v>
      </c>
      <c r="AR115" s="285">
        <v>0.55445544554455439</v>
      </c>
      <c r="AS115" s="285">
        <v>0.18279569892473116</v>
      </c>
      <c r="AT115" s="285">
        <v>0.29054054054054052</v>
      </c>
      <c r="AU115" s="285">
        <v>0.36084452975047987</v>
      </c>
      <c r="AV115" s="285">
        <v>0.36259143155694884</v>
      </c>
      <c r="AW115" s="286">
        <v>0.27769230769230768</v>
      </c>
      <c r="AX115" s="386">
        <v>0.27769230769230768</v>
      </c>
      <c r="AY115" s="386">
        <v>0.27769230769230768</v>
      </c>
      <c r="AZ115" s="386">
        <v>0.27769230769230768</v>
      </c>
      <c r="BA115" s="386">
        <v>0.27769230769230768</v>
      </c>
      <c r="BB115" s="386">
        <v>0.27769230769230768</v>
      </c>
      <c r="BC115" s="386">
        <v>0.27769230769230768</v>
      </c>
      <c r="BD115" s="386">
        <v>0.27769230769230768</v>
      </c>
      <c r="BE115" s="386">
        <v>0.27769230769230768</v>
      </c>
      <c r="BF115" s="386">
        <v>0.27769230769230768</v>
      </c>
      <c r="BG115" s="386">
        <v>0.27769230769230768</v>
      </c>
      <c r="BH115" s="386">
        <v>0.27769230769230768</v>
      </c>
      <c r="BI115" s="386">
        <v>0.27769230769230768</v>
      </c>
      <c r="BJ115" s="386">
        <v>0.27769230769230768</v>
      </c>
      <c r="BK115" s="386">
        <v>0.27769230769230768</v>
      </c>
      <c r="BL115" s="386">
        <v>0.27769230769230768</v>
      </c>
      <c r="BM115" s="386">
        <v>0.27769230769230768</v>
      </c>
      <c r="BN115" s="386">
        <v>0.27769230769230768</v>
      </c>
      <c r="BO115" s="386">
        <v>0.27769230769230768</v>
      </c>
      <c r="BP115" s="386">
        <v>0.27769230769230768</v>
      </c>
      <c r="BQ115" s="386">
        <v>0.27769230769230768</v>
      </c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285"/>
      <c r="CN115" s="285"/>
      <c r="CO115" s="285"/>
      <c r="CP115" s="285"/>
      <c r="CQ115" s="285"/>
      <c r="CR115" s="285"/>
      <c r="CS115" s="285"/>
      <c r="CT115" s="285" t="s">
        <v>213</v>
      </c>
      <c r="CU115" s="285" t="s">
        <v>213</v>
      </c>
      <c r="CV115" s="285">
        <v>0.62365591397849451</v>
      </c>
      <c r="CW115" s="285">
        <v>0.18279569892473116</v>
      </c>
      <c r="CX115" s="285">
        <v>0.36084452975047987</v>
      </c>
      <c r="CY115" s="286">
        <v>0.27769230769230768</v>
      </c>
      <c r="CZ115" s="162">
        <v>0.27769230769230768</v>
      </c>
      <c r="DA115" s="162">
        <v>0.27769230769230768</v>
      </c>
      <c r="DB115" s="162">
        <v>0.27769230769230768</v>
      </c>
      <c r="DC115" s="162">
        <v>0.27769230769230768</v>
      </c>
      <c r="DD115" s="162">
        <v>0.27769230769230768</v>
      </c>
      <c r="DE115" s="162">
        <v>0.27769230769230768</v>
      </c>
      <c r="DF115" s="162">
        <v>0.27769230769230768</v>
      </c>
      <c r="DG115" s="162">
        <v>0.27769230769230768</v>
      </c>
      <c r="DH115" s="162">
        <v>0.27769230769230768</v>
      </c>
      <c r="DI115" s="162">
        <v>0.27769230769230768</v>
      </c>
    </row>
    <row r="116" spans="1:115" ht="12" outlineLevel="1">
      <c r="A116" s="1" t="s">
        <v>467</v>
      </c>
      <c r="B116" s="19" t="s">
        <v>295</v>
      </c>
      <c r="C116" s="601"/>
      <c r="D116" s="601"/>
      <c r="E116" s="601"/>
      <c r="F116" s="601"/>
      <c r="G116" s="601"/>
      <c r="H116" s="601"/>
      <c r="I116" s="601"/>
      <c r="J116" s="601"/>
      <c r="K116" s="601"/>
      <c r="L116" s="601"/>
      <c r="M116" s="601"/>
      <c r="N116" s="601"/>
      <c r="O116" s="601"/>
      <c r="P116" s="601"/>
      <c r="Q116" s="601"/>
      <c r="R116" s="601"/>
      <c r="S116" s="601"/>
      <c r="T116" s="601"/>
      <c r="U116" s="601"/>
      <c r="V116" s="601"/>
      <c r="W116" s="601"/>
      <c r="X116" s="601"/>
      <c r="Y116" s="416"/>
      <c r="Z116" s="416"/>
      <c r="AA116" s="416"/>
      <c r="AB116" s="416"/>
      <c r="AC116" s="416"/>
      <c r="AD116" s="416"/>
      <c r="AE116" s="416"/>
      <c r="AF116" s="416"/>
      <c r="AG116" s="416"/>
      <c r="AH116" s="416"/>
      <c r="AI116" s="416"/>
      <c r="AJ116" s="416"/>
      <c r="AK116" s="416"/>
      <c r="AL116" s="416"/>
      <c r="AM116" s="416"/>
      <c r="AN116" s="416"/>
      <c r="AO116" s="416"/>
      <c r="AP116" s="416">
        <v>1.2770607954615223E-2</v>
      </c>
      <c r="AQ116" s="416">
        <v>9.0219245124453125E-3</v>
      </c>
      <c r="AR116" s="416">
        <v>7.9101760064738021E-3</v>
      </c>
      <c r="AS116" s="416">
        <v>9.4489579653832569E-3</v>
      </c>
      <c r="AT116" s="416">
        <v>1.0439247005134057E-2</v>
      </c>
      <c r="AU116" s="416">
        <v>1.192845615922539E-2</v>
      </c>
      <c r="AV116" s="416">
        <v>1.2263184843830004E-2</v>
      </c>
      <c r="AW116" s="435">
        <v>1.293350120178551E-2</v>
      </c>
      <c r="AX116" s="499">
        <v>1.293350120178551E-2</v>
      </c>
      <c r="AY116" s="499">
        <v>1.293350120178551E-2</v>
      </c>
      <c r="AZ116" s="499">
        <v>1.293350120178551E-2</v>
      </c>
      <c r="BA116" s="499">
        <v>1.293350120178551E-2</v>
      </c>
      <c r="BB116" s="499">
        <v>1.293350120178551E-2</v>
      </c>
      <c r="BC116" s="499">
        <v>1.293350120178551E-2</v>
      </c>
      <c r="BD116" s="499">
        <v>1.293350120178551E-2</v>
      </c>
      <c r="BE116" s="499">
        <v>1.293350120178551E-2</v>
      </c>
      <c r="BF116" s="499">
        <v>1.293350120178551E-2</v>
      </c>
      <c r="BG116" s="499">
        <v>1.293350120178551E-2</v>
      </c>
      <c r="BH116" s="499">
        <v>1.293350120178551E-2</v>
      </c>
      <c r="BI116" s="499">
        <v>1.293350120178551E-2</v>
      </c>
      <c r="BJ116" s="499">
        <v>1.293350120178551E-2</v>
      </c>
      <c r="BK116" s="499">
        <v>1.293350120178551E-2</v>
      </c>
      <c r="BL116" s="499">
        <v>1.293350120178551E-2</v>
      </c>
      <c r="BM116" s="499">
        <v>1.293350120178551E-2</v>
      </c>
      <c r="BN116" s="499">
        <v>1.293350120178551E-2</v>
      </c>
      <c r="BO116" s="499">
        <v>1.293350120178551E-2</v>
      </c>
      <c r="BP116" s="499">
        <v>1.293350120178551E-2</v>
      </c>
      <c r="BQ116" s="499">
        <v>1.293350120178551E-2</v>
      </c>
      <c r="BR116" s="166"/>
      <c r="BS116" s="166"/>
      <c r="BT116" s="166"/>
      <c r="BU116" s="166"/>
      <c r="BV116" s="166"/>
      <c r="BW116" s="166"/>
      <c r="BX116" s="166"/>
      <c r="BY116" s="166"/>
      <c r="BZ116" s="166"/>
      <c r="CA116" s="166"/>
      <c r="CB116" s="166"/>
      <c r="CC116" s="166"/>
      <c r="CD116" s="166"/>
      <c r="CE116" s="166"/>
      <c r="CF116" s="166"/>
      <c r="CG116" s="166"/>
      <c r="CH116" s="166"/>
      <c r="CI116" s="166"/>
      <c r="CJ116" s="166"/>
      <c r="CK116" s="166"/>
      <c r="CL116" s="166"/>
      <c r="CM116" s="167"/>
      <c r="CN116" s="167"/>
      <c r="CO116" s="167"/>
      <c r="CP116" s="416"/>
      <c r="CQ116" s="167"/>
      <c r="CR116" s="167"/>
      <c r="CS116" s="167"/>
      <c r="CT116" s="416">
        <v>8.9130434782608691E-3</v>
      </c>
      <c r="CU116" s="416">
        <v>1.4468085106382983E-2</v>
      </c>
      <c r="CV116" s="416">
        <v>9.0219245124453125E-3</v>
      </c>
      <c r="CW116" s="416">
        <v>9.4489579653832569E-3</v>
      </c>
      <c r="CX116" s="416">
        <v>1.192845615922539E-2</v>
      </c>
      <c r="CY116" s="435">
        <v>1.293350120178551E-2</v>
      </c>
      <c r="CZ116" s="166">
        <v>1.293350120178551E-2</v>
      </c>
      <c r="DA116" s="166">
        <v>1.293350120178551E-2</v>
      </c>
      <c r="DB116" s="166">
        <v>1.2933501201785508E-2</v>
      </c>
      <c r="DC116" s="166">
        <v>1.293350120178551E-2</v>
      </c>
      <c r="DD116" s="166">
        <v>1.293350120178551E-2</v>
      </c>
      <c r="DE116" s="166">
        <v>1.293350120178551E-2</v>
      </c>
      <c r="DF116" s="166">
        <v>1.293350120178551E-2</v>
      </c>
      <c r="DG116" s="166">
        <v>1.293350120178551E-2</v>
      </c>
      <c r="DH116" s="166">
        <v>1.293350120178551E-2</v>
      </c>
      <c r="DI116" s="166">
        <v>1.293350120178551E-2</v>
      </c>
      <c r="DJ116" s="546"/>
    </row>
    <row r="117" spans="1:115" ht="12" outlineLevel="1">
      <c r="A117" s="1" t="s">
        <v>708</v>
      </c>
      <c r="B117" s="19" t="s">
        <v>349</v>
      </c>
      <c r="C117" s="601"/>
      <c r="D117" s="601"/>
      <c r="E117" s="601"/>
      <c r="F117" s="601"/>
      <c r="G117" s="601"/>
      <c r="H117" s="601"/>
      <c r="I117" s="601"/>
      <c r="J117" s="601"/>
      <c r="K117" s="601"/>
      <c r="L117" s="601"/>
      <c r="M117" s="601"/>
      <c r="N117" s="601"/>
      <c r="O117" s="601"/>
      <c r="P117" s="601"/>
      <c r="Q117" s="601"/>
      <c r="R117" s="601"/>
      <c r="S117" s="601"/>
      <c r="T117" s="416"/>
      <c r="U117" s="601"/>
      <c r="V117" s="601"/>
      <c r="W117" s="601"/>
      <c r="X117" s="601"/>
      <c r="Y117" s="416"/>
      <c r="Z117" s="416"/>
      <c r="AA117" s="416"/>
      <c r="AB117" s="416"/>
      <c r="AC117" s="416"/>
      <c r="AD117" s="416"/>
      <c r="AE117" s="416"/>
      <c r="AF117" s="416"/>
      <c r="AG117" s="416"/>
      <c r="AH117" s="416"/>
      <c r="AI117" s="416"/>
      <c r="AJ117" s="416"/>
      <c r="AK117" s="416"/>
      <c r="AL117" s="416"/>
      <c r="AM117" s="416"/>
      <c r="AN117" s="416"/>
      <c r="AO117" s="416"/>
      <c r="AP117" s="416">
        <v>7.6642786561264831E-3</v>
      </c>
      <c r="AQ117" s="416">
        <v>1.0222581542592224E-3</v>
      </c>
      <c r="AR117" s="416">
        <v>4.5678767716165903E-3</v>
      </c>
      <c r="AS117" s="416">
        <v>5.9145866814625352E-3</v>
      </c>
      <c r="AT117" s="416">
        <v>6.523582516366061E-3</v>
      </c>
      <c r="AU117" s="416">
        <v>8.0913489585120631E-3</v>
      </c>
      <c r="AV117" s="416">
        <v>5.7014647756335737E-3</v>
      </c>
      <c r="AW117" s="435">
        <v>8.6850014139062612E-3</v>
      </c>
      <c r="AX117" s="166">
        <v>7.1425358763278178E-3</v>
      </c>
      <c r="AY117" s="166">
        <v>4.9625609745188844E-3</v>
      </c>
      <c r="AZ117" s="166">
        <v>5.055202923043913E-3</v>
      </c>
      <c r="BA117" s="166">
        <v>5.1173868892823108E-3</v>
      </c>
      <c r="BB117" s="166">
        <v>5.0965705989131473E-3</v>
      </c>
      <c r="BC117" s="166">
        <v>5.0632563151503862E-3</v>
      </c>
      <c r="BD117" s="166">
        <v>5.0908470787047232E-3</v>
      </c>
      <c r="BE117" s="166">
        <v>5.1082360436964271E-3</v>
      </c>
      <c r="BF117" s="166">
        <v>5.0891633982822334E-3</v>
      </c>
      <c r="BG117" s="166">
        <v>5.1071666844015543E-3</v>
      </c>
      <c r="BH117" s="166">
        <v>5.0586888404982435E-3</v>
      </c>
      <c r="BI117" s="166">
        <v>5.0717567372598835E-3</v>
      </c>
      <c r="BJ117" s="166">
        <v>5.0625538984826416E-3</v>
      </c>
      <c r="BK117" s="166">
        <v>5.0756136507395669E-3</v>
      </c>
      <c r="BL117" s="166">
        <v>5.068235900645094E-3</v>
      </c>
      <c r="BM117" s="166">
        <v>5.077553881232268E-3</v>
      </c>
      <c r="BN117" s="166">
        <v>5.0702115951018183E-3</v>
      </c>
      <c r="BO117" s="166">
        <v>5.0832551442992514E-3</v>
      </c>
      <c r="BP117" s="166">
        <v>5.0740044474114924E-3</v>
      </c>
      <c r="BQ117" s="166">
        <v>5.0870399384377431E-3</v>
      </c>
      <c r="BR117" s="166"/>
      <c r="BS117" s="166"/>
      <c r="BT117" s="166"/>
      <c r="BU117" s="166"/>
      <c r="BV117" s="166"/>
      <c r="BW117" s="166"/>
      <c r="BX117" s="166"/>
      <c r="BY117" s="166"/>
      <c r="BZ117" s="166"/>
      <c r="CA117" s="166"/>
      <c r="CB117" s="166"/>
      <c r="CC117" s="166"/>
      <c r="CD117" s="166"/>
      <c r="CE117" s="166"/>
      <c r="CF117" s="166"/>
      <c r="CG117" s="166"/>
      <c r="CH117" s="166"/>
      <c r="CI117" s="166"/>
      <c r="CJ117" s="166"/>
      <c r="CK117" s="166"/>
      <c r="CL117" s="166"/>
      <c r="CM117" s="167"/>
      <c r="CN117" s="167"/>
      <c r="CO117" s="167"/>
      <c r="CP117" s="416"/>
      <c r="CQ117" s="167"/>
      <c r="CR117" s="167"/>
      <c r="CS117" s="167"/>
      <c r="CT117" s="416">
        <v>2.1533117496290301E-2</v>
      </c>
      <c r="CU117" s="416">
        <v>2.4227614955798917E-2</v>
      </c>
      <c r="CV117" s="416">
        <v>3.8813351637709964E-3</v>
      </c>
      <c r="CW117" s="416">
        <v>5.3216006704378798E-3</v>
      </c>
      <c r="CX117" s="416">
        <v>7.3684210526315779E-3</v>
      </c>
      <c r="CY117" s="435">
        <v>7.2365025291627949E-3</v>
      </c>
      <c r="CZ117" s="166">
        <v>6.0109596370921349E-3</v>
      </c>
      <c r="DA117" s="166">
        <v>5.0872679339386915E-3</v>
      </c>
      <c r="DB117" s="166">
        <v>5.079670335301309E-3</v>
      </c>
      <c r="DC117" s="166">
        <v>5.0996924207988813E-3</v>
      </c>
      <c r="DD117" s="166">
        <v>5.0982314926624264E-3</v>
      </c>
      <c r="DE117" s="166">
        <v>5.0652392131844666E-3</v>
      </c>
      <c r="DF117" s="166">
        <v>5.0691001982325692E-3</v>
      </c>
      <c r="DG117" s="166">
        <v>5.0729194502872679E-3</v>
      </c>
      <c r="DH117" s="166">
        <v>5.0767497918477499E-3</v>
      </c>
      <c r="DI117" s="166">
        <v>5.0805386142828797E-3</v>
      </c>
      <c r="DJ117" s="546"/>
    </row>
    <row r="118" spans="1:115" ht="12" outlineLevel="1">
      <c r="A118" s="1" t="s">
        <v>709</v>
      </c>
      <c r="B118" s="19" t="s">
        <v>350</v>
      </c>
      <c r="C118" s="601"/>
      <c r="D118" s="601"/>
      <c r="E118" s="601"/>
      <c r="F118" s="601"/>
      <c r="G118" s="601"/>
      <c r="H118" s="601"/>
      <c r="I118" s="601"/>
      <c r="J118" s="601"/>
      <c r="K118" s="601"/>
      <c r="L118" s="601"/>
      <c r="M118" s="601"/>
      <c r="N118" s="601"/>
      <c r="O118" s="601"/>
      <c r="P118" s="601"/>
      <c r="Q118" s="601"/>
      <c r="R118" s="601"/>
      <c r="S118" s="601"/>
      <c r="T118" s="416"/>
      <c r="U118" s="601"/>
      <c r="V118" s="601"/>
      <c r="W118" s="601"/>
      <c r="X118" s="601"/>
      <c r="Y118" s="416"/>
      <c r="Z118" s="416"/>
      <c r="AA118" s="416"/>
      <c r="AB118" s="416"/>
      <c r="AC118" s="416"/>
      <c r="AD118" s="416"/>
      <c r="AE118" s="416"/>
      <c r="AF118" s="416"/>
      <c r="AG118" s="416"/>
      <c r="AH118" s="416"/>
      <c r="AI118" s="416"/>
      <c r="AJ118" s="416"/>
      <c r="AK118" s="416"/>
      <c r="AL118" s="416"/>
      <c r="AM118" s="416"/>
      <c r="AN118" s="416"/>
      <c r="AO118" s="416"/>
      <c r="AP118" s="416">
        <v>8.4454949788776296E-3</v>
      </c>
      <c r="AQ118" s="416">
        <v>1.1336900122582423E-3</v>
      </c>
      <c r="AR118" s="416">
        <v>5.0858207441235549E-3</v>
      </c>
      <c r="AS118" s="416">
        <v>6.5844691457413382E-3</v>
      </c>
      <c r="AT118" s="416">
        <v>7.2689894870297022E-3</v>
      </c>
      <c r="AU118" s="416">
        <v>9.0396426603094084E-3</v>
      </c>
      <c r="AV118" s="416">
        <v>6.3859466234079251E-3</v>
      </c>
      <c r="AW118" s="435">
        <v>9.7273064144701941E-3</v>
      </c>
      <c r="AX118" s="166">
        <v>7.9953513827986013E-3</v>
      </c>
      <c r="AY118" s="166">
        <v>5.5556267713159496E-3</v>
      </c>
      <c r="AZ118" s="166">
        <v>5.6616575175515525E-3</v>
      </c>
      <c r="BA118" s="166">
        <v>5.7320261568661653E-3</v>
      </c>
      <c r="BB118" s="166">
        <v>5.7064040267822587E-3</v>
      </c>
      <c r="BC118" s="166">
        <v>5.6667660226873348E-3</v>
      </c>
      <c r="BD118" s="166">
        <v>5.6953042912190784E-3</v>
      </c>
      <c r="BE118" s="166">
        <v>5.7124178381431053E-3</v>
      </c>
      <c r="BF118" s="166">
        <v>5.6887582549360613E-3</v>
      </c>
      <c r="BG118" s="166">
        <v>5.7065273729207224E-3</v>
      </c>
      <c r="BH118" s="166">
        <v>5.6500307090572351E-3</v>
      </c>
      <c r="BI118" s="166">
        <v>5.6622828389932701E-3</v>
      </c>
      <c r="BJ118" s="166">
        <v>5.6496786170429072E-3</v>
      </c>
      <c r="BK118" s="166">
        <v>5.6619263259326553E-3</v>
      </c>
      <c r="BL118" s="166">
        <v>5.6513822598554184E-3</v>
      </c>
      <c r="BM118" s="166">
        <v>5.6594631966653706E-3</v>
      </c>
      <c r="BN118" s="166">
        <v>5.6489827445966173E-3</v>
      </c>
      <c r="BO118" s="166">
        <v>5.6612217157583017E-3</v>
      </c>
      <c r="BP118" s="166">
        <v>5.6486389205060977E-3</v>
      </c>
      <c r="BQ118" s="166">
        <v>5.6608735744377815E-3</v>
      </c>
      <c r="BR118" s="166"/>
      <c r="BS118" s="166"/>
      <c r="BT118" s="166"/>
      <c r="BU118" s="166"/>
      <c r="BV118" s="166"/>
      <c r="BW118" s="166"/>
      <c r="BX118" s="166"/>
      <c r="BY118" s="166"/>
      <c r="BZ118" s="166"/>
      <c r="CA118" s="166"/>
      <c r="CB118" s="166"/>
      <c r="CC118" s="166"/>
      <c r="CD118" s="166"/>
      <c r="CE118" s="166"/>
      <c r="CF118" s="166"/>
      <c r="CG118" s="166"/>
      <c r="CH118" s="166"/>
      <c r="CI118" s="166"/>
      <c r="CJ118" s="166"/>
      <c r="CK118" s="166"/>
      <c r="CL118" s="166"/>
      <c r="CM118" s="167"/>
      <c r="CN118" s="167"/>
      <c r="CO118" s="167"/>
      <c r="CP118" s="416"/>
      <c r="CQ118" s="167"/>
      <c r="CR118" s="167"/>
      <c r="CS118" s="167"/>
      <c r="CT118" s="416">
        <v>2.1972568873765613E-2</v>
      </c>
      <c r="CU118" s="416">
        <v>2.563861857390087E-2</v>
      </c>
      <c r="CV118" s="416">
        <v>4.2565548877702159E-3</v>
      </c>
      <c r="CW118" s="416">
        <v>5.9279682905886196E-3</v>
      </c>
      <c r="CX118" s="416">
        <v>8.2306784207547556E-3</v>
      </c>
      <c r="CY118" s="435">
        <v>8.0999746579149823E-3</v>
      </c>
      <c r="CZ118" s="166">
        <v>6.7290038899689405E-3</v>
      </c>
      <c r="DA118" s="166">
        <v>5.6979407131064301E-3</v>
      </c>
      <c r="DB118" s="166">
        <v>5.6862916677818381E-3</v>
      </c>
      <c r="DC118" s="166">
        <v>5.7040112866046282E-3</v>
      </c>
      <c r="DD118" s="166">
        <v>5.6977102339182181E-3</v>
      </c>
      <c r="DE118" s="166">
        <v>5.6561734404147702E-3</v>
      </c>
      <c r="DF118" s="166">
        <v>5.6558191318634137E-3</v>
      </c>
      <c r="DG118" s="166">
        <v>5.6554448512392995E-3</v>
      </c>
      <c r="DH118" s="166">
        <v>5.6551188786672923E-3</v>
      </c>
      <c r="DI118" s="166">
        <v>5.6547728900891089E-3</v>
      </c>
      <c r="DJ118" s="546"/>
    </row>
    <row r="119" spans="1:115" ht="12" outlineLevel="1">
      <c r="Z119" s="416"/>
      <c r="AA119" s="416"/>
      <c r="AB119" s="416"/>
      <c r="AC119" s="416"/>
      <c r="AD119" s="42"/>
      <c r="AE119" s="416"/>
      <c r="AF119" s="416"/>
      <c r="AG119" s="416"/>
      <c r="AH119" s="42"/>
      <c r="AI119" s="42"/>
      <c r="AJ119" s="42"/>
      <c r="AK119" s="416"/>
      <c r="AL119" s="416"/>
      <c r="AM119" s="416"/>
      <c r="AN119" s="416"/>
      <c r="AO119" s="42"/>
      <c r="AP119" s="113"/>
      <c r="AQ119" s="167"/>
      <c r="AR119" s="167"/>
      <c r="AS119" s="167"/>
      <c r="AT119" s="167"/>
      <c r="AU119" s="652"/>
      <c r="AV119" s="667"/>
      <c r="AW119" s="662"/>
      <c r="AX119" s="665"/>
      <c r="AY119" s="665"/>
      <c r="AZ119" s="665"/>
      <c r="BA119" s="665"/>
      <c r="BB119" s="665"/>
      <c r="BC119" s="665"/>
      <c r="BD119" s="665"/>
      <c r="BE119" s="665"/>
      <c r="BF119" s="665"/>
      <c r="BG119" s="665"/>
      <c r="BH119" s="665"/>
      <c r="BI119" s="665"/>
      <c r="BJ119" s="665"/>
      <c r="BK119" s="665"/>
      <c r="BL119" s="665"/>
      <c r="BM119" s="665"/>
      <c r="BN119" s="665"/>
      <c r="BO119" s="665"/>
      <c r="BP119" s="665"/>
      <c r="BQ119" s="665"/>
      <c r="BR119" s="665"/>
      <c r="BS119" s="167"/>
      <c r="BT119" s="167"/>
      <c r="BU119" s="167"/>
      <c r="BV119" s="167"/>
      <c r="BW119" s="167"/>
      <c r="BX119" s="167"/>
      <c r="BY119" s="167"/>
      <c r="BZ119" s="167"/>
      <c r="CA119" s="167"/>
      <c r="CB119" s="167"/>
      <c r="CC119" s="167"/>
      <c r="CD119" s="167"/>
      <c r="CE119" s="167"/>
      <c r="CF119" s="167"/>
      <c r="CG119" s="167"/>
      <c r="CH119" s="167"/>
      <c r="CI119" s="167"/>
      <c r="CJ119" s="167"/>
      <c r="CK119" s="167"/>
      <c r="CL119" s="165"/>
      <c r="CM119" s="42"/>
      <c r="CT119" s="113"/>
      <c r="CU119" s="113"/>
      <c r="CV119" s="509"/>
      <c r="CW119" s="509"/>
      <c r="CX119" s="509"/>
      <c r="CY119" s="558"/>
      <c r="DB119" s="19"/>
      <c r="DC119" s="19"/>
      <c r="DD119" s="19"/>
      <c r="DE119" s="19"/>
      <c r="DF119" s="19"/>
      <c r="DG119" s="19"/>
      <c r="DH119" s="19"/>
      <c r="DI119" s="19"/>
    </row>
    <row r="120" spans="1:115" ht="12" outlineLevel="1">
      <c r="A120" s="1" t="s">
        <v>710</v>
      </c>
      <c r="B120" s="19" t="s">
        <v>351</v>
      </c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525">
        <v>2.7</v>
      </c>
      <c r="AQ120" s="525">
        <v>5.8</v>
      </c>
      <c r="AR120" s="525">
        <v>5.6</v>
      </c>
      <c r="AS120" s="525">
        <v>1.7</v>
      </c>
      <c r="AT120" s="525">
        <v>4.3</v>
      </c>
      <c r="AU120" s="525">
        <v>18.8</v>
      </c>
      <c r="AV120" s="525">
        <v>34.700000000000003</v>
      </c>
      <c r="AW120" s="523">
        <v>36.1</v>
      </c>
      <c r="AX120" s="42">
        <v>42.479818391222494</v>
      </c>
      <c r="AY120" s="42">
        <v>49.758352626452726</v>
      </c>
      <c r="AZ120" s="42">
        <v>57.256325437859957</v>
      </c>
      <c r="BA120" s="42">
        <v>65.650217003436524</v>
      </c>
      <c r="BB120" s="42">
        <v>72.60963387709991</v>
      </c>
      <c r="BC120" s="42">
        <v>80.079151119657467</v>
      </c>
      <c r="BD120" s="42">
        <v>83.852560799566817</v>
      </c>
      <c r="BE120" s="42">
        <v>87.803777317003181</v>
      </c>
      <c r="BF120" s="42">
        <v>90.624122448202627</v>
      </c>
      <c r="BG120" s="42">
        <v>93.535059885361335</v>
      </c>
      <c r="BH120" s="42">
        <v>95.604148945085385</v>
      </c>
      <c r="BI120" s="42">
        <v>97.719008323899615</v>
      </c>
      <c r="BJ120" s="42">
        <v>99.880650507032584</v>
      </c>
      <c r="BK120" s="42">
        <v>102.09011037689861</v>
      </c>
      <c r="BL120" s="42">
        <v>104.34844570854598</v>
      </c>
      <c r="BM120" s="42">
        <v>106.65673767606469</v>
      </c>
      <c r="BN120" s="42">
        <v>109.01609137019689</v>
      </c>
      <c r="BO120" s="42">
        <v>111.42763632739701</v>
      </c>
      <c r="BP120" s="42">
        <v>113.89252707059532</v>
      </c>
      <c r="BQ120" s="42">
        <v>116.41194366192396</v>
      </c>
      <c r="BR120" s="42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525">
        <v>0</v>
      </c>
      <c r="CU120" s="525">
        <v>1.0731557999999999</v>
      </c>
      <c r="CV120" s="44">
        <v>5.8</v>
      </c>
      <c r="CW120" s="44">
        <v>1.7</v>
      </c>
      <c r="CX120" s="44">
        <v>18.8</v>
      </c>
      <c r="CY120" s="45">
        <v>36.1</v>
      </c>
      <c r="CZ120" s="44">
        <v>49.758352626452726</v>
      </c>
      <c r="DA120" s="44">
        <v>65.650217003436524</v>
      </c>
      <c r="DB120" s="44">
        <v>80.079151119657467</v>
      </c>
      <c r="DC120" s="44">
        <v>87.803777317003181</v>
      </c>
      <c r="DD120" s="44">
        <v>93.535059885361335</v>
      </c>
      <c r="DE120" s="44">
        <v>97.719008323899615</v>
      </c>
      <c r="DF120" s="44">
        <v>102.09011037689861</v>
      </c>
      <c r="DG120" s="44">
        <v>106.65673767606469</v>
      </c>
      <c r="DH120" s="44">
        <v>111.42763632739701</v>
      </c>
      <c r="DI120" s="44">
        <v>116.41194366192396</v>
      </c>
    </row>
    <row r="121" spans="1:115" ht="12" outlineLevel="1">
      <c r="A121" s="1" t="s">
        <v>711</v>
      </c>
      <c r="B121" s="19" t="s">
        <v>418</v>
      </c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525">
        <v>31.2</v>
      </c>
      <c r="AQ121" s="525">
        <v>29.2</v>
      </c>
      <c r="AR121" s="525">
        <v>39.1</v>
      </c>
      <c r="AS121" s="525">
        <v>53.5</v>
      </c>
      <c r="AT121" s="525">
        <v>73.2</v>
      </c>
      <c r="AU121" s="525">
        <v>88.7</v>
      </c>
      <c r="AV121" s="525">
        <v>95.8</v>
      </c>
      <c r="AW121" s="523">
        <v>113</v>
      </c>
      <c r="AX121" s="42">
        <v>123.9864920762767</v>
      </c>
      <c r="AY121" s="42">
        <v>136.0415596221076</v>
      </c>
      <c r="AZ121" s="42">
        <v>147.31612837333822</v>
      </c>
      <c r="BA121" s="42">
        <v>159.34994731970113</v>
      </c>
      <c r="BB121" s="42">
        <v>166.7897557284542</v>
      </c>
      <c r="BC121" s="42">
        <v>174.5771661869463</v>
      </c>
      <c r="BD121" s="42">
        <v>182.72843013688262</v>
      </c>
      <c r="BE121" s="42">
        <v>191.2605592934691</v>
      </c>
      <c r="BF121" s="42">
        <v>197.32245284345245</v>
      </c>
      <c r="BG121" s="42">
        <v>203.57676943511561</v>
      </c>
      <c r="BH121" s="42">
        <v>207.99385785990583</v>
      </c>
      <c r="BI121" s="42">
        <v>212.50709751359037</v>
      </c>
      <c r="BJ121" s="42">
        <v>217.11858716589484</v>
      </c>
      <c r="BK121" s="42">
        <v>221.83047150369759</v>
      </c>
      <c r="BL121" s="42">
        <v>226.64494213754659</v>
      </c>
      <c r="BM121" s="42">
        <v>231.56423863027453</v>
      </c>
      <c r="BN121" s="42">
        <v>236.59064954819868</v>
      </c>
      <c r="BO121" s="42">
        <v>241.72651353540158</v>
      </c>
      <c r="BP121" s="42">
        <v>246.97422041159967</v>
      </c>
      <c r="BQ121" s="42">
        <v>252.33621229411963</v>
      </c>
      <c r="BR121" s="42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525">
        <v>1.9538303999999997</v>
      </c>
      <c r="CU121" s="525">
        <v>24.324864800000004</v>
      </c>
      <c r="CV121" s="44">
        <v>29.2</v>
      </c>
      <c r="CW121" s="44">
        <v>53.5</v>
      </c>
      <c r="CX121" s="44">
        <v>88.7</v>
      </c>
      <c r="CY121" s="45">
        <v>113</v>
      </c>
      <c r="CZ121" s="44">
        <v>136.0415596221076</v>
      </c>
      <c r="DA121" s="44">
        <v>159.34994731970113</v>
      </c>
      <c r="DB121" s="44">
        <v>174.5771661869463</v>
      </c>
      <c r="DC121" s="44">
        <v>191.2605592934691</v>
      </c>
      <c r="DD121" s="44">
        <v>203.57676943511561</v>
      </c>
      <c r="DE121" s="44">
        <v>212.50709751359037</v>
      </c>
      <c r="DF121" s="44">
        <v>221.83047150369759</v>
      </c>
      <c r="DG121" s="44">
        <v>231.56423863027453</v>
      </c>
      <c r="DH121" s="44">
        <v>241.72651353540158</v>
      </c>
      <c r="DI121" s="44">
        <v>252.33621229411963</v>
      </c>
    </row>
    <row r="122" spans="1:115" ht="12" outlineLevel="1">
      <c r="A122" s="1" t="s">
        <v>875</v>
      </c>
      <c r="B122" s="19" t="s">
        <v>419</v>
      </c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>
        <v>33.9</v>
      </c>
      <c r="AQ122" s="42">
        <v>35</v>
      </c>
      <c r="AR122" s="42">
        <v>44.7</v>
      </c>
      <c r="AS122" s="42">
        <v>55.2</v>
      </c>
      <c r="AT122" s="42">
        <v>77.5</v>
      </c>
      <c r="AU122" s="42">
        <v>107.5</v>
      </c>
      <c r="AV122" s="42">
        <v>130.5</v>
      </c>
      <c r="AW122" s="43">
        <v>149.1</v>
      </c>
      <c r="AX122" s="42">
        <v>166.4663104674992</v>
      </c>
      <c r="AY122" s="42">
        <v>185.79991224856033</v>
      </c>
      <c r="AZ122" s="42">
        <v>204.57245381119816</v>
      </c>
      <c r="BA122" s="42">
        <v>225.00016432313765</v>
      </c>
      <c r="BB122" s="42">
        <v>239.39938960555412</v>
      </c>
      <c r="BC122" s="42">
        <v>254.65631730660377</v>
      </c>
      <c r="BD122" s="42">
        <v>266.58099093644944</v>
      </c>
      <c r="BE122" s="42">
        <v>279.06433661047231</v>
      </c>
      <c r="BF122" s="42">
        <v>287.94657529165511</v>
      </c>
      <c r="BG122" s="42">
        <v>297.11182932047694</v>
      </c>
      <c r="BH122" s="42">
        <v>303.5980068049912</v>
      </c>
      <c r="BI122" s="42">
        <v>310.22610583748997</v>
      </c>
      <c r="BJ122" s="42">
        <v>316.99923767292739</v>
      </c>
      <c r="BK122" s="42">
        <v>323.92058188059622</v>
      </c>
      <c r="BL122" s="42">
        <v>330.99338784609256</v>
      </c>
      <c r="BM122" s="42">
        <v>338.22097630633925</v>
      </c>
      <c r="BN122" s="42">
        <v>345.60674091839559</v>
      </c>
      <c r="BO122" s="42">
        <v>353.15414986279859</v>
      </c>
      <c r="BP122" s="42">
        <v>360.86674748219502</v>
      </c>
      <c r="BQ122" s="42">
        <v>368.7481559560436</v>
      </c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4">
        <v>1.9538303999999997</v>
      </c>
      <c r="CU122" s="44">
        <v>25.398020600000002</v>
      </c>
      <c r="CV122" s="44">
        <v>35</v>
      </c>
      <c r="CW122" s="44">
        <v>55.2</v>
      </c>
      <c r="CX122" s="44">
        <v>107.5</v>
      </c>
      <c r="CY122" s="45">
        <v>149.1</v>
      </c>
      <c r="CZ122" s="44">
        <v>185.79991224856033</v>
      </c>
      <c r="DA122" s="44">
        <v>225.00016432313765</v>
      </c>
      <c r="DB122" s="44">
        <v>254.65631730660377</v>
      </c>
      <c r="DC122" s="44">
        <v>279.06433661047231</v>
      </c>
      <c r="DD122" s="44">
        <v>297.11182932047694</v>
      </c>
      <c r="DE122" s="44">
        <v>310.22610583748997</v>
      </c>
      <c r="DF122" s="44">
        <v>323.92058188059622</v>
      </c>
      <c r="DG122" s="44">
        <v>338.22097630633925</v>
      </c>
      <c r="DH122" s="44">
        <v>353.15414986279859</v>
      </c>
      <c r="DI122" s="44">
        <v>368.7481559560436</v>
      </c>
    </row>
    <row r="123" spans="1:115" ht="12" outlineLevel="1">
      <c r="A123" s="1" t="s">
        <v>2197</v>
      </c>
      <c r="B123" s="19" t="s">
        <v>2198</v>
      </c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113">
        <v>0</v>
      </c>
      <c r="AQ123" s="113">
        <v>0</v>
      </c>
      <c r="AR123" s="113">
        <v>0</v>
      </c>
      <c r="AS123" s="113">
        <v>0</v>
      </c>
      <c r="AT123" s="113">
        <v>0</v>
      </c>
      <c r="AU123" s="113">
        <v>0</v>
      </c>
      <c r="AV123" s="113">
        <v>0</v>
      </c>
      <c r="AW123" s="115">
        <v>0</v>
      </c>
      <c r="AX123" s="41">
        <v>0</v>
      </c>
      <c r="AY123" s="41">
        <v>0</v>
      </c>
      <c r="AZ123" s="41">
        <v>0</v>
      </c>
      <c r="BA123" s="41">
        <v>0</v>
      </c>
      <c r="BB123" s="41">
        <v>0</v>
      </c>
      <c r="BC123" s="41">
        <v>0</v>
      </c>
      <c r="BD123" s="41">
        <v>0</v>
      </c>
      <c r="BE123" s="41">
        <v>0</v>
      </c>
      <c r="BF123" s="41">
        <v>0</v>
      </c>
      <c r="BG123" s="41">
        <v>0</v>
      </c>
      <c r="BH123" s="41">
        <v>0</v>
      </c>
      <c r="BI123" s="41">
        <v>0</v>
      </c>
      <c r="BJ123" s="41">
        <v>0</v>
      </c>
      <c r="BK123" s="41">
        <v>0</v>
      </c>
      <c r="BL123" s="41">
        <v>0</v>
      </c>
      <c r="BM123" s="41">
        <v>0</v>
      </c>
      <c r="BN123" s="41">
        <v>0</v>
      </c>
      <c r="BO123" s="41">
        <v>0</v>
      </c>
      <c r="BP123" s="41">
        <v>0</v>
      </c>
      <c r="BQ123" s="41">
        <v>0</v>
      </c>
      <c r="BR123" s="42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525">
        <v>0</v>
      </c>
      <c r="CU123" s="525">
        <v>0</v>
      </c>
      <c r="CV123" s="44">
        <v>0</v>
      </c>
      <c r="CW123" s="44">
        <v>0</v>
      </c>
      <c r="CX123" s="44">
        <v>0</v>
      </c>
      <c r="CY123" s="45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</row>
    <row r="124" spans="1:115" ht="12" outlineLevel="1">
      <c r="A124" s="1" t="s">
        <v>876</v>
      </c>
      <c r="B124" s="19" t="s">
        <v>420</v>
      </c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525">
        <v>24</v>
      </c>
      <c r="AQ124" s="525">
        <v>9.3000000000000007</v>
      </c>
      <c r="AR124" s="525">
        <v>10.1</v>
      </c>
      <c r="AS124" s="525">
        <v>9.3000000000000007</v>
      </c>
      <c r="AT124" s="525">
        <v>14.8</v>
      </c>
      <c r="AU124" s="525">
        <v>52.1</v>
      </c>
      <c r="AV124" s="525">
        <v>95.7</v>
      </c>
      <c r="AW124" s="523">
        <v>130</v>
      </c>
      <c r="AX124" s="42">
        <v>152.97441525924998</v>
      </c>
      <c r="AY124" s="42">
        <v>179.18520336395719</v>
      </c>
      <c r="AZ124" s="42">
        <v>206.18621348813835</v>
      </c>
      <c r="BA124" s="42">
        <v>236.41352383508996</v>
      </c>
      <c r="BB124" s="42">
        <v>261.47513584551217</v>
      </c>
      <c r="BC124" s="42">
        <v>288.37367439211829</v>
      </c>
      <c r="BD124" s="42">
        <v>301.96213030314919</v>
      </c>
      <c r="BE124" s="42">
        <v>316.19088784516384</v>
      </c>
      <c r="BF124" s="42">
        <v>326.34725535363827</v>
      </c>
      <c r="BG124" s="42">
        <v>336.82985554285244</v>
      </c>
      <c r="BH124" s="42">
        <v>344.28086877731579</v>
      </c>
      <c r="BI124" s="42">
        <v>351.89670587553877</v>
      </c>
      <c r="BJ124" s="42">
        <v>359.68101290621155</v>
      </c>
      <c r="BK124" s="42">
        <v>367.63751659270969</v>
      </c>
      <c r="BL124" s="42">
        <v>375.77002609725702</v>
      </c>
      <c r="BM124" s="42">
        <v>384.08243484455431</v>
      </c>
      <c r="BN124" s="42">
        <v>392.57872238575061</v>
      </c>
      <c r="BO124" s="42">
        <v>401.26295630364575</v>
      </c>
      <c r="BP124" s="42">
        <v>410.13929416003856</v>
      </c>
      <c r="BQ124" s="42">
        <v>419.21198548615274</v>
      </c>
      <c r="BR124" s="42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525"/>
      <c r="CU124" s="525"/>
      <c r="CV124" s="44">
        <v>9.3000000000000007</v>
      </c>
      <c r="CW124" s="44">
        <v>9.3000000000000007</v>
      </c>
      <c r="CX124" s="44">
        <v>52.1</v>
      </c>
      <c r="CY124" s="45">
        <v>130</v>
      </c>
      <c r="CZ124" s="44">
        <v>179.18520336395719</v>
      </c>
      <c r="DA124" s="44">
        <v>236.41352383508996</v>
      </c>
      <c r="DB124" s="44">
        <v>288.37367439211829</v>
      </c>
      <c r="DC124" s="44">
        <v>316.19088784516384</v>
      </c>
      <c r="DD124" s="44">
        <v>336.82985554285244</v>
      </c>
      <c r="DE124" s="44">
        <v>351.89670587553877</v>
      </c>
      <c r="DF124" s="44">
        <v>367.63751659270969</v>
      </c>
      <c r="DG124" s="44">
        <v>384.08243484455431</v>
      </c>
      <c r="DH124" s="44">
        <v>401.26295630364575</v>
      </c>
      <c r="DI124" s="44">
        <v>419.21198548615274</v>
      </c>
    </row>
    <row r="125" spans="1:115" ht="12" outlineLevel="1">
      <c r="A125" s="1" t="s">
        <v>877</v>
      </c>
      <c r="B125" s="19" t="s">
        <v>414</v>
      </c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525">
        <v>1.1000000000000001</v>
      </c>
      <c r="AQ125" s="525">
        <v>2.8</v>
      </c>
      <c r="AR125" s="525">
        <v>0.2</v>
      </c>
      <c r="AS125" s="525">
        <v>0.7</v>
      </c>
      <c r="AT125" s="525">
        <v>13</v>
      </c>
      <c r="AU125" s="525">
        <v>45</v>
      </c>
      <c r="AV125" s="525">
        <v>72.099999999999994</v>
      </c>
      <c r="AW125" s="523">
        <v>117.7</v>
      </c>
      <c r="AX125" s="42">
        <v>138.50068212318249</v>
      </c>
      <c r="AY125" s="42">
        <v>162.23152643029047</v>
      </c>
      <c r="AZ125" s="42">
        <v>186.67782559656831</v>
      </c>
      <c r="BA125" s="42">
        <v>214.0451673491545</v>
      </c>
      <c r="BB125" s="42">
        <v>236.73556530012905</v>
      </c>
      <c r="BC125" s="42">
        <v>261.08908827655631</v>
      </c>
      <c r="BD125" s="42">
        <v>273.39186720523583</v>
      </c>
      <c r="BE125" s="42">
        <v>286.27436537981373</v>
      </c>
      <c r="BF125" s="42">
        <v>295.46978427017871</v>
      </c>
      <c r="BG125" s="42">
        <v>304.96056921072108</v>
      </c>
      <c r="BH125" s="42">
        <v>311.70660196223139</v>
      </c>
      <c r="BI125" s="42">
        <v>318.60186370423793</v>
      </c>
      <c r="BJ125" s="42">
        <v>325.64965553123938</v>
      </c>
      <c r="BK125" s="42">
        <v>332.85335156124574</v>
      </c>
      <c r="BL125" s="42">
        <v>340.21640055113204</v>
      </c>
      <c r="BM125" s="42">
        <v>347.74232754772351</v>
      </c>
      <c r="BN125" s="42">
        <v>355.43473557540665</v>
      </c>
      <c r="BO125" s="42">
        <v>363.29730736107018</v>
      </c>
      <c r="BP125" s="42">
        <v>371.33380709720427</v>
      </c>
      <c r="BQ125" s="42">
        <v>379.54808224400153</v>
      </c>
      <c r="BR125" s="42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525"/>
      <c r="CU125" s="525"/>
      <c r="CV125" s="44">
        <v>2.8</v>
      </c>
      <c r="CW125" s="44">
        <v>0.7</v>
      </c>
      <c r="CX125" s="44">
        <v>45</v>
      </c>
      <c r="CY125" s="45">
        <v>117.7</v>
      </c>
      <c r="CZ125" s="44">
        <v>162.23152643029047</v>
      </c>
      <c r="DA125" s="44">
        <v>214.0451673491545</v>
      </c>
      <c r="DB125" s="44">
        <v>261.08908827655631</v>
      </c>
      <c r="DC125" s="44">
        <v>286.27436537981373</v>
      </c>
      <c r="DD125" s="44">
        <v>304.96056921072108</v>
      </c>
      <c r="DE125" s="44">
        <v>318.60186370423793</v>
      </c>
      <c r="DF125" s="44">
        <v>332.85335156124574</v>
      </c>
      <c r="DG125" s="44">
        <v>347.74232754772351</v>
      </c>
      <c r="DH125" s="44">
        <v>363.29730736107018</v>
      </c>
      <c r="DI125" s="44">
        <v>379.54808224400153</v>
      </c>
    </row>
    <row r="126" spans="1:115" ht="12" outlineLevel="1">
      <c r="AC126" s="42"/>
      <c r="AE126" s="165"/>
      <c r="AF126" s="42"/>
      <c r="AV126" s="666"/>
      <c r="AW126" s="664"/>
      <c r="AX126" s="44"/>
      <c r="BC126" s="665"/>
      <c r="CT126" s="167"/>
      <c r="CU126" s="167"/>
      <c r="CV126" s="167"/>
      <c r="CW126" s="167"/>
      <c r="CX126" s="167"/>
      <c r="CY126" s="174"/>
      <c r="DB126" s="19"/>
      <c r="DC126" s="19"/>
      <c r="DD126" s="19"/>
      <c r="DE126" s="19"/>
      <c r="DF126" s="19"/>
      <c r="DG126" s="19"/>
      <c r="DH126" s="19"/>
      <c r="DI126" s="19"/>
    </row>
    <row r="127" spans="1:115" ht="12" outlineLevel="1">
      <c r="B127" s="24" t="s">
        <v>415</v>
      </c>
      <c r="AC127" s="42"/>
      <c r="AD127" s="416"/>
      <c r="AF127" s="42"/>
      <c r="AL127" s="603"/>
      <c r="AM127" s="603"/>
      <c r="AN127" s="603"/>
      <c r="AO127" s="603"/>
      <c r="AP127" s="505"/>
      <c r="AX127" s="44"/>
      <c r="CT127" s="505"/>
      <c r="CU127" s="505"/>
      <c r="CV127" s="505"/>
      <c r="CW127" s="505"/>
      <c r="CX127" s="505"/>
      <c r="CY127" s="559"/>
      <c r="DB127" s="19"/>
      <c r="DC127" s="19"/>
      <c r="DD127" s="19"/>
      <c r="DE127" s="19"/>
      <c r="DF127" s="19"/>
      <c r="DG127" s="19"/>
      <c r="DH127" s="19"/>
      <c r="DI127" s="19"/>
    </row>
    <row r="128" spans="1:115" ht="12" outlineLevel="1">
      <c r="A128" s="1" t="s">
        <v>727</v>
      </c>
      <c r="B128" s="19" t="s">
        <v>506</v>
      </c>
      <c r="C128" s="408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  <c r="T128" s="394"/>
      <c r="U128" s="408"/>
      <c r="V128" s="408"/>
      <c r="W128" s="408"/>
      <c r="X128" s="408"/>
      <c r="Y128" s="394"/>
      <c r="Z128" s="394"/>
      <c r="AA128" s="394"/>
      <c r="AB128" s="394"/>
      <c r="AC128" s="394"/>
      <c r="AD128" s="394"/>
      <c r="AE128" s="394"/>
      <c r="AF128" s="394"/>
      <c r="AG128" s="394"/>
      <c r="AH128" s="394"/>
      <c r="AI128" s="394"/>
      <c r="AJ128" s="394"/>
      <c r="AK128" s="394"/>
      <c r="AL128" s="394"/>
      <c r="AM128" s="394"/>
      <c r="AN128" s="394"/>
      <c r="AO128" s="394"/>
      <c r="AP128" s="506">
        <v>0.3</v>
      </c>
      <c r="AQ128" s="506">
        <v>0.3</v>
      </c>
      <c r="AR128" s="506">
        <v>0.3</v>
      </c>
      <c r="AS128" s="506">
        <v>0.3</v>
      </c>
      <c r="AT128" s="506">
        <v>0.3</v>
      </c>
      <c r="AU128" s="506">
        <v>0.3</v>
      </c>
      <c r="AV128" s="506">
        <v>0.3</v>
      </c>
      <c r="AW128" s="560">
        <v>0.3</v>
      </c>
      <c r="AX128" s="556">
        <v>0.3</v>
      </c>
      <c r="AY128" s="556">
        <v>0.3</v>
      </c>
      <c r="AZ128" s="556">
        <v>0.3</v>
      </c>
      <c r="BA128" s="556">
        <v>0.3</v>
      </c>
      <c r="BB128" s="556">
        <v>0.3</v>
      </c>
      <c r="BC128" s="556">
        <v>0.3</v>
      </c>
      <c r="BD128" s="556">
        <v>0.3</v>
      </c>
      <c r="BE128" s="556">
        <v>0.3</v>
      </c>
      <c r="BF128" s="556">
        <v>0.3</v>
      </c>
      <c r="BG128" s="556">
        <v>0.3</v>
      </c>
      <c r="BH128" s="556">
        <v>0.3</v>
      </c>
      <c r="BI128" s="556">
        <v>0.3</v>
      </c>
      <c r="BJ128" s="556">
        <v>0.3</v>
      </c>
      <c r="BK128" s="556">
        <v>0.3</v>
      </c>
      <c r="BL128" s="556">
        <v>0.3</v>
      </c>
      <c r="BM128" s="556">
        <v>0.3</v>
      </c>
      <c r="BN128" s="556">
        <v>0.3</v>
      </c>
      <c r="BO128" s="556">
        <v>0.3</v>
      </c>
      <c r="BP128" s="556">
        <v>0.3</v>
      </c>
      <c r="BQ128" s="556">
        <v>0.3</v>
      </c>
      <c r="BR128" s="162"/>
      <c r="BS128" s="162"/>
      <c r="BT128" s="410"/>
      <c r="BU128" s="410"/>
      <c r="BV128" s="410"/>
      <c r="BW128" s="410"/>
      <c r="BX128" s="410"/>
      <c r="BY128" s="410"/>
      <c r="BZ128" s="410"/>
      <c r="CA128" s="410"/>
      <c r="CB128" s="410"/>
      <c r="CC128" s="410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285"/>
      <c r="CN128" s="285"/>
      <c r="CO128" s="285"/>
      <c r="CP128" s="285"/>
      <c r="CQ128" s="285"/>
      <c r="CR128" s="285"/>
      <c r="CS128" s="285"/>
      <c r="CT128" s="506">
        <v>0.3</v>
      </c>
      <c r="CU128" s="506">
        <v>0.3</v>
      </c>
      <c r="CV128" s="394">
        <v>0.3</v>
      </c>
      <c r="CW128" s="394">
        <v>0.3</v>
      </c>
      <c r="CX128" s="394">
        <v>0.3</v>
      </c>
      <c r="CY128" s="629">
        <v>0.3</v>
      </c>
      <c r="CZ128" s="162">
        <v>0.3</v>
      </c>
      <c r="DA128" s="162">
        <v>0.3</v>
      </c>
      <c r="DB128" s="162">
        <v>0.3</v>
      </c>
      <c r="DC128" s="162">
        <v>0.3</v>
      </c>
      <c r="DD128" s="162">
        <v>0.3</v>
      </c>
      <c r="DE128" s="162">
        <v>0.3</v>
      </c>
      <c r="DF128" s="162">
        <v>0.3</v>
      </c>
      <c r="DG128" s="162">
        <v>0.3</v>
      </c>
      <c r="DH128" s="162">
        <v>0.3</v>
      </c>
      <c r="DI128" s="162">
        <v>0.3</v>
      </c>
    </row>
    <row r="129" spans="1:113" ht="12" outlineLevel="1">
      <c r="A129" s="1" t="s">
        <v>503</v>
      </c>
      <c r="B129" s="19" t="s">
        <v>897</v>
      </c>
      <c r="C129" s="408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  <c r="T129" s="394"/>
      <c r="U129" s="408"/>
      <c r="V129" s="408"/>
      <c r="W129" s="408"/>
      <c r="X129" s="408"/>
      <c r="Y129" s="394"/>
      <c r="Z129" s="394"/>
      <c r="AA129" s="394"/>
      <c r="AB129" s="394"/>
      <c r="AC129" s="394"/>
      <c r="AD129" s="394"/>
      <c r="AE129" s="394"/>
      <c r="AF129" s="394"/>
      <c r="AG129" s="394"/>
      <c r="AH129" s="394"/>
      <c r="AI129" s="394"/>
      <c r="AJ129" s="394"/>
      <c r="AK129" s="394"/>
      <c r="AL129" s="394"/>
      <c r="AM129" s="394"/>
      <c r="AN129" s="394"/>
      <c r="AO129" s="394"/>
      <c r="AP129" s="285">
        <v>1.5151515151515166E-2</v>
      </c>
      <c r="AQ129" s="285">
        <v>2.8571428571428745</v>
      </c>
      <c r="AR129" s="285">
        <v>0.76666666666666439</v>
      </c>
      <c r="AS129" s="285">
        <v>0.33333333333333359</v>
      </c>
      <c r="AT129" s="285">
        <v>0.32142857142857151</v>
      </c>
      <c r="AU129" s="285">
        <v>0.31307550644567228</v>
      </c>
      <c r="AV129" s="285">
        <v>0.31899109792284863</v>
      </c>
      <c r="AW129" s="286">
        <v>0.3495934959349592</v>
      </c>
      <c r="AX129" s="386">
        <v>0.33</v>
      </c>
      <c r="AY129" s="386">
        <v>0.33</v>
      </c>
      <c r="AZ129" s="386">
        <v>0.33</v>
      </c>
      <c r="BA129" s="386">
        <v>0.33</v>
      </c>
      <c r="BB129" s="386">
        <v>0.33</v>
      </c>
      <c r="BC129" s="386">
        <v>0.33</v>
      </c>
      <c r="BD129" s="386">
        <v>0.33</v>
      </c>
      <c r="BE129" s="386">
        <v>0.33</v>
      </c>
      <c r="BF129" s="386">
        <v>0.33</v>
      </c>
      <c r="BG129" s="386">
        <v>0.33</v>
      </c>
      <c r="BH129" s="386">
        <v>0.33</v>
      </c>
      <c r="BI129" s="386">
        <v>0.33</v>
      </c>
      <c r="BJ129" s="386">
        <v>0.33</v>
      </c>
      <c r="BK129" s="386">
        <v>0.33</v>
      </c>
      <c r="BL129" s="386">
        <v>0.33</v>
      </c>
      <c r="BM129" s="386">
        <v>0.33</v>
      </c>
      <c r="BN129" s="386">
        <v>0.33</v>
      </c>
      <c r="BO129" s="386">
        <v>0.33</v>
      </c>
      <c r="BP129" s="386">
        <v>0.33</v>
      </c>
      <c r="BQ129" s="386">
        <v>0.33</v>
      </c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285"/>
      <c r="CN129" s="285"/>
      <c r="CO129" s="285"/>
      <c r="CP129" s="285"/>
      <c r="CQ129" s="285"/>
      <c r="CR129" s="285"/>
      <c r="CS129" s="285"/>
      <c r="CT129" s="285">
        <v>0.28080059787939649</v>
      </c>
      <c r="CU129" s="285">
        <v>0.30720184028440756</v>
      </c>
      <c r="CV129" s="285">
        <v>0.28767123287671248</v>
      </c>
      <c r="CW129" s="285">
        <v>0.41666666666666663</v>
      </c>
      <c r="CX129" s="285">
        <v>0.31720930232558142</v>
      </c>
      <c r="CY129" s="286">
        <v>0.32981783317353791</v>
      </c>
      <c r="CZ129" s="162">
        <v>0.33000000000000007</v>
      </c>
      <c r="DA129" s="162">
        <v>0.33</v>
      </c>
      <c r="DB129" s="162">
        <v>0.33</v>
      </c>
      <c r="DC129" s="162">
        <v>0.33</v>
      </c>
      <c r="DD129" s="162">
        <v>0.32999999999999996</v>
      </c>
      <c r="DE129" s="162">
        <v>0.33</v>
      </c>
      <c r="DF129" s="162">
        <v>0.33000000000000007</v>
      </c>
      <c r="DG129" s="162">
        <v>0.33000000000000007</v>
      </c>
      <c r="DH129" s="162">
        <v>0.33</v>
      </c>
      <c r="DI129" s="162">
        <v>0.32999999999999996</v>
      </c>
    </row>
    <row r="130" spans="1:113" ht="12" outlineLevel="1">
      <c r="A130" s="1" t="s">
        <v>898</v>
      </c>
      <c r="B130" s="19" t="s">
        <v>505</v>
      </c>
      <c r="C130" s="408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  <c r="T130" s="394"/>
      <c r="U130" s="408"/>
      <c r="V130" s="408"/>
      <c r="W130" s="408"/>
      <c r="X130" s="408"/>
      <c r="Y130" s="394"/>
      <c r="Z130" s="394"/>
      <c r="AA130" s="394"/>
      <c r="AB130" s="394"/>
      <c r="AC130" s="394"/>
      <c r="AD130" s="394"/>
      <c r="AE130" s="394"/>
      <c r="AF130" s="394"/>
      <c r="AG130" s="394"/>
      <c r="AH130" s="394"/>
      <c r="AI130" s="394"/>
      <c r="AJ130" s="394"/>
      <c r="AK130" s="394"/>
      <c r="AL130" s="394"/>
      <c r="AM130" s="394"/>
      <c r="AN130" s="394"/>
      <c r="AO130" s="394"/>
      <c r="AP130" s="285">
        <v>1.5151515151515166E-2</v>
      </c>
      <c r="AQ130" s="285">
        <v>2.8571428571428745</v>
      </c>
      <c r="AR130" s="285">
        <v>0.76666666666666439</v>
      </c>
      <c r="AS130" s="285">
        <v>0.33333333333333359</v>
      </c>
      <c r="AT130" s="285">
        <v>0.32142857142857151</v>
      </c>
      <c r="AU130" s="285">
        <v>0.31307550644567228</v>
      </c>
      <c r="AV130" s="285">
        <v>0.31899109792284863</v>
      </c>
      <c r="AW130" s="286">
        <v>0.30210772833723643</v>
      </c>
      <c r="AX130" s="162">
        <v>0.33</v>
      </c>
      <c r="AY130" s="162">
        <v>0.33</v>
      </c>
      <c r="AZ130" s="162">
        <v>0.33</v>
      </c>
      <c r="BA130" s="162">
        <v>0.33</v>
      </c>
      <c r="BB130" s="162">
        <v>0.33</v>
      </c>
      <c r="BC130" s="162">
        <v>0.33</v>
      </c>
      <c r="BD130" s="162">
        <v>0.33</v>
      </c>
      <c r="BE130" s="162">
        <v>0.33</v>
      </c>
      <c r="BF130" s="162">
        <v>0.33</v>
      </c>
      <c r="BG130" s="162">
        <v>0.33</v>
      </c>
      <c r="BH130" s="162">
        <v>0.33</v>
      </c>
      <c r="BI130" s="162">
        <v>0.33</v>
      </c>
      <c r="BJ130" s="162">
        <v>0.33000000000000007</v>
      </c>
      <c r="BK130" s="162">
        <v>0.33</v>
      </c>
      <c r="BL130" s="162">
        <v>0.32999999999999996</v>
      </c>
      <c r="BM130" s="162">
        <v>0.33000000000000007</v>
      </c>
      <c r="BN130" s="162">
        <v>0.33</v>
      </c>
      <c r="BO130" s="162">
        <v>0.33</v>
      </c>
      <c r="BP130" s="162">
        <v>0.33</v>
      </c>
      <c r="BQ130" s="162">
        <v>0.33</v>
      </c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285"/>
      <c r="CN130" s="285"/>
      <c r="CO130" s="285"/>
      <c r="CP130" s="285"/>
      <c r="CQ130" s="285"/>
      <c r="CR130" s="285"/>
      <c r="CS130" s="285"/>
      <c r="CT130" s="285">
        <v>0.28080059787939649</v>
      </c>
      <c r="CU130" s="285">
        <v>0.30720184028440756</v>
      </c>
      <c r="CV130" s="285">
        <v>0.28767123287671248</v>
      </c>
      <c r="CW130" s="285">
        <v>0.41666666666666663</v>
      </c>
      <c r="CX130" s="285">
        <v>0.31720930232558142</v>
      </c>
      <c r="CY130" s="286">
        <v>0.31244323342415986</v>
      </c>
      <c r="CZ130" s="162">
        <v>0.33000000000000007</v>
      </c>
      <c r="DA130" s="162">
        <v>0.33</v>
      </c>
      <c r="DB130" s="162">
        <v>0.33</v>
      </c>
      <c r="DC130" s="162">
        <v>0.33</v>
      </c>
      <c r="DD130" s="162">
        <v>0.32999999999999996</v>
      </c>
      <c r="DE130" s="162">
        <v>0.33</v>
      </c>
      <c r="DF130" s="162">
        <v>0.33000000000000007</v>
      </c>
      <c r="DG130" s="162">
        <v>0.33000000000000007</v>
      </c>
      <c r="DH130" s="162">
        <v>0.33</v>
      </c>
      <c r="DI130" s="162">
        <v>0.32999999999999996</v>
      </c>
    </row>
    <row r="131" spans="1:113" ht="12" outlineLevel="1">
      <c r="A131" s="1" t="s">
        <v>763</v>
      </c>
      <c r="B131" s="19" t="s">
        <v>764</v>
      </c>
      <c r="C131" s="408"/>
      <c r="D131" s="412"/>
      <c r="E131" s="388"/>
      <c r="F131" s="412"/>
      <c r="G131" s="388"/>
      <c r="H131" s="412"/>
      <c r="I131" s="388"/>
      <c r="J131" s="412"/>
      <c r="K131" s="388"/>
      <c r="L131" s="412"/>
      <c r="M131" s="408"/>
      <c r="N131" s="408"/>
      <c r="O131" s="408"/>
      <c r="P131" s="408"/>
      <c r="Q131" s="408"/>
      <c r="R131" s="408"/>
      <c r="S131" s="408"/>
      <c r="T131" s="412"/>
      <c r="U131" s="388"/>
      <c r="V131" s="412"/>
      <c r="W131" s="388"/>
      <c r="X131" s="412"/>
      <c r="Y131" s="388"/>
      <c r="Z131" s="412"/>
      <c r="AA131" s="388"/>
      <c r="AB131" s="388"/>
      <c r="AC131" s="388"/>
      <c r="AD131" s="388"/>
      <c r="AE131" s="388"/>
      <c r="AF131" s="388"/>
      <c r="AG131" s="388"/>
      <c r="AH131" s="388"/>
      <c r="AI131" s="388"/>
      <c r="AJ131" s="388"/>
      <c r="AK131" s="388"/>
      <c r="AL131" s="388"/>
      <c r="AM131" s="388"/>
      <c r="AN131" s="388"/>
      <c r="AO131" s="388"/>
      <c r="AP131" s="426">
        <v>1</v>
      </c>
      <c r="AQ131" s="426">
        <v>1</v>
      </c>
      <c r="AR131" s="426">
        <v>1</v>
      </c>
      <c r="AS131" s="426">
        <v>1</v>
      </c>
      <c r="AT131" s="426">
        <v>1</v>
      </c>
      <c r="AU131" s="426">
        <v>1</v>
      </c>
      <c r="AV131" s="426">
        <v>1</v>
      </c>
      <c r="AW131" s="392">
        <v>1</v>
      </c>
      <c r="AX131" s="387">
        <v>1</v>
      </c>
      <c r="AY131" s="387">
        <v>1</v>
      </c>
      <c r="AZ131" s="387">
        <v>1</v>
      </c>
      <c r="BA131" s="387">
        <v>1</v>
      </c>
      <c r="BB131" s="387">
        <v>1</v>
      </c>
      <c r="BC131" s="387">
        <v>1</v>
      </c>
      <c r="BD131" s="387">
        <v>1</v>
      </c>
      <c r="BE131" s="387">
        <v>1</v>
      </c>
      <c r="BF131" s="387">
        <v>1</v>
      </c>
      <c r="BG131" s="387">
        <v>1</v>
      </c>
      <c r="BH131" s="387">
        <v>1</v>
      </c>
      <c r="BI131" s="387">
        <v>1</v>
      </c>
      <c r="BJ131" s="387">
        <v>1</v>
      </c>
      <c r="BK131" s="387">
        <v>1</v>
      </c>
      <c r="BL131" s="387">
        <v>1</v>
      </c>
      <c r="BM131" s="387">
        <v>1</v>
      </c>
      <c r="BN131" s="387">
        <v>1</v>
      </c>
      <c r="BO131" s="387">
        <v>1</v>
      </c>
      <c r="BP131" s="387">
        <v>1</v>
      </c>
      <c r="BQ131" s="387">
        <v>1</v>
      </c>
      <c r="BR131" s="162"/>
      <c r="BS131" s="162"/>
      <c r="BT131" s="388"/>
      <c r="BU131" s="388"/>
      <c r="BV131" s="388"/>
      <c r="BW131" s="388"/>
      <c r="BX131" s="388"/>
      <c r="BY131" s="388"/>
      <c r="BZ131" s="388"/>
      <c r="CA131" s="388"/>
      <c r="CB131" s="388"/>
      <c r="CC131" s="388"/>
      <c r="CD131" s="388"/>
      <c r="CE131" s="388"/>
      <c r="CF131" s="388"/>
      <c r="CG131" s="388"/>
      <c r="CH131" s="388"/>
      <c r="CI131" s="388"/>
      <c r="CJ131" s="388"/>
      <c r="CK131" s="388"/>
      <c r="CL131" s="388"/>
      <c r="CM131" s="388"/>
      <c r="CN131" s="172"/>
      <c r="CO131" s="388"/>
      <c r="CP131" s="388"/>
      <c r="CQ131" s="388"/>
      <c r="CR131" s="388"/>
      <c r="CS131" s="388"/>
      <c r="CT131" s="426">
        <v>1</v>
      </c>
      <c r="CU131" s="426">
        <v>1</v>
      </c>
      <c r="CV131" s="426">
        <v>1</v>
      </c>
      <c r="CW131" s="426">
        <v>1</v>
      </c>
      <c r="CX131" s="426">
        <v>1.0557184750733137</v>
      </c>
      <c r="CY131" s="392">
        <v>1.1482558139534882</v>
      </c>
      <c r="CZ131" s="388">
        <v>1</v>
      </c>
      <c r="DA131" s="388">
        <v>1.0000000000000004</v>
      </c>
      <c r="DB131" s="388">
        <v>0.99999999999999967</v>
      </c>
      <c r="DC131" s="388">
        <v>0.99999999999999978</v>
      </c>
      <c r="DD131" s="388">
        <v>1</v>
      </c>
      <c r="DE131" s="388">
        <v>1.0000000000000004</v>
      </c>
      <c r="DF131" s="388">
        <v>0.99999999999999933</v>
      </c>
      <c r="DG131" s="388">
        <v>0.99999999999999956</v>
      </c>
      <c r="DH131" s="388">
        <v>1.0000000000000004</v>
      </c>
      <c r="DI131" s="388">
        <v>1</v>
      </c>
    </row>
    <row r="132" spans="1:113" ht="12" outlineLevel="1">
      <c r="A132" s="1" t="s">
        <v>765</v>
      </c>
      <c r="B132" s="19" t="s">
        <v>619</v>
      </c>
      <c r="C132" s="412"/>
      <c r="D132" s="412"/>
      <c r="E132" s="412"/>
      <c r="F132" s="412"/>
      <c r="G132" s="412"/>
      <c r="H132" s="412"/>
      <c r="I132" s="412"/>
      <c r="J132" s="412"/>
      <c r="K132" s="412"/>
      <c r="L132" s="412"/>
      <c r="M132" s="388"/>
      <c r="N132" s="388"/>
      <c r="O132" s="388"/>
      <c r="P132" s="388"/>
      <c r="Q132" s="388"/>
      <c r="R132" s="388"/>
      <c r="S132" s="388"/>
      <c r="T132" s="388"/>
      <c r="U132" s="388"/>
      <c r="V132" s="388"/>
      <c r="W132" s="388"/>
      <c r="X132" s="388"/>
      <c r="Y132" s="388"/>
      <c r="Z132" s="388"/>
      <c r="AA132" s="388"/>
      <c r="AB132" s="388"/>
      <c r="AC132" s="388"/>
      <c r="AD132" s="388"/>
      <c r="AE132" s="388"/>
      <c r="AF132" s="388"/>
      <c r="AG132" s="388"/>
      <c r="AH132" s="388"/>
      <c r="AI132" s="388"/>
      <c r="AJ132" s="388"/>
      <c r="AK132" s="388"/>
      <c r="AL132" s="388"/>
      <c r="AM132" s="388"/>
      <c r="AN132" s="388"/>
      <c r="AO132" s="388"/>
      <c r="AP132" s="405">
        <v>0.6</v>
      </c>
      <c r="AQ132" s="405">
        <v>0.6</v>
      </c>
      <c r="AR132" s="405">
        <v>0.6</v>
      </c>
      <c r="AS132" s="405">
        <v>0.6</v>
      </c>
      <c r="AT132" s="405">
        <v>0.6</v>
      </c>
      <c r="AU132" s="405">
        <v>0.6</v>
      </c>
      <c r="AV132" s="405">
        <v>0.6</v>
      </c>
      <c r="AW132" s="406">
        <v>0.6</v>
      </c>
      <c r="AX132" s="405">
        <v>0.6</v>
      </c>
      <c r="AY132" s="405">
        <v>0.6</v>
      </c>
      <c r="AZ132" s="405">
        <v>0.6</v>
      </c>
      <c r="BA132" s="405">
        <v>0.6</v>
      </c>
      <c r="BB132" s="405">
        <v>0.6</v>
      </c>
      <c r="BC132" s="405">
        <v>0.6</v>
      </c>
      <c r="BD132" s="405">
        <v>0.6</v>
      </c>
      <c r="BE132" s="405">
        <v>0.6</v>
      </c>
      <c r="BF132" s="405">
        <v>0.6</v>
      </c>
      <c r="BG132" s="405">
        <v>0.6</v>
      </c>
      <c r="BH132" s="405">
        <v>0.6</v>
      </c>
      <c r="BI132" s="405">
        <v>0.6</v>
      </c>
      <c r="BJ132" s="405">
        <v>0.6</v>
      </c>
      <c r="BK132" s="405">
        <v>0.6</v>
      </c>
      <c r="BL132" s="405">
        <v>0.6</v>
      </c>
      <c r="BM132" s="405">
        <v>0.6</v>
      </c>
      <c r="BN132" s="405">
        <v>0.6</v>
      </c>
      <c r="BO132" s="405">
        <v>0.6</v>
      </c>
      <c r="BP132" s="405">
        <v>0.6</v>
      </c>
      <c r="BQ132" s="405">
        <v>0.6</v>
      </c>
      <c r="BR132" s="160"/>
      <c r="BS132" s="160"/>
      <c r="BT132" s="387"/>
      <c r="BU132" s="387"/>
      <c r="BV132" s="387"/>
      <c r="BW132" s="387"/>
      <c r="BX132" s="387"/>
      <c r="BY132" s="387"/>
      <c r="BZ132" s="387"/>
      <c r="CA132" s="387"/>
      <c r="CB132" s="387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72"/>
      <c r="CN132" s="172"/>
      <c r="CO132" s="172"/>
      <c r="CP132" s="172"/>
      <c r="CQ132" s="172"/>
      <c r="CR132" s="172"/>
      <c r="CS132" s="172"/>
      <c r="CT132" s="405">
        <v>0.6</v>
      </c>
      <c r="CU132" s="405">
        <v>0.6</v>
      </c>
      <c r="CV132" s="388">
        <v>0.6</v>
      </c>
      <c r="CW132" s="388">
        <v>0.6</v>
      </c>
      <c r="CX132" s="388">
        <v>0.6</v>
      </c>
      <c r="CY132" s="628">
        <v>0.6</v>
      </c>
      <c r="CZ132" s="160">
        <v>0.6</v>
      </c>
      <c r="DA132" s="160">
        <v>0.6</v>
      </c>
      <c r="DB132" s="160">
        <v>0.6</v>
      </c>
      <c r="DC132" s="160">
        <v>0.6</v>
      </c>
      <c r="DD132" s="160">
        <v>0.6</v>
      </c>
      <c r="DE132" s="160">
        <v>0.6</v>
      </c>
      <c r="DF132" s="160">
        <v>0.6</v>
      </c>
      <c r="DG132" s="160">
        <v>0.6</v>
      </c>
      <c r="DH132" s="160">
        <v>0.6</v>
      </c>
      <c r="DI132" s="160">
        <v>0.6</v>
      </c>
    </row>
    <row r="133" spans="1:113" ht="12" outlineLevel="1">
      <c r="Y133" s="388"/>
      <c r="AJ133" s="42"/>
      <c r="AQ133" s="42"/>
      <c r="DB133" s="19"/>
      <c r="DC133" s="19"/>
      <c r="DD133" s="19"/>
      <c r="DE133" s="19"/>
      <c r="DF133" s="19"/>
      <c r="DG133" s="19"/>
      <c r="DH133" s="19"/>
      <c r="DI133" s="19"/>
    </row>
    <row r="134" spans="1:113" ht="12" outlineLevel="1">
      <c r="B134" s="24" t="s">
        <v>620</v>
      </c>
      <c r="Z134" s="42"/>
      <c r="AA134" s="47"/>
      <c r="AB134" s="394"/>
      <c r="AC134" s="394"/>
      <c r="AD134" s="394"/>
      <c r="AE134" s="394"/>
      <c r="AF134" s="394"/>
      <c r="AG134" s="394"/>
      <c r="AH134" s="394"/>
      <c r="AI134" s="394"/>
      <c r="AJ134" s="42"/>
      <c r="AK134" s="394"/>
      <c r="AL134" s="394"/>
      <c r="AM134" s="394"/>
      <c r="AN134" s="394"/>
      <c r="AO134" s="394"/>
      <c r="AP134" s="285"/>
      <c r="AQ134" s="285"/>
      <c r="AR134" s="285"/>
      <c r="AS134" s="285"/>
      <c r="AT134" s="285"/>
      <c r="AU134" s="285"/>
      <c r="AV134" s="285"/>
      <c r="AW134" s="286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CO134" s="285"/>
      <c r="CP134" s="285"/>
      <c r="CQ134" s="285"/>
      <c r="CR134" s="285"/>
      <c r="CS134" s="285"/>
      <c r="CT134" s="285"/>
      <c r="CU134" s="285"/>
      <c r="CV134" s="285"/>
      <c r="CW134" s="285"/>
      <c r="CX134" s="285"/>
      <c r="CY134" s="286"/>
      <c r="DB134" s="19"/>
      <c r="DC134" s="19"/>
      <c r="DD134" s="19"/>
      <c r="DE134" s="19"/>
      <c r="DF134" s="19"/>
      <c r="DG134" s="19"/>
      <c r="DH134" s="19"/>
      <c r="DI134" s="19"/>
    </row>
    <row r="135" spans="1:113" ht="12" outlineLevel="1">
      <c r="A135" s="1" t="s">
        <v>766</v>
      </c>
      <c r="B135" s="19" t="s">
        <v>621</v>
      </c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19">
        <v>0</v>
      </c>
      <c r="AQ135" s="419">
        <v>0</v>
      </c>
      <c r="AR135" s="419">
        <v>0</v>
      </c>
      <c r="AS135" s="419">
        <v>0</v>
      </c>
      <c r="AT135" s="419">
        <v>0</v>
      </c>
      <c r="AU135" s="419">
        <v>0</v>
      </c>
      <c r="AV135" s="419">
        <v>0</v>
      </c>
      <c r="AW135" s="431">
        <v>0</v>
      </c>
      <c r="AX135" s="432">
        <v>0</v>
      </c>
      <c r="AY135" s="432">
        <v>0</v>
      </c>
      <c r="AZ135" s="432">
        <v>0</v>
      </c>
      <c r="BA135" s="432">
        <v>0</v>
      </c>
      <c r="BB135" s="432">
        <v>4.1000000000000002E-2</v>
      </c>
      <c r="BC135" s="432">
        <v>4.2999999999999997E-2</v>
      </c>
      <c r="BD135" s="432">
        <v>4.5999999999999999E-2</v>
      </c>
      <c r="BE135" s="432">
        <v>4.8000000000000001E-2</v>
      </c>
      <c r="BF135" s="432">
        <v>5.1999999999999998E-2</v>
      </c>
      <c r="BG135" s="432">
        <v>5.2999999999999999E-2</v>
      </c>
      <c r="BH135" s="432">
        <v>5.6000000000000001E-2</v>
      </c>
      <c r="BI135" s="432">
        <v>5.7000000000000002E-2</v>
      </c>
      <c r="BJ135" s="432">
        <v>0.06</v>
      </c>
      <c r="BK135" s="432">
        <v>6.0999999999999999E-2</v>
      </c>
      <c r="BL135" s="432">
        <v>6.3E-2</v>
      </c>
      <c r="BM135" s="432">
        <v>6.4000000000000001E-2</v>
      </c>
      <c r="BN135" s="432">
        <v>6.6000000000000003E-2</v>
      </c>
      <c r="BO135" s="432">
        <v>6.7000000000000004E-2</v>
      </c>
      <c r="BP135" s="432">
        <v>6.9000000000000006E-2</v>
      </c>
      <c r="BQ135" s="432">
        <v>6.9000000000000006E-2</v>
      </c>
      <c r="BR135" s="47"/>
      <c r="BS135" s="430"/>
      <c r="BT135" s="430"/>
      <c r="BU135" s="430"/>
      <c r="BV135" s="430"/>
      <c r="BW135" s="430"/>
      <c r="BX135" s="430"/>
      <c r="BY135" s="430"/>
      <c r="BZ135" s="430"/>
      <c r="CA135" s="430"/>
      <c r="CB135" s="430"/>
      <c r="CC135" s="47"/>
      <c r="CD135" s="47"/>
      <c r="CE135" s="47"/>
      <c r="CF135" s="47"/>
      <c r="CG135" s="47"/>
      <c r="CH135" s="47"/>
      <c r="CI135" s="47"/>
      <c r="CJ135" s="47"/>
      <c r="CK135" s="47"/>
      <c r="CL135" s="47"/>
      <c r="CM135" s="47"/>
      <c r="CN135" s="47"/>
      <c r="CO135" s="47"/>
      <c r="CP135" s="47"/>
      <c r="CQ135" s="47"/>
      <c r="CR135" s="47"/>
      <c r="CS135" s="47"/>
      <c r="CT135" s="419">
        <v>0</v>
      </c>
      <c r="CU135" s="419">
        <v>0</v>
      </c>
      <c r="CV135" s="47">
        <v>0</v>
      </c>
      <c r="CW135" s="47">
        <v>0</v>
      </c>
      <c r="CX135" s="47">
        <v>0</v>
      </c>
      <c r="CY135" s="48">
        <v>0</v>
      </c>
      <c r="CZ135" s="47">
        <v>0</v>
      </c>
      <c r="DA135" s="47">
        <v>0</v>
      </c>
      <c r="DB135" s="47">
        <v>8.3999999999999991E-2</v>
      </c>
      <c r="DC135" s="47">
        <v>9.4E-2</v>
      </c>
      <c r="DD135" s="47">
        <v>0.105</v>
      </c>
      <c r="DE135" s="47">
        <v>0.113</v>
      </c>
      <c r="DF135" s="47">
        <v>0.121</v>
      </c>
      <c r="DG135" s="47">
        <v>0.127</v>
      </c>
      <c r="DH135" s="47">
        <v>0.13300000000000001</v>
      </c>
      <c r="DI135" s="47">
        <v>0.13800000000000001</v>
      </c>
    </row>
    <row r="136" spans="1:113" ht="12" outlineLevel="1">
      <c r="A136" s="1" t="s">
        <v>767</v>
      </c>
      <c r="B136" s="19" t="s">
        <v>761</v>
      </c>
      <c r="C136" s="408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  <c r="T136" s="394"/>
      <c r="U136" s="408"/>
      <c r="V136" s="408"/>
      <c r="W136" s="408"/>
      <c r="X136" s="408"/>
      <c r="Y136" s="408"/>
      <c r="Z136" s="394"/>
      <c r="AA136" s="394"/>
      <c r="AB136" s="394"/>
      <c r="AC136" s="394"/>
      <c r="AD136" s="394"/>
      <c r="AE136" s="394"/>
      <c r="AF136" s="394"/>
      <c r="AG136" s="394"/>
      <c r="AH136" s="394"/>
      <c r="AI136" s="394"/>
      <c r="AJ136" s="394"/>
      <c r="AK136" s="394"/>
      <c r="AL136" s="394"/>
      <c r="AM136" s="394"/>
      <c r="AN136" s="394"/>
      <c r="AO136" s="394"/>
      <c r="AP136" s="285">
        <v>0</v>
      </c>
      <c r="AQ136" s="285">
        <v>0</v>
      </c>
      <c r="AR136" s="285">
        <v>0</v>
      </c>
      <c r="AS136" s="285">
        <v>0</v>
      </c>
      <c r="AT136" s="285">
        <v>0</v>
      </c>
      <c r="AU136" s="285">
        <v>0</v>
      </c>
      <c r="AV136" s="285">
        <v>0</v>
      </c>
      <c r="AW136" s="286">
        <v>0</v>
      </c>
      <c r="AX136" s="162">
        <v>0</v>
      </c>
      <c r="AY136" s="162">
        <v>0</v>
      </c>
      <c r="AZ136" s="162">
        <v>0</v>
      </c>
      <c r="BA136" s="162">
        <v>0</v>
      </c>
      <c r="BB136" s="162">
        <v>0.49698655393537633</v>
      </c>
      <c r="BC136" s="162">
        <v>0.49320664874148779</v>
      </c>
      <c r="BD136" s="162">
        <v>0.49420397753634193</v>
      </c>
      <c r="BE136" s="162">
        <v>0.49167905640927939</v>
      </c>
      <c r="BF136" s="162">
        <v>0.49720993781924155</v>
      </c>
      <c r="BG136" s="162">
        <v>0.49579940577442838</v>
      </c>
      <c r="BH136" s="162">
        <v>0.49517509317011227</v>
      </c>
      <c r="BI136" s="162">
        <v>0.4997906206328015</v>
      </c>
      <c r="BJ136" s="162">
        <v>0.50145516601623052</v>
      </c>
      <c r="BK136" s="162">
        <v>0.50559874968376695</v>
      </c>
      <c r="BL136" s="162">
        <v>0.49886992282140286</v>
      </c>
      <c r="BM136" s="162">
        <v>0.50050512780941336</v>
      </c>
      <c r="BN136" s="162">
        <v>0.49800846224837481</v>
      </c>
      <c r="BO136" s="162">
        <v>0.50266781220250434</v>
      </c>
      <c r="BP136" s="162">
        <v>0.49733168998790689</v>
      </c>
      <c r="BQ136" s="162">
        <v>0.49516737251602078</v>
      </c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285"/>
      <c r="CD136" s="285"/>
      <c r="CE136" s="285"/>
      <c r="CF136" s="285"/>
      <c r="CG136" s="285"/>
      <c r="CH136" s="285"/>
      <c r="CI136" s="285"/>
      <c r="CJ136" s="285"/>
      <c r="CK136" s="285"/>
      <c r="CL136" s="285"/>
      <c r="CM136" s="285"/>
      <c r="CN136" s="285"/>
      <c r="CO136" s="285"/>
      <c r="CP136" s="285"/>
      <c r="CQ136" s="285"/>
      <c r="CR136" s="285"/>
      <c r="CS136" s="285"/>
      <c r="CT136" s="285">
        <v>0</v>
      </c>
      <c r="CU136" s="285">
        <v>0</v>
      </c>
      <c r="CV136" s="285">
        <v>0</v>
      </c>
      <c r="CW136" s="285">
        <v>0</v>
      </c>
      <c r="CX136" s="285">
        <v>0</v>
      </c>
      <c r="CY136" s="286">
        <v>0</v>
      </c>
      <c r="CZ136" s="162">
        <v>0</v>
      </c>
      <c r="DA136" s="162">
        <v>0</v>
      </c>
      <c r="DB136" s="162">
        <v>0.49504439261858285</v>
      </c>
      <c r="DC136" s="162">
        <v>0.49291142449239528</v>
      </c>
      <c r="DD136" s="162">
        <v>0.49649695327840226</v>
      </c>
      <c r="DE136" s="162">
        <v>0.49749257454714019</v>
      </c>
      <c r="DF136" s="162">
        <v>0.50353555587731302</v>
      </c>
      <c r="DG136" s="162">
        <v>0.49969262541230608</v>
      </c>
      <c r="DH136" s="162">
        <v>0.50034480637697687</v>
      </c>
      <c r="DI136" s="162">
        <v>0.49624717141592162</v>
      </c>
    </row>
    <row r="137" spans="1:113" ht="12" outlineLevel="1">
      <c r="A137" s="1" t="s">
        <v>768</v>
      </c>
      <c r="B137" s="19" t="s">
        <v>769</v>
      </c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113">
        <v>0</v>
      </c>
      <c r="AQ137" s="113">
        <v>0</v>
      </c>
      <c r="AR137" s="113">
        <v>0</v>
      </c>
      <c r="AS137" s="113">
        <v>0</v>
      </c>
      <c r="AT137" s="113">
        <v>0</v>
      </c>
      <c r="AU137" s="113">
        <v>36</v>
      </c>
      <c r="AV137" s="42">
        <v>57.5</v>
      </c>
      <c r="AW137" s="115">
        <v>75.5</v>
      </c>
      <c r="AX137" s="42">
        <v>89.578107261314628</v>
      </c>
      <c r="AY137" s="42">
        <v>114.96649801577853</v>
      </c>
      <c r="AZ137" s="42">
        <v>146.5728106276074</v>
      </c>
      <c r="BA137" s="42">
        <v>183.75447407742041</v>
      </c>
      <c r="BB137" s="42">
        <v>209.33663912895273</v>
      </c>
      <c r="BC137" s="42">
        <v>236.52901128677718</v>
      </c>
      <c r="BD137" s="42">
        <v>265.5156886625013</v>
      </c>
      <c r="BE137" s="42">
        <v>296.03517083932843</v>
      </c>
      <c r="BF137" s="42">
        <v>328.45515979123832</v>
      </c>
      <c r="BG137" s="42">
        <v>361.66430205405373</v>
      </c>
      <c r="BH137" s="42">
        <v>396.83101321609888</v>
      </c>
      <c r="BI137" s="42">
        <v>432.04488642481368</v>
      </c>
      <c r="BJ137" s="42">
        <v>468.8943929439053</v>
      </c>
      <c r="BK137" s="42">
        <v>505.81335922502774</v>
      </c>
      <c r="BL137" s="42">
        <v>544.86106329392135</v>
      </c>
      <c r="BM137" s="42">
        <v>584.2995672754131</v>
      </c>
      <c r="BN137" s="42">
        <v>625.33172432926835</v>
      </c>
      <c r="BO137" s="42">
        <v>666.30422986891847</v>
      </c>
      <c r="BP137" s="42">
        <v>709.30449921018817</v>
      </c>
      <c r="BQ137" s="42">
        <v>752.63609826006348</v>
      </c>
      <c r="BR137" s="42"/>
      <c r="BS137" s="40"/>
      <c r="BT137" s="40"/>
      <c r="BU137" s="40"/>
      <c r="BV137" s="40"/>
      <c r="BW137" s="40"/>
      <c r="BX137" s="40"/>
      <c r="BY137" s="40"/>
      <c r="BZ137" s="40"/>
      <c r="CA137" s="40"/>
      <c r="CB137" s="40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113">
        <v>0</v>
      </c>
      <c r="CU137" s="113">
        <v>0</v>
      </c>
      <c r="CV137" s="42">
        <v>0</v>
      </c>
      <c r="CW137" s="42">
        <v>0</v>
      </c>
      <c r="CX137" s="42">
        <v>36</v>
      </c>
      <c r="CY137" s="43">
        <v>75.5</v>
      </c>
      <c r="CZ137" s="42">
        <v>114.96649801577853</v>
      </c>
      <c r="DA137" s="42">
        <v>183.75447407742041</v>
      </c>
      <c r="DB137" s="42">
        <v>236.52901128677718</v>
      </c>
      <c r="DC137" s="42">
        <v>296.03517083932843</v>
      </c>
      <c r="DD137" s="42">
        <v>361.66430205405373</v>
      </c>
      <c r="DE137" s="42">
        <v>432.04488642481368</v>
      </c>
      <c r="DF137" s="42">
        <v>505.81335922502774</v>
      </c>
      <c r="DG137" s="42">
        <v>584.2995672754131</v>
      </c>
      <c r="DH137" s="42">
        <v>666.30422986891847</v>
      </c>
      <c r="DI137" s="42">
        <v>752.63609826006348</v>
      </c>
    </row>
    <row r="138" spans="1:113" ht="12" outlineLevel="1">
      <c r="A138" s="1" t="s">
        <v>904</v>
      </c>
      <c r="B138" s="19" t="s">
        <v>905</v>
      </c>
      <c r="C138" s="412"/>
      <c r="D138" s="412"/>
      <c r="E138" s="412"/>
      <c r="F138" s="412"/>
      <c r="G138" s="412"/>
      <c r="H138" s="412"/>
      <c r="I138" s="412"/>
      <c r="J138" s="412"/>
      <c r="K138" s="412"/>
      <c r="L138" s="412"/>
      <c r="M138" s="412"/>
      <c r="N138" s="412"/>
      <c r="O138" s="412"/>
      <c r="P138" s="412"/>
      <c r="Q138" s="412"/>
      <c r="R138" s="412"/>
      <c r="S138" s="412"/>
      <c r="T138" s="412"/>
      <c r="U138" s="412"/>
      <c r="V138" s="412"/>
      <c r="W138" s="412"/>
      <c r="X138" s="412"/>
      <c r="Y138" s="388"/>
      <c r="Z138" s="388"/>
      <c r="AA138" s="388"/>
      <c r="AB138" s="388"/>
      <c r="AC138" s="388"/>
      <c r="AD138" s="388"/>
      <c r="AE138" s="388"/>
      <c r="AF138" s="388"/>
      <c r="AG138" s="388"/>
      <c r="AH138" s="388"/>
      <c r="AI138" s="388"/>
      <c r="AJ138" s="388"/>
      <c r="AK138" s="388"/>
      <c r="AL138" s="388"/>
      <c r="AM138" s="388"/>
      <c r="AN138" s="388"/>
      <c r="AO138" s="388"/>
      <c r="AP138" s="507">
        <v>1</v>
      </c>
      <c r="AQ138" s="507">
        <v>1</v>
      </c>
      <c r="AR138" s="507">
        <v>1</v>
      </c>
      <c r="AS138" s="507">
        <v>1</v>
      </c>
      <c r="AT138" s="507">
        <v>1</v>
      </c>
      <c r="AU138" s="507">
        <v>1</v>
      </c>
      <c r="AV138" s="507">
        <v>1</v>
      </c>
      <c r="AW138" s="561">
        <v>1</v>
      </c>
      <c r="AX138" s="387">
        <v>1</v>
      </c>
      <c r="AY138" s="387">
        <v>1</v>
      </c>
      <c r="AZ138" s="387">
        <v>1</v>
      </c>
      <c r="BA138" s="387">
        <v>1</v>
      </c>
      <c r="BB138" s="387">
        <v>1</v>
      </c>
      <c r="BC138" s="387">
        <v>1</v>
      </c>
      <c r="BD138" s="387">
        <v>1</v>
      </c>
      <c r="BE138" s="387">
        <v>1</v>
      </c>
      <c r="BF138" s="387">
        <v>1</v>
      </c>
      <c r="BG138" s="387">
        <v>1</v>
      </c>
      <c r="BH138" s="387">
        <v>1</v>
      </c>
      <c r="BI138" s="387">
        <v>1</v>
      </c>
      <c r="BJ138" s="387">
        <v>1</v>
      </c>
      <c r="BK138" s="387">
        <v>1</v>
      </c>
      <c r="BL138" s="387">
        <v>1</v>
      </c>
      <c r="BM138" s="387">
        <v>1</v>
      </c>
      <c r="BN138" s="387">
        <v>1</v>
      </c>
      <c r="BO138" s="387">
        <v>1</v>
      </c>
      <c r="BP138" s="387">
        <v>1</v>
      </c>
      <c r="BQ138" s="387">
        <v>1</v>
      </c>
      <c r="BR138" s="387"/>
      <c r="BS138" s="423"/>
      <c r="BT138" s="423"/>
      <c r="BU138" s="423"/>
      <c r="BV138" s="423"/>
      <c r="BW138" s="423"/>
      <c r="BX138" s="423"/>
      <c r="BY138" s="423"/>
      <c r="BZ138" s="424"/>
      <c r="CA138" s="411"/>
      <c r="CB138" s="411"/>
      <c r="CC138" s="160"/>
      <c r="CD138" s="160"/>
      <c r="CE138" s="160"/>
      <c r="CF138" s="160"/>
      <c r="CG138" s="160"/>
      <c r="CH138" s="160"/>
      <c r="CI138" s="160"/>
      <c r="CJ138" s="160"/>
      <c r="CK138" s="160"/>
      <c r="CL138" s="160"/>
      <c r="CM138" s="172"/>
      <c r="CN138" s="172"/>
      <c r="CO138" s="172"/>
      <c r="CP138" s="172"/>
      <c r="CQ138" s="172"/>
      <c r="CR138" s="172"/>
      <c r="CS138" s="172"/>
      <c r="CT138" s="507">
        <v>1</v>
      </c>
      <c r="CU138" s="507">
        <v>1</v>
      </c>
      <c r="CV138" s="172">
        <v>0</v>
      </c>
      <c r="CW138" s="172">
        <v>0</v>
      </c>
      <c r="CX138" s="172">
        <v>0</v>
      </c>
      <c r="CY138" s="161">
        <v>0</v>
      </c>
      <c r="CZ138" s="160">
        <v>0</v>
      </c>
      <c r="DA138" s="160">
        <v>0</v>
      </c>
      <c r="DB138" s="160">
        <v>1</v>
      </c>
      <c r="DC138" s="160">
        <v>1</v>
      </c>
      <c r="DD138" s="160">
        <v>1</v>
      </c>
      <c r="DE138" s="160">
        <v>1</v>
      </c>
      <c r="DF138" s="160">
        <v>1</v>
      </c>
      <c r="DG138" s="160">
        <v>1</v>
      </c>
      <c r="DH138" s="160">
        <v>1</v>
      </c>
      <c r="DI138" s="160">
        <v>1</v>
      </c>
    </row>
    <row r="139" spans="1:113" ht="12" outlineLevel="1">
      <c r="A139" s="1" t="s">
        <v>1047</v>
      </c>
      <c r="B139" s="19" t="s">
        <v>408</v>
      </c>
      <c r="C139" s="412"/>
      <c r="D139" s="412"/>
      <c r="E139" s="412"/>
      <c r="F139" s="412"/>
      <c r="G139" s="412"/>
      <c r="H139" s="412"/>
      <c r="I139" s="412"/>
      <c r="J139" s="412"/>
      <c r="K139" s="412"/>
      <c r="L139" s="412"/>
      <c r="M139" s="412"/>
      <c r="N139" s="412"/>
      <c r="O139" s="412"/>
      <c r="P139" s="412"/>
      <c r="Q139" s="412"/>
      <c r="R139" s="412"/>
      <c r="S139" s="412"/>
      <c r="T139" s="388"/>
      <c r="U139" s="412"/>
      <c r="V139" s="412"/>
      <c r="W139" s="412"/>
      <c r="X139" s="412"/>
      <c r="Y139" s="388"/>
      <c r="Z139" s="388"/>
      <c r="AA139" s="388"/>
      <c r="AB139" s="388"/>
      <c r="AC139" s="388"/>
      <c r="AD139" s="388"/>
      <c r="AE139" s="388"/>
      <c r="AF139" s="388"/>
      <c r="AG139" s="388"/>
      <c r="AH139" s="388"/>
      <c r="AI139" s="388"/>
      <c r="AJ139" s="388"/>
      <c r="AK139" s="388"/>
      <c r="AL139" s="388"/>
      <c r="AM139" s="388"/>
      <c r="AN139" s="388"/>
      <c r="AO139" s="388"/>
      <c r="AP139" s="562">
        <v>0</v>
      </c>
      <c r="AQ139" s="562">
        <v>0</v>
      </c>
      <c r="AR139" s="562">
        <v>0</v>
      </c>
      <c r="AS139" s="562">
        <v>0</v>
      </c>
      <c r="AT139" s="562">
        <v>0</v>
      </c>
      <c r="AU139" s="562">
        <v>0</v>
      </c>
      <c r="AV139" s="562">
        <v>0</v>
      </c>
      <c r="AW139" s="563">
        <v>0</v>
      </c>
      <c r="AX139" s="387">
        <v>0</v>
      </c>
      <c r="AY139" s="387">
        <v>0</v>
      </c>
      <c r="AZ139" s="387">
        <v>0</v>
      </c>
      <c r="BA139" s="387">
        <v>0</v>
      </c>
      <c r="BB139" s="387">
        <v>0</v>
      </c>
      <c r="BC139" s="387">
        <v>0</v>
      </c>
      <c r="BD139" s="387">
        <v>0</v>
      </c>
      <c r="BE139" s="387">
        <v>0</v>
      </c>
      <c r="BF139" s="387">
        <v>0</v>
      </c>
      <c r="BG139" s="387">
        <v>0</v>
      </c>
      <c r="BH139" s="387">
        <v>0</v>
      </c>
      <c r="BI139" s="387">
        <v>0</v>
      </c>
      <c r="BJ139" s="387">
        <v>0</v>
      </c>
      <c r="BK139" s="387">
        <v>0</v>
      </c>
      <c r="BL139" s="387">
        <v>0</v>
      </c>
      <c r="BM139" s="387">
        <v>0</v>
      </c>
      <c r="BN139" s="387">
        <v>0</v>
      </c>
      <c r="BO139" s="387">
        <v>0</v>
      </c>
      <c r="BP139" s="387">
        <v>0</v>
      </c>
      <c r="BQ139" s="387">
        <v>0</v>
      </c>
      <c r="BR139" s="387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412"/>
      <c r="CH139" s="412"/>
      <c r="CI139" s="412"/>
      <c r="CJ139" s="412"/>
      <c r="CK139" s="412"/>
      <c r="CL139" s="412"/>
      <c r="CM139" s="388"/>
      <c r="CN139" s="388"/>
      <c r="CO139" s="388"/>
      <c r="CP139" s="388"/>
      <c r="CQ139" s="388"/>
      <c r="CR139" s="172"/>
      <c r="CS139" s="172"/>
      <c r="CT139" s="562">
        <v>0</v>
      </c>
      <c r="CU139" s="562">
        <v>0</v>
      </c>
      <c r="CV139" s="388">
        <v>0</v>
      </c>
      <c r="CW139" s="388">
        <v>0</v>
      </c>
      <c r="CX139" s="388">
        <v>0</v>
      </c>
      <c r="CY139" s="628">
        <v>0</v>
      </c>
      <c r="CZ139" s="172">
        <v>0</v>
      </c>
      <c r="DA139" s="172">
        <v>0</v>
      </c>
      <c r="DB139" s="172">
        <v>0</v>
      </c>
      <c r="DC139" s="172">
        <v>0</v>
      </c>
      <c r="DD139" s="172">
        <v>0</v>
      </c>
      <c r="DE139" s="172">
        <v>0</v>
      </c>
      <c r="DF139" s="172">
        <v>0</v>
      </c>
      <c r="DG139" s="172">
        <v>0</v>
      </c>
      <c r="DH139" s="172">
        <v>0</v>
      </c>
      <c r="DI139" s="172">
        <v>0</v>
      </c>
    </row>
    <row r="140" spans="1:113" ht="12" outlineLevel="1">
      <c r="AB140" s="157"/>
      <c r="AC140" s="604"/>
      <c r="AD140" s="157"/>
      <c r="AE140" s="47"/>
      <c r="AF140" s="157"/>
      <c r="AG140" s="157"/>
      <c r="AH140" s="616"/>
      <c r="AI140" s="616"/>
      <c r="AJ140" s="616"/>
      <c r="AK140" s="49"/>
      <c r="AL140" s="49"/>
      <c r="AM140" s="47"/>
      <c r="AN140" s="49"/>
      <c r="AO140" s="49"/>
      <c r="AP140" s="51"/>
      <c r="AQ140" s="51"/>
      <c r="AR140" s="51"/>
      <c r="AS140" s="51"/>
      <c r="AT140" s="51"/>
      <c r="AU140" s="51"/>
      <c r="AV140" s="51"/>
      <c r="AW140" s="495"/>
      <c r="AX140" s="157"/>
      <c r="AY140" s="157"/>
      <c r="AZ140" s="157"/>
      <c r="BA140" s="157"/>
      <c r="BB140" s="157"/>
      <c r="BC140" s="157"/>
      <c r="BD140" s="157"/>
      <c r="BE140" s="157"/>
      <c r="BF140" s="157"/>
      <c r="BG140" s="157"/>
      <c r="BH140" s="157"/>
      <c r="BI140" s="157"/>
      <c r="BJ140" s="157"/>
      <c r="BK140" s="157"/>
      <c r="BL140" s="157"/>
      <c r="BM140" s="157"/>
      <c r="BN140" s="157"/>
      <c r="BO140" s="157"/>
      <c r="BP140" s="157"/>
      <c r="BQ140" s="157"/>
      <c r="CT140" s="51"/>
      <c r="CU140" s="51"/>
      <c r="CV140" s="51"/>
      <c r="CW140" s="51"/>
      <c r="CX140" s="51"/>
      <c r="CY140" s="495"/>
      <c r="DD140" s="19"/>
      <c r="DE140" s="19"/>
      <c r="DF140" s="19"/>
      <c r="DG140" s="19"/>
      <c r="DH140" s="19"/>
      <c r="DI140" s="19"/>
    </row>
    <row r="141" spans="1:113" ht="12" outlineLevel="1">
      <c r="A141" s="1" t="s">
        <v>1048</v>
      </c>
      <c r="B141" s="19" t="s">
        <v>409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>
        <v>584.07896800000003</v>
      </c>
      <c r="AQ141" s="49">
        <v>217.311689</v>
      </c>
      <c r="AR141" s="49">
        <v>304.11571599999991</v>
      </c>
      <c r="AS141" s="49">
        <v>1.3500000000021828E-2</v>
      </c>
      <c r="AT141" s="49">
        <v>0</v>
      </c>
      <c r="AU141" s="49">
        <v>-9.9999988378840499E-7</v>
      </c>
      <c r="AV141" s="49">
        <v>3.7809609999999338</v>
      </c>
      <c r="AW141" s="50">
        <v>0</v>
      </c>
      <c r="AX141" s="51">
        <v>0</v>
      </c>
      <c r="AY141" s="51">
        <v>0</v>
      </c>
      <c r="AZ141" s="51">
        <v>0</v>
      </c>
      <c r="BA141" s="51">
        <v>0</v>
      </c>
      <c r="BB141" s="51">
        <v>0</v>
      </c>
      <c r="BC141" s="51">
        <v>0</v>
      </c>
      <c r="BD141" s="51">
        <v>0</v>
      </c>
      <c r="BE141" s="51">
        <v>0</v>
      </c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  <c r="BK141" s="51">
        <v>0</v>
      </c>
      <c r="BL141" s="51">
        <v>0</v>
      </c>
      <c r="BM141" s="51">
        <v>0</v>
      </c>
      <c r="BN141" s="51">
        <v>0</v>
      </c>
      <c r="BO141" s="51">
        <v>0</v>
      </c>
      <c r="BP141" s="51">
        <v>0</v>
      </c>
      <c r="BQ141" s="51">
        <v>0</v>
      </c>
      <c r="BR141" s="49"/>
      <c r="BS141" s="49"/>
      <c r="BT141" s="49"/>
      <c r="BU141" s="49"/>
      <c r="BV141" s="49"/>
      <c r="BW141" s="49"/>
      <c r="BX141" s="49"/>
      <c r="BY141" s="49"/>
      <c r="BZ141" s="49"/>
      <c r="CA141" s="49"/>
      <c r="CB141" s="49"/>
      <c r="CC141" s="49"/>
      <c r="CD141" s="49"/>
      <c r="CE141" s="49"/>
      <c r="CF141" s="49"/>
      <c r="CG141" s="49"/>
      <c r="CH141" s="49"/>
      <c r="CI141" s="49"/>
      <c r="CJ141" s="49"/>
      <c r="CK141" s="49"/>
      <c r="CL141" s="49"/>
      <c r="CM141" s="49"/>
      <c r="CN141" s="49"/>
      <c r="CO141" s="49"/>
      <c r="CP141" s="49"/>
      <c r="CQ141" s="49"/>
      <c r="CR141" s="49"/>
      <c r="CS141" s="49"/>
      <c r="CT141" s="49">
        <v>0</v>
      </c>
      <c r="CU141" s="49">
        <v>0</v>
      </c>
      <c r="CV141" s="49">
        <v>1105.5063729999999</v>
      </c>
      <c r="CW141" s="49">
        <v>1.3500000000021828E-2</v>
      </c>
      <c r="CX141" s="49">
        <v>-9.9999988378840499E-7</v>
      </c>
      <c r="CY141" s="50">
        <v>3.7809609999999338</v>
      </c>
      <c r="CZ141" s="49">
        <v>0</v>
      </c>
      <c r="DA141" s="49">
        <v>0</v>
      </c>
      <c r="DB141" s="49">
        <v>0</v>
      </c>
      <c r="DC141" s="49">
        <v>0</v>
      </c>
      <c r="DD141" s="49">
        <v>0</v>
      </c>
      <c r="DE141" s="49">
        <v>0</v>
      </c>
      <c r="DF141" s="49">
        <v>0</v>
      </c>
      <c r="DG141" s="49">
        <v>0</v>
      </c>
      <c r="DH141" s="49">
        <v>0</v>
      </c>
      <c r="DI141" s="49">
        <v>0</v>
      </c>
    </row>
    <row r="142" spans="1:113" ht="12" outlineLevel="1">
      <c r="A142" s="1" t="s">
        <v>1049</v>
      </c>
      <c r="B142" s="19" t="s">
        <v>410</v>
      </c>
      <c r="C142" s="566"/>
      <c r="D142" s="566"/>
      <c r="E142" s="566"/>
      <c r="F142" s="566"/>
      <c r="G142" s="566"/>
      <c r="H142" s="566"/>
      <c r="I142" s="566"/>
      <c r="J142" s="566"/>
      <c r="K142" s="566"/>
      <c r="L142" s="566"/>
      <c r="M142" s="566"/>
      <c r="N142" s="566"/>
      <c r="O142" s="566"/>
      <c r="P142" s="566"/>
      <c r="Q142" s="566"/>
      <c r="R142" s="566"/>
      <c r="S142" s="566"/>
      <c r="T142" s="566"/>
      <c r="U142" s="566"/>
      <c r="V142" s="566"/>
      <c r="W142" s="566"/>
      <c r="X142" s="566"/>
      <c r="Y142" s="566"/>
      <c r="Z142" s="566"/>
      <c r="AA142" s="566"/>
      <c r="AB142" s="566"/>
      <c r="AC142" s="566"/>
      <c r="AD142" s="566"/>
      <c r="AE142" s="566"/>
      <c r="AF142" s="566"/>
      <c r="AG142" s="566"/>
      <c r="AH142" s="566"/>
      <c r="AI142" s="566"/>
      <c r="AJ142" s="566"/>
      <c r="AK142" s="566"/>
      <c r="AL142" s="566"/>
      <c r="AM142" s="566"/>
      <c r="AN142" s="566"/>
      <c r="AO142" s="566"/>
      <c r="AP142" s="433" t="s">
        <v>2600</v>
      </c>
      <c r="AQ142" s="433" t="s">
        <v>2600</v>
      </c>
      <c r="AR142" s="433">
        <v>2.13</v>
      </c>
      <c r="AS142" s="433">
        <v>1.2050000000000001</v>
      </c>
      <c r="AT142" s="433">
        <v>1.325</v>
      </c>
      <c r="AU142" s="433">
        <v>1.1850000000000001</v>
      </c>
      <c r="AV142" s="433">
        <v>1</v>
      </c>
      <c r="AW142" s="503">
        <v>1.26</v>
      </c>
      <c r="AX142" s="564">
        <v>1.3310753547414211</v>
      </c>
      <c r="AY142" s="564">
        <v>1.4061600000000001</v>
      </c>
      <c r="AZ142" s="564">
        <v>1.485480095891426</v>
      </c>
      <c r="BA142" s="564">
        <v>1.5692745600000002</v>
      </c>
      <c r="BB142" s="564">
        <v>1.6577957870148317</v>
      </c>
      <c r="BC142" s="564">
        <v>1.7513104089600005</v>
      </c>
      <c r="BD142" s="564">
        <v>1.8501000983085523</v>
      </c>
      <c r="BE142" s="564">
        <v>1.9544624163993607</v>
      </c>
      <c r="BF142" s="564">
        <v>2.0647117097123444</v>
      </c>
      <c r="BG142" s="564">
        <v>2.1811800567016864</v>
      </c>
      <c r="BH142" s="564">
        <v>2.3042182680389764</v>
      </c>
      <c r="BI142" s="564">
        <v>2.4341969432790824</v>
      </c>
      <c r="BJ142" s="564">
        <v>2.5715075871314981</v>
      </c>
      <c r="BK142" s="564">
        <v>2.7165637886994562</v>
      </c>
      <c r="BL142" s="564">
        <v>2.8698024672387521</v>
      </c>
      <c r="BM142" s="564">
        <v>3.0316851881885936</v>
      </c>
      <c r="BN142" s="564">
        <v>3.2026995534384479</v>
      </c>
      <c r="BO142" s="564">
        <v>3.3833606700184706</v>
      </c>
      <c r="BP142" s="564">
        <v>3.574212701637308</v>
      </c>
      <c r="BQ142" s="564">
        <v>3.7758305077406136</v>
      </c>
      <c r="BR142" s="564"/>
      <c r="BS142" s="565"/>
      <c r="BT142" s="565"/>
      <c r="BU142" s="565"/>
      <c r="BV142" s="565"/>
      <c r="BW142" s="565"/>
      <c r="BX142" s="565"/>
      <c r="BY142" s="565"/>
      <c r="BZ142" s="565"/>
      <c r="CA142" s="565"/>
      <c r="CB142" s="565"/>
      <c r="CC142" s="564"/>
      <c r="CD142" s="564"/>
      <c r="CE142" s="564"/>
      <c r="CF142" s="564"/>
      <c r="CG142" s="564"/>
      <c r="CH142" s="564"/>
      <c r="CI142" s="564"/>
      <c r="CJ142" s="564"/>
      <c r="CK142" s="564"/>
      <c r="CL142" s="564"/>
      <c r="CM142" s="566"/>
      <c r="CN142" s="566"/>
      <c r="CO142" s="566"/>
      <c r="CP142" s="566"/>
      <c r="CQ142" s="566"/>
      <c r="CR142" s="566"/>
      <c r="CS142" s="566"/>
      <c r="CT142" s="433"/>
      <c r="CU142" s="433"/>
      <c r="CV142" s="433"/>
      <c r="CW142" s="566">
        <v>1.2050000000000001</v>
      </c>
      <c r="CX142" s="566">
        <v>1.1850000000000001</v>
      </c>
      <c r="CY142" s="670">
        <v>1.26</v>
      </c>
      <c r="CZ142" s="625">
        <v>1.4061600000000001</v>
      </c>
      <c r="DA142" s="625">
        <v>1.5692745600000002</v>
      </c>
      <c r="DB142" s="625">
        <v>1.7513104089600005</v>
      </c>
      <c r="DC142" s="625">
        <v>1.9544624163993607</v>
      </c>
      <c r="DD142" s="625">
        <v>2.1811800567016864</v>
      </c>
      <c r="DE142" s="625">
        <v>2.4341969432790824</v>
      </c>
      <c r="DF142" s="625">
        <v>2.7165637886994562</v>
      </c>
      <c r="DG142" s="625">
        <v>3.0316851881885936</v>
      </c>
      <c r="DH142" s="625">
        <v>3.3833606700184706</v>
      </c>
      <c r="DI142" s="625">
        <v>3.7758305077406136</v>
      </c>
    </row>
    <row r="143" spans="1:113" ht="12" outlineLevel="1">
      <c r="A143" s="1" t="s">
        <v>632</v>
      </c>
      <c r="B143" s="19" t="s">
        <v>416</v>
      </c>
      <c r="C143" s="564"/>
      <c r="D143" s="564"/>
      <c r="E143" s="564"/>
      <c r="F143" s="564"/>
      <c r="G143" s="564"/>
      <c r="H143" s="564"/>
      <c r="I143" s="564"/>
      <c r="J143" s="564"/>
      <c r="K143" s="564"/>
      <c r="L143" s="564"/>
      <c r="M143" s="564"/>
      <c r="N143" s="564"/>
      <c r="O143" s="564"/>
      <c r="P143" s="564"/>
      <c r="Q143" s="564"/>
      <c r="R143" s="564"/>
      <c r="S143" s="564"/>
      <c r="T143" s="566"/>
      <c r="U143" s="564"/>
      <c r="V143" s="564"/>
      <c r="W143" s="564"/>
      <c r="X143" s="564"/>
      <c r="Y143" s="566"/>
      <c r="Z143" s="566"/>
      <c r="AA143" s="566"/>
      <c r="AB143" s="566"/>
      <c r="AC143" s="566"/>
      <c r="AD143" s="566"/>
      <c r="AE143" s="566"/>
      <c r="AF143" s="566"/>
      <c r="AG143" s="566"/>
      <c r="AH143" s="566"/>
      <c r="AI143" s="566"/>
      <c r="AJ143" s="566"/>
      <c r="AK143" s="566"/>
      <c r="AL143" s="566"/>
      <c r="AM143" s="566"/>
      <c r="AN143" s="566"/>
      <c r="AO143" s="566"/>
      <c r="AP143" s="508">
        <v>0.19466545831864296</v>
      </c>
      <c r="AQ143" s="508">
        <v>1.7840733822652313</v>
      </c>
      <c r="AR143" s="508">
        <v>1.2067774886056863</v>
      </c>
      <c r="AS143" s="508">
        <v>362.96296296237608</v>
      </c>
      <c r="AT143" s="433">
        <v>0</v>
      </c>
      <c r="AU143" s="508">
        <v>1.2549999999999999</v>
      </c>
      <c r="AV143" s="508">
        <v>1.0925</v>
      </c>
      <c r="AW143" s="568">
        <v>1.1299999999999999</v>
      </c>
      <c r="AX143" s="567">
        <v>1.2955376773707106</v>
      </c>
      <c r="AY143" s="567">
        <v>1.3686176773707106</v>
      </c>
      <c r="AZ143" s="567">
        <v>1.4458200479457131</v>
      </c>
      <c r="BA143" s="567">
        <v>1.527377327945713</v>
      </c>
      <c r="BB143" s="567">
        <v>1.6135351735074155</v>
      </c>
      <c r="BC143" s="567">
        <v>1.7045530979874155</v>
      </c>
      <c r="BD143" s="567">
        <v>1.8007052536342758</v>
      </c>
      <c r="BE143" s="567">
        <v>1.9022812573539558</v>
      </c>
      <c r="BF143" s="567">
        <v>2.0095870630558523</v>
      </c>
      <c r="BG143" s="567">
        <v>2.1229458832070152</v>
      </c>
      <c r="BH143" s="567">
        <v>2.242699162370331</v>
      </c>
      <c r="BI143" s="567">
        <v>2.369207605659029</v>
      </c>
      <c r="BJ143" s="567">
        <v>2.50285226520529</v>
      </c>
      <c r="BK143" s="567">
        <v>2.6440356879154767</v>
      </c>
      <c r="BL143" s="567">
        <v>2.7931831279691037</v>
      </c>
      <c r="BM143" s="567">
        <v>2.9507438277136719</v>
      </c>
      <c r="BN143" s="567">
        <v>3.1171923708135196</v>
      </c>
      <c r="BO143" s="567">
        <v>3.2930301117284584</v>
      </c>
      <c r="BP143" s="567">
        <v>3.4787866858278882</v>
      </c>
      <c r="BQ143" s="567">
        <v>3.6750216046889599</v>
      </c>
      <c r="BR143" s="567"/>
      <c r="BS143" s="567"/>
      <c r="BT143" s="567"/>
      <c r="BU143" s="567"/>
      <c r="BV143" s="567"/>
      <c r="BW143" s="567"/>
      <c r="BX143" s="567"/>
      <c r="BY143" s="567"/>
      <c r="BZ143" s="567"/>
      <c r="CA143" s="567"/>
      <c r="CB143" s="567"/>
      <c r="CC143" s="567"/>
      <c r="CD143" s="567"/>
      <c r="CE143" s="567"/>
      <c r="CF143" s="567"/>
      <c r="CG143" s="567"/>
      <c r="CH143" s="567"/>
      <c r="CI143" s="567"/>
      <c r="CJ143" s="567"/>
      <c r="CK143" s="567"/>
      <c r="CL143" s="567"/>
      <c r="CM143" s="508"/>
      <c r="CN143" s="508"/>
      <c r="CO143" s="508"/>
      <c r="CP143" s="508"/>
      <c r="CQ143" s="508"/>
      <c r="CR143" s="508"/>
      <c r="CS143" s="508"/>
      <c r="CT143" s="508" t="s">
        <v>213</v>
      </c>
      <c r="CU143" s="508" t="s">
        <v>213</v>
      </c>
      <c r="CV143" s="508" t="s">
        <v>213</v>
      </c>
      <c r="CW143" s="508" t="s">
        <v>213</v>
      </c>
      <c r="CX143" s="508">
        <v>0.62234246575342456</v>
      </c>
      <c r="CY143" s="568">
        <v>1.1111475409836065</v>
      </c>
      <c r="CZ143" s="625">
        <v>1.3317773486035873</v>
      </c>
      <c r="DA143" s="625">
        <v>1.4862635210416033</v>
      </c>
      <c r="DB143" s="625">
        <v>1.6586700894824293</v>
      </c>
      <c r="DC143" s="625">
        <v>1.851215725429308</v>
      </c>
      <c r="DD143" s="625">
        <v>2.0658006149664287</v>
      </c>
      <c r="DE143" s="625">
        <v>2.305433486302535</v>
      </c>
      <c r="DF143" s="625">
        <v>2.5728637707136293</v>
      </c>
      <c r="DG143" s="625">
        <v>2.8715329841262385</v>
      </c>
      <c r="DH143" s="625">
        <v>3.2043886204179142</v>
      </c>
      <c r="DI143" s="625">
        <v>3.5760977003863919</v>
      </c>
    </row>
    <row r="144" spans="1:113" ht="12" outlineLevel="1">
      <c r="Z144" s="42"/>
      <c r="AA144" s="42"/>
      <c r="AB144" s="42"/>
      <c r="AC144" s="605"/>
      <c r="AD144" s="165"/>
      <c r="AE144" s="394"/>
      <c r="AF144" s="42"/>
      <c r="AG144" s="605"/>
      <c r="AH144" s="416"/>
      <c r="AI144" s="42"/>
      <c r="AJ144" s="42"/>
      <c r="AK144" s="42"/>
      <c r="AL144" s="42"/>
      <c r="AM144" s="42"/>
      <c r="AN144" s="42"/>
      <c r="AO144" s="42"/>
      <c r="AP144" s="42"/>
      <c r="AQ144" s="172"/>
      <c r="AR144" s="172"/>
      <c r="AS144" s="172"/>
      <c r="AT144" s="172"/>
      <c r="AU144" s="172"/>
      <c r="AV144" s="172"/>
      <c r="AW144" s="161"/>
      <c r="CT144" s="172"/>
      <c r="CU144" s="172"/>
      <c r="CV144" s="172"/>
      <c r="CW144" s="172"/>
      <c r="CX144" s="172"/>
      <c r="CY144" s="161"/>
      <c r="DB144" s="19"/>
      <c r="DC144" s="19"/>
      <c r="DD144" s="19"/>
      <c r="DE144" s="19"/>
      <c r="DF144" s="19"/>
      <c r="DG144" s="19"/>
      <c r="DH144" s="19"/>
      <c r="DI144" s="19"/>
    </row>
    <row r="145" spans="1:113" ht="12" outlineLevel="1">
      <c r="A145" s="1" t="s">
        <v>863</v>
      </c>
      <c r="B145" s="19" t="s">
        <v>417</v>
      </c>
      <c r="C145" s="408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  <c r="T145" s="394"/>
      <c r="U145" s="408"/>
      <c r="V145" s="408"/>
      <c r="W145" s="408"/>
      <c r="X145" s="408"/>
      <c r="Y145" s="394"/>
      <c r="Z145" s="394"/>
      <c r="AA145" s="394"/>
      <c r="AB145" s="394"/>
      <c r="AC145" s="394"/>
      <c r="AD145" s="394"/>
      <c r="AE145" s="394"/>
      <c r="AF145" s="394"/>
      <c r="AG145" s="394"/>
      <c r="AH145" s="394"/>
      <c r="AI145" s="394"/>
      <c r="AJ145" s="394"/>
      <c r="AK145" s="394"/>
      <c r="AL145" s="394"/>
      <c r="AM145" s="394"/>
      <c r="AN145" s="394"/>
      <c r="AO145" s="394"/>
      <c r="AP145" s="285">
        <v>0</v>
      </c>
      <c r="AQ145" s="285">
        <v>0</v>
      </c>
      <c r="AR145" s="285">
        <v>0</v>
      </c>
      <c r="AS145" s="285">
        <v>0</v>
      </c>
      <c r="AT145" s="285">
        <v>0</v>
      </c>
      <c r="AU145" s="285">
        <v>0</v>
      </c>
      <c r="AV145" s="285">
        <v>0</v>
      </c>
      <c r="AW145" s="286">
        <v>0</v>
      </c>
      <c r="AX145" s="386">
        <v>0</v>
      </c>
      <c r="AY145" s="386">
        <v>0</v>
      </c>
      <c r="AZ145" s="386">
        <v>0</v>
      </c>
      <c r="BA145" s="386">
        <v>0</v>
      </c>
      <c r="BB145" s="386">
        <v>0</v>
      </c>
      <c r="BC145" s="386">
        <v>0</v>
      </c>
      <c r="BD145" s="386">
        <v>0</v>
      </c>
      <c r="BE145" s="386">
        <v>0</v>
      </c>
      <c r="BF145" s="386">
        <v>0</v>
      </c>
      <c r="BG145" s="386">
        <v>0</v>
      </c>
      <c r="BH145" s="386">
        <v>0</v>
      </c>
      <c r="BI145" s="386">
        <v>0</v>
      </c>
      <c r="BJ145" s="386">
        <v>0</v>
      </c>
      <c r="BK145" s="386">
        <v>0</v>
      </c>
      <c r="BL145" s="386">
        <v>0</v>
      </c>
      <c r="BM145" s="386">
        <v>0</v>
      </c>
      <c r="BN145" s="386">
        <v>0</v>
      </c>
      <c r="BO145" s="386">
        <v>0</v>
      </c>
      <c r="BP145" s="386">
        <v>0</v>
      </c>
      <c r="BQ145" s="386">
        <v>0</v>
      </c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285"/>
      <c r="CN145" s="285"/>
      <c r="CO145" s="285"/>
      <c r="CP145" s="285"/>
      <c r="CQ145" s="285"/>
      <c r="CR145" s="285"/>
      <c r="CS145" s="285"/>
      <c r="CT145" s="285">
        <v>0</v>
      </c>
      <c r="CU145" s="285">
        <v>0</v>
      </c>
      <c r="CV145" s="285">
        <v>0</v>
      </c>
      <c r="CW145" s="285">
        <v>0</v>
      </c>
      <c r="CX145" s="285">
        <v>0</v>
      </c>
      <c r="CY145" s="286">
        <v>0</v>
      </c>
      <c r="CZ145" s="162">
        <v>0</v>
      </c>
      <c r="DA145" s="162">
        <v>0</v>
      </c>
      <c r="DB145" s="162">
        <v>0</v>
      </c>
      <c r="DC145" s="162">
        <v>0</v>
      </c>
      <c r="DD145" s="162">
        <v>0</v>
      </c>
      <c r="DE145" s="162">
        <v>0</v>
      </c>
      <c r="DF145" s="162">
        <v>0</v>
      </c>
      <c r="DG145" s="162">
        <v>0</v>
      </c>
      <c r="DH145" s="162">
        <v>0</v>
      </c>
      <c r="DI145" s="162">
        <v>0</v>
      </c>
    </row>
    <row r="146" spans="1:113" ht="12" outlineLevel="1">
      <c r="A146" s="1" t="s">
        <v>878</v>
      </c>
      <c r="B146" s="19" t="s">
        <v>257</v>
      </c>
      <c r="C146" s="408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  <c r="T146" s="394"/>
      <c r="U146" s="408"/>
      <c r="V146" s="408"/>
      <c r="W146" s="408"/>
      <c r="X146" s="408"/>
      <c r="Y146" s="394"/>
      <c r="Z146" s="394"/>
      <c r="AA146" s="394"/>
      <c r="AB146" s="394"/>
      <c r="AC146" s="394"/>
      <c r="AD146" s="394"/>
      <c r="AE146" s="394"/>
      <c r="AF146" s="394"/>
      <c r="AG146" s="394"/>
      <c r="AH146" s="394"/>
      <c r="AI146" s="394"/>
      <c r="AJ146" s="394"/>
      <c r="AK146" s="394"/>
      <c r="AL146" s="394"/>
      <c r="AM146" s="394"/>
      <c r="AN146" s="394"/>
      <c r="AO146" s="394"/>
      <c r="AP146" s="285">
        <v>0.93</v>
      </c>
      <c r="AQ146" s="285">
        <v>0.92</v>
      </c>
      <c r="AR146" s="285">
        <v>1.0195957095709571</v>
      </c>
      <c r="AS146" s="285">
        <v>0.92941562705187131</v>
      </c>
      <c r="AT146" s="285">
        <v>0.93676940135999887</v>
      </c>
      <c r="AU146" s="285">
        <v>0.83477401827611764</v>
      </c>
      <c r="AV146" s="285">
        <v>0.80512011872739087</v>
      </c>
      <c r="AW146" s="286">
        <v>0.81570348240126977</v>
      </c>
      <c r="AX146" s="386">
        <v>0.81570348240126977</v>
      </c>
      <c r="AY146" s="386">
        <v>0.81570348240126977</v>
      </c>
      <c r="AZ146" s="386">
        <v>0.81570348240126977</v>
      </c>
      <c r="BA146" s="386">
        <v>0.81570348240126977</v>
      </c>
      <c r="BB146" s="386">
        <v>0.81570348240126977</v>
      </c>
      <c r="BC146" s="386">
        <v>0.81570348240126977</v>
      </c>
      <c r="BD146" s="386">
        <v>0.81570348240126977</v>
      </c>
      <c r="BE146" s="386">
        <v>0.81570348240126977</v>
      </c>
      <c r="BF146" s="386">
        <v>0.81570348240126977</v>
      </c>
      <c r="BG146" s="386">
        <v>0.81570348240126977</v>
      </c>
      <c r="BH146" s="386">
        <v>0.81570348240126977</v>
      </c>
      <c r="BI146" s="386">
        <v>0.81570348240126977</v>
      </c>
      <c r="BJ146" s="386">
        <v>0.81570348240126977</v>
      </c>
      <c r="BK146" s="386">
        <v>0.81570348240126977</v>
      </c>
      <c r="BL146" s="386">
        <v>0.81570348240126977</v>
      </c>
      <c r="BM146" s="386">
        <v>0.81570348240126977</v>
      </c>
      <c r="BN146" s="386">
        <v>0.81570348240126977</v>
      </c>
      <c r="BO146" s="386">
        <v>0.81570348240126977</v>
      </c>
      <c r="BP146" s="386">
        <v>0.81570348240126977</v>
      </c>
      <c r="BQ146" s="386">
        <v>0.81570348240126977</v>
      </c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285"/>
      <c r="CN146" s="285"/>
      <c r="CO146" s="285"/>
      <c r="CP146" s="285"/>
      <c r="CQ146" s="285"/>
      <c r="CR146" s="285"/>
      <c r="CS146" s="285"/>
      <c r="CT146" s="285">
        <v>0.92</v>
      </c>
      <c r="CU146" s="285">
        <v>0.94</v>
      </c>
      <c r="CV146" s="285">
        <v>0.92</v>
      </c>
      <c r="CW146" s="285">
        <v>1.0351005484460696</v>
      </c>
      <c r="CX146" s="285">
        <v>0.93435866505830323</v>
      </c>
      <c r="CY146" s="286">
        <v>0.91305256557634029</v>
      </c>
      <c r="CZ146" s="162">
        <v>0.91322939873940023</v>
      </c>
      <c r="DA146" s="162">
        <v>0.91350000817091959</v>
      </c>
      <c r="DB146" s="162">
        <v>0.91274682724712985</v>
      </c>
      <c r="DC146" s="162">
        <v>0.91199944695377655</v>
      </c>
      <c r="DD146" s="162">
        <v>0.91124706559255242</v>
      </c>
      <c r="DE146" s="162">
        <v>0.91049327374453437</v>
      </c>
      <c r="DF146" s="162">
        <v>0.90974542894320598</v>
      </c>
      <c r="DG146" s="162">
        <v>0.90900348426929578</v>
      </c>
      <c r="DH146" s="162">
        <v>0.90826739317370242</v>
      </c>
      <c r="DI146" s="162">
        <v>0.90753710947457367</v>
      </c>
    </row>
    <row r="147" spans="1:113" ht="12" outlineLevel="1">
      <c r="A147" s="1" t="s">
        <v>879</v>
      </c>
      <c r="B147" s="19" t="s">
        <v>258</v>
      </c>
      <c r="C147" s="408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  <c r="T147" s="394"/>
      <c r="U147" s="408"/>
      <c r="V147" s="408"/>
      <c r="W147" s="408"/>
      <c r="X147" s="408"/>
      <c r="Y147" s="394"/>
      <c r="Z147" s="394"/>
      <c r="AA147" s="394"/>
      <c r="AB147" s="394"/>
      <c r="AC147" s="394"/>
      <c r="AD147" s="394"/>
      <c r="AE147" s="394"/>
      <c r="AF147" s="394"/>
      <c r="AG147" s="394"/>
      <c r="AH147" s="394"/>
      <c r="AI147" s="394"/>
      <c r="AJ147" s="394"/>
      <c r="AK147" s="394"/>
      <c r="AL147" s="394"/>
      <c r="AM147" s="394"/>
      <c r="AN147" s="394"/>
      <c r="AO147" s="394"/>
      <c r="AP147" s="285">
        <v>0.70599324397951402</v>
      </c>
      <c r="AQ147" s="285">
        <v>0.23440131219245491</v>
      </c>
      <c r="AR147" s="285">
        <v>0.16188311870493508</v>
      </c>
      <c r="AS147" s="285">
        <v>0.19532895924878105</v>
      </c>
      <c r="AT147" s="285">
        <v>0.215316712394131</v>
      </c>
      <c r="AU147" s="285">
        <v>0.2290452849964548</v>
      </c>
      <c r="AV147" s="285">
        <v>0.19798717266205285</v>
      </c>
      <c r="AW147" s="286">
        <v>0.35162536208561307</v>
      </c>
      <c r="AX147" s="386">
        <v>0.35162536208561307</v>
      </c>
      <c r="AY147" s="386">
        <v>0.35162536208561307</v>
      </c>
      <c r="AZ147" s="386">
        <v>0.35162536208561307</v>
      </c>
      <c r="BA147" s="386">
        <v>0.35162536208561307</v>
      </c>
      <c r="BB147" s="386">
        <v>0.35162536208561307</v>
      </c>
      <c r="BC147" s="386">
        <v>0.35162536208561307</v>
      </c>
      <c r="BD147" s="386">
        <v>0.35162536208561307</v>
      </c>
      <c r="BE147" s="386">
        <v>0.35162536208561307</v>
      </c>
      <c r="BF147" s="386">
        <v>0.35162536208561307</v>
      </c>
      <c r="BG147" s="386">
        <v>0.35162536208561307</v>
      </c>
      <c r="BH147" s="386">
        <v>0.35162536208561307</v>
      </c>
      <c r="BI147" s="386">
        <v>0.35162536208561307</v>
      </c>
      <c r="BJ147" s="386">
        <v>0.35162536208561307</v>
      </c>
      <c r="BK147" s="386">
        <v>0.35162536208561307</v>
      </c>
      <c r="BL147" s="386">
        <v>0.35162536208561307</v>
      </c>
      <c r="BM147" s="386">
        <v>0.35162536208561307</v>
      </c>
      <c r="BN147" s="386">
        <v>0.35162536208561307</v>
      </c>
      <c r="BO147" s="386">
        <v>0.35162536208561307</v>
      </c>
      <c r="BP147" s="386">
        <v>0.35162536208561307</v>
      </c>
      <c r="BQ147" s="386">
        <v>0.35162536208561307</v>
      </c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285"/>
      <c r="CN147" s="285"/>
      <c r="CO147" s="285"/>
      <c r="CP147" s="285"/>
      <c r="CQ147" s="285"/>
      <c r="CR147" s="285"/>
      <c r="CS147" s="285"/>
      <c r="CT147" s="285">
        <v>-0.94257722266988997</v>
      </c>
      <c r="CU147" s="285">
        <v>-0.33843506040781773</v>
      </c>
      <c r="CV147" s="285">
        <v>0.23440131219245491</v>
      </c>
      <c r="CW147" s="285">
        <v>0.19532895924878105</v>
      </c>
      <c r="CX147" s="285">
        <v>0.2290452849964548</v>
      </c>
      <c r="CY147" s="286">
        <v>0.35162536208561307</v>
      </c>
      <c r="CZ147" s="162">
        <v>0.35162536208561307</v>
      </c>
      <c r="DA147" s="162">
        <v>0.35162536208561307</v>
      </c>
      <c r="DB147" s="162">
        <v>0.35162536208561307</v>
      </c>
      <c r="DC147" s="162">
        <v>0.35162536208561307</v>
      </c>
      <c r="DD147" s="162">
        <v>0.35162536208561307</v>
      </c>
      <c r="DE147" s="162">
        <v>0.35162536208561307</v>
      </c>
      <c r="DF147" s="162">
        <v>0.35162536208561307</v>
      </c>
      <c r="DG147" s="162">
        <v>0.35162536208561307</v>
      </c>
      <c r="DH147" s="162">
        <v>0.35162536208561307</v>
      </c>
      <c r="DI147" s="162">
        <v>0.35162536208561307</v>
      </c>
    </row>
    <row r="148" spans="1:113" ht="12" outlineLevel="1">
      <c r="A148" s="1" t="s">
        <v>880</v>
      </c>
      <c r="B148" s="19" t="s">
        <v>259</v>
      </c>
      <c r="C148" s="408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  <c r="T148" s="394"/>
      <c r="U148" s="408"/>
      <c r="V148" s="408"/>
      <c r="W148" s="408"/>
      <c r="X148" s="408"/>
      <c r="Y148" s="394"/>
      <c r="Z148" s="394"/>
      <c r="AA148" s="394"/>
      <c r="AB148" s="394"/>
      <c r="AC148" s="394"/>
      <c r="AD148" s="394"/>
      <c r="AE148" s="394"/>
      <c r="AF148" s="394"/>
      <c r="AG148" s="394"/>
      <c r="AH148" s="394"/>
      <c r="AI148" s="394"/>
      <c r="AJ148" s="394"/>
      <c r="AK148" s="394"/>
      <c r="AL148" s="394"/>
      <c r="AM148" s="394"/>
      <c r="AN148" s="394"/>
      <c r="AO148" s="394"/>
      <c r="AP148" s="285">
        <v>0.04</v>
      </c>
      <c r="AQ148" s="285">
        <v>0.04</v>
      </c>
      <c r="AR148" s="285">
        <v>0.04</v>
      </c>
      <c r="AS148" s="285">
        <v>0.04</v>
      </c>
      <c r="AT148" s="285">
        <v>0.04</v>
      </c>
      <c r="AU148" s="285">
        <v>0.04</v>
      </c>
      <c r="AV148" s="285">
        <v>0.04</v>
      </c>
      <c r="AW148" s="286">
        <v>0.04</v>
      </c>
      <c r="AX148" s="386">
        <v>0.04</v>
      </c>
      <c r="AY148" s="386">
        <v>0.04</v>
      </c>
      <c r="AZ148" s="386">
        <v>0.04</v>
      </c>
      <c r="BA148" s="386">
        <v>0.04</v>
      </c>
      <c r="BB148" s="386">
        <v>0.04</v>
      </c>
      <c r="BC148" s="386">
        <v>0.04</v>
      </c>
      <c r="BD148" s="386">
        <v>0.04</v>
      </c>
      <c r="BE148" s="386">
        <v>0.04</v>
      </c>
      <c r="BF148" s="386">
        <v>0.04</v>
      </c>
      <c r="BG148" s="386">
        <v>0.04</v>
      </c>
      <c r="BH148" s="386">
        <v>0.04</v>
      </c>
      <c r="BI148" s="386">
        <v>0.04</v>
      </c>
      <c r="BJ148" s="386">
        <v>0.04</v>
      </c>
      <c r="BK148" s="386">
        <v>0.04</v>
      </c>
      <c r="BL148" s="386">
        <v>0.04</v>
      </c>
      <c r="BM148" s="386">
        <v>0.04</v>
      </c>
      <c r="BN148" s="386">
        <v>0.04</v>
      </c>
      <c r="BO148" s="386">
        <v>0.04</v>
      </c>
      <c r="BP148" s="386">
        <v>0.04</v>
      </c>
      <c r="BQ148" s="386">
        <v>0.04</v>
      </c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285"/>
      <c r="CN148" s="285"/>
      <c r="CO148" s="285"/>
      <c r="CP148" s="285"/>
      <c r="CQ148" s="285"/>
      <c r="CR148" s="285"/>
      <c r="CS148" s="285"/>
      <c r="CT148" s="285">
        <v>0.04</v>
      </c>
      <c r="CU148" s="285">
        <v>0.04</v>
      </c>
      <c r="CV148" s="285">
        <v>0.04</v>
      </c>
      <c r="CW148" s="285">
        <v>0.04</v>
      </c>
      <c r="CX148" s="285">
        <v>0.04</v>
      </c>
      <c r="CY148" s="286">
        <v>0.04</v>
      </c>
      <c r="CZ148" s="162">
        <v>0.04</v>
      </c>
      <c r="DA148" s="162">
        <v>0.04</v>
      </c>
      <c r="DB148" s="162">
        <v>0.04</v>
      </c>
      <c r="DC148" s="162">
        <v>0.04</v>
      </c>
      <c r="DD148" s="162">
        <v>0.04</v>
      </c>
      <c r="DE148" s="162">
        <v>0.04</v>
      </c>
      <c r="DF148" s="162">
        <v>0.04</v>
      </c>
      <c r="DG148" s="162">
        <v>0.04</v>
      </c>
      <c r="DH148" s="162">
        <v>0.04</v>
      </c>
      <c r="DI148" s="162">
        <v>0.04</v>
      </c>
    </row>
    <row r="149" spans="1:113" ht="12" outlineLevel="1">
      <c r="A149" s="1" t="s">
        <v>881</v>
      </c>
      <c r="B149" s="19" t="s">
        <v>270</v>
      </c>
      <c r="AP149" s="21" t="s">
        <v>176</v>
      </c>
      <c r="AQ149" s="21" t="s">
        <v>176</v>
      </c>
      <c r="AR149" s="21" t="s">
        <v>176</v>
      </c>
      <c r="AS149" s="21" t="s">
        <v>176</v>
      </c>
      <c r="AT149" s="21" t="s">
        <v>176</v>
      </c>
      <c r="AU149" s="21" t="s">
        <v>176</v>
      </c>
      <c r="AV149" s="21" t="s">
        <v>176</v>
      </c>
      <c r="AW149" s="22" t="s">
        <v>176</v>
      </c>
      <c r="AX149" s="21" t="s">
        <v>176</v>
      </c>
      <c r="AY149" s="21" t="s">
        <v>176</v>
      </c>
      <c r="AZ149" s="21" t="s">
        <v>176</v>
      </c>
      <c r="BA149" s="21" t="s">
        <v>176</v>
      </c>
      <c r="BB149" s="21" t="s">
        <v>176</v>
      </c>
      <c r="BC149" s="21" t="s">
        <v>176</v>
      </c>
      <c r="BD149" s="21" t="s">
        <v>176</v>
      </c>
      <c r="BE149" s="21" t="s">
        <v>176</v>
      </c>
      <c r="BF149" s="21" t="s">
        <v>176</v>
      </c>
      <c r="BG149" s="21" t="s">
        <v>176</v>
      </c>
      <c r="BH149" s="21" t="s">
        <v>176</v>
      </c>
      <c r="BI149" s="21" t="s">
        <v>176</v>
      </c>
      <c r="BJ149" s="21" t="s">
        <v>176</v>
      </c>
      <c r="BK149" s="21" t="s">
        <v>176</v>
      </c>
      <c r="BL149" s="21" t="s">
        <v>176</v>
      </c>
      <c r="BM149" s="21" t="s">
        <v>176</v>
      </c>
      <c r="BN149" s="21" t="s">
        <v>176</v>
      </c>
      <c r="BO149" s="21" t="s">
        <v>176</v>
      </c>
      <c r="BP149" s="21" t="s">
        <v>176</v>
      </c>
      <c r="BQ149" s="21" t="s">
        <v>176</v>
      </c>
      <c r="CT149" s="21" t="s">
        <v>176</v>
      </c>
      <c r="CU149" s="21" t="s">
        <v>176</v>
      </c>
      <c r="CV149" s="21" t="s">
        <v>176</v>
      </c>
      <c r="CW149" s="21" t="s">
        <v>176</v>
      </c>
      <c r="CX149" s="21" t="s">
        <v>176</v>
      </c>
      <c r="CY149" s="22" t="s">
        <v>176</v>
      </c>
      <c r="CZ149" s="21" t="s">
        <v>176</v>
      </c>
      <c r="DA149" s="21" t="s">
        <v>176</v>
      </c>
      <c r="DB149" s="21" t="s">
        <v>176</v>
      </c>
      <c r="DC149" s="21" t="s">
        <v>176</v>
      </c>
      <c r="DD149" s="21" t="s">
        <v>176</v>
      </c>
      <c r="DE149" s="21" t="s">
        <v>176</v>
      </c>
      <c r="DF149" s="21" t="s">
        <v>176</v>
      </c>
      <c r="DG149" s="21" t="s">
        <v>176</v>
      </c>
      <c r="DH149" s="21" t="s">
        <v>176</v>
      </c>
      <c r="DI149" s="21" t="s">
        <v>176</v>
      </c>
    </row>
    <row r="150" spans="1:113" ht="12" outlineLevel="1">
      <c r="A150" s="1" t="s">
        <v>882</v>
      </c>
      <c r="B150" s="19" t="s">
        <v>485</v>
      </c>
      <c r="C150" s="601"/>
      <c r="D150" s="601"/>
      <c r="E150" s="601"/>
      <c r="F150" s="601"/>
      <c r="G150" s="601"/>
      <c r="H150" s="601"/>
      <c r="I150" s="601"/>
      <c r="J150" s="601"/>
      <c r="K150" s="601"/>
      <c r="L150" s="601"/>
      <c r="M150" s="601"/>
      <c r="N150" s="601"/>
      <c r="O150" s="601"/>
      <c r="P150" s="601"/>
      <c r="Q150" s="601"/>
      <c r="R150" s="601"/>
      <c r="S150" s="601"/>
      <c r="T150" s="416"/>
      <c r="U150" s="601"/>
      <c r="V150" s="601"/>
      <c r="W150" s="601"/>
      <c r="X150" s="601"/>
      <c r="Y150" s="416"/>
      <c r="Z150" s="416"/>
      <c r="AA150" s="416"/>
      <c r="AB150" s="416"/>
      <c r="AC150" s="416"/>
      <c r="AD150" s="416"/>
      <c r="AE150" s="416"/>
      <c r="AF150" s="416"/>
      <c r="AG150" s="416"/>
      <c r="AH150" s="416"/>
      <c r="AI150" s="416"/>
      <c r="AJ150" s="416"/>
      <c r="AK150" s="416"/>
      <c r="AL150" s="416"/>
      <c r="AM150" s="416"/>
      <c r="AN150" s="416"/>
      <c r="AO150" s="416"/>
      <c r="AP150" s="167">
        <v>0.20349401488191524</v>
      </c>
      <c r="AQ150" s="167">
        <v>0.24523693209574987</v>
      </c>
      <c r="AR150" s="167">
        <v>0.23351449275362318</v>
      </c>
      <c r="AS150" s="167">
        <v>0.20472191411820631</v>
      </c>
      <c r="AT150" s="167">
        <v>0.17274372898888027</v>
      </c>
      <c r="AU150" s="167">
        <v>0.16701308228389777</v>
      </c>
      <c r="AV150" s="167">
        <v>0.16245781450017457</v>
      </c>
      <c r="AW150" s="174">
        <v>0.14681094579128082</v>
      </c>
      <c r="AX150" s="166">
        <v>0.13636200313710248</v>
      </c>
      <c r="AY150" s="166">
        <v>0.12861980982791871</v>
      </c>
      <c r="AZ150" s="166">
        <v>0.12381971995686539</v>
      </c>
      <c r="BA150" s="166">
        <v>0.11994808441731906</v>
      </c>
      <c r="BB150" s="166">
        <v>0.12097963986612771</v>
      </c>
      <c r="BC150" s="166">
        <v>0.11895238073074393</v>
      </c>
      <c r="BD150" s="166">
        <v>0.11716525472238747</v>
      </c>
      <c r="BE150" s="166">
        <v>0.11539156840592038</v>
      </c>
      <c r="BF150" s="166">
        <v>0.11553348711328011</v>
      </c>
      <c r="BG150" s="166">
        <v>0.11543536831635673</v>
      </c>
      <c r="BH150" s="166">
        <v>0.11670407991421641</v>
      </c>
      <c r="BI150" s="166">
        <v>0.11772538398158246</v>
      </c>
      <c r="BJ150" s="166">
        <v>0.11894277367727177</v>
      </c>
      <c r="BK150" s="166">
        <v>0.11992190875329202</v>
      </c>
      <c r="BL150" s="166">
        <v>0.12108638342189441</v>
      </c>
      <c r="BM150" s="166">
        <v>0.12211312308734538</v>
      </c>
      <c r="BN150" s="166">
        <v>0.12325210148492784</v>
      </c>
      <c r="BO150" s="166">
        <v>0.12419967974030917</v>
      </c>
      <c r="BP150" s="166">
        <v>0.12529998183935639</v>
      </c>
      <c r="BQ150" s="166">
        <v>0.12620491840499767</v>
      </c>
      <c r="BR150" s="166"/>
      <c r="BS150" s="166"/>
      <c r="BT150" s="166"/>
      <c r="BU150" s="166"/>
      <c r="BV150" s="166"/>
      <c r="BW150" s="166"/>
      <c r="BX150" s="166"/>
      <c r="BY150" s="166"/>
      <c r="BZ150" s="166"/>
      <c r="CA150" s="166"/>
      <c r="CB150" s="166"/>
      <c r="CC150" s="166"/>
      <c r="CD150" s="166"/>
      <c r="CE150" s="166"/>
      <c r="CF150" s="166"/>
      <c r="CG150" s="166"/>
      <c r="CH150" s="166"/>
      <c r="CI150" s="166"/>
      <c r="CJ150" s="166"/>
      <c r="CK150" s="166"/>
      <c r="CL150" s="166"/>
      <c r="CM150" s="167"/>
      <c r="CN150" s="167"/>
      <c r="CO150" s="167"/>
      <c r="CP150" s="167"/>
      <c r="CQ150" s="167"/>
      <c r="CR150" s="167"/>
      <c r="CS150" s="167"/>
      <c r="CT150" s="167">
        <v>0.436</v>
      </c>
      <c r="CU150" s="167">
        <v>0.23100000000000001</v>
      </c>
      <c r="CV150" s="167">
        <v>0.24523693209574987</v>
      </c>
      <c r="CW150" s="167">
        <v>0.20472191411820628</v>
      </c>
      <c r="CX150" s="167">
        <v>0.16701308228389777</v>
      </c>
      <c r="CY150" s="174">
        <v>0.14681094579128082</v>
      </c>
      <c r="CZ150" s="166">
        <v>0.12861980982791868</v>
      </c>
      <c r="DA150" s="166">
        <v>0.11994808441731905</v>
      </c>
      <c r="DB150" s="166">
        <v>0.11895238073074392</v>
      </c>
      <c r="DC150" s="166">
        <v>0.11539156840592038</v>
      </c>
      <c r="DD150" s="166">
        <v>0.11543536831635673</v>
      </c>
      <c r="DE150" s="166">
        <v>0.11772538398158247</v>
      </c>
      <c r="DF150" s="166">
        <v>0.11992190875329203</v>
      </c>
      <c r="DG150" s="166">
        <v>0.12211312308734541</v>
      </c>
      <c r="DH150" s="166">
        <v>0.1241996797403092</v>
      </c>
      <c r="DI150" s="166">
        <v>0.1262049184049977</v>
      </c>
    </row>
    <row r="151" spans="1:113" ht="12" outlineLevel="1">
      <c r="A151" s="1" t="s">
        <v>883</v>
      </c>
      <c r="B151" s="19" t="s">
        <v>159</v>
      </c>
      <c r="C151" s="601"/>
      <c r="D151" s="601"/>
      <c r="E151" s="601"/>
      <c r="F151" s="601"/>
      <c r="G151" s="601"/>
      <c r="H151" s="601"/>
      <c r="I151" s="601"/>
      <c r="J151" s="601"/>
      <c r="K151" s="601"/>
      <c r="L151" s="601"/>
      <c r="M151" s="601"/>
      <c r="N151" s="601"/>
      <c r="O151" s="601"/>
      <c r="P151" s="601"/>
      <c r="Q151" s="601"/>
      <c r="R151" s="601"/>
      <c r="S151" s="601"/>
      <c r="T151" s="416"/>
      <c r="U151" s="601"/>
      <c r="V151" s="601"/>
      <c r="W151" s="601"/>
      <c r="X151" s="601"/>
      <c r="Y151" s="416"/>
      <c r="Z151" s="416"/>
      <c r="AA151" s="416"/>
      <c r="AB151" s="416"/>
      <c r="AC151" s="416"/>
      <c r="AD151" s="416"/>
      <c r="AE151" s="416"/>
      <c r="AF151" s="416"/>
      <c r="AG151" s="416"/>
      <c r="AH151" s="416"/>
      <c r="AI151" s="416"/>
      <c r="AJ151" s="416"/>
      <c r="AK151" s="416"/>
      <c r="AL151" s="416"/>
      <c r="AM151" s="416"/>
      <c r="AN151" s="416"/>
      <c r="AO151" s="416"/>
      <c r="AP151" s="509">
        <v>0.12</v>
      </c>
      <c r="AQ151" s="509">
        <v>0.12</v>
      </c>
      <c r="AR151" s="509">
        <v>0.12</v>
      </c>
      <c r="AS151" s="509">
        <v>0.12</v>
      </c>
      <c r="AT151" s="509">
        <v>0.12</v>
      </c>
      <c r="AU151" s="509">
        <v>0.115</v>
      </c>
      <c r="AV151" s="509">
        <v>0.115</v>
      </c>
      <c r="AW151" s="558">
        <v>0.115</v>
      </c>
      <c r="AX151" s="499">
        <v>0.115</v>
      </c>
      <c r="AY151" s="499">
        <v>0.115</v>
      </c>
      <c r="AZ151" s="499">
        <v>0.115</v>
      </c>
      <c r="BA151" s="499">
        <v>0.115</v>
      </c>
      <c r="BB151" s="499">
        <v>0.115</v>
      </c>
      <c r="BC151" s="499">
        <v>0.115</v>
      </c>
      <c r="BD151" s="499">
        <v>0.115</v>
      </c>
      <c r="BE151" s="499">
        <v>0.115</v>
      </c>
      <c r="BF151" s="499">
        <v>0.115</v>
      </c>
      <c r="BG151" s="499">
        <v>0.115</v>
      </c>
      <c r="BH151" s="499">
        <v>0.115</v>
      </c>
      <c r="BI151" s="499">
        <v>0.115</v>
      </c>
      <c r="BJ151" s="499">
        <v>0.115</v>
      </c>
      <c r="BK151" s="499">
        <v>0.115</v>
      </c>
      <c r="BL151" s="499">
        <v>0.115</v>
      </c>
      <c r="BM151" s="499">
        <v>0.115</v>
      </c>
      <c r="BN151" s="499">
        <v>0.115</v>
      </c>
      <c r="BO151" s="499">
        <v>0.115</v>
      </c>
      <c r="BP151" s="499">
        <v>0.115</v>
      </c>
      <c r="BQ151" s="499">
        <v>0.115</v>
      </c>
      <c r="BR151" s="166"/>
      <c r="BS151" s="166"/>
      <c r="BT151" s="166"/>
      <c r="BU151" s="166"/>
      <c r="BV151" s="166"/>
      <c r="BW151" s="166"/>
      <c r="BX151" s="166"/>
      <c r="BY151" s="166"/>
      <c r="BZ151" s="166"/>
      <c r="CA151" s="166"/>
      <c r="CB151" s="166"/>
      <c r="CC151" s="166"/>
      <c r="CD151" s="166"/>
      <c r="CE151" s="166"/>
      <c r="CF151" s="166"/>
      <c r="CG151" s="166"/>
      <c r="CH151" s="166"/>
      <c r="CI151" s="166"/>
      <c r="CJ151" s="166"/>
      <c r="CK151" s="166"/>
      <c r="CL151" s="166"/>
      <c r="CM151" s="167"/>
      <c r="CN151" s="167"/>
      <c r="CO151" s="167"/>
      <c r="CP151" s="167"/>
      <c r="CQ151" s="167"/>
      <c r="CR151" s="167"/>
      <c r="CS151" s="167"/>
      <c r="CT151" s="509">
        <v>0.13</v>
      </c>
      <c r="CU151" s="509">
        <v>0.13</v>
      </c>
      <c r="CV151" s="167">
        <v>0.12</v>
      </c>
      <c r="CW151" s="167">
        <v>0.12</v>
      </c>
      <c r="CX151" s="167">
        <v>0.115</v>
      </c>
      <c r="CY151" s="174">
        <v>0.115</v>
      </c>
      <c r="CZ151" s="166">
        <v>0.115</v>
      </c>
      <c r="DA151" s="166">
        <v>0.115</v>
      </c>
      <c r="DB151" s="166">
        <v>0.115</v>
      </c>
      <c r="DC151" s="166">
        <v>0.115</v>
      </c>
      <c r="DD151" s="166">
        <v>0.115</v>
      </c>
      <c r="DE151" s="166">
        <v>0.115</v>
      </c>
      <c r="DF151" s="166">
        <v>0.115</v>
      </c>
      <c r="DG151" s="166">
        <v>0.115</v>
      </c>
      <c r="DH151" s="166">
        <v>0.115</v>
      </c>
      <c r="DI151" s="166">
        <v>0.115</v>
      </c>
    </row>
    <row r="152" spans="1:113" ht="12" outlineLevel="1">
      <c r="A152" s="1" t="s">
        <v>884</v>
      </c>
      <c r="B152" s="19" t="s">
        <v>160</v>
      </c>
      <c r="C152" s="408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  <c r="T152" s="394"/>
      <c r="U152" s="408"/>
      <c r="V152" s="408"/>
      <c r="W152" s="408"/>
      <c r="X152" s="408"/>
      <c r="Y152" s="394"/>
      <c r="Z152" s="394"/>
      <c r="AA152" s="394"/>
      <c r="AB152" s="394"/>
      <c r="AC152" s="394"/>
      <c r="AD152" s="394"/>
      <c r="AE152" s="394"/>
      <c r="AF152" s="394"/>
      <c r="AG152" s="394"/>
      <c r="AH152" s="394"/>
      <c r="AI152" s="394"/>
      <c r="AJ152" s="394"/>
      <c r="AK152" s="394"/>
      <c r="AL152" s="394"/>
      <c r="AM152" s="394"/>
      <c r="AN152" s="394"/>
      <c r="AO152" s="394"/>
      <c r="AP152" s="285" t="s">
        <v>213</v>
      </c>
      <c r="AQ152" s="285" t="s">
        <v>213</v>
      </c>
      <c r="AR152" s="285" t="s">
        <v>213</v>
      </c>
      <c r="AS152" s="285" t="s">
        <v>213</v>
      </c>
      <c r="AT152" s="285" t="s">
        <v>213</v>
      </c>
      <c r="AU152" s="285" t="s">
        <v>213</v>
      </c>
      <c r="AV152" s="285" t="s">
        <v>213</v>
      </c>
      <c r="AW152" s="286" t="s">
        <v>213</v>
      </c>
      <c r="AX152" s="386" t="s">
        <v>213</v>
      </c>
      <c r="AY152" s="386" t="s">
        <v>213</v>
      </c>
      <c r="AZ152" s="386" t="s">
        <v>213</v>
      </c>
      <c r="BA152" s="386" t="s">
        <v>213</v>
      </c>
      <c r="BB152" s="386" t="s">
        <v>213</v>
      </c>
      <c r="BC152" s="386" t="s">
        <v>213</v>
      </c>
      <c r="BD152" s="386" t="s">
        <v>213</v>
      </c>
      <c r="BE152" s="386" t="s">
        <v>213</v>
      </c>
      <c r="BF152" s="386" t="s">
        <v>213</v>
      </c>
      <c r="BG152" s="386" t="s">
        <v>213</v>
      </c>
      <c r="BH152" s="386" t="s">
        <v>213</v>
      </c>
      <c r="BI152" s="386" t="s">
        <v>213</v>
      </c>
      <c r="BJ152" s="386" t="s">
        <v>213</v>
      </c>
      <c r="BK152" s="386" t="s">
        <v>213</v>
      </c>
      <c r="BL152" s="386" t="s">
        <v>213</v>
      </c>
      <c r="BM152" s="386" t="s">
        <v>213</v>
      </c>
      <c r="BN152" s="386" t="s">
        <v>213</v>
      </c>
      <c r="BO152" s="386" t="s">
        <v>213</v>
      </c>
      <c r="BP152" s="386" t="s">
        <v>213</v>
      </c>
      <c r="BQ152" s="386" t="s">
        <v>213</v>
      </c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285"/>
      <c r="CN152" s="285"/>
      <c r="CO152" s="285"/>
      <c r="CP152" s="285"/>
      <c r="CQ152" s="285"/>
      <c r="CR152" s="285"/>
      <c r="CS152" s="285"/>
      <c r="CT152" s="285" t="s">
        <v>213</v>
      </c>
      <c r="CU152" s="285" t="s">
        <v>213</v>
      </c>
      <c r="CV152" s="285" t="s">
        <v>213</v>
      </c>
      <c r="CW152" s="285" t="s">
        <v>213</v>
      </c>
      <c r="CX152" s="285" t="s">
        <v>213</v>
      </c>
      <c r="CY152" s="286" t="s">
        <v>213</v>
      </c>
      <c r="CZ152" s="285" t="s">
        <v>213</v>
      </c>
      <c r="DA152" s="285" t="s">
        <v>213</v>
      </c>
      <c r="DB152" s="285" t="s">
        <v>213</v>
      </c>
      <c r="DC152" s="285" t="s">
        <v>213</v>
      </c>
      <c r="DD152" s="285" t="s">
        <v>213</v>
      </c>
      <c r="DE152" s="285" t="s">
        <v>213</v>
      </c>
      <c r="DF152" s="285" t="s">
        <v>213</v>
      </c>
      <c r="DG152" s="285" t="s">
        <v>213</v>
      </c>
      <c r="DH152" s="285" t="s">
        <v>213</v>
      </c>
      <c r="DI152" s="285" t="s">
        <v>213</v>
      </c>
    </row>
    <row r="153" spans="1:113" ht="12">
      <c r="AC153" s="165"/>
      <c r="AD153" s="165"/>
      <c r="AE153" s="165"/>
      <c r="AF153" s="165"/>
      <c r="AG153" s="394"/>
      <c r="AH153" s="394"/>
      <c r="AI153" s="394"/>
      <c r="AJ153" s="165"/>
      <c r="AK153" s="394"/>
      <c r="AL153" s="555"/>
      <c r="AM153" s="606"/>
      <c r="AN153" s="606"/>
      <c r="AO153" s="606"/>
      <c r="AP153" s="570"/>
      <c r="AQ153" s="570"/>
      <c r="AR153" s="570"/>
      <c r="AS153" s="570"/>
      <c r="AT153" s="570"/>
      <c r="AU153" s="570"/>
      <c r="AV153" s="285"/>
      <c r="AW153" s="286"/>
      <c r="AX153" s="636"/>
      <c r="AY153" s="636"/>
      <c r="AZ153" s="636"/>
      <c r="BA153" s="636"/>
      <c r="BB153" s="636"/>
      <c r="BC153" s="636"/>
      <c r="BD153" s="636"/>
      <c r="BE153" s="636"/>
      <c r="BF153" s="636"/>
      <c r="BG153" s="636"/>
      <c r="BH153" s="636"/>
      <c r="BI153" s="636"/>
      <c r="BJ153" s="636"/>
      <c r="BK153" s="636"/>
      <c r="BL153" s="636"/>
      <c r="BM153" s="636"/>
      <c r="BN153" s="636"/>
      <c r="BO153" s="636"/>
      <c r="BP153" s="636"/>
      <c r="BQ153" s="636"/>
      <c r="CR153" s="165"/>
      <c r="CT153" s="510"/>
      <c r="CU153" s="570"/>
      <c r="CV153" s="570"/>
      <c r="CW153" s="570"/>
      <c r="CX153" s="570"/>
      <c r="CY153" s="571"/>
      <c r="DC153" s="19"/>
      <c r="DD153" s="19"/>
      <c r="DE153" s="19"/>
      <c r="DF153" s="19"/>
      <c r="DG153" s="19"/>
      <c r="DH153" s="19"/>
      <c r="DI153" s="19"/>
    </row>
    <row r="154" spans="1:113" s="36" customFormat="1" ht="12" collapsed="1">
      <c r="A154" s="1" t="s">
        <v>885</v>
      </c>
      <c r="B154" s="2" t="s">
        <v>161</v>
      </c>
      <c r="C154" s="13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27">
        <v>2627</v>
      </c>
      <c r="AQ154" s="527">
        <v>3518</v>
      </c>
      <c r="AR154" s="527">
        <v>4848</v>
      </c>
      <c r="AS154" s="527">
        <v>6092</v>
      </c>
      <c r="AT154" s="527">
        <v>7485.3</v>
      </c>
      <c r="AU154" s="527">
        <v>8907.7999999999993</v>
      </c>
      <c r="AV154" s="527">
        <v>9702.9</v>
      </c>
      <c r="AW154" s="528">
        <v>10711</v>
      </c>
      <c r="AX154" s="527">
        <v>11752.383332999998</v>
      </c>
      <c r="AY154" s="527">
        <v>12895.054381525613</v>
      </c>
      <c r="AZ154" s="527">
        <v>13963.743814219697</v>
      </c>
      <c r="BA154" s="527">
        <v>15104.400758772732</v>
      </c>
      <c r="BB154" s="527">
        <v>15809.602421305068</v>
      </c>
      <c r="BC154" s="527">
        <v>16547.752451578599</v>
      </c>
      <c r="BD154" s="527">
        <v>17320.391284921676</v>
      </c>
      <c r="BE154" s="527">
        <v>18129.131421171216</v>
      </c>
      <c r="BF154" s="527">
        <v>18703.723826603709</v>
      </c>
      <c r="BG154" s="527">
        <v>19296.555552385162</v>
      </c>
      <c r="BH154" s="527">
        <v>19715.240810065941</v>
      </c>
      <c r="BI154" s="527">
        <v>20143.040012991736</v>
      </c>
      <c r="BJ154" s="527">
        <v>20580.152098530081</v>
      </c>
      <c r="BK154" s="527">
        <v>21026.780356425705</v>
      </c>
      <c r="BL154" s="527">
        <v>21483.132524205856</v>
      </c>
      <c r="BM154" s="527">
        <v>21949.420884680269</v>
      </c>
      <c r="BN154" s="527">
        <v>22425.86236558191</v>
      </c>
      <c r="BO154" s="527">
        <v>22912.678641395451</v>
      </c>
      <c r="BP154" s="527">
        <v>23410.096237421629</v>
      </c>
      <c r="BQ154" s="527">
        <v>23918.34663612668</v>
      </c>
      <c r="BR154" s="527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52"/>
      <c r="CE154" s="52"/>
      <c r="CF154" s="52"/>
      <c r="CG154" s="52"/>
      <c r="CH154" s="52"/>
      <c r="CI154" s="52"/>
      <c r="CJ154" s="52"/>
      <c r="CK154" s="52"/>
      <c r="CL154" s="52"/>
      <c r="CM154" s="52"/>
      <c r="CN154" s="52"/>
      <c r="CO154" s="52"/>
      <c r="CP154" s="52"/>
      <c r="CQ154" s="52"/>
      <c r="CR154" s="52"/>
      <c r="CS154" s="52"/>
      <c r="CT154" s="527">
        <v>238.27199999999999</v>
      </c>
      <c r="CU154" s="527">
        <v>1788.5930000000001</v>
      </c>
      <c r="CV154" s="527">
        <v>3518</v>
      </c>
      <c r="CW154" s="527">
        <v>6092</v>
      </c>
      <c r="CX154" s="527">
        <v>8907.7999999999993</v>
      </c>
      <c r="CY154" s="528">
        <v>10711</v>
      </c>
      <c r="CZ154" s="527">
        <v>12895.054381525613</v>
      </c>
      <c r="DA154" s="527">
        <v>15104.400758772732</v>
      </c>
      <c r="DB154" s="527">
        <v>16547.752451578599</v>
      </c>
      <c r="DC154" s="527">
        <v>18129.131421171216</v>
      </c>
      <c r="DD154" s="527">
        <v>19296.555552385162</v>
      </c>
      <c r="DE154" s="527">
        <v>20143.040012991736</v>
      </c>
      <c r="DF154" s="527">
        <v>21026.780356425705</v>
      </c>
      <c r="DG154" s="527">
        <v>21949.420884680269</v>
      </c>
      <c r="DH154" s="527">
        <v>22912.678641395451</v>
      </c>
      <c r="DI154" s="527">
        <v>23918.34663612668</v>
      </c>
    </row>
    <row r="155" spans="1:113" ht="12" outlineLevel="1">
      <c r="AP155" s="44"/>
      <c r="AQ155" s="44"/>
      <c r="AR155" s="44"/>
      <c r="AS155" s="44"/>
      <c r="AT155" s="44"/>
      <c r="AU155" s="44"/>
      <c r="AV155" s="44"/>
      <c r="AW155" s="45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CS155" s="285"/>
      <c r="CT155" s="44"/>
      <c r="CU155" s="44"/>
      <c r="CV155" s="44"/>
      <c r="CW155" s="44"/>
      <c r="CX155" s="44"/>
      <c r="CY155" s="45"/>
      <c r="CZ155" s="44"/>
      <c r="DA155" s="44"/>
      <c r="DB155" s="44"/>
      <c r="DC155" s="44"/>
      <c r="DD155" s="529"/>
      <c r="DE155" s="529"/>
      <c r="DF155" s="529"/>
      <c r="DG155" s="529"/>
      <c r="DH155" s="529"/>
      <c r="DI155" s="529"/>
    </row>
    <row r="156" spans="1:113" ht="12" outlineLevel="1">
      <c r="B156" s="24" t="s">
        <v>439</v>
      </c>
      <c r="AM156" s="416"/>
      <c r="AN156" s="416"/>
      <c r="AO156" s="416"/>
      <c r="AP156" s="572"/>
      <c r="AQ156" s="44"/>
      <c r="AR156" s="44"/>
      <c r="AS156" s="44"/>
      <c r="AT156" s="44"/>
      <c r="AU156" s="44"/>
      <c r="AV156" s="44"/>
      <c r="AW156" s="45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CS156" s="95"/>
      <c r="CT156" s="572"/>
      <c r="CU156" s="572"/>
      <c r="CV156" s="572"/>
      <c r="CW156" s="572"/>
      <c r="CX156" s="572"/>
      <c r="CY156" s="573"/>
      <c r="CZ156" s="44"/>
      <c r="DC156" s="529"/>
      <c r="DD156" s="529"/>
      <c r="DE156" s="529"/>
      <c r="DF156" s="529"/>
      <c r="DG156" s="529"/>
      <c r="DH156" s="529"/>
      <c r="DI156" s="529"/>
    </row>
    <row r="157" spans="1:113" ht="12" outlineLevel="1">
      <c r="A157" s="1" t="s">
        <v>886</v>
      </c>
      <c r="B157" s="19" t="s">
        <v>162</v>
      </c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525">
        <v>243</v>
      </c>
      <c r="AQ157" s="525">
        <v>361</v>
      </c>
      <c r="AR157" s="525">
        <v>491</v>
      </c>
      <c r="AS157" s="525">
        <v>622</v>
      </c>
      <c r="AT157" s="525">
        <v>770.3</v>
      </c>
      <c r="AU157" s="525">
        <v>949.4</v>
      </c>
      <c r="AV157" s="525">
        <v>1045.4000000000001</v>
      </c>
      <c r="AW157" s="523">
        <v>1142</v>
      </c>
      <c r="AX157" s="44">
        <v>1254.0324839999998</v>
      </c>
      <c r="AY157" s="44">
        <v>1377.0931997198877</v>
      </c>
      <c r="AZ157" s="44">
        <v>1499.9161422029044</v>
      </c>
      <c r="BA157" s="44">
        <v>1617.0310945022493</v>
      </c>
      <c r="BB157" s="44">
        <v>1686.6944110845002</v>
      </c>
      <c r="BC157" s="44">
        <v>1759.3588930084311</v>
      </c>
      <c r="BD157" s="44">
        <v>1835.1538334781269</v>
      </c>
      <c r="BE157" s="44">
        <v>1914.2140957781976</v>
      </c>
      <c r="BF157" s="44">
        <v>1967.9671418017447</v>
      </c>
      <c r="BG157" s="44">
        <v>2023.2296271106791</v>
      </c>
      <c r="BH157" s="44">
        <v>2059.8116419984667</v>
      </c>
      <c r="BI157" s="44">
        <v>2097.0550962974407</v>
      </c>
      <c r="BJ157" s="44">
        <v>2134.9719494935944</v>
      </c>
      <c r="BK157" s="44">
        <v>2173.5743773123877</v>
      </c>
      <c r="BL157" s="44">
        <v>2212.8747756285725</v>
      </c>
      <c r="BM157" s="44">
        <v>2252.8857644467121</v>
      </c>
      <c r="BN157" s="44">
        <v>2293.6201919536725</v>
      </c>
      <c r="BO157" s="44">
        <v>2335.0911386443863</v>
      </c>
      <c r="BP157" s="44">
        <v>2377.311921522215</v>
      </c>
      <c r="BQ157" s="44">
        <v>2420.2960983752578</v>
      </c>
      <c r="BR157" s="44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380"/>
      <c r="CQ157" s="42"/>
      <c r="CR157" s="42"/>
      <c r="CS157" s="42"/>
      <c r="CT157" s="525">
        <v>4.7654399999999999</v>
      </c>
      <c r="CU157" s="525">
        <v>106.78167164179105</v>
      </c>
      <c r="CV157" s="44">
        <v>361</v>
      </c>
      <c r="CW157" s="44">
        <v>622</v>
      </c>
      <c r="CX157" s="44">
        <v>949.4</v>
      </c>
      <c r="CY157" s="45">
        <v>1142</v>
      </c>
      <c r="CZ157" s="44">
        <v>1377.0931997198877</v>
      </c>
      <c r="DA157" s="44">
        <v>1617.0310945022493</v>
      </c>
      <c r="DB157" s="44">
        <v>1759.3588930084311</v>
      </c>
      <c r="DC157" s="44">
        <v>1914.2140957781976</v>
      </c>
      <c r="DD157" s="44">
        <v>2023.2296271106791</v>
      </c>
      <c r="DE157" s="44">
        <v>2097.0550962974407</v>
      </c>
      <c r="DF157" s="44">
        <v>2173.5743773123877</v>
      </c>
      <c r="DG157" s="44">
        <v>2252.8857644467121</v>
      </c>
      <c r="DH157" s="44">
        <v>2335.0911386443863</v>
      </c>
      <c r="DI157" s="44">
        <v>2420.2960983752578</v>
      </c>
    </row>
    <row r="158" spans="1:113" ht="12" outlineLevel="1">
      <c r="A158" s="1" t="s">
        <v>733</v>
      </c>
      <c r="B158" s="19" t="s">
        <v>163</v>
      </c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4">
        <v>2384</v>
      </c>
      <c r="AQ158" s="44">
        <v>3157</v>
      </c>
      <c r="AR158" s="44">
        <v>4357</v>
      </c>
      <c r="AS158" s="44">
        <v>5470</v>
      </c>
      <c r="AT158" s="44">
        <v>6715</v>
      </c>
      <c r="AU158" s="44">
        <v>7958.4</v>
      </c>
      <c r="AV158" s="44">
        <v>8657.5</v>
      </c>
      <c r="AW158" s="45">
        <v>9569</v>
      </c>
      <c r="AX158" s="44">
        <v>10498.350848999999</v>
      </c>
      <c r="AY158" s="44">
        <v>11517.961181805726</v>
      </c>
      <c r="AZ158" s="44">
        <v>12463.827672016792</v>
      </c>
      <c r="BA158" s="44">
        <v>13487.369664270482</v>
      </c>
      <c r="BB158" s="44">
        <v>14122.908010220568</v>
      </c>
      <c r="BC158" s="44">
        <v>14788.393558570167</v>
      </c>
      <c r="BD158" s="44">
        <v>15485.237451443549</v>
      </c>
      <c r="BE158" s="44">
        <v>16214.917325393017</v>
      </c>
      <c r="BF158" s="44">
        <v>16735.756684801963</v>
      </c>
      <c r="BG158" s="44">
        <v>17273.325925274483</v>
      </c>
      <c r="BH158" s="44">
        <v>17655.429168067476</v>
      </c>
      <c r="BI158" s="44">
        <v>18045.984916694295</v>
      </c>
      <c r="BJ158" s="44">
        <v>18445.180149036485</v>
      </c>
      <c r="BK158" s="44">
        <v>18853.205979113318</v>
      </c>
      <c r="BL158" s="44">
        <v>19270.257748577282</v>
      </c>
      <c r="BM158" s="44">
        <v>19696.535120233555</v>
      </c>
      <c r="BN158" s="44">
        <v>20132.242173628238</v>
      </c>
      <c r="BO158" s="44">
        <v>20577.587502751063</v>
      </c>
      <c r="BP158" s="44">
        <v>21032.784315899415</v>
      </c>
      <c r="BQ158" s="44">
        <v>21498.050537751424</v>
      </c>
      <c r="BR158" s="44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380"/>
      <c r="CQ158" s="42"/>
      <c r="CR158" s="42"/>
      <c r="CS158" s="42"/>
      <c r="CT158" s="44">
        <v>233.50655999999998</v>
      </c>
      <c r="CU158" s="44">
        <v>1681.811328358209</v>
      </c>
      <c r="CV158" s="44">
        <v>3157</v>
      </c>
      <c r="CW158" s="44">
        <v>5470</v>
      </c>
      <c r="CX158" s="44">
        <v>7958.4</v>
      </c>
      <c r="CY158" s="45">
        <v>9569</v>
      </c>
      <c r="CZ158" s="44">
        <v>11517.961181805726</v>
      </c>
      <c r="DA158" s="44">
        <v>13487.369664270482</v>
      </c>
      <c r="DB158" s="44">
        <v>14788.393558570167</v>
      </c>
      <c r="DC158" s="44">
        <v>16214.917325393017</v>
      </c>
      <c r="DD158" s="44">
        <v>17273.325925274483</v>
      </c>
      <c r="DE158" s="44">
        <v>18045.984916694295</v>
      </c>
      <c r="DF158" s="44">
        <v>18853.205979113318</v>
      </c>
      <c r="DG158" s="44">
        <v>19696.535120233555</v>
      </c>
      <c r="DH158" s="44">
        <v>20577.587502751063</v>
      </c>
      <c r="DI158" s="44">
        <v>21498.050537751424</v>
      </c>
    </row>
    <row r="159" spans="1:113" ht="12" outlineLevel="1">
      <c r="A159" s="1" t="s">
        <v>734</v>
      </c>
      <c r="B159" s="19" t="s">
        <v>164</v>
      </c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525">
        <v>0</v>
      </c>
      <c r="AQ159" s="525">
        <v>0</v>
      </c>
      <c r="AR159" s="525">
        <v>0</v>
      </c>
      <c r="AS159" s="525">
        <v>0</v>
      </c>
      <c r="AT159" s="525">
        <v>0</v>
      </c>
      <c r="AU159" s="525">
        <v>0</v>
      </c>
      <c r="AV159" s="525">
        <v>0</v>
      </c>
      <c r="AW159" s="523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380"/>
      <c r="CQ159" s="42"/>
      <c r="CR159" s="42"/>
      <c r="CS159" s="42"/>
      <c r="CT159" s="525">
        <v>0</v>
      </c>
      <c r="CU159" s="525">
        <v>0</v>
      </c>
      <c r="CV159" s="44">
        <v>0</v>
      </c>
      <c r="CW159" s="44">
        <v>0</v>
      </c>
      <c r="CX159" s="44">
        <v>0</v>
      </c>
      <c r="CY159" s="45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</row>
    <row r="160" spans="1:113" ht="12" outlineLevel="1">
      <c r="A160" s="1" t="s">
        <v>735</v>
      </c>
      <c r="B160" s="19" t="s">
        <v>165</v>
      </c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525">
        <v>0</v>
      </c>
      <c r="AQ160" s="525">
        <v>0</v>
      </c>
      <c r="AR160" s="525">
        <v>0</v>
      </c>
      <c r="AS160" s="525">
        <v>0</v>
      </c>
      <c r="AT160" s="525">
        <v>0</v>
      </c>
      <c r="AU160" s="525">
        <v>0</v>
      </c>
      <c r="AV160" s="525">
        <v>0</v>
      </c>
      <c r="AW160" s="523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380"/>
      <c r="CQ160" s="42"/>
      <c r="CR160" s="42"/>
      <c r="CS160" s="42"/>
      <c r="CT160" s="525">
        <v>0</v>
      </c>
      <c r="CU160" s="525">
        <v>0</v>
      </c>
      <c r="CV160" s="44">
        <v>0</v>
      </c>
      <c r="CW160" s="44">
        <v>0</v>
      </c>
      <c r="CX160" s="44">
        <v>0</v>
      </c>
      <c r="CY160" s="45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</row>
    <row r="161" spans="1:113" s="24" customFormat="1" ht="12" outlineLevel="1">
      <c r="A161" s="1" t="s">
        <v>736</v>
      </c>
      <c r="B161" s="24" t="s">
        <v>166</v>
      </c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21">
        <v>2627</v>
      </c>
      <c r="AQ161" s="521">
        <v>3518</v>
      </c>
      <c r="AR161" s="521">
        <v>4848</v>
      </c>
      <c r="AS161" s="521">
        <v>6092</v>
      </c>
      <c r="AT161" s="521">
        <v>7485.3</v>
      </c>
      <c r="AU161" s="521">
        <v>8907.7999999999993</v>
      </c>
      <c r="AV161" s="521">
        <v>9702.9</v>
      </c>
      <c r="AW161" s="522">
        <v>10711</v>
      </c>
      <c r="AX161" s="526">
        <v>11752.383332999998</v>
      </c>
      <c r="AY161" s="526">
        <v>12895.054381525613</v>
      </c>
      <c r="AZ161" s="526">
        <v>13963.743814219697</v>
      </c>
      <c r="BA161" s="526">
        <v>15104.400758772732</v>
      </c>
      <c r="BB161" s="526">
        <v>15809.602421305068</v>
      </c>
      <c r="BC161" s="526">
        <v>16547.752451578599</v>
      </c>
      <c r="BD161" s="526">
        <v>17320.391284921676</v>
      </c>
      <c r="BE161" s="526">
        <v>18129.131421171216</v>
      </c>
      <c r="BF161" s="526">
        <v>18703.723826603709</v>
      </c>
      <c r="BG161" s="526">
        <v>19296.555552385162</v>
      </c>
      <c r="BH161" s="526">
        <v>19715.240810065941</v>
      </c>
      <c r="BI161" s="526">
        <v>20143.040012991736</v>
      </c>
      <c r="BJ161" s="526">
        <v>20580.152098530081</v>
      </c>
      <c r="BK161" s="526">
        <v>21026.780356425705</v>
      </c>
      <c r="BL161" s="526">
        <v>21483.132524205856</v>
      </c>
      <c r="BM161" s="526">
        <v>21949.420884680269</v>
      </c>
      <c r="BN161" s="526">
        <v>22425.86236558191</v>
      </c>
      <c r="BO161" s="526">
        <v>22912.678641395451</v>
      </c>
      <c r="BP161" s="526">
        <v>23410.096237421629</v>
      </c>
      <c r="BQ161" s="526">
        <v>23918.34663612668</v>
      </c>
      <c r="BR161" s="526"/>
      <c r="BS161" s="54"/>
      <c r="BT161" s="54"/>
      <c r="BU161" s="54"/>
      <c r="BV161" s="54"/>
      <c r="BW161" s="54"/>
      <c r="BX161" s="54"/>
      <c r="BY161" s="54"/>
      <c r="BZ161" s="54"/>
      <c r="CA161" s="54"/>
      <c r="CB161" s="54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442"/>
      <c r="CQ161" s="55"/>
      <c r="CR161" s="55"/>
      <c r="CS161" s="55"/>
      <c r="CT161" s="521">
        <v>238.27199999999999</v>
      </c>
      <c r="CU161" s="521">
        <v>1788.5930000000001</v>
      </c>
      <c r="CV161" s="526">
        <v>3518</v>
      </c>
      <c r="CW161" s="526">
        <v>6092</v>
      </c>
      <c r="CX161" s="526">
        <v>8907.7999999999993</v>
      </c>
      <c r="CY161" s="524">
        <v>10711</v>
      </c>
      <c r="CZ161" s="526">
        <v>12895.054381525613</v>
      </c>
      <c r="DA161" s="526">
        <v>15104.400758772732</v>
      </c>
      <c r="DB161" s="526">
        <v>16547.752451578599</v>
      </c>
      <c r="DC161" s="526">
        <v>18129.131421171216</v>
      </c>
      <c r="DD161" s="526">
        <v>19296.555552385162</v>
      </c>
      <c r="DE161" s="526">
        <v>20143.040012991736</v>
      </c>
      <c r="DF161" s="526">
        <v>21026.780356425705</v>
      </c>
      <c r="DG161" s="526">
        <v>21949.420884680269</v>
      </c>
      <c r="DH161" s="526">
        <v>22912.678641395451</v>
      </c>
      <c r="DI161" s="526">
        <v>23918.34663612668</v>
      </c>
    </row>
    <row r="162" spans="1:113" ht="12" outlineLevel="1"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388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4"/>
      <c r="AQ162" s="572"/>
      <c r="AR162" s="44"/>
      <c r="AS162" s="44"/>
      <c r="AT162" s="44"/>
      <c r="AU162" s="44"/>
      <c r="AV162" s="44"/>
      <c r="AW162" s="45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4"/>
      <c r="CU162" s="44"/>
      <c r="CV162" s="44"/>
      <c r="CW162" s="44"/>
      <c r="CX162" s="44"/>
      <c r="CY162" s="45"/>
      <c r="DA162" s="632"/>
      <c r="DB162" s="44"/>
      <c r="DC162" s="529"/>
      <c r="DD162" s="529"/>
      <c r="DE162" s="529"/>
      <c r="DF162" s="529"/>
      <c r="DG162" s="529"/>
      <c r="DH162" s="529"/>
      <c r="DI162" s="529"/>
    </row>
    <row r="163" spans="1:113" ht="12" outlineLevel="1">
      <c r="B163" s="24" t="s">
        <v>405</v>
      </c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4"/>
      <c r="AQ163" s="44"/>
      <c r="AR163" s="44"/>
      <c r="AS163" s="44"/>
      <c r="AT163" s="44"/>
      <c r="AU163" s="44"/>
      <c r="AV163" s="44"/>
      <c r="AW163" s="45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4"/>
      <c r="CU163" s="44"/>
      <c r="CV163" s="44"/>
      <c r="CW163" s="44"/>
      <c r="CX163" s="44"/>
      <c r="CY163" s="45"/>
      <c r="DA163" s="44"/>
      <c r="DB163" s="44"/>
      <c r="DC163" s="529"/>
      <c r="DD163" s="529"/>
      <c r="DE163" s="529"/>
      <c r="DF163" s="529"/>
      <c r="DG163" s="529"/>
      <c r="DH163" s="529"/>
      <c r="DI163" s="529"/>
    </row>
    <row r="164" spans="1:113" ht="12" outlineLevel="1">
      <c r="A164" s="1" t="s">
        <v>599</v>
      </c>
      <c r="B164" s="19" t="s">
        <v>162</v>
      </c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525">
        <v>0</v>
      </c>
      <c r="AQ164" s="525">
        <v>0</v>
      </c>
      <c r="AR164" s="525">
        <v>0</v>
      </c>
      <c r="AS164" s="525">
        <v>0</v>
      </c>
      <c r="AT164" s="525">
        <v>0</v>
      </c>
      <c r="AU164" s="525">
        <v>0</v>
      </c>
      <c r="AV164" s="525">
        <v>0</v>
      </c>
      <c r="AW164" s="523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0</v>
      </c>
      <c r="BP164" s="44">
        <v>0</v>
      </c>
      <c r="BQ164" s="44">
        <v>0</v>
      </c>
      <c r="BR164" s="44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380"/>
      <c r="CQ164" s="42"/>
      <c r="CR164" s="42"/>
      <c r="CS164" s="42"/>
      <c r="CT164" s="525">
        <v>0</v>
      </c>
      <c r="CU164" s="525">
        <v>0</v>
      </c>
      <c r="CV164" s="44">
        <v>0</v>
      </c>
      <c r="CW164" s="44">
        <v>0</v>
      </c>
      <c r="CX164" s="44">
        <v>0</v>
      </c>
      <c r="CY164" s="45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</row>
    <row r="165" spans="1:113" ht="12" outlineLevel="1">
      <c r="A165" s="1" t="s">
        <v>600</v>
      </c>
      <c r="B165" s="19" t="s">
        <v>406</v>
      </c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5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0</v>
      </c>
      <c r="BP165" s="44">
        <v>0</v>
      </c>
      <c r="BQ165" s="44">
        <v>0</v>
      </c>
      <c r="BR165" s="44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380"/>
      <c r="CQ165" s="42"/>
      <c r="CR165" s="42"/>
      <c r="CS165" s="42"/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5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</row>
    <row r="166" spans="1:113" ht="12" outlineLevel="1">
      <c r="A166" s="1" t="s">
        <v>601</v>
      </c>
      <c r="B166" s="19" t="s">
        <v>165</v>
      </c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525">
        <v>0</v>
      </c>
      <c r="AQ166" s="525">
        <v>0</v>
      </c>
      <c r="AR166" s="525">
        <v>0</v>
      </c>
      <c r="AS166" s="525">
        <v>0</v>
      </c>
      <c r="AT166" s="525">
        <v>0</v>
      </c>
      <c r="AU166" s="525">
        <v>0</v>
      </c>
      <c r="AV166" s="525">
        <v>0</v>
      </c>
      <c r="AW166" s="523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380"/>
      <c r="CQ166" s="42"/>
      <c r="CR166" s="42"/>
      <c r="CS166" s="42"/>
      <c r="CT166" s="525">
        <v>0</v>
      </c>
      <c r="CU166" s="525">
        <v>0</v>
      </c>
      <c r="CV166" s="44">
        <v>0</v>
      </c>
      <c r="CW166" s="44">
        <v>0</v>
      </c>
      <c r="CX166" s="44">
        <v>0</v>
      </c>
      <c r="CY166" s="45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</row>
    <row r="167" spans="1:113" s="24" customFormat="1" ht="12" outlineLevel="1">
      <c r="A167" s="1" t="s">
        <v>602</v>
      </c>
      <c r="B167" s="24" t="s">
        <v>166</v>
      </c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21">
        <v>0</v>
      </c>
      <c r="AQ167" s="521">
        <v>0</v>
      </c>
      <c r="AR167" s="521">
        <v>0</v>
      </c>
      <c r="AS167" s="521">
        <v>0</v>
      </c>
      <c r="AT167" s="521">
        <v>0</v>
      </c>
      <c r="AU167" s="521">
        <v>0</v>
      </c>
      <c r="AV167" s="521">
        <v>0</v>
      </c>
      <c r="AW167" s="522">
        <v>0</v>
      </c>
      <c r="AX167" s="526">
        <v>0</v>
      </c>
      <c r="AY167" s="526">
        <v>0</v>
      </c>
      <c r="AZ167" s="526">
        <v>0</v>
      </c>
      <c r="BA167" s="526">
        <v>0</v>
      </c>
      <c r="BB167" s="526">
        <v>0</v>
      </c>
      <c r="BC167" s="526">
        <v>0</v>
      </c>
      <c r="BD167" s="526">
        <v>0</v>
      </c>
      <c r="BE167" s="526">
        <v>0</v>
      </c>
      <c r="BF167" s="526">
        <v>0</v>
      </c>
      <c r="BG167" s="526">
        <v>0</v>
      </c>
      <c r="BH167" s="526">
        <v>0</v>
      </c>
      <c r="BI167" s="526">
        <v>0</v>
      </c>
      <c r="BJ167" s="526">
        <v>0</v>
      </c>
      <c r="BK167" s="526">
        <v>0</v>
      </c>
      <c r="BL167" s="526">
        <v>0</v>
      </c>
      <c r="BM167" s="526">
        <v>0</v>
      </c>
      <c r="BN167" s="526">
        <v>0</v>
      </c>
      <c r="BO167" s="526">
        <v>0</v>
      </c>
      <c r="BP167" s="526">
        <v>0</v>
      </c>
      <c r="BQ167" s="526">
        <v>0</v>
      </c>
      <c r="BR167" s="526"/>
      <c r="BS167" s="54"/>
      <c r="BT167" s="54"/>
      <c r="BU167" s="54"/>
      <c r="BV167" s="54"/>
      <c r="BW167" s="54"/>
      <c r="BX167" s="54"/>
      <c r="BY167" s="54"/>
      <c r="BZ167" s="54"/>
      <c r="CA167" s="54"/>
      <c r="CB167" s="54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55"/>
      <c r="CO167" s="55"/>
      <c r="CP167" s="442"/>
      <c r="CQ167" s="55"/>
      <c r="CR167" s="55"/>
      <c r="CS167" s="55"/>
      <c r="CT167" s="521">
        <v>0</v>
      </c>
      <c r="CU167" s="521">
        <v>0</v>
      </c>
      <c r="CV167" s="526">
        <v>0</v>
      </c>
      <c r="CW167" s="526">
        <v>0</v>
      </c>
      <c r="CX167" s="526">
        <v>0</v>
      </c>
      <c r="CY167" s="524">
        <v>0</v>
      </c>
      <c r="CZ167" s="526">
        <v>0</v>
      </c>
      <c r="DA167" s="526">
        <v>0</v>
      </c>
      <c r="DB167" s="526">
        <v>0</v>
      </c>
      <c r="DC167" s="526">
        <v>0</v>
      </c>
      <c r="DD167" s="526">
        <v>0</v>
      </c>
      <c r="DE167" s="526">
        <v>0</v>
      </c>
      <c r="DF167" s="526">
        <v>0</v>
      </c>
      <c r="DG167" s="526">
        <v>0</v>
      </c>
      <c r="DH167" s="526">
        <v>0</v>
      </c>
      <c r="DI167" s="526">
        <v>0</v>
      </c>
    </row>
    <row r="168" spans="1:113" ht="12" outlineLevel="1"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4"/>
      <c r="AQ168" s="572"/>
      <c r="AR168" s="44"/>
      <c r="AS168" s="44"/>
      <c r="AT168" s="44"/>
      <c r="AU168" s="44"/>
      <c r="AV168" s="44"/>
      <c r="AW168" s="45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4"/>
      <c r="CU168" s="44"/>
      <c r="CV168" s="44"/>
      <c r="CW168" s="44"/>
      <c r="CX168" s="44"/>
      <c r="CY168" s="45"/>
      <c r="CZ168" s="44"/>
      <c r="DA168" s="44"/>
      <c r="DB168" s="44"/>
      <c r="DC168" s="529"/>
      <c r="DD168" s="529"/>
      <c r="DE168" s="529"/>
      <c r="DF168" s="529"/>
      <c r="DG168" s="529"/>
      <c r="DH168" s="529"/>
      <c r="DI168" s="529"/>
    </row>
    <row r="169" spans="1:113" ht="12" outlineLevel="1">
      <c r="B169" s="24" t="s">
        <v>339</v>
      </c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95"/>
      <c r="AB169" s="42"/>
      <c r="AC169" s="44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4"/>
      <c r="AQ169" s="44"/>
      <c r="AR169" s="44"/>
      <c r="AS169" s="44"/>
      <c r="AT169" s="44"/>
      <c r="AU169" s="44"/>
      <c r="AV169" s="44"/>
      <c r="AW169" s="45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4"/>
      <c r="CU169" s="44"/>
      <c r="CV169" s="44"/>
      <c r="CW169" s="44"/>
      <c r="CX169" s="44"/>
      <c r="CY169" s="45"/>
      <c r="CZ169" s="44"/>
      <c r="DA169" s="44"/>
      <c r="DB169" s="44"/>
      <c r="DC169" s="529"/>
      <c r="DD169" s="529"/>
      <c r="DE169" s="529"/>
      <c r="DF169" s="529"/>
      <c r="DG169" s="529"/>
      <c r="DH169" s="529"/>
      <c r="DI169" s="529"/>
    </row>
    <row r="170" spans="1:113" ht="12" outlineLevel="1">
      <c r="A170" s="1" t="s">
        <v>603</v>
      </c>
      <c r="B170" s="19" t="s">
        <v>162</v>
      </c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525">
        <v>0</v>
      </c>
      <c r="AQ170" s="525">
        <v>0</v>
      </c>
      <c r="AR170" s="525">
        <v>0</v>
      </c>
      <c r="AS170" s="525">
        <v>0</v>
      </c>
      <c r="AT170" s="525">
        <v>0</v>
      </c>
      <c r="AU170" s="525">
        <v>0</v>
      </c>
      <c r="AV170" s="525">
        <v>0</v>
      </c>
      <c r="AW170" s="523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0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/>
      <c r="BS170" s="114"/>
      <c r="BT170" s="114"/>
      <c r="BU170" s="114"/>
      <c r="BV170" s="40"/>
      <c r="BW170" s="40"/>
      <c r="BX170" s="40"/>
      <c r="BY170" s="40"/>
      <c r="BZ170" s="40"/>
      <c r="CA170" s="40"/>
      <c r="CB170" s="40"/>
      <c r="CC170" s="42"/>
      <c r="CD170" s="42"/>
      <c r="CE170" s="42"/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380"/>
      <c r="CQ170" s="42"/>
      <c r="CR170" s="42"/>
      <c r="CS170" s="42"/>
      <c r="CT170" s="525">
        <v>0</v>
      </c>
      <c r="CU170" s="525">
        <v>0</v>
      </c>
      <c r="CV170" s="44">
        <v>0</v>
      </c>
      <c r="CW170" s="44">
        <v>0</v>
      </c>
      <c r="CX170" s="44">
        <v>0</v>
      </c>
      <c r="CY170" s="45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</row>
    <row r="171" spans="1:113" ht="12" outlineLevel="1">
      <c r="A171" s="1" t="s">
        <v>732</v>
      </c>
      <c r="B171" s="19" t="s">
        <v>406</v>
      </c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5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0</v>
      </c>
      <c r="BP171" s="44">
        <v>0</v>
      </c>
      <c r="BQ171" s="44">
        <v>0</v>
      </c>
      <c r="BR171" s="44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/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380"/>
      <c r="CQ171" s="42"/>
      <c r="CR171" s="42"/>
      <c r="CS171" s="42"/>
      <c r="CT171" s="44">
        <v>0</v>
      </c>
      <c r="CU171" s="44">
        <v>0</v>
      </c>
      <c r="CV171" s="44">
        <v>0</v>
      </c>
      <c r="CW171" s="44">
        <v>0</v>
      </c>
      <c r="CX171" s="44">
        <v>0</v>
      </c>
      <c r="CY171" s="45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</row>
    <row r="172" spans="1:113" ht="12" outlineLevel="1">
      <c r="A172" s="1" t="s">
        <v>596</v>
      </c>
      <c r="B172" s="19" t="s">
        <v>165</v>
      </c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525">
        <v>0</v>
      </c>
      <c r="AQ172" s="525">
        <v>0</v>
      </c>
      <c r="AR172" s="525">
        <v>0</v>
      </c>
      <c r="AS172" s="525">
        <v>0</v>
      </c>
      <c r="AT172" s="525">
        <v>0</v>
      </c>
      <c r="AU172" s="525">
        <v>0</v>
      </c>
      <c r="AV172" s="525">
        <v>0</v>
      </c>
      <c r="AW172" s="523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/>
      <c r="BS172" s="114"/>
      <c r="BT172" s="114"/>
      <c r="BU172" s="114"/>
      <c r="BV172" s="40"/>
      <c r="BW172" s="40"/>
      <c r="BX172" s="40"/>
      <c r="BY172" s="40"/>
      <c r="BZ172" s="40"/>
      <c r="CA172" s="40"/>
      <c r="CB172" s="40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380"/>
      <c r="CQ172" s="42"/>
      <c r="CR172" s="42"/>
      <c r="CS172" s="42"/>
      <c r="CT172" s="525">
        <v>0</v>
      </c>
      <c r="CU172" s="525">
        <v>0</v>
      </c>
      <c r="CV172" s="44">
        <v>0</v>
      </c>
      <c r="CW172" s="44">
        <v>0</v>
      </c>
      <c r="CX172" s="44">
        <v>0</v>
      </c>
      <c r="CY172" s="45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</row>
    <row r="173" spans="1:113" s="24" customFormat="1" ht="12" outlineLevel="1">
      <c r="A173" s="1" t="s">
        <v>597</v>
      </c>
      <c r="B173" s="24" t="s">
        <v>166</v>
      </c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21">
        <v>0</v>
      </c>
      <c r="AQ173" s="521">
        <v>0</v>
      </c>
      <c r="AR173" s="521">
        <v>0</v>
      </c>
      <c r="AS173" s="521">
        <v>0</v>
      </c>
      <c r="AT173" s="521">
        <v>0</v>
      </c>
      <c r="AU173" s="521">
        <v>0</v>
      </c>
      <c r="AV173" s="521">
        <v>0</v>
      </c>
      <c r="AW173" s="522">
        <v>0</v>
      </c>
      <c r="AX173" s="526">
        <v>0</v>
      </c>
      <c r="AY173" s="526">
        <v>0</v>
      </c>
      <c r="AZ173" s="526">
        <v>0</v>
      </c>
      <c r="BA173" s="526">
        <v>0</v>
      </c>
      <c r="BB173" s="526">
        <v>0</v>
      </c>
      <c r="BC173" s="526">
        <v>0</v>
      </c>
      <c r="BD173" s="526">
        <v>0</v>
      </c>
      <c r="BE173" s="526">
        <v>0</v>
      </c>
      <c r="BF173" s="526">
        <v>0</v>
      </c>
      <c r="BG173" s="526">
        <v>0</v>
      </c>
      <c r="BH173" s="526">
        <v>0</v>
      </c>
      <c r="BI173" s="526">
        <v>0</v>
      </c>
      <c r="BJ173" s="526">
        <v>0</v>
      </c>
      <c r="BK173" s="526">
        <v>0</v>
      </c>
      <c r="BL173" s="526">
        <v>0</v>
      </c>
      <c r="BM173" s="526">
        <v>0</v>
      </c>
      <c r="BN173" s="526">
        <v>0</v>
      </c>
      <c r="BO173" s="526">
        <v>0</v>
      </c>
      <c r="BP173" s="526">
        <v>0</v>
      </c>
      <c r="BQ173" s="526">
        <v>0</v>
      </c>
      <c r="BR173" s="526"/>
      <c r="BS173" s="413"/>
      <c r="BT173" s="413"/>
      <c r="BU173" s="413"/>
      <c r="BV173" s="54"/>
      <c r="BW173" s="54"/>
      <c r="BX173" s="54"/>
      <c r="BY173" s="54"/>
      <c r="BZ173" s="54"/>
      <c r="CA173" s="54"/>
      <c r="CB173" s="54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55"/>
      <c r="CO173" s="55"/>
      <c r="CP173" s="442"/>
      <c r="CQ173" s="55"/>
      <c r="CR173" s="55"/>
      <c r="CS173" s="55"/>
      <c r="CT173" s="521">
        <v>0</v>
      </c>
      <c r="CU173" s="521">
        <v>0</v>
      </c>
      <c r="CV173" s="526">
        <v>0</v>
      </c>
      <c r="CW173" s="526">
        <v>0</v>
      </c>
      <c r="CX173" s="526">
        <v>0</v>
      </c>
      <c r="CY173" s="524">
        <v>0</v>
      </c>
      <c r="CZ173" s="526">
        <v>0</v>
      </c>
      <c r="DA173" s="526">
        <v>0</v>
      </c>
      <c r="DB173" s="526">
        <v>0</v>
      </c>
      <c r="DC173" s="526">
        <v>0</v>
      </c>
      <c r="DD173" s="526">
        <v>0</v>
      </c>
      <c r="DE173" s="526">
        <v>0</v>
      </c>
      <c r="DF173" s="526">
        <v>0</v>
      </c>
      <c r="DG173" s="526">
        <v>0</v>
      </c>
      <c r="DH173" s="526">
        <v>0</v>
      </c>
      <c r="DI173" s="526">
        <v>0</v>
      </c>
    </row>
    <row r="174" spans="1:113" ht="12" outlineLevel="1"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394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4"/>
      <c r="AQ174" s="572"/>
      <c r="AR174" s="44"/>
      <c r="AS174" s="44"/>
      <c r="AT174" s="44"/>
      <c r="AU174" s="44"/>
      <c r="AV174" s="44"/>
      <c r="AW174" s="45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95"/>
      <c r="BT174" s="95"/>
      <c r="BU174" s="95"/>
      <c r="BV174" s="95"/>
      <c r="BW174" s="95"/>
      <c r="BX174" s="95"/>
      <c r="BY174" s="95"/>
      <c r="BZ174" s="95"/>
      <c r="CA174" s="95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4"/>
      <c r="CU174" s="44"/>
      <c r="CV174" s="44"/>
      <c r="CW174" s="44"/>
      <c r="CX174" s="44"/>
      <c r="CY174" s="45"/>
      <c r="CZ174" s="44"/>
      <c r="DA174" s="44"/>
      <c r="DB174" s="44"/>
      <c r="DC174" s="529"/>
      <c r="DD174" s="529"/>
      <c r="DE174" s="529"/>
      <c r="DF174" s="529"/>
      <c r="DG174" s="529"/>
      <c r="DH174" s="529"/>
      <c r="DI174" s="529"/>
    </row>
    <row r="175" spans="1:113" ht="12" outlineLevel="1">
      <c r="B175" s="24" t="s">
        <v>340</v>
      </c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394"/>
      <c r="AB175" s="42"/>
      <c r="AC175" s="42"/>
      <c r="AD175" s="42"/>
      <c r="AE175" s="42"/>
      <c r="AF175" s="42"/>
      <c r="AG175" s="394"/>
      <c r="AH175" s="394"/>
      <c r="AI175" s="394"/>
      <c r="AJ175" s="394"/>
      <c r="AK175" s="42"/>
      <c r="AL175" s="42"/>
      <c r="AM175" s="42"/>
      <c r="AN175" s="42"/>
      <c r="AO175" s="42"/>
      <c r="AP175" s="44"/>
      <c r="AQ175" s="44"/>
      <c r="AR175" s="44"/>
      <c r="AS175" s="44"/>
      <c r="AT175" s="44"/>
      <c r="AU175" s="44"/>
      <c r="AV175" s="44"/>
      <c r="AW175" s="45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4"/>
      <c r="CU175" s="44"/>
      <c r="CV175" s="572"/>
      <c r="CW175" s="572"/>
      <c r="CX175" s="572"/>
      <c r="CY175" s="573"/>
      <c r="CZ175" s="44"/>
      <c r="DA175" s="44"/>
      <c r="DB175" s="44"/>
      <c r="DC175" s="529"/>
      <c r="DD175" s="529"/>
      <c r="DE175" s="529"/>
      <c r="DF175" s="529"/>
      <c r="DG175" s="529"/>
      <c r="DH175" s="529"/>
      <c r="DI175" s="529"/>
    </row>
    <row r="176" spans="1:113" ht="12" outlineLevel="1">
      <c r="A176" s="1" t="s">
        <v>598</v>
      </c>
      <c r="B176" s="19" t="s">
        <v>162</v>
      </c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4">
        <v>243</v>
      </c>
      <c r="AQ176" s="44">
        <v>361</v>
      </c>
      <c r="AR176" s="44">
        <v>491</v>
      </c>
      <c r="AS176" s="44">
        <v>622</v>
      </c>
      <c r="AT176" s="44">
        <v>770.3</v>
      </c>
      <c r="AU176" s="44">
        <v>949.4</v>
      </c>
      <c r="AV176" s="44">
        <v>1045.4000000000001</v>
      </c>
      <c r="AW176" s="45">
        <v>1142</v>
      </c>
      <c r="AX176" s="44">
        <v>1254.0324839999998</v>
      </c>
      <c r="AY176" s="44">
        <v>1377.0931997198877</v>
      </c>
      <c r="AZ176" s="44">
        <v>1499.9161422029044</v>
      </c>
      <c r="BA176" s="44">
        <v>1617.0310945022493</v>
      </c>
      <c r="BB176" s="44">
        <v>1686.6944110845002</v>
      </c>
      <c r="BC176" s="44">
        <v>1759.3588930084311</v>
      </c>
      <c r="BD176" s="44">
        <v>1835.1538334781269</v>
      </c>
      <c r="BE176" s="44">
        <v>1914.2140957781976</v>
      </c>
      <c r="BF176" s="44">
        <v>1967.9671418017447</v>
      </c>
      <c r="BG176" s="44">
        <v>2023.2296271106791</v>
      </c>
      <c r="BH176" s="44">
        <v>2059.8116419984667</v>
      </c>
      <c r="BI176" s="44">
        <v>2097.0550962974407</v>
      </c>
      <c r="BJ176" s="44">
        <v>2134.9719494935944</v>
      </c>
      <c r="BK176" s="44">
        <v>2173.5743773123877</v>
      </c>
      <c r="BL176" s="44">
        <v>2212.8747756285725</v>
      </c>
      <c r="BM176" s="44">
        <v>2252.8857644467121</v>
      </c>
      <c r="BN176" s="44">
        <v>2293.6201919536725</v>
      </c>
      <c r="BO176" s="44">
        <v>2335.0911386443863</v>
      </c>
      <c r="BP176" s="44">
        <v>2377.311921522215</v>
      </c>
      <c r="BQ176" s="44">
        <v>2420.2960983752578</v>
      </c>
      <c r="BR176" s="44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380"/>
      <c r="CQ176" s="42"/>
      <c r="CR176" s="42"/>
      <c r="CS176" s="42"/>
      <c r="CT176" s="44">
        <v>4.7654399999999999</v>
      </c>
      <c r="CU176" s="44">
        <v>106.78167164179105</v>
      </c>
      <c r="CV176" s="44">
        <v>361</v>
      </c>
      <c r="CW176" s="44">
        <v>622</v>
      </c>
      <c r="CX176" s="44">
        <v>949.4</v>
      </c>
      <c r="CY176" s="45">
        <v>1142</v>
      </c>
      <c r="CZ176" s="44">
        <v>1377.0931997198877</v>
      </c>
      <c r="DA176" s="44">
        <v>1617.0310945022493</v>
      </c>
      <c r="DB176" s="44">
        <v>1759.3588930084311</v>
      </c>
      <c r="DC176" s="44">
        <v>1914.2140957781976</v>
      </c>
      <c r="DD176" s="44">
        <v>2023.2296271106791</v>
      </c>
      <c r="DE176" s="44">
        <v>2097.0550962974407</v>
      </c>
      <c r="DF176" s="44">
        <v>2173.5743773123877</v>
      </c>
      <c r="DG176" s="44">
        <v>2252.8857644467121</v>
      </c>
      <c r="DH176" s="44">
        <v>2335.0911386443863</v>
      </c>
      <c r="DI176" s="44">
        <v>2420.2960983752578</v>
      </c>
    </row>
    <row r="177" spans="1:113" ht="12" outlineLevel="1">
      <c r="A177" s="1" t="s">
        <v>605</v>
      </c>
      <c r="B177" s="19" t="s">
        <v>341</v>
      </c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4">
        <v>2384</v>
      </c>
      <c r="AQ177" s="44">
        <v>3157</v>
      </c>
      <c r="AR177" s="44">
        <v>4357</v>
      </c>
      <c r="AS177" s="44">
        <v>5470</v>
      </c>
      <c r="AT177" s="44">
        <v>6715</v>
      </c>
      <c r="AU177" s="44">
        <v>7958.4</v>
      </c>
      <c r="AV177" s="44">
        <v>8657.5</v>
      </c>
      <c r="AW177" s="45">
        <v>9569</v>
      </c>
      <c r="AX177" s="44">
        <v>10498.350848999999</v>
      </c>
      <c r="AY177" s="44">
        <v>11517.961181805726</v>
      </c>
      <c r="AZ177" s="44">
        <v>12463.827672016792</v>
      </c>
      <c r="BA177" s="44">
        <v>13487.369664270482</v>
      </c>
      <c r="BB177" s="44">
        <v>14122.908010220568</v>
      </c>
      <c r="BC177" s="44">
        <v>14788.393558570167</v>
      </c>
      <c r="BD177" s="44">
        <v>15485.237451443549</v>
      </c>
      <c r="BE177" s="44">
        <v>16214.917325393018</v>
      </c>
      <c r="BF177" s="44">
        <v>16735.756684801963</v>
      </c>
      <c r="BG177" s="44">
        <v>17273.325925274483</v>
      </c>
      <c r="BH177" s="44">
        <v>17655.429168067476</v>
      </c>
      <c r="BI177" s="44">
        <v>18045.984916694295</v>
      </c>
      <c r="BJ177" s="44">
        <v>18445.180149036489</v>
      </c>
      <c r="BK177" s="44">
        <v>18853.205979113318</v>
      </c>
      <c r="BL177" s="44">
        <v>19270.257748577282</v>
      </c>
      <c r="BM177" s="44">
        <v>19696.535120233555</v>
      </c>
      <c r="BN177" s="44">
        <v>20132.242173628238</v>
      </c>
      <c r="BO177" s="44">
        <v>20577.587502751063</v>
      </c>
      <c r="BP177" s="44">
        <v>21032.784315899415</v>
      </c>
      <c r="BQ177" s="44">
        <v>21498.050537751424</v>
      </c>
      <c r="BR177" s="44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380"/>
      <c r="CQ177" s="42"/>
      <c r="CR177" s="42"/>
      <c r="CS177" s="42"/>
      <c r="CT177" s="44">
        <v>233.50655999999998</v>
      </c>
      <c r="CU177" s="44">
        <v>1681.811328358209</v>
      </c>
      <c r="CV177" s="44">
        <v>3157</v>
      </c>
      <c r="CW177" s="44">
        <v>5470</v>
      </c>
      <c r="CX177" s="44">
        <v>7958.4</v>
      </c>
      <c r="CY177" s="45">
        <v>9569</v>
      </c>
      <c r="CZ177" s="44">
        <v>11517.961181805726</v>
      </c>
      <c r="DA177" s="44">
        <v>13487.369664270482</v>
      </c>
      <c r="DB177" s="44">
        <v>14788.393558570167</v>
      </c>
      <c r="DC177" s="44">
        <v>16214.917325393018</v>
      </c>
      <c r="DD177" s="44">
        <v>17273.325925274483</v>
      </c>
      <c r="DE177" s="44">
        <v>18045.984916694295</v>
      </c>
      <c r="DF177" s="44">
        <v>18853.205979113318</v>
      </c>
      <c r="DG177" s="44">
        <v>19696.535120233555</v>
      </c>
      <c r="DH177" s="44">
        <v>20577.587502751063</v>
      </c>
      <c r="DI177" s="44">
        <v>21498.050537751424</v>
      </c>
    </row>
    <row r="178" spans="1:113" s="24" customFormat="1" ht="12" outlineLevel="1">
      <c r="A178" s="121" t="s">
        <v>606</v>
      </c>
      <c r="B178" s="24" t="s">
        <v>166</v>
      </c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26">
        <v>2627</v>
      </c>
      <c r="AQ178" s="526">
        <v>3518</v>
      </c>
      <c r="AR178" s="526">
        <v>4848</v>
      </c>
      <c r="AS178" s="526">
        <v>6092</v>
      </c>
      <c r="AT178" s="526">
        <v>7485.3</v>
      </c>
      <c r="AU178" s="526">
        <v>8907.7999999999993</v>
      </c>
      <c r="AV178" s="526">
        <v>9702.9</v>
      </c>
      <c r="AW178" s="524">
        <v>10711</v>
      </c>
      <c r="AX178" s="526">
        <v>11752.383332999998</v>
      </c>
      <c r="AY178" s="526">
        <v>12895.054381525613</v>
      </c>
      <c r="AZ178" s="526">
        <v>13963.743814219697</v>
      </c>
      <c r="BA178" s="526">
        <v>15104.400758772732</v>
      </c>
      <c r="BB178" s="526">
        <v>15809.602421305068</v>
      </c>
      <c r="BC178" s="526">
        <v>16547.752451578599</v>
      </c>
      <c r="BD178" s="526">
        <v>17320.391284921676</v>
      </c>
      <c r="BE178" s="526">
        <v>18129.131421171216</v>
      </c>
      <c r="BF178" s="526">
        <v>18703.723826603709</v>
      </c>
      <c r="BG178" s="526">
        <v>19296.555552385162</v>
      </c>
      <c r="BH178" s="526">
        <v>19715.240810065941</v>
      </c>
      <c r="BI178" s="526">
        <v>20143.040012991736</v>
      </c>
      <c r="BJ178" s="526">
        <v>20580.152098530081</v>
      </c>
      <c r="BK178" s="526">
        <v>21026.780356425705</v>
      </c>
      <c r="BL178" s="526">
        <v>21483.132524205856</v>
      </c>
      <c r="BM178" s="526">
        <v>21949.420884680269</v>
      </c>
      <c r="BN178" s="526">
        <v>22425.86236558191</v>
      </c>
      <c r="BO178" s="526">
        <v>22912.678641395451</v>
      </c>
      <c r="BP178" s="526">
        <v>23410.096237421629</v>
      </c>
      <c r="BQ178" s="526">
        <v>23918.34663612668</v>
      </c>
      <c r="BR178" s="526"/>
      <c r="BS178" s="55"/>
      <c r="BT178" s="55"/>
      <c r="BU178" s="55"/>
      <c r="BV178" s="55"/>
      <c r="BW178" s="55"/>
      <c r="BX178" s="5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55"/>
      <c r="CO178" s="55"/>
      <c r="CP178" s="442"/>
      <c r="CQ178" s="55"/>
      <c r="CR178" s="55"/>
      <c r="CS178" s="55"/>
      <c r="CT178" s="526">
        <v>238.27199999999999</v>
      </c>
      <c r="CU178" s="526">
        <v>1788.5930000000001</v>
      </c>
      <c r="CV178" s="526">
        <v>3518</v>
      </c>
      <c r="CW178" s="526">
        <v>6092</v>
      </c>
      <c r="CX178" s="526">
        <v>8907.7999999999993</v>
      </c>
      <c r="CY178" s="524">
        <v>10711</v>
      </c>
      <c r="CZ178" s="526">
        <v>12895.054381525613</v>
      </c>
      <c r="DA178" s="526">
        <v>15104.400758772732</v>
      </c>
      <c r="DB178" s="526">
        <v>16547.752451578599</v>
      </c>
      <c r="DC178" s="526">
        <v>18129.131421171216</v>
      </c>
      <c r="DD178" s="526">
        <v>19296.555552385162</v>
      </c>
      <c r="DE178" s="526">
        <v>20143.040012991736</v>
      </c>
      <c r="DF178" s="526">
        <v>21026.780356425705</v>
      </c>
      <c r="DG178" s="526">
        <v>21949.420884680269</v>
      </c>
      <c r="DH178" s="526">
        <v>22912.678641395451</v>
      </c>
      <c r="DI178" s="526">
        <v>23918.34663612668</v>
      </c>
    </row>
    <row r="179" spans="1:113" ht="12" outlineLevel="1">
      <c r="A179" s="1" t="s">
        <v>607</v>
      </c>
      <c r="B179" s="19" t="s">
        <v>342</v>
      </c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525">
        <v>0</v>
      </c>
      <c r="AQ179" s="525">
        <v>0</v>
      </c>
      <c r="AR179" s="525">
        <v>0</v>
      </c>
      <c r="AS179" s="525">
        <v>0</v>
      </c>
      <c r="AT179" s="525">
        <v>0</v>
      </c>
      <c r="AU179" s="525">
        <v>0</v>
      </c>
      <c r="AV179" s="525">
        <v>0</v>
      </c>
      <c r="AW179" s="523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0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380"/>
      <c r="CQ179" s="42"/>
      <c r="CR179" s="42"/>
      <c r="CS179" s="42"/>
      <c r="CT179" s="525">
        <v>0</v>
      </c>
      <c r="CU179" s="525">
        <v>0</v>
      </c>
      <c r="CV179" s="44">
        <v>0</v>
      </c>
      <c r="CW179" s="44">
        <v>0</v>
      </c>
      <c r="CX179" s="44">
        <v>0</v>
      </c>
      <c r="CY179" s="45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</row>
    <row r="180" spans="1:113" ht="12" outlineLevel="1">
      <c r="A180" s="1" t="s">
        <v>608</v>
      </c>
      <c r="B180" s="19" t="s">
        <v>586</v>
      </c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525">
        <v>0</v>
      </c>
      <c r="AQ180" s="525">
        <v>0</v>
      </c>
      <c r="AR180" s="525">
        <v>0</v>
      </c>
      <c r="AS180" s="525">
        <v>0</v>
      </c>
      <c r="AT180" s="525">
        <v>0</v>
      </c>
      <c r="AU180" s="525">
        <v>0</v>
      </c>
      <c r="AV180" s="525">
        <v>0</v>
      </c>
      <c r="AW180" s="523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0</v>
      </c>
      <c r="BP180" s="44">
        <v>0</v>
      </c>
      <c r="BQ180" s="44">
        <v>0</v>
      </c>
      <c r="BR180" s="44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380"/>
      <c r="CQ180" s="42"/>
      <c r="CR180" s="42"/>
      <c r="CS180" s="42"/>
      <c r="CT180" s="525">
        <v>0</v>
      </c>
      <c r="CU180" s="525">
        <v>0</v>
      </c>
      <c r="CV180" s="44">
        <v>0</v>
      </c>
      <c r="CW180" s="44">
        <v>0</v>
      </c>
      <c r="CX180" s="44">
        <v>0</v>
      </c>
      <c r="CY180" s="45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</row>
    <row r="181" spans="1:113" s="24" customFormat="1" ht="12" outlineLevel="1">
      <c r="A181" s="1" t="s">
        <v>609</v>
      </c>
      <c r="B181" s="24" t="s">
        <v>587</v>
      </c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26">
        <v>2627</v>
      </c>
      <c r="AQ181" s="526">
        <v>3518</v>
      </c>
      <c r="AR181" s="526">
        <v>4848</v>
      </c>
      <c r="AS181" s="526">
        <v>6092</v>
      </c>
      <c r="AT181" s="526">
        <v>7485.3</v>
      </c>
      <c r="AU181" s="526">
        <v>8907.7999999999993</v>
      </c>
      <c r="AV181" s="526">
        <v>9702.9</v>
      </c>
      <c r="AW181" s="524">
        <v>10711</v>
      </c>
      <c r="AX181" s="526">
        <v>11752.383332999998</v>
      </c>
      <c r="AY181" s="526">
        <v>12895.054381525613</v>
      </c>
      <c r="AZ181" s="526">
        <v>13963.743814219697</v>
      </c>
      <c r="BA181" s="526">
        <v>15104.400758772732</v>
      </c>
      <c r="BB181" s="526">
        <v>15809.602421305068</v>
      </c>
      <c r="BC181" s="526">
        <v>16547.752451578599</v>
      </c>
      <c r="BD181" s="526">
        <v>17320.391284921676</v>
      </c>
      <c r="BE181" s="526">
        <v>18129.131421171216</v>
      </c>
      <c r="BF181" s="526">
        <v>18703.723826603709</v>
      </c>
      <c r="BG181" s="526">
        <v>19296.555552385162</v>
      </c>
      <c r="BH181" s="526">
        <v>19715.240810065941</v>
      </c>
      <c r="BI181" s="526">
        <v>20143.040012991736</v>
      </c>
      <c r="BJ181" s="526">
        <v>20580.152098530081</v>
      </c>
      <c r="BK181" s="526">
        <v>21026.780356425705</v>
      </c>
      <c r="BL181" s="526">
        <v>21483.132524205856</v>
      </c>
      <c r="BM181" s="526">
        <v>21949.420884680269</v>
      </c>
      <c r="BN181" s="526">
        <v>22425.86236558191</v>
      </c>
      <c r="BO181" s="526">
        <v>22912.678641395451</v>
      </c>
      <c r="BP181" s="526">
        <v>23410.096237421629</v>
      </c>
      <c r="BQ181" s="526">
        <v>23918.34663612668</v>
      </c>
      <c r="BR181" s="526"/>
      <c r="BS181" s="55"/>
      <c r="BT181" s="55"/>
      <c r="BU181" s="55"/>
      <c r="BV181" s="55"/>
      <c r="BW181" s="55"/>
      <c r="BX181" s="5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55"/>
      <c r="CO181" s="55"/>
      <c r="CP181" s="442"/>
      <c r="CQ181" s="55"/>
      <c r="CR181" s="55"/>
      <c r="CS181" s="55"/>
      <c r="CT181" s="526">
        <v>238.27199999999999</v>
      </c>
      <c r="CU181" s="526">
        <v>1788.5930000000001</v>
      </c>
      <c r="CV181" s="526">
        <v>3518</v>
      </c>
      <c r="CW181" s="526">
        <v>6092</v>
      </c>
      <c r="CX181" s="526">
        <v>8907.7999999999993</v>
      </c>
      <c r="CY181" s="524">
        <v>10711</v>
      </c>
      <c r="CZ181" s="526">
        <v>12895.054381525613</v>
      </c>
      <c r="DA181" s="526">
        <v>15104.400758772732</v>
      </c>
      <c r="DB181" s="526">
        <v>16547.752451578599</v>
      </c>
      <c r="DC181" s="526">
        <v>18129.131421171216</v>
      </c>
      <c r="DD181" s="526">
        <v>19296.555552385162</v>
      </c>
      <c r="DE181" s="526">
        <v>20143.040012991736</v>
      </c>
      <c r="DF181" s="526">
        <v>21026.780356425705</v>
      </c>
      <c r="DG181" s="526">
        <v>21949.420884680269</v>
      </c>
      <c r="DH181" s="526">
        <v>22912.678641395451</v>
      </c>
      <c r="DI181" s="526">
        <v>23918.34663612668</v>
      </c>
    </row>
    <row r="182" spans="1:113" ht="12" outlineLevel="1"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394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4"/>
      <c r="AQ182" s="44"/>
      <c r="AR182" s="44"/>
      <c r="AS182" s="44"/>
      <c r="AT182" s="44"/>
      <c r="AU182" s="44"/>
      <c r="AV182" s="44"/>
      <c r="AW182" s="45"/>
      <c r="AX182" s="639"/>
      <c r="AY182" s="639"/>
      <c r="AZ182" s="639"/>
      <c r="BA182" s="639"/>
      <c r="BB182" s="639"/>
      <c r="BC182" s="639"/>
      <c r="BD182" s="639"/>
      <c r="BE182" s="639"/>
      <c r="BF182" s="639"/>
      <c r="BG182" s="639"/>
      <c r="BH182" s="639"/>
      <c r="BI182" s="639"/>
      <c r="BJ182" s="639"/>
      <c r="BK182" s="639"/>
      <c r="BL182" s="639"/>
      <c r="BM182" s="639"/>
      <c r="BN182" s="639"/>
      <c r="BO182" s="639"/>
      <c r="BP182" s="639"/>
      <c r="BQ182" s="639"/>
      <c r="BR182" s="44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4"/>
      <c r="CU182" s="44"/>
      <c r="CV182" s="572"/>
      <c r="CW182" s="572"/>
      <c r="CX182" s="572"/>
      <c r="CY182" s="573"/>
      <c r="CZ182" s="44"/>
      <c r="DA182" s="44"/>
      <c r="DB182" s="44"/>
      <c r="DC182" s="529"/>
      <c r="DD182" s="529"/>
      <c r="DE182" s="529"/>
      <c r="DF182" s="529"/>
      <c r="DG182" s="529"/>
      <c r="DH182" s="529"/>
      <c r="DI182" s="529"/>
    </row>
    <row r="183" spans="1:113" s="24" customFormat="1" ht="12" outlineLevel="1">
      <c r="A183" s="1"/>
      <c r="B183" s="24" t="s">
        <v>588</v>
      </c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5"/>
      <c r="AB183" s="55"/>
      <c r="AC183" s="55"/>
      <c r="AD183" s="55"/>
      <c r="AE183" s="55"/>
      <c r="AF183" s="55"/>
      <c r="AG183" s="555"/>
      <c r="AH183" s="555"/>
      <c r="AI183" s="555"/>
      <c r="AJ183" s="55"/>
      <c r="AK183" s="55"/>
      <c r="AL183" s="55"/>
      <c r="AM183" s="55"/>
      <c r="AN183" s="55"/>
      <c r="AO183" s="55"/>
      <c r="AP183" s="526"/>
      <c r="AQ183" s="526"/>
      <c r="AR183" s="526"/>
      <c r="AS183" s="526"/>
      <c r="AT183" s="526"/>
      <c r="AU183" s="526"/>
      <c r="AV183" s="526"/>
      <c r="AW183" s="524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5"/>
      <c r="BT183" s="55"/>
      <c r="BU183" s="55"/>
      <c r="BV183" s="55"/>
      <c r="BW183" s="55"/>
      <c r="BX183" s="55"/>
      <c r="BY183" s="55"/>
      <c r="BZ183" s="55"/>
      <c r="CA183" s="55"/>
      <c r="CB183" s="55"/>
      <c r="CC183" s="55"/>
      <c r="CD183" s="55"/>
      <c r="CE183" s="55"/>
      <c r="CF183" s="55"/>
      <c r="CG183" s="55"/>
      <c r="CH183" s="55"/>
      <c r="CI183" s="55"/>
      <c r="CJ183" s="55"/>
      <c r="CK183" s="55"/>
      <c r="CL183" s="55"/>
      <c r="CM183" s="55"/>
      <c r="CN183" s="55"/>
      <c r="CO183" s="55"/>
      <c r="CP183" s="55"/>
      <c r="CQ183" s="55"/>
      <c r="CR183" s="55"/>
      <c r="CS183" s="55"/>
      <c r="CT183" s="526"/>
      <c r="CU183" s="526"/>
      <c r="CV183" s="526"/>
      <c r="CW183" s="526"/>
      <c r="CX183" s="526"/>
      <c r="CY183" s="524"/>
      <c r="CZ183" s="526"/>
      <c r="DA183" s="526"/>
      <c r="DB183" s="526"/>
      <c r="DC183" s="541"/>
      <c r="DD183" s="541"/>
      <c r="DE183" s="541"/>
      <c r="DF183" s="541"/>
      <c r="DG183" s="541"/>
      <c r="DH183" s="541"/>
      <c r="DI183" s="541"/>
    </row>
    <row r="184" spans="1:113" ht="12" outlineLevel="1">
      <c r="A184" s="1" t="s">
        <v>610</v>
      </c>
      <c r="B184" s="19" t="s">
        <v>589</v>
      </c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525">
        <v>0</v>
      </c>
      <c r="AQ184" s="525">
        <v>0</v>
      </c>
      <c r="AR184" s="525">
        <v>0</v>
      </c>
      <c r="AS184" s="525">
        <v>0</v>
      </c>
      <c r="AT184" s="525">
        <v>0</v>
      </c>
      <c r="AU184" s="525">
        <v>0</v>
      </c>
      <c r="AV184" s="525">
        <v>0</v>
      </c>
      <c r="AW184" s="523">
        <v>0</v>
      </c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380"/>
      <c r="CQ184" s="42"/>
      <c r="CR184" s="42"/>
      <c r="CS184" s="42"/>
      <c r="CT184" s="525">
        <v>0</v>
      </c>
      <c r="CU184" s="525">
        <v>0</v>
      </c>
      <c r="CV184" s="44">
        <v>0</v>
      </c>
      <c r="CW184" s="44">
        <v>0</v>
      </c>
      <c r="CX184" s="44"/>
      <c r="CY184" s="45"/>
      <c r="CZ184" s="44"/>
      <c r="DA184" s="44"/>
      <c r="DB184" s="44"/>
      <c r="DC184" s="529"/>
      <c r="DD184" s="529"/>
      <c r="DE184" s="529"/>
      <c r="DF184" s="529"/>
      <c r="DG184" s="529"/>
      <c r="DH184" s="529"/>
      <c r="DI184" s="529"/>
    </row>
    <row r="185" spans="1:113" ht="12" outlineLevel="1">
      <c r="A185" s="1" t="s">
        <v>611</v>
      </c>
      <c r="B185" s="19" t="s">
        <v>590</v>
      </c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525">
        <v>1986.7</v>
      </c>
      <c r="AQ185" s="525">
        <v>2547.6999999999998</v>
      </c>
      <c r="AR185" s="525">
        <v>3238.8</v>
      </c>
      <c r="AS185" s="525">
        <v>4090.5</v>
      </c>
      <c r="AT185" s="525">
        <v>5259.1</v>
      </c>
      <c r="AU185" s="525">
        <v>5955</v>
      </c>
      <c r="AV185" s="525">
        <v>6921</v>
      </c>
      <c r="AW185" s="523">
        <v>8228</v>
      </c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380"/>
      <c r="CQ185" s="42"/>
      <c r="CR185" s="42"/>
      <c r="CS185" s="42"/>
      <c r="CT185" s="525">
        <v>104.4</v>
      </c>
      <c r="CU185" s="525">
        <v>1386.3</v>
      </c>
      <c r="CV185" s="44">
        <v>2547.6999999999998</v>
      </c>
      <c r="CW185" s="44">
        <v>4090.5</v>
      </c>
      <c r="CX185" s="44"/>
      <c r="CY185" s="45"/>
      <c r="CZ185" s="44"/>
      <c r="DA185" s="44"/>
      <c r="DB185" s="44"/>
      <c r="DC185" s="529"/>
      <c r="DD185" s="529"/>
      <c r="DE185" s="529"/>
      <c r="DF185" s="529"/>
      <c r="DG185" s="529"/>
      <c r="DH185" s="529"/>
      <c r="DI185" s="529"/>
    </row>
    <row r="186" spans="1:113" s="24" customFormat="1" ht="12" outlineLevel="1">
      <c r="A186" s="1" t="s">
        <v>612</v>
      </c>
      <c r="B186" s="24" t="s">
        <v>166</v>
      </c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26">
        <v>1986.7</v>
      </c>
      <c r="AQ186" s="526">
        <v>2547.6999999999998</v>
      </c>
      <c r="AR186" s="526">
        <v>3238.8</v>
      </c>
      <c r="AS186" s="526">
        <v>4090.5</v>
      </c>
      <c r="AT186" s="526">
        <v>5259.1</v>
      </c>
      <c r="AU186" s="526">
        <v>5955</v>
      </c>
      <c r="AV186" s="526">
        <v>6921</v>
      </c>
      <c r="AW186" s="524">
        <v>8228</v>
      </c>
      <c r="AX186" s="526">
        <v>9490.0715999316926</v>
      </c>
      <c r="AY186" s="526">
        <v>10974.514367255841</v>
      </c>
      <c r="AZ186" s="526">
        <v>12234.185631591241</v>
      </c>
      <c r="BA186" s="526">
        <v>13635.307416005489</v>
      </c>
      <c r="BB186" s="526">
        <v>14718.754522901412</v>
      </c>
      <c r="BC186" s="526">
        <v>15043.411319616907</v>
      </c>
      <c r="BD186" s="526">
        <v>15745.810259019703</v>
      </c>
      <c r="BE186" s="526">
        <v>16481.028564701104</v>
      </c>
      <c r="BF186" s="526">
        <v>17003.38529691246</v>
      </c>
      <c r="BG186" s="526">
        <v>17542.323229441055</v>
      </c>
      <c r="BH186" s="526">
        <v>17922.946190969036</v>
      </c>
      <c r="BI186" s="526">
        <v>18311.854557265215</v>
      </c>
      <c r="BJ186" s="526">
        <v>18709.229180481889</v>
      </c>
      <c r="BK186" s="526">
        <v>19115.254869477911</v>
      </c>
      <c r="BL186" s="526">
        <v>19530.120476550775</v>
      </c>
      <c r="BM186" s="526">
        <v>19954.01898607297</v>
      </c>
      <c r="BN186" s="526">
        <v>20387.14760507446</v>
      </c>
      <c r="BO186" s="526">
        <v>20829.707855814046</v>
      </c>
      <c r="BP186" s="526">
        <v>21281.905670383298</v>
      </c>
      <c r="BQ186" s="526">
        <v>21743.951487387891</v>
      </c>
      <c r="BR186" s="526"/>
      <c r="BS186" s="54"/>
      <c r="BT186" s="54"/>
      <c r="BU186" s="54"/>
      <c r="BV186" s="54"/>
      <c r="BW186" s="54"/>
      <c r="BX186" s="54"/>
      <c r="BY186" s="54"/>
      <c r="BZ186" s="54"/>
      <c r="CA186" s="54"/>
      <c r="CB186" s="54"/>
      <c r="CC186" s="55"/>
      <c r="CD186" s="55"/>
      <c r="CE186" s="55"/>
      <c r="CF186" s="55"/>
      <c r="CG186" s="55"/>
      <c r="CH186" s="55"/>
      <c r="CI186" s="55"/>
      <c r="CJ186" s="55"/>
      <c r="CK186" s="55"/>
      <c r="CL186" s="55"/>
      <c r="CM186" s="55"/>
      <c r="CN186" s="55"/>
      <c r="CO186" s="55"/>
      <c r="CP186" s="442"/>
      <c r="CQ186" s="55"/>
      <c r="CR186" s="55"/>
      <c r="CS186" s="55"/>
      <c r="CT186" s="526">
        <v>104.4</v>
      </c>
      <c r="CU186" s="526">
        <v>1386.3</v>
      </c>
      <c r="CV186" s="526">
        <v>2547.6999999999998</v>
      </c>
      <c r="CW186" s="526">
        <v>4090.5</v>
      </c>
      <c r="CX186" s="526">
        <v>5955</v>
      </c>
      <c r="CY186" s="524">
        <v>8228</v>
      </c>
      <c r="CZ186" s="526">
        <v>10974.514367255841</v>
      </c>
      <c r="DA186" s="526">
        <v>13635.307416005489</v>
      </c>
      <c r="DB186" s="526">
        <v>15043.411319616907</v>
      </c>
      <c r="DC186" s="526">
        <v>16481.028564701104</v>
      </c>
      <c r="DD186" s="526">
        <v>17542.323229441055</v>
      </c>
      <c r="DE186" s="526">
        <v>18311.854557265215</v>
      </c>
      <c r="DF186" s="526">
        <v>19115.254869477911</v>
      </c>
      <c r="DG186" s="526">
        <v>19954.01898607297</v>
      </c>
      <c r="DH186" s="526">
        <v>20829.707855814046</v>
      </c>
      <c r="DI186" s="526">
        <v>21743.951487387891</v>
      </c>
    </row>
    <row r="187" spans="1:113" s="57" customFormat="1" ht="12" outlineLevel="1">
      <c r="A187" s="1" t="s">
        <v>613</v>
      </c>
      <c r="B187" s="57" t="s">
        <v>614</v>
      </c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58"/>
      <c r="AN187" s="58"/>
      <c r="AO187" s="58"/>
      <c r="AP187" s="532">
        <v>0</v>
      </c>
      <c r="AQ187" s="532">
        <v>0</v>
      </c>
      <c r="AR187" s="532">
        <v>0</v>
      </c>
      <c r="AS187" s="532">
        <v>0</v>
      </c>
      <c r="AT187" s="532">
        <v>0</v>
      </c>
      <c r="AU187" s="532">
        <v>0</v>
      </c>
      <c r="AV187" s="532">
        <v>0</v>
      </c>
      <c r="AW187" s="533">
        <v>0</v>
      </c>
      <c r="AX187" s="90">
        <v>0</v>
      </c>
      <c r="AY187" s="90">
        <v>0</v>
      </c>
      <c r="AZ187" s="90">
        <v>0</v>
      </c>
      <c r="BA187" s="90">
        <v>0</v>
      </c>
      <c r="BB187" s="90">
        <v>0</v>
      </c>
      <c r="BC187" s="90">
        <v>0</v>
      </c>
      <c r="BD187" s="90">
        <v>0</v>
      </c>
      <c r="BE187" s="90">
        <v>0</v>
      </c>
      <c r="BF187" s="90">
        <v>0</v>
      </c>
      <c r="BG187" s="90">
        <v>0</v>
      </c>
      <c r="BH187" s="90">
        <v>0</v>
      </c>
      <c r="BI187" s="90">
        <v>0</v>
      </c>
      <c r="BJ187" s="90">
        <v>0</v>
      </c>
      <c r="BK187" s="90">
        <v>0</v>
      </c>
      <c r="BL187" s="90">
        <v>0</v>
      </c>
      <c r="BM187" s="90">
        <v>0</v>
      </c>
      <c r="BN187" s="90">
        <v>0</v>
      </c>
      <c r="BO187" s="90">
        <v>0</v>
      </c>
      <c r="BP187" s="90">
        <v>0</v>
      </c>
      <c r="BQ187" s="90">
        <v>0</v>
      </c>
      <c r="BR187" s="9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58"/>
      <c r="CD187" s="58"/>
      <c r="CE187" s="58"/>
      <c r="CF187" s="58"/>
      <c r="CG187" s="58"/>
      <c r="CH187" s="58"/>
      <c r="CI187" s="58"/>
      <c r="CJ187" s="58"/>
      <c r="CK187" s="58"/>
      <c r="CL187" s="58"/>
      <c r="CM187" s="58"/>
      <c r="CN187" s="58"/>
      <c r="CO187" s="58"/>
      <c r="CP187" s="443"/>
      <c r="CQ187" s="58"/>
      <c r="CR187" s="58"/>
      <c r="CS187" s="58"/>
      <c r="CT187" s="532">
        <v>0</v>
      </c>
      <c r="CU187" s="532">
        <v>0</v>
      </c>
      <c r="CV187" s="90">
        <v>0</v>
      </c>
      <c r="CW187" s="90">
        <v>0</v>
      </c>
      <c r="CX187" s="90">
        <v>0</v>
      </c>
      <c r="CY187" s="540">
        <v>0</v>
      </c>
      <c r="CZ187" s="90">
        <v>0</v>
      </c>
      <c r="DA187" s="90">
        <v>0</v>
      </c>
      <c r="DB187" s="90">
        <v>0</v>
      </c>
      <c r="DC187" s="90">
        <v>0</v>
      </c>
      <c r="DD187" s="90">
        <v>0</v>
      </c>
      <c r="DE187" s="90">
        <v>0</v>
      </c>
      <c r="DF187" s="90">
        <v>0</v>
      </c>
      <c r="DG187" s="90">
        <v>0</v>
      </c>
      <c r="DH187" s="90">
        <v>0</v>
      </c>
      <c r="DI187" s="90">
        <v>0</v>
      </c>
    </row>
    <row r="188" spans="1:113" ht="12" outlineLevel="1"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4"/>
      <c r="AQ188" s="44"/>
      <c r="AR188" s="44"/>
      <c r="AS188" s="44"/>
      <c r="AT188" s="44"/>
      <c r="AU188" s="44"/>
      <c r="AV188" s="44"/>
      <c r="AW188" s="45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4"/>
      <c r="CU188" s="44"/>
      <c r="CV188" s="44"/>
      <c r="CW188" s="44"/>
      <c r="CX188" s="44"/>
      <c r="CY188" s="45"/>
      <c r="CZ188" s="44"/>
      <c r="DA188" s="44"/>
      <c r="DB188" s="44"/>
      <c r="DC188" s="529"/>
      <c r="DD188" s="529"/>
      <c r="DE188" s="529"/>
      <c r="DF188" s="529"/>
      <c r="DG188" s="529"/>
      <c r="DH188" s="529"/>
      <c r="DI188" s="529"/>
    </row>
    <row r="189" spans="1:113" s="24" customFormat="1" ht="12" outlineLevel="1">
      <c r="A189" s="1"/>
      <c r="B189" s="24" t="s">
        <v>591</v>
      </c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26"/>
      <c r="AQ189" s="526"/>
      <c r="AR189" s="526"/>
      <c r="AS189" s="526"/>
      <c r="AT189" s="526"/>
      <c r="AU189" s="526"/>
      <c r="AV189" s="526"/>
      <c r="AW189" s="524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5"/>
      <c r="BT189" s="55"/>
      <c r="BU189" s="55"/>
      <c r="BV189" s="55"/>
      <c r="BW189" s="55"/>
      <c r="BX189" s="55"/>
      <c r="BY189" s="55"/>
      <c r="BZ189" s="55"/>
      <c r="CA189" s="55"/>
      <c r="CB189" s="55"/>
      <c r="CC189" s="55"/>
      <c r="CD189" s="55"/>
      <c r="CE189" s="55"/>
      <c r="CF189" s="55"/>
      <c r="CG189" s="55"/>
      <c r="CH189" s="55"/>
      <c r="CI189" s="55"/>
      <c r="CJ189" s="55"/>
      <c r="CK189" s="55"/>
      <c r="CL189" s="55"/>
      <c r="CM189" s="55"/>
      <c r="CN189" s="55"/>
      <c r="CO189" s="55"/>
      <c r="CP189" s="55"/>
      <c r="CQ189" s="55"/>
      <c r="CR189" s="55"/>
      <c r="CS189" s="55"/>
      <c r="CT189" s="526"/>
      <c r="CU189" s="526"/>
      <c r="CV189" s="526"/>
      <c r="CW189" s="526"/>
      <c r="CX189" s="526"/>
      <c r="CY189" s="524"/>
      <c r="CZ189" s="526"/>
      <c r="DA189" s="526"/>
      <c r="DB189" s="526"/>
      <c r="DC189" s="541"/>
      <c r="DD189" s="541"/>
      <c r="DE189" s="541"/>
      <c r="DF189" s="541"/>
      <c r="DG189" s="541"/>
      <c r="DH189" s="541"/>
      <c r="DI189" s="541"/>
    </row>
    <row r="190" spans="1:113" ht="12" outlineLevel="1">
      <c r="A190" s="1" t="s">
        <v>249</v>
      </c>
      <c r="B190" s="19" t="s">
        <v>589</v>
      </c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5">
        <v>0</v>
      </c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380"/>
      <c r="CQ190" s="42"/>
      <c r="CR190" s="42"/>
      <c r="CS190" s="42"/>
      <c r="CT190" s="525">
        <v>0</v>
      </c>
      <c r="CU190" s="525">
        <v>0</v>
      </c>
      <c r="CV190" s="44">
        <v>0</v>
      </c>
      <c r="CW190" s="44">
        <v>0</v>
      </c>
      <c r="CX190" s="44"/>
      <c r="CY190" s="45"/>
      <c r="CZ190" s="44"/>
      <c r="DA190" s="44"/>
      <c r="DB190" s="44"/>
      <c r="DC190" s="529"/>
      <c r="DD190" s="529"/>
      <c r="DE190" s="529"/>
      <c r="DF190" s="529"/>
      <c r="DG190" s="529"/>
      <c r="DH190" s="529"/>
      <c r="DI190" s="529"/>
    </row>
    <row r="191" spans="1:113" ht="12" outlineLevel="1">
      <c r="A191" s="1" t="s">
        <v>247</v>
      </c>
      <c r="B191" s="19" t="s">
        <v>590</v>
      </c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5">
        <v>0</v>
      </c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380"/>
      <c r="CQ191" s="42"/>
      <c r="CR191" s="42"/>
      <c r="CS191" s="42"/>
      <c r="CT191" s="525">
        <v>0</v>
      </c>
      <c r="CU191" s="525">
        <v>0</v>
      </c>
      <c r="CV191" s="44">
        <v>0</v>
      </c>
      <c r="CW191" s="44">
        <v>0</v>
      </c>
      <c r="CX191" s="44"/>
      <c r="CY191" s="45"/>
      <c r="CZ191" s="44"/>
      <c r="DA191" s="44"/>
      <c r="DB191" s="44"/>
      <c r="DC191" s="529"/>
      <c r="DD191" s="529"/>
      <c r="DE191" s="529"/>
      <c r="DF191" s="529"/>
      <c r="DG191" s="529"/>
      <c r="DH191" s="529"/>
      <c r="DI191" s="529"/>
    </row>
    <row r="192" spans="1:113" s="24" customFormat="1" ht="12" outlineLevel="1">
      <c r="A192" s="1" t="s">
        <v>248</v>
      </c>
      <c r="B192" s="24" t="s">
        <v>166</v>
      </c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26">
        <v>0</v>
      </c>
      <c r="AQ192" s="526">
        <v>0</v>
      </c>
      <c r="AR192" s="526">
        <v>0</v>
      </c>
      <c r="AS192" s="526">
        <v>0</v>
      </c>
      <c r="AT192" s="526">
        <v>0</v>
      </c>
      <c r="AU192" s="526">
        <v>0</v>
      </c>
      <c r="AV192" s="526">
        <v>0</v>
      </c>
      <c r="AW192" s="524">
        <v>0</v>
      </c>
      <c r="AX192" s="526">
        <v>0</v>
      </c>
      <c r="AY192" s="526">
        <v>0</v>
      </c>
      <c r="AZ192" s="526">
        <v>0</v>
      </c>
      <c r="BA192" s="526">
        <v>0</v>
      </c>
      <c r="BB192" s="526">
        <v>0</v>
      </c>
      <c r="BC192" s="526">
        <v>0</v>
      </c>
      <c r="BD192" s="526">
        <v>0</v>
      </c>
      <c r="BE192" s="526">
        <v>0</v>
      </c>
      <c r="BF192" s="526">
        <v>0</v>
      </c>
      <c r="BG192" s="526">
        <v>0</v>
      </c>
      <c r="BH192" s="526">
        <v>0</v>
      </c>
      <c r="BI192" s="526">
        <v>0</v>
      </c>
      <c r="BJ192" s="526">
        <v>0</v>
      </c>
      <c r="BK192" s="526">
        <v>0</v>
      </c>
      <c r="BL192" s="526">
        <v>0</v>
      </c>
      <c r="BM192" s="526">
        <v>0</v>
      </c>
      <c r="BN192" s="526">
        <v>0</v>
      </c>
      <c r="BO192" s="526">
        <v>0</v>
      </c>
      <c r="BP192" s="526">
        <v>0</v>
      </c>
      <c r="BQ192" s="526">
        <v>0</v>
      </c>
      <c r="BR192" s="526"/>
      <c r="BS192" s="55"/>
      <c r="BT192" s="55"/>
      <c r="BU192" s="55"/>
      <c r="BV192" s="55"/>
      <c r="BW192" s="55"/>
      <c r="BX192" s="55"/>
      <c r="BY192" s="55"/>
      <c r="BZ192" s="55"/>
      <c r="CA192" s="55"/>
      <c r="CB192" s="54"/>
      <c r="CC192" s="55"/>
      <c r="CD192" s="55"/>
      <c r="CE192" s="55"/>
      <c r="CF192" s="55"/>
      <c r="CG192" s="55"/>
      <c r="CH192" s="55"/>
      <c r="CI192" s="55"/>
      <c r="CJ192" s="55"/>
      <c r="CK192" s="55"/>
      <c r="CL192" s="55"/>
      <c r="CM192" s="55"/>
      <c r="CN192" s="55"/>
      <c r="CO192" s="55"/>
      <c r="CP192" s="442"/>
      <c r="CQ192" s="55"/>
      <c r="CR192" s="55"/>
      <c r="CS192" s="55"/>
      <c r="CT192" s="526">
        <v>0</v>
      </c>
      <c r="CU192" s="526">
        <v>0</v>
      </c>
      <c r="CV192" s="526">
        <v>0</v>
      </c>
      <c r="CW192" s="526">
        <v>0</v>
      </c>
      <c r="CX192" s="526">
        <v>0</v>
      </c>
      <c r="CY192" s="524">
        <v>0</v>
      </c>
      <c r="CZ192" s="526">
        <v>0</v>
      </c>
      <c r="DA192" s="526">
        <v>0</v>
      </c>
      <c r="DB192" s="526">
        <v>0</v>
      </c>
      <c r="DC192" s="526">
        <v>0</v>
      </c>
      <c r="DD192" s="526">
        <v>0</v>
      </c>
      <c r="DE192" s="526">
        <v>0</v>
      </c>
      <c r="DF192" s="526">
        <v>0</v>
      </c>
      <c r="DG192" s="526">
        <v>0</v>
      </c>
      <c r="DH192" s="526">
        <v>0</v>
      </c>
      <c r="DI192" s="526">
        <v>0</v>
      </c>
    </row>
    <row r="193" spans="1:113" s="57" customFormat="1" ht="12" outlineLevel="1">
      <c r="A193" s="1" t="s">
        <v>615</v>
      </c>
      <c r="B193" s="57" t="s">
        <v>614</v>
      </c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58"/>
      <c r="AN193" s="58"/>
      <c r="AO193" s="58"/>
      <c r="AP193" s="90">
        <v>0</v>
      </c>
      <c r="AQ193" s="90">
        <v>0</v>
      </c>
      <c r="AR193" s="90">
        <v>0</v>
      </c>
      <c r="AS193" s="90">
        <v>0</v>
      </c>
      <c r="AT193" s="90">
        <v>0</v>
      </c>
      <c r="AU193" s="90">
        <v>0</v>
      </c>
      <c r="AV193" s="90">
        <v>0</v>
      </c>
      <c r="AW193" s="540">
        <v>0</v>
      </c>
      <c r="AX193" s="90">
        <v>0</v>
      </c>
      <c r="AY193" s="90">
        <v>0</v>
      </c>
      <c r="AZ193" s="90">
        <v>0</v>
      </c>
      <c r="BA193" s="90">
        <v>0</v>
      </c>
      <c r="BB193" s="90">
        <v>0</v>
      </c>
      <c r="BC193" s="90">
        <v>0</v>
      </c>
      <c r="BD193" s="90">
        <v>0</v>
      </c>
      <c r="BE193" s="90">
        <v>0</v>
      </c>
      <c r="BF193" s="90">
        <v>0</v>
      </c>
      <c r="BG193" s="90">
        <v>0</v>
      </c>
      <c r="BH193" s="90">
        <v>0</v>
      </c>
      <c r="BI193" s="90">
        <v>0</v>
      </c>
      <c r="BJ193" s="90">
        <v>0</v>
      </c>
      <c r="BK193" s="90">
        <v>0</v>
      </c>
      <c r="BL193" s="90">
        <v>0</v>
      </c>
      <c r="BM193" s="90">
        <v>0</v>
      </c>
      <c r="BN193" s="90">
        <v>0</v>
      </c>
      <c r="BO193" s="90">
        <v>0</v>
      </c>
      <c r="BP193" s="90">
        <v>0</v>
      </c>
      <c r="BQ193" s="90">
        <v>0</v>
      </c>
      <c r="BR193" s="90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58"/>
      <c r="CD193" s="58"/>
      <c r="CE193" s="58"/>
      <c r="CF193" s="58"/>
      <c r="CG193" s="58"/>
      <c r="CH193" s="58"/>
      <c r="CI193" s="58"/>
      <c r="CJ193" s="58"/>
      <c r="CK193" s="58"/>
      <c r="CL193" s="58"/>
      <c r="CM193" s="58"/>
      <c r="CN193" s="58"/>
      <c r="CO193" s="58"/>
      <c r="CP193" s="58"/>
      <c r="CQ193" s="58"/>
      <c r="CR193" s="58"/>
      <c r="CS193" s="58"/>
      <c r="CT193" s="532">
        <v>0</v>
      </c>
      <c r="CU193" s="532">
        <v>0</v>
      </c>
      <c r="CV193" s="90">
        <v>0</v>
      </c>
      <c r="CW193" s="90">
        <v>0</v>
      </c>
      <c r="CX193" s="90">
        <v>0</v>
      </c>
      <c r="CY193" s="540">
        <v>0</v>
      </c>
      <c r="CZ193" s="90">
        <v>0</v>
      </c>
      <c r="DA193" s="90">
        <v>0</v>
      </c>
      <c r="DB193" s="90">
        <v>0</v>
      </c>
      <c r="DC193" s="90">
        <v>0</v>
      </c>
      <c r="DD193" s="90">
        <v>0</v>
      </c>
      <c r="DE193" s="90">
        <v>0</v>
      </c>
      <c r="DF193" s="90">
        <v>0</v>
      </c>
      <c r="DG193" s="90">
        <v>0</v>
      </c>
      <c r="DH193" s="90">
        <v>0</v>
      </c>
      <c r="DI193" s="90">
        <v>0</v>
      </c>
    </row>
    <row r="194" spans="1:113" ht="12" outlineLevel="1"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4"/>
      <c r="AQ194" s="44"/>
      <c r="AR194" s="44"/>
      <c r="AS194" s="44"/>
      <c r="AT194" s="44"/>
      <c r="AU194" s="44"/>
      <c r="AV194" s="44"/>
      <c r="AW194" s="45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4"/>
      <c r="CU194" s="44"/>
      <c r="CV194" s="44"/>
      <c r="CW194" s="44"/>
      <c r="CX194" s="44"/>
      <c r="CY194" s="45"/>
      <c r="CZ194" s="44"/>
      <c r="DA194" s="44"/>
      <c r="DB194" s="44"/>
      <c r="DC194" s="44"/>
      <c r="DD194" s="44"/>
      <c r="DE194" s="44"/>
      <c r="DF194" s="44"/>
      <c r="DG194" s="44"/>
      <c r="DH194" s="44"/>
      <c r="DI194" s="44"/>
    </row>
    <row r="195" spans="1:113" s="24" customFormat="1" ht="12" outlineLevel="1">
      <c r="A195" s="1"/>
      <c r="B195" s="24" t="s">
        <v>491</v>
      </c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607"/>
      <c r="AE195" s="55"/>
      <c r="AF195" s="55"/>
      <c r="AG195" s="55"/>
      <c r="AH195" s="55"/>
      <c r="AI195" s="55"/>
      <c r="AJ195" s="55"/>
      <c r="AK195" s="55"/>
      <c r="AL195" s="55"/>
      <c r="AM195" s="55"/>
      <c r="AN195" s="55"/>
      <c r="AO195" s="55"/>
      <c r="AP195" s="526"/>
      <c r="AQ195" s="526"/>
      <c r="AR195" s="526"/>
      <c r="AS195" s="526"/>
      <c r="AT195" s="526"/>
      <c r="AU195" s="526"/>
      <c r="AV195" s="526"/>
      <c r="AW195" s="524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5"/>
      <c r="BT195" s="55"/>
      <c r="BU195" s="55"/>
      <c r="BV195" s="55"/>
      <c r="BW195" s="55"/>
      <c r="BX195" s="55"/>
      <c r="BY195" s="55"/>
      <c r="BZ195" s="55"/>
      <c r="CA195" s="55"/>
      <c r="CB195" s="55"/>
      <c r="CC195" s="55"/>
      <c r="CD195" s="55"/>
      <c r="CE195" s="55"/>
      <c r="CF195" s="55"/>
      <c r="CG195" s="55"/>
      <c r="CH195" s="55"/>
      <c r="CI195" s="55"/>
      <c r="CJ195" s="55"/>
      <c r="CK195" s="55"/>
      <c r="CL195" s="55"/>
      <c r="CM195" s="55"/>
      <c r="CN195" s="55"/>
      <c r="CO195" s="55"/>
      <c r="CP195" s="55"/>
      <c r="CQ195" s="55"/>
      <c r="CR195" s="55"/>
      <c r="CS195" s="55"/>
      <c r="CT195" s="526"/>
      <c r="CU195" s="526"/>
      <c r="CV195" s="526"/>
      <c r="CW195" s="526"/>
      <c r="CX195" s="526"/>
      <c r="CY195" s="524"/>
      <c r="CZ195" s="526"/>
      <c r="DA195" s="526"/>
      <c r="DB195" s="526"/>
      <c r="DC195" s="526"/>
      <c r="DD195" s="526"/>
      <c r="DE195" s="526"/>
      <c r="DF195" s="526"/>
      <c r="DG195" s="526"/>
      <c r="DH195" s="526"/>
      <c r="DI195" s="526"/>
    </row>
    <row r="196" spans="1:113" ht="12" outlineLevel="1">
      <c r="A196" s="1" t="s">
        <v>246</v>
      </c>
      <c r="B196" s="19" t="s">
        <v>589</v>
      </c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525">
        <v>0</v>
      </c>
      <c r="AQ196" s="525">
        <v>0</v>
      </c>
      <c r="AR196" s="525">
        <v>0</v>
      </c>
      <c r="AS196" s="525">
        <v>0</v>
      </c>
      <c r="AT196" s="525">
        <v>0</v>
      </c>
      <c r="AU196" s="525">
        <v>0</v>
      </c>
      <c r="AV196" s="525">
        <v>0</v>
      </c>
      <c r="AW196" s="523">
        <v>0</v>
      </c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380"/>
      <c r="CQ196" s="42"/>
      <c r="CR196" s="42"/>
      <c r="CS196" s="42"/>
      <c r="CT196" s="525">
        <v>0</v>
      </c>
      <c r="CU196" s="525">
        <v>0</v>
      </c>
      <c r="CV196" s="44">
        <v>0</v>
      </c>
      <c r="CW196" s="44">
        <v>0</v>
      </c>
      <c r="CX196" s="44"/>
      <c r="CY196" s="45"/>
      <c r="CZ196" s="44"/>
      <c r="DA196" s="44"/>
      <c r="DB196" s="44"/>
      <c r="DC196" s="44"/>
      <c r="DD196" s="44"/>
      <c r="DE196" s="44"/>
      <c r="DF196" s="44"/>
      <c r="DG196" s="44"/>
      <c r="DH196" s="44"/>
      <c r="DI196" s="44"/>
    </row>
    <row r="197" spans="1:113" ht="12" outlineLevel="1">
      <c r="A197" s="1" t="s">
        <v>244</v>
      </c>
      <c r="B197" s="19" t="s">
        <v>590</v>
      </c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525">
        <v>0</v>
      </c>
      <c r="AQ197" s="525">
        <v>0</v>
      </c>
      <c r="AR197" s="525">
        <v>0</v>
      </c>
      <c r="AS197" s="525">
        <v>0</v>
      </c>
      <c r="AT197" s="525">
        <v>0</v>
      </c>
      <c r="AU197" s="525">
        <v>0</v>
      </c>
      <c r="AV197" s="525">
        <v>0</v>
      </c>
      <c r="AW197" s="523">
        <v>0</v>
      </c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380"/>
      <c r="CQ197" s="42"/>
      <c r="CR197" s="42"/>
      <c r="CS197" s="42"/>
      <c r="CT197" s="525">
        <v>0</v>
      </c>
      <c r="CU197" s="525">
        <v>0</v>
      </c>
      <c r="CV197" s="44">
        <v>0</v>
      </c>
      <c r="CW197" s="44">
        <v>0</v>
      </c>
      <c r="CX197" s="44"/>
      <c r="CY197" s="45"/>
      <c r="CZ197" s="44"/>
      <c r="DA197" s="44"/>
      <c r="DB197" s="44"/>
      <c r="DC197" s="44"/>
      <c r="DD197" s="44"/>
      <c r="DE197" s="44"/>
      <c r="DF197" s="44"/>
      <c r="DG197" s="44"/>
      <c r="DH197" s="44"/>
      <c r="DI197" s="44"/>
    </row>
    <row r="198" spans="1:113" s="24" customFormat="1" ht="12" outlineLevel="1">
      <c r="A198" s="1" t="s">
        <v>245</v>
      </c>
      <c r="B198" s="24" t="s">
        <v>166</v>
      </c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26">
        <v>0</v>
      </c>
      <c r="AQ198" s="526">
        <v>0</v>
      </c>
      <c r="AR198" s="526">
        <v>0</v>
      </c>
      <c r="AS198" s="526">
        <v>0</v>
      </c>
      <c r="AT198" s="526">
        <v>0</v>
      </c>
      <c r="AU198" s="526">
        <v>0</v>
      </c>
      <c r="AV198" s="526">
        <v>0</v>
      </c>
      <c r="AW198" s="524">
        <v>0</v>
      </c>
      <c r="AX198" s="526">
        <v>0</v>
      </c>
      <c r="AY198" s="526">
        <v>0</v>
      </c>
      <c r="AZ198" s="526">
        <v>0</v>
      </c>
      <c r="BA198" s="526">
        <v>0</v>
      </c>
      <c r="BB198" s="526">
        <v>0</v>
      </c>
      <c r="BC198" s="526">
        <v>0</v>
      </c>
      <c r="BD198" s="526">
        <v>0</v>
      </c>
      <c r="BE198" s="526">
        <v>0</v>
      </c>
      <c r="BF198" s="526">
        <v>0</v>
      </c>
      <c r="BG198" s="526">
        <v>0</v>
      </c>
      <c r="BH198" s="526">
        <v>0</v>
      </c>
      <c r="BI198" s="526">
        <v>0</v>
      </c>
      <c r="BJ198" s="526">
        <v>0</v>
      </c>
      <c r="BK198" s="526">
        <v>0</v>
      </c>
      <c r="BL198" s="526">
        <v>0</v>
      </c>
      <c r="BM198" s="526">
        <v>0</v>
      </c>
      <c r="BN198" s="526">
        <v>0</v>
      </c>
      <c r="BO198" s="526">
        <v>0</v>
      </c>
      <c r="BP198" s="526">
        <v>0</v>
      </c>
      <c r="BQ198" s="526">
        <v>0</v>
      </c>
      <c r="BR198" s="526"/>
      <c r="BS198" s="117"/>
      <c r="BT198" s="117"/>
      <c r="BU198" s="117"/>
      <c r="BV198" s="117"/>
      <c r="BW198" s="117"/>
      <c r="BX198" s="117"/>
      <c r="BY198" s="117"/>
      <c r="BZ198" s="117"/>
      <c r="CA198" s="117"/>
      <c r="CB198" s="55"/>
      <c r="CC198" s="55"/>
      <c r="CD198" s="55"/>
      <c r="CE198" s="55"/>
      <c r="CF198" s="55"/>
      <c r="CG198" s="55"/>
      <c r="CH198" s="55"/>
      <c r="CI198" s="55"/>
      <c r="CJ198" s="55"/>
      <c r="CK198" s="55"/>
      <c r="CL198" s="55"/>
      <c r="CM198" s="55"/>
      <c r="CN198" s="55"/>
      <c r="CO198" s="55"/>
      <c r="CP198" s="442"/>
      <c r="CQ198" s="55"/>
      <c r="CR198" s="55"/>
      <c r="CS198" s="55"/>
      <c r="CT198" s="526">
        <v>0</v>
      </c>
      <c r="CU198" s="526">
        <v>0</v>
      </c>
      <c r="CV198" s="526">
        <v>0</v>
      </c>
      <c r="CW198" s="526">
        <v>0</v>
      </c>
      <c r="CX198" s="526">
        <v>0</v>
      </c>
      <c r="CY198" s="524">
        <v>0</v>
      </c>
      <c r="CZ198" s="526">
        <v>0</v>
      </c>
      <c r="DA198" s="526">
        <v>0</v>
      </c>
      <c r="DB198" s="526">
        <v>0</v>
      </c>
      <c r="DC198" s="526">
        <v>0</v>
      </c>
      <c r="DD198" s="526">
        <v>0</v>
      </c>
      <c r="DE198" s="526">
        <v>0</v>
      </c>
      <c r="DF198" s="526">
        <v>0</v>
      </c>
      <c r="DG198" s="526">
        <v>0</v>
      </c>
      <c r="DH198" s="526">
        <v>0</v>
      </c>
      <c r="DI198" s="526">
        <v>0</v>
      </c>
    </row>
    <row r="199" spans="1:113" s="57" customFormat="1" ht="12" outlineLevel="1">
      <c r="A199" s="1" t="s">
        <v>616</v>
      </c>
      <c r="B199" s="57" t="s">
        <v>614</v>
      </c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58"/>
      <c r="AN199" s="58"/>
      <c r="AO199" s="58"/>
      <c r="AP199" s="532">
        <v>0</v>
      </c>
      <c r="AQ199" s="532">
        <v>0</v>
      </c>
      <c r="AR199" s="532">
        <v>0</v>
      </c>
      <c r="AS199" s="532">
        <v>0</v>
      </c>
      <c r="AT199" s="532">
        <v>0</v>
      </c>
      <c r="AU199" s="532">
        <v>0</v>
      </c>
      <c r="AV199" s="532">
        <v>0</v>
      </c>
      <c r="AW199" s="533">
        <v>0</v>
      </c>
      <c r="AX199" s="90">
        <v>0</v>
      </c>
      <c r="AY199" s="90">
        <v>0</v>
      </c>
      <c r="AZ199" s="90">
        <v>0</v>
      </c>
      <c r="BA199" s="90">
        <v>0</v>
      </c>
      <c r="BB199" s="90">
        <v>0</v>
      </c>
      <c r="BC199" s="90">
        <v>0</v>
      </c>
      <c r="BD199" s="90">
        <v>0</v>
      </c>
      <c r="BE199" s="90">
        <v>0</v>
      </c>
      <c r="BF199" s="90">
        <v>0</v>
      </c>
      <c r="BG199" s="90">
        <v>0</v>
      </c>
      <c r="BH199" s="90">
        <v>0</v>
      </c>
      <c r="BI199" s="90">
        <v>0</v>
      </c>
      <c r="BJ199" s="90">
        <v>0</v>
      </c>
      <c r="BK199" s="90">
        <v>0</v>
      </c>
      <c r="BL199" s="90">
        <v>0</v>
      </c>
      <c r="BM199" s="90">
        <v>0</v>
      </c>
      <c r="BN199" s="90">
        <v>0</v>
      </c>
      <c r="BO199" s="90">
        <v>0</v>
      </c>
      <c r="BP199" s="90">
        <v>0</v>
      </c>
      <c r="BQ199" s="90">
        <v>0</v>
      </c>
      <c r="BR199" s="90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58"/>
      <c r="CD199" s="58"/>
      <c r="CE199" s="58"/>
      <c r="CF199" s="58"/>
      <c r="CG199" s="58"/>
      <c r="CH199" s="58"/>
      <c r="CI199" s="58"/>
      <c r="CJ199" s="58"/>
      <c r="CK199" s="58"/>
      <c r="CL199" s="58"/>
      <c r="CM199" s="58"/>
      <c r="CN199" s="58"/>
      <c r="CO199" s="58"/>
      <c r="CP199" s="443"/>
      <c r="CQ199" s="58"/>
      <c r="CR199" s="58"/>
      <c r="CS199" s="58"/>
      <c r="CT199" s="532">
        <v>0</v>
      </c>
      <c r="CU199" s="532">
        <v>0</v>
      </c>
      <c r="CV199" s="90">
        <v>0</v>
      </c>
      <c r="CW199" s="90">
        <v>0</v>
      </c>
      <c r="CX199" s="90">
        <v>0</v>
      </c>
      <c r="CY199" s="540">
        <v>0</v>
      </c>
      <c r="CZ199" s="90">
        <v>0</v>
      </c>
      <c r="DA199" s="90">
        <v>0</v>
      </c>
      <c r="DB199" s="90">
        <v>0</v>
      </c>
      <c r="DC199" s="90">
        <v>0</v>
      </c>
      <c r="DD199" s="90">
        <v>0</v>
      </c>
      <c r="DE199" s="90">
        <v>0</v>
      </c>
      <c r="DF199" s="90">
        <v>0</v>
      </c>
      <c r="DG199" s="90">
        <v>0</v>
      </c>
      <c r="DH199" s="90">
        <v>0</v>
      </c>
      <c r="DI199" s="90">
        <v>0</v>
      </c>
    </row>
    <row r="200" spans="1:113" ht="12" outlineLevel="1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4"/>
      <c r="AQ200" s="44"/>
      <c r="AR200" s="44"/>
      <c r="AS200" s="44"/>
      <c r="AT200" s="44"/>
      <c r="AU200" s="44"/>
      <c r="AV200" s="44"/>
      <c r="AW200" s="45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4"/>
      <c r="CU200" s="44"/>
      <c r="CV200" s="44"/>
      <c r="CW200" s="44"/>
      <c r="CX200" s="44"/>
      <c r="CY200" s="45"/>
      <c r="CZ200" s="44"/>
      <c r="DA200" s="44"/>
      <c r="DB200" s="44"/>
      <c r="DC200" s="44"/>
      <c r="DD200" s="44"/>
      <c r="DE200" s="44"/>
      <c r="DF200" s="44"/>
      <c r="DG200" s="44"/>
      <c r="DH200" s="44"/>
      <c r="DI200" s="44"/>
    </row>
    <row r="201" spans="1:113" s="24" customFormat="1" ht="12" outlineLevel="1">
      <c r="A201" s="1"/>
      <c r="B201" s="24" t="s">
        <v>496</v>
      </c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  <c r="AK201" s="55"/>
      <c r="AL201" s="55"/>
      <c r="AM201" s="55"/>
      <c r="AN201" s="55"/>
      <c r="AO201" s="55"/>
      <c r="AP201" s="526"/>
      <c r="AQ201" s="526"/>
      <c r="AR201" s="526"/>
      <c r="AS201" s="526"/>
      <c r="AT201" s="526"/>
      <c r="AU201" s="526"/>
      <c r="AV201" s="526"/>
      <c r="AW201" s="524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5"/>
      <c r="BT201" s="55"/>
      <c r="BU201" s="55"/>
      <c r="BV201" s="55"/>
      <c r="BW201" s="55"/>
      <c r="BX201" s="55"/>
      <c r="BY201" s="55"/>
      <c r="BZ201" s="55"/>
      <c r="CA201" s="55"/>
      <c r="CB201" s="55"/>
      <c r="CC201" s="55"/>
      <c r="CD201" s="55"/>
      <c r="CE201" s="55"/>
      <c r="CF201" s="55"/>
      <c r="CG201" s="55"/>
      <c r="CH201" s="55"/>
      <c r="CI201" s="55"/>
      <c r="CJ201" s="55"/>
      <c r="CK201" s="55"/>
      <c r="CL201" s="55"/>
      <c r="CM201" s="55"/>
      <c r="CN201" s="55"/>
      <c r="CO201" s="55"/>
      <c r="CP201" s="55"/>
      <c r="CQ201" s="55"/>
      <c r="CR201" s="55"/>
      <c r="CS201" s="55"/>
      <c r="CT201" s="526"/>
      <c r="CU201" s="526"/>
      <c r="CV201" s="526"/>
      <c r="CW201" s="526"/>
      <c r="CX201" s="526"/>
      <c r="CY201" s="524"/>
      <c r="CZ201" s="526"/>
      <c r="DA201" s="526"/>
      <c r="DB201" s="526"/>
      <c r="DC201" s="526"/>
      <c r="DD201" s="526"/>
      <c r="DE201" s="526"/>
      <c r="DF201" s="526"/>
      <c r="DG201" s="526"/>
      <c r="DH201" s="526"/>
      <c r="DI201" s="526"/>
    </row>
    <row r="202" spans="1:113" ht="12" outlineLevel="1">
      <c r="A202" s="1" t="s">
        <v>617</v>
      </c>
      <c r="B202" s="19" t="s">
        <v>589</v>
      </c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525">
        <v>0</v>
      </c>
      <c r="AQ202" s="525">
        <v>0</v>
      </c>
      <c r="AR202" s="525">
        <v>0</v>
      </c>
      <c r="AS202" s="525">
        <v>0</v>
      </c>
      <c r="AT202" s="525">
        <v>0</v>
      </c>
      <c r="AU202" s="525">
        <v>0</v>
      </c>
      <c r="AV202" s="525">
        <v>0</v>
      </c>
      <c r="AW202" s="523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0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380"/>
      <c r="CQ202" s="42"/>
      <c r="CR202" s="42"/>
      <c r="CS202" s="42"/>
      <c r="CT202" s="525">
        <v>0</v>
      </c>
      <c r="CU202" s="525">
        <v>0</v>
      </c>
      <c r="CV202" s="44">
        <v>0</v>
      </c>
      <c r="CW202" s="44">
        <v>0</v>
      </c>
      <c r="CX202" s="44">
        <v>0</v>
      </c>
      <c r="CY202" s="45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</row>
    <row r="203" spans="1:113" ht="12" outlineLevel="1">
      <c r="A203" s="1" t="s">
        <v>618</v>
      </c>
      <c r="B203" s="19" t="s">
        <v>590</v>
      </c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525">
        <v>1986.7</v>
      </c>
      <c r="AQ203" s="525">
        <v>2547.6999999999998</v>
      </c>
      <c r="AR203" s="525">
        <v>3238.8</v>
      </c>
      <c r="AS203" s="525">
        <v>4090.5</v>
      </c>
      <c r="AT203" s="525">
        <v>5259.1</v>
      </c>
      <c r="AU203" s="525">
        <v>5955</v>
      </c>
      <c r="AV203" s="525">
        <v>6921</v>
      </c>
      <c r="AW203" s="523">
        <v>8228</v>
      </c>
      <c r="AX203" s="44">
        <v>9490.0715999316926</v>
      </c>
      <c r="AY203" s="44">
        <v>10974.514367255841</v>
      </c>
      <c r="AZ203" s="44">
        <v>12234.185631591241</v>
      </c>
      <c r="BA203" s="44">
        <v>13635.307416005489</v>
      </c>
      <c r="BB203" s="44">
        <v>14718.75452290141</v>
      </c>
      <c r="BC203" s="44">
        <v>15043.411319616906</v>
      </c>
      <c r="BD203" s="44">
        <v>15745.810259019701</v>
      </c>
      <c r="BE203" s="44">
        <v>16481.028564701101</v>
      </c>
      <c r="BF203" s="44">
        <v>17003.385296912456</v>
      </c>
      <c r="BG203" s="44">
        <v>17542.323229441052</v>
      </c>
      <c r="BH203" s="44">
        <v>17922.946190969033</v>
      </c>
      <c r="BI203" s="44">
        <v>18311.854557265211</v>
      </c>
      <c r="BJ203" s="44">
        <v>18709.229180481885</v>
      </c>
      <c r="BK203" s="44">
        <v>19115.254869477907</v>
      </c>
      <c r="BL203" s="44">
        <v>19530.120476550772</v>
      </c>
      <c r="BM203" s="44">
        <v>19954.018986072966</v>
      </c>
      <c r="BN203" s="44">
        <v>20387.147605074457</v>
      </c>
      <c r="BO203" s="44">
        <v>20829.707855814042</v>
      </c>
      <c r="BP203" s="44">
        <v>21281.905670383294</v>
      </c>
      <c r="BQ203" s="44">
        <v>21743.951487387887</v>
      </c>
      <c r="BR203" s="44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380"/>
      <c r="CQ203" s="42"/>
      <c r="CR203" s="42"/>
      <c r="CS203" s="42"/>
      <c r="CT203" s="525">
        <v>104.4</v>
      </c>
      <c r="CU203" s="525">
        <v>1386.3</v>
      </c>
      <c r="CV203" s="44">
        <v>2547.6999999999998</v>
      </c>
      <c r="CW203" s="44">
        <v>4090.5</v>
      </c>
      <c r="CX203" s="44">
        <v>5955</v>
      </c>
      <c r="CY203" s="45">
        <v>8228</v>
      </c>
      <c r="CZ203" s="44">
        <v>10974.514367255841</v>
      </c>
      <c r="DA203" s="44">
        <v>13635.307416005489</v>
      </c>
      <c r="DB203" s="44">
        <v>15043.411319616906</v>
      </c>
      <c r="DC203" s="44">
        <v>16481.028564701101</v>
      </c>
      <c r="DD203" s="44">
        <v>17542.323229441052</v>
      </c>
      <c r="DE203" s="44">
        <v>18311.854557265211</v>
      </c>
      <c r="DF203" s="44">
        <v>19115.254869477907</v>
      </c>
      <c r="DG203" s="44">
        <v>19954.018986072966</v>
      </c>
      <c r="DH203" s="44">
        <v>20829.707855814042</v>
      </c>
      <c r="DI203" s="44">
        <v>21743.951487387887</v>
      </c>
    </row>
    <row r="204" spans="1:113" s="24" customFormat="1" ht="12" outlineLevel="1">
      <c r="A204" s="1" t="s">
        <v>1053</v>
      </c>
      <c r="B204" s="24" t="s">
        <v>496</v>
      </c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  <c r="AJ204" s="55"/>
      <c r="AK204" s="55"/>
      <c r="AL204" s="55"/>
      <c r="AM204" s="55"/>
      <c r="AN204" s="55"/>
      <c r="AO204" s="55"/>
      <c r="AP204" s="526">
        <v>1986.7</v>
      </c>
      <c r="AQ204" s="526">
        <v>2547.6999999999998</v>
      </c>
      <c r="AR204" s="526">
        <v>3238.8</v>
      </c>
      <c r="AS204" s="526">
        <v>4090.5</v>
      </c>
      <c r="AT204" s="526">
        <v>5259.1</v>
      </c>
      <c r="AU204" s="526">
        <v>5955</v>
      </c>
      <c r="AV204" s="526">
        <v>6921</v>
      </c>
      <c r="AW204" s="524">
        <v>8228</v>
      </c>
      <c r="AX204" s="526">
        <v>9490.0715999316926</v>
      </c>
      <c r="AY204" s="526">
        <v>10974.514367255841</v>
      </c>
      <c r="AZ204" s="526">
        <v>12234.185631591241</v>
      </c>
      <c r="BA204" s="526">
        <v>13635.307416005489</v>
      </c>
      <c r="BB204" s="526">
        <v>14718.754522901412</v>
      </c>
      <c r="BC204" s="526">
        <v>15043.411319616907</v>
      </c>
      <c r="BD204" s="526">
        <v>15745.810259019703</v>
      </c>
      <c r="BE204" s="526">
        <v>16481.028564701104</v>
      </c>
      <c r="BF204" s="526">
        <v>17003.38529691246</v>
      </c>
      <c r="BG204" s="526">
        <v>17542.323229441055</v>
      </c>
      <c r="BH204" s="526">
        <v>17922.946190969036</v>
      </c>
      <c r="BI204" s="526">
        <v>18311.854557265215</v>
      </c>
      <c r="BJ204" s="526">
        <v>18709.229180481889</v>
      </c>
      <c r="BK204" s="526">
        <v>19115.254869477911</v>
      </c>
      <c r="BL204" s="526">
        <v>19530.120476550775</v>
      </c>
      <c r="BM204" s="526">
        <v>19954.01898607297</v>
      </c>
      <c r="BN204" s="526">
        <v>20387.14760507446</v>
      </c>
      <c r="BO204" s="526">
        <v>20829.707855814046</v>
      </c>
      <c r="BP204" s="526">
        <v>21281.905670383298</v>
      </c>
      <c r="BQ204" s="526">
        <v>21743.951487387891</v>
      </c>
      <c r="BR204" s="526"/>
      <c r="BS204" s="54"/>
      <c r="BT204" s="54"/>
      <c r="BU204" s="54"/>
      <c r="BV204" s="54"/>
      <c r="BW204" s="54"/>
      <c r="BX204" s="54"/>
      <c r="BY204" s="54"/>
      <c r="BZ204" s="54"/>
      <c r="CA204" s="54"/>
      <c r="CB204" s="54"/>
      <c r="CC204" s="55"/>
      <c r="CD204" s="55"/>
      <c r="CE204" s="55"/>
      <c r="CF204" s="55"/>
      <c r="CG204" s="55"/>
      <c r="CH204" s="55"/>
      <c r="CI204" s="55"/>
      <c r="CJ204" s="55"/>
      <c r="CK204" s="55"/>
      <c r="CL204" s="55"/>
      <c r="CM204" s="55"/>
      <c r="CN204" s="55"/>
      <c r="CO204" s="55"/>
      <c r="CP204" s="442"/>
      <c r="CQ204" s="55"/>
      <c r="CR204" s="55"/>
      <c r="CS204" s="55"/>
      <c r="CT204" s="526">
        <v>104.4</v>
      </c>
      <c r="CU204" s="526">
        <v>1386.3</v>
      </c>
      <c r="CV204" s="526">
        <v>2547.6999999999998</v>
      </c>
      <c r="CW204" s="526">
        <v>4090.5</v>
      </c>
      <c r="CX204" s="526">
        <v>5955</v>
      </c>
      <c r="CY204" s="524">
        <v>8228</v>
      </c>
      <c r="CZ204" s="526">
        <v>10974.514367255841</v>
      </c>
      <c r="DA204" s="526">
        <v>13635.307416005489</v>
      </c>
      <c r="DB204" s="526">
        <v>15043.411319616907</v>
      </c>
      <c r="DC204" s="526">
        <v>16481.028564701104</v>
      </c>
      <c r="DD204" s="526">
        <v>17542.323229441055</v>
      </c>
      <c r="DE204" s="526">
        <v>18311.854557265215</v>
      </c>
      <c r="DF204" s="526">
        <v>19115.254869477911</v>
      </c>
      <c r="DG204" s="526">
        <v>19954.01898607297</v>
      </c>
      <c r="DH204" s="526">
        <v>20829.707855814046</v>
      </c>
      <c r="DI204" s="526">
        <v>21743.951487387891</v>
      </c>
    </row>
    <row r="205" spans="1:113" s="57" customFormat="1" ht="12" outlineLevel="1">
      <c r="A205" s="1" t="s">
        <v>1054</v>
      </c>
      <c r="B205" s="57" t="s">
        <v>614</v>
      </c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58"/>
      <c r="AN205" s="58"/>
      <c r="AO205" s="58"/>
      <c r="AP205" s="532">
        <v>0</v>
      </c>
      <c r="AQ205" s="532">
        <v>0</v>
      </c>
      <c r="AR205" s="532">
        <v>0</v>
      </c>
      <c r="AS205" s="532">
        <v>0</v>
      </c>
      <c r="AT205" s="532">
        <v>0</v>
      </c>
      <c r="AU205" s="532">
        <v>0</v>
      </c>
      <c r="AV205" s="532">
        <v>0</v>
      </c>
      <c r="AW205" s="533">
        <v>0</v>
      </c>
      <c r="AX205" s="90">
        <v>0</v>
      </c>
      <c r="AY205" s="90">
        <v>0</v>
      </c>
      <c r="AZ205" s="90">
        <v>0</v>
      </c>
      <c r="BA205" s="90">
        <v>0</v>
      </c>
      <c r="BB205" s="90">
        <v>0</v>
      </c>
      <c r="BC205" s="90">
        <v>0</v>
      </c>
      <c r="BD205" s="90">
        <v>0</v>
      </c>
      <c r="BE205" s="90">
        <v>0</v>
      </c>
      <c r="BF205" s="90">
        <v>0</v>
      </c>
      <c r="BG205" s="90">
        <v>0</v>
      </c>
      <c r="BH205" s="90">
        <v>0</v>
      </c>
      <c r="BI205" s="90">
        <v>0</v>
      </c>
      <c r="BJ205" s="90">
        <v>0</v>
      </c>
      <c r="BK205" s="90">
        <v>0</v>
      </c>
      <c r="BL205" s="90">
        <v>0</v>
      </c>
      <c r="BM205" s="90">
        <v>0</v>
      </c>
      <c r="BN205" s="90">
        <v>0</v>
      </c>
      <c r="BO205" s="90">
        <v>0</v>
      </c>
      <c r="BP205" s="90">
        <v>0</v>
      </c>
      <c r="BQ205" s="90">
        <v>0</v>
      </c>
      <c r="BR205" s="9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58"/>
      <c r="CD205" s="58"/>
      <c r="CE205" s="58"/>
      <c r="CF205" s="58"/>
      <c r="CG205" s="58"/>
      <c r="CH205" s="58"/>
      <c r="CI205" s="58"/>
      <c r="CJ205" s="58"/>
      <c r="CK205" s="58"/>
      <c r="CL205" s="58"/>
      <c r="CM205" s="58"/>
      <c r="CN205" s="58"/>
      <c r="CO205" s="58"/>
      <c r="CP205" s="443"/>
      <c r="CQ205" s="58"/>
      <c r="CR205" s="58"/>
      <c r="CS205" s="58"/>
      <c r="CT205" s="532">
        <v>0</v>
      </c>
      <c r="CU205" s="532">
        <v>0</v>
      </c>
      <c r="CV205" s="90">
        <v>0</v>
      </c>
      <c r="CW205" s="90">
        <v>0</v>
      </c>
      <c r="CX205" s="90">
        <v>0</v>
      </c>
      <c r="CY205" s="540">
        <v>0</v>
      </c>
      <c r="CZ205" s="90">
        <v>0</v>
      </c>
      <c r="DA205" s="90">
        <v>0</v>
      </c>
      <c r="DB205" s="90">
        <v>0</v>
      </c>
      <c r="DC205" s="90">
        <v>0</v>
      </c>
      <c r="DD205" s="90">
        <v>0</v>
      </c>
      <c r="DE205" s="90">
        <v>0</v>
      </c>
      <c r="DF205" s="90">
        <v>0</v>
      </c>
      <c r="DG205" s="90">
        <v>0</v>
      </c>
      <c r="DH205" s="90">
        <v>0</v>
      </c>
      <c r="DI205" s="90">
        <v>0</v>
      </c>
    </row>
    <row r="206" spans="1:113" ht="12" outlineLevel="1"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394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4"/>
      <c r="AQ206" s="44"/>
      <c r="AR206" s="44"/>
      <c r="AS206" s="44"/>
      <c r="AT206" s="44"/>
      <c r="AU206" s="44"/>
      <c r="AV206" s="44"/>
      <c r="AW206" s="45"/>
      <c r="AX206" s="44"/>
      <c r="AY206" s="44"/>
      <c r="AZ206" s="44"/>
      <c r="BA206" s="44"/>
      <c r="BB206" s="44"/>
      <c r="BC206" s="44"/>
      <c r="BD206" s="44"/>
      <c r="BE206" s="44"/>
      <c r="BF206" s="44"/>
      <c r="BG206" s="44"/>
      <c r="BH206" s="44"/>
      <c r="BI206" s="44"/>
      <c r="BJ206" s="44"/>
      <c r="BK206" s="44"/>
      <c r="BL206" s="44"/>
      <c r="BM206" s="44"/>
      <c r="BN206" s="44"/>
      <c r="BO206" s="44"/>
      <c r="BP206" s="44"/>
      <c r="BQ206" s="44"/>
      <c r="BR206" s="44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4"/>
      <c r="CU206" s="44"/>
      <c r="CV206" s="44"/>
      <c r="CW206" s="44"/>
      <c r="CX206" s="44"/>
      <c r="CY206" s="45"/>
      <c r="CZ206" s="44"/>
      <c r="DA206" s="44"/>
      <c r="DB206" s="44"/>
      <c r="DC206" s="44"/>
      <c r="DD206" s="44"/>
      <c r="DE206" s="44"/>
      <c r="DF206" s="44"/>
      <c r="DG206" s="44"/>
      <c r="DH206" s="44"/>
      <c r="DI206" s="44"/>
    </row>
    <row r="207" spans="1:113" s="24" customFormat="1" ht="12" outlineLevel="1">
      <c r="A207" s="1"/>
      <c r="B207" s="24" t="s">
        <v>497</v>
      </c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11"/>
      <c r="AB207" s="55"/>
      <c r="AC207" s="55"/>
      <c r="AD207" s="55"/>
      <c r="AE207" s="55"/>
      <c r="AF207" s="55"/>
      <c r="AG207" s="55"/>
      <c r="AH207" s="55"/>
      <c r="AI207" s="55"/>
      <c r="AJ207" s="55"/>
      <c r="AK207" s="55"/>
      <c r="AL207" s="55"/>
      <c r="AM207" s="55"/>
      <c r="AN207" s="55"/>
      <c r="AO207" s="55"/>
      <c r="AP207" s="526"/>
      <c r="AQ207" s="526"/>
      <c r="AR207" s="526"/>
      <c r="AS207" s="526"/>
      <c r="AT207" s="526"/>
      <c r="AU207" s="526"/>
      <c r="AV207" s="526"/>
      <c r="AW207" s="524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5"/>
      <c r="BT207" s="55"/>
      <c r="BU207" s="55"/>
      <c r="BV207" s="55"/>
      <c r="BW207" s="55"/>
      <c r="BX207" s="55"/>
      <c r="BY207" s="55"/>
      <c r="BZ207" s="55"/>
      <c r="CA207" s="55"/>
      <c r="CB207" s="55"/>
      <c r="CC207" s="55"/>
      <c r="CD207" s="55"/>
      <c r="CE207" s="55"/>
      <c r="CF207" s="55"/>
      <c r="CG207" s="55"/>
      <c r="CH207" s="55"/>
      <c r="CI207" s="55"/>
      <c r="CJ207" s="55"/>
      <c r="CK207" s="55"/>
      <c r="CL207" s="55"/>
      <c r="CM207" s="55"/>
      <c r="CN207" s="55"/>
      <c r="CO207" s="55"/>
      <c r="CP207" s="55"/>
      <c r="CQ207" s="55"/>
      <c r="CR207" s="55"/>
      <c r="CS207" s="55"/>
      <c r="CT207" s="526"/>
      <c r="CU207" s="526"/>
      <c r="CV207" s="526"/>
      <c r="CW207" s="526"/>
      <c r="CX207" s="526"/>
      <c r="CY207" s="524"/>
      <c r="CZ207" s="526"/>
      <c r="DA207" s="526"/>
      <c r="DB207" s="526"/>
      <c r="DC207" s="526"/>
      <c r="DD207" s="526"/>
      <c r="DE207" s="526"/>
      <c r="DF207" s="526"/>
      <c r="DG207" s="526"/>
      <c r="DH207" s="526"/>
      <c r="DI207" s="526"/>
    </row>
    <row r="208" spans="1:113" ht="12" outlineLevel="1">
      <c r="A208" s="1" t="s">
        <v>1055</v>
      </c>
      <c r="B208" s="19" t="s">
        <v>432</v>
      </c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511"/>
      <c r="AB208" s="511"/>
      <c r="AC208" s="511"/>
      <c r="AD208" s="511"/>
      <c r="AE208" s="511"/>
      <c r="AF208" s="511"/>
      <c r="AG208" s="511"/>
      <c r="AH208" s="511"/>
      <c r="AI208" s="511"/>
      <c r="AJ208" s="511"/>
      <c r="AK208" s="511"/>
      <c r="AL208" s="511"/>
      <c r="AM208" s="511"/>
      <c r="AN208" s="511"/>
      <c r="AO208" s="511"/>
      <c r="AP208" s="534">
        <v>0</v>
      </c>
      <c r="AQ208" s="534">
        <v>0</v>
      </c>
      <c r="AR208" s="534">
        <v>0</v>
      </c>
      <c r="AS208" s="534">
        <v>0</v>
      </c>
      <c r="AT208" s="534">
        <v>0</v>
      </c>
      <c r="AU208" s="534">
        <v>0</v>
      </c>
      <c r="AV208" s="534">
        <v>0</v>
      </c>
      <c r="AW208" s="535">
        <v>0</v>
      </c>
      <c r="AX208" s="44">
        <v>0</v>
      </c>
      <c r="AY208" s="44">
        <v>0</v>
      </c>
      <c r="AZ208" s="44">
        <v>0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0</v>
      </c>
      <c r="BI208" s="44">
        <v>0</v>
      </c>
      <c r="BJ208" s="44">
        <v>0</v>
      </c>
      <c r="BK208" s="44">
        <v>0</v>
      </c>
      <c r="BL208" s="44">
        <v>0</v>
      </c>
      <c r="BM208" s="44">
        <v>0</v>
      </c>
      <c r="BN208" s="44">
        <v>0</v>
      </c>
      <c r="BO208" s="44">
        <v>0</v>
      </c>
      <c r="BP208" s="44">
        <v>0</v>
      </c>
      <c r="BQ208" s="44">
        <v>0</v>
      </c>
      <c r="BR208" s="44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534">
        <v>0</v>
      </c>
      <c r="CU208" s="534">
        <v>0</v>
      </c>
      <c r="CV208" s="44">
        <v>0</v>
      </c>
      <c r="CW208" s="44">
        <v>0</v>
      </c>
      <c r="CX208" s="44">
        <v>0</v>
      </c>
      <c r="CY208" s="45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0</v>
      </c>
      <c r="DH208" s="44">
        <v>0</v>
      </c>
      <c r="DI208" s="44">
        <v>0</v>
      </c>
    </row>
    <row r="209" spans="1:113" ht="12" outlineLevel="1">
      <c r="A209" s="1" t="s">
        <v>1056</v>
      </c>
      <c r="B209" s="19" t="s">
        <v>433</v>
      </c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525">
        <v>0</v>
      </c>
      <c r="AQ209" s="525">
        <v>0</v>
      </c>
      <c r="AR209" s="525">
        <v>0</v>
      </c>
      <c r="AS209" s="525">
        <v>0</v>
      </c>
      <c r="AT209" s="525">
        <v>0</v>
      </c>
      <c r="AU209" s="525">
        <v>0</v>
      </c>
      <c r="AV209" s="525">
        <v>0</v>
      </c>
      <c r="AW209" s="523">
        <v>0</v>
      </c>
      <c r="AX209" s="44">
        <v>0</v>
      </c>
      <c r="AY209" s="44">
        <v>0</v>
      </c>
      <c r="AZ209" s="44">
        <v>0</v>
      </c>
      <c r="BA209" s="44">
        <v>0</v>
      </c>
      <c r="BB209" s="44">
        <v>0</v>
      </c>
      <c r="BC209" s="44">
        <v>0</v>
      </c>
      <c r="BD209" s="44">
        <v>0</v>
      </c>
      <c r="BE209" s="44">
        <v>0</v>
      </c>
      <c r="BF209" s="44">
        <v>0</v>
      </c>
      <c r="BG209" s="44">
        <v>0</v>
      </c>
      <c r="BH209" s="44">
        <v>0</v>
      </c>
      <c r="BI209" s="44">
        <v>0</v>
      </c>
      <c r="BJ209" s="44">
        <v>0</v>
      </c>
      <c r="BK209" s="44">
        <v>0</v>
      </c>
      <c r="BL209" s="44">
        <v>0</v>
      </c>
      <c r="BM209" s="44">
        <v>0</v>
      </c>
      <c r="BN209" s="44">
        <v>0</v>
      </c>
      <c r="BO209" s="44">
        <v>0</v>
      </c>
      <c r="BP209" s="44">
        <v>0</v>
      </c>
      <c r="BQ209" s="44">
        <v>0</v>
      </c>
      <c r="BR209" s="44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525">
        <v>0</v>
      </c>
      <c r="CU209" s="525">
        <v>0</v>
      </c>
      <c r="CV209" s="44">
        <v>0</v>
      </c>
      <c r="CW209" s="44">
        <v>0</v>
      </c>
      <c r="CX209" s="44">
        <v>0</v>
      </c>
      <c r="CY209" s="45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</row>
    <row r="210" spans="1:113" s="24" customFormat="1" ht="12" outlineLevel="1">
      <c r="A210" s="1" t="s">
        <v>1057</v>
      </c>
      <c r="B210" s="24" t="s">
        <v>384</v>
      </c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617"/>
      <c r="AB210" s="617"/>
      <c r="AC210" s="617"/>
      <c r="AD210" s="617"/>
      <c r="AE210" s="617"/>
      <c r="AF210" s="617"/>
      <c r="AG210" s="617"/>
      <c r="AH210" s="617"/>
      <c r="AI210" s="617"/>
      <c r="AJ210" s="617"/>
      <c r="AK210" s="617"/>
      <c r="AL210" s="617"/>
      <c r="AM210" s="617"/>
      <c r="AN210" s="617"/>
      <c r="AO210" s="617"/>
      <c r="AP210" s="536">
        <v>0</v>
      </c>
      <c r="AQ210" s="536">
        <v>0</v>
      </c>
      <c r="AR210" s="536">
        <v>0</v>
      </c>
      <c r="AS210" s="536">
        <v>0</v>
      </c>
      <c r="AT210" s="536">
        <v>0</v>
      </c>
      <c r="AU210" s="536">
        <v>0</v>
      </c>
      <c r="AV210" s="536">
        <v>0</v>
      </c>
      <c r="AW210" s="537">
        <v>0</v>
      </c>
      <c r="AX210" s="526">
        <v>0</v>
      </c>
      <c r="AY210" s="526">
        <v>0</v>
      </c>
      <c r="AZ210" s="526">
        <v>0</v>
      </c>
      <c r="BA210" s="526">
        <v>0</v>
      </c>
      <c r="BB210" s="526">
        <v>0</v>
      </c>
      <c r="BC210" s="526">
        <v>0</v>
      </c>
      <c r="BD210" s="526">
        <v>0</v>
      </c>
      <c r="BE210" s="526">
        <v>0</v>
      </c>
      <c r="BF210" s="526">
        <v>0</v>
      </c>
      <c r="BG210" s="526">
        <v>0</v>
      </c>
      <c r="BH210" s="526">
        <v>0</v>
      </c>
      <c r="BI210" s="526">
        <v>0</v>
      </c>
      <c r="BJ210" s="526">
        <v>0</v>
      </c>
      <c r="BK210" s="526">
        <v>0</v>
      </c>
      <c r="BL210" s="526">
        <v>0</v>
      </c>
      <c r="BM210" s="526">
        <v>0</v>
      </c>
      <c r="BN210" s="526">
        <v>0</v>
      </c>
      <c r="BO210" s="526">
        <v>0</v>
      </c>
      <c r="BP210" s="526">
        <v>0</v>
      </c>
      <c r="BQ210" s="526">
        <v>0</v>
      </c>
      <c r="BR210" s="526"/>
      <c r="BS210" s="54"/>
      <c r="BT210" s="54"/>
      <c r="BU210" s="54"/>
      <c r="BV210" s="54"/>
      <c r="BW210" s="54"/>
      <c r="BX210" s="54"/>
      <c r="BY210" s="54"/>
      <c r="BZ210" s="413"/>
      <c r="CA210" s="413"/>
      <c r="CB210" s="54"/>
      <c r="CC210" s="55"/>
      <c r="CD210" s="55"/>
      <c r="CE210" s="55"/>
      <c r="CF210" s="55"/>
      <c r="CG210" s="55"/>
      <c r="CH210" s="55"/>
      <c r="CI210" s="55"/>
      <c r="CJ210" s="55"/>
      <c r="CK210" s="55"/>
      <c r="CL210" s="55"/>
      <c r="CM210" s="55"/>
      <c r="CN210" s="55"/>
      <c r="CO210" s="55"/>
      <c r="CP210" s="55"/>
      <c r="CQ210" s="55"/>
      <c r="CR210" s="55"/>
      <c r="CS210" s="55"/>
      <c r="CT210" s="536">
        <v>0</v>
      </c>
      <c r="CU210" s="536">
        <v>0</v>
      </c>
      <c r="CV210" s="526">
        <v>0</v>
      </c>
      <c r="CW210" s="526">
        <v>0</v>
      </c>
      <c r="CX210" s="526">
        <v>0</v>
      </c>
      <c r="CY210" s="524">
        <v>0</v>
      </c>
      <c r="CZ210" s="526">
        <v>0</v>
      </c>
      <c r="DA210" s="526">
        <v>0</v>
      </c>
      <c r="DB210" s="526">
        <v>0</v>
      </c>
      <c r="DC210" s="526">
        <v>0</v>
      </c>
      <c r="DD210" s="526">
        <v>0</v>
      </c>
      <c r="DE210" s="526">
        <v>0</v>
      </c>
      <c r="DF210" s="526">
        <v>0</v>
      </c>
      <c r="DG210" s="526">
        <v>0</v>
      </c>
      <c r="DH210" s="526">
        <v>0</v>
      </c>
      <c r="DI210" s="526">
        <v>0</v>
      </c>
    </row>
    <row r="211" spans="1:113" ht="12"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394"/>
      <c r="AH211" s="394"/>
      <c r="AI211" s="394"/>
      <c r="AJ211" s="394"/>
      <c r="AK211" s="42"/>
      <c r="AL211" s="42"/>
      <c r="AM211" s="42"/>
      <c r="AN211" s="42"/>
      <c r="AO211" s="42"/>
      <c r="AP211" s="44"/>
      <c r="AQ211" s="44"/>
      <c r="AR211" s="44"/>
      <c r="AS211" s="44"/>
      <c r="AT211" s="44"/>
      <c r="AU211" s="44"/>
      <c r="AV211" s="44"/>
      <c r="AW211" s="45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2"/>
      <c r="BT211" s="42"/>
      <c r="BU211" s="42"/>
      <c r="BV211" s="42"/>
      <c r="BW211" s="42"/>
      <c r="BX211" s="42"/>
      <c r="BY211" s="42"/>
      <c r="BZ211" s="42"/>
      <c r="CA211" s="42"/>
      <c r="CB211" s="160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4"/>
      <c r="CU211" s="44"/>
      <c r="CV211" s="44"/>
      <c r="CW211" s="44"/>
      <c r="CX211" s="44"/>
      <c r="CY211" s="45"/>
      <c r="CZ211" s="44"/>
      <c r="DA211" s="44"/>
      <c r="DB211" s="44"/>
      <c r="DC211" s="529"/>
      <c r="DD211" s="529"/>
      <c r="DE211" s="529"/>
      <c r="DF211" s="529"/>
      <c r="DG211" s="529"/>
      <c r="DH211" s="529"/>
      <c r="DI211" s="529"/>
    </row>
    <row r="212" spans="1:113" s="36" customFormat="1" ht="12" collapsed="1">
      <c r="A212" s="1" t="s">
        <v>1058</v>
      </c>
      <c r="B212" s="2" t="s">
        <v>385</v>
      </c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  <c r="AK212" s="55"/>
      <c r="AL212" s="55"/>
      <c r="AM212" s="55"/>
      <c r="AN212" s="55"/>
      <c r="AO212" s="55"/>
      <c r="AP212" s="527">
        <v>3045</v>
      </c>
      <c r="AQ212" s="527">
        <v>4949</v>
      </c>
      <c r="AR212" s="527">
        <v>7689</v>
      </c>
      <c r="AS212" s="527">
        <v>8690</v>
      </c>
      <c r="AT212" s="527">
        <v>10003</v>
      </c>
      <c r="AU212" s="527">
        <v>11133</v>
      </c>
      <c r="AV212" s="527">
        <v>12860</v>
      </c>
      <c r="AW212" s="528">
        <v>13459</v>
      </c>
      <c r="AX212" s="527">
        <v>13514.904285237313</v>
      </c>
      <c r="AY212" s="527">
        <v>14526.291038508101</v>
      </c>
      <c r="AZ212" s="527">
        <v>15829.585373331451</v>
      </c>
      <c r="BA212" s="527">
        <v>17131.692669533331</v>
      </c>
      <c r="BB212" s="527">
        <v>18219.573675787185</v>
      </c>
      <c r="BC212" s="527">
        <v>19070.231947184908</v>
      </c>
      <c r="BD212" s="527">
        <v>19960.635200651624</v>
      </c>
      <c r="BE212" s="527">
        <v>20892.641659925088</v>
      </c>
      <c r="BF212" s="527">
        <v>21707.926856555077</v>
      </c>
      <c r="BG212" s="527">
        <v>22395.96359659305</v>
      </c>
      <c r="BH212" s="527">
        <v>22992.114412038936</v>
      </c>
      <c r="BI212" s="527">
        <v>23491.001143258833</v>
      </c>
      <c r="BJ212" s="527">
        <v>24000.747967421274</v>
      </c>
      <c r="BK212" s="527">
        <v>24521.591942356143</v>
      </c>
      <c r="BL212" s="527">
        <v>25053.775312382953</v>
      </c>
      <c r="BM212" s="527">
        <v>25597.545622002199</v>
      </c>
      <c r="BN212" s="527">
        <v>26153.155832082761</v>
      </c>
      <c r="BO212" s="527">
        <v>26720.864438600467</v>
      </c>
      <c r="BP212" s="527">
        <v>27300.935593983708</v>
      </c>
      <c r="BQ212" s="527">
        <v>27893.63923112362</v>
      </c>
      <c r="BR212" s="527"/>
      <c r="BS212" s="52"/>
      <c r="BT212" s="52"/>
      <c r="BU212" s="52"/>
      <c r="BV212" s="52"/>
      <c r="BW212" s="52"/>
      <c r="BX212" s="52"/>
      <c r="BY212" s="52"/>
      <c r="BZ212" s="52"/>
      <c r="CA212" s="52"/>
      <c r="CB212" s="52"/>
      <c r="CC212" s="52"/>
      <c r="CD212" s="52"/>
      <c r="CE212" s="52"/>
      <c r="CF212" s="52"/>
      <c r="CG212" s="52"/>
      <c r="CH212" s="52"/>
      <c r="CI212" s="52"/>
      <c r="CJ212" s="52"/>
      <c r="CK212" s="52"/>
      <c r="CL212" s="52"/>
      <c r="CM212" s="52"/>
      <c r="CN212" s="52"/>
      <c r="CO212" s="52"/>
      <c r="CP212" s="52"/>
      <c r="CQ212" s="52"/>
      <c r="CR212" s="52"/>
      <c r="CS212" s="52"/>
      <c r="CT212" s="527">
        <v>161.88679245283018</v>
      </c>
      <c r="CU212" s="527">
        <v>1392</v>
      </c>
      <c r="CV212" s="527">
        <v>4034</v>
      </c>
      <c r="CW212" s="527">
        <v>8179</v>
      </c>
      <c r="CX212" s="527">
        <v>10555</v>
      </c>
      <c r="CY212" s="528">
        <v>13130</v>
      </c>
      <c r="CZ212" s="527">
        <v>14016.441277955157</v>
      </c>
      <c r="DA212" s="527">
        <v>16475.287895557591</v>
      </c>
      <c r="DB212" s="527">
        <v>18641.406955576193</v>
      </c>
      <c r="DC212" s="527">
        <v>20424.091964552637</v>
      </c>
      <c r="DD212" s="527">
        <v>22049.117678327333</v>
      </c>
      <c r="DE212" s="527">
        <v>23239.507558205514</v>
      </c>
      <c r="DF212" s="527">
        <v>24259.029500197197</v>
      </c>
      <c r="DG212" s="527">
        <v>25324.174755964112</v>
      </c>
      <c r="DH212" s="527">
        <v>26434.677086273732</v>
      </c>
      <c r="DI212" s="527">
        <v>27594.851644181857</v>
      </c>
    </row>
    <row r="213" spans="1:113" ht="12" outlineLevel="1"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388"/>
      <c r="AE213" s="388"/>
      <c r="AF213" s="388"/>
      <c r="AG213" s="388"/>
      <c r="AH213" s="388"/>
      <c r="AI213" s="388"/>
      <c r="AJ213" s="388"/>
      <c r="AK213" s="42"/>
      <c r="AL213" s="42"/>
      <c r="AM213" s="42"/>
      <c r="AN213" s="42"/>
      <c r="AO213" s="42"/>
      <c r="AP213" s="44"/>
      <c r="AQ213" s="572"/>
      <c r="AR213" s="572"/>
      <c r="AS213" s="572"/>
      <c r="AT213" s="653"/>
      <c r="AU213" s="653"/>
      <c r="AV213" s="653"/>
      <c r="AW213" s="638"/>
      <c r="AX213" s="639"/>
      <c r="AY213" s="639"/>
      <c r="AZ213" s="639"/>
      <c r="BA213" s="639"/>
      <c r="BB213" s="639"/>
      <c r="BC213" s="639"/>
      <c r="BD213" s="44"/>
      <c r="BE213" s="44"/>
      <c r="BF213" s="44"/>
      <c r="BG213" s="44"/>
      <c r="BH213" s="44"/>
      <c r="BI213" s="44"/>
      <c r="BJ213" s="44"/>
      <c r="BK213" s="44"/>
      <c r="BL213" s="44"/>
      <c r="BM213" s="44"/>
      <c r="BN213" s="44"/>
      <c r="BO213" s="44"/>
      <c r="BP213" s="44"/>
      <c r="BQ213" s="44"/>
      <c r="BR213" s="44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285"/>
      <c r="CR213" s="42"/>
      <c r="CS213" s="42"/>
      <c r="CT213" s="44"/>
      <c r="CU213" s="44"/>
      <c r="CV213" s="572"/>
      <c r="CW213" s="572"/>
      <c r="CX213" s="572"/>
      <c r="CY213" s="573"/>
      <c r="CZ213" s="44"/>
      <c r="DA213" s="632"/>
      <c r="DB213" s="44"/>
      <c r="DC213" s="529"/>
      <c r="DD213" s="529"/>
      <c r="DE213" s="529"/>
      <c r="DF213" s="529"/>
      <c r="DG213" s="529"/>
      <c r="DH213" s="529"/>
      <c r="DI213" s="529"/>
    </row>
    <row r="214" spans="1:113" s="24" customFormat="1" ht="12" outlineLevel="1">
      <c r="A214" s="1"/>
      <c r="B214" s="24" t="s">
        <v>439</v>
      </c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26"/>
      <c r="AQ214" s="526"/>
      <c r="AR214" s="526"/>
      <c r="AS214" s="526"/>
      <c r="AT214" s="526"/>
      <c r="AU214" s="526"/>
      <c r="AV214" s="526"/>
      <c r="AW214" s="524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5"/>
      <c r="BT214" s="55"/>
      <c r="BU214" s="55"/>
      <c r="BV214" s="55"/>
      <c r="BW214" s="55"/>
      <c r="BX214" s="55"/>
      <c r="BY214" s="55"/>
      <c r="BZ214" s="55"/>
      <c r="CA214" s="55"/>
      <c r="CB214" s="55"/>
      <c r="CC214" s="55"/>
      <c r="CD214" s="55"/>
      <c r="CE214" s="55"/>
      <c r="CF214" s="55"/>
      <c r="CG214" s="55"/>
      <c r="CH214" s="55"/>
      <c r="CI214" s="55"/>
      <c r="CJ214" s="55"/>
      <c r="CK214" s="55"/>
      <c r="CL214" s="55"/>
      <c r="CM214" s="55"/>
      <c r="CN214" s="55"/>
      <c r="CO214" s="55"/>
      <c r="CP214" s="55"/>
      <c r="CQ214" s="55"/>
      <c r="CR214" s="42"/>
      <c r="CS214" s="42"/>
      <c r="CT214" s="44"/>
      <c r="CU214" s="526"/>
      <c r="CV214" s="44"/>
      <c r="CW214" s="44"/>
      <c r="CX214" s="44"/>
      <c r="CY214" s="45"/>
      <c r="CZ214" s="44"/>
      <c r="DA214" s="44"/>
      <c r="DB214" s="526"/>
      <c r="DC214" s="541"/>
      <c r="DD214" s="541"/>
      <c r="DE214" s="541"/>
      <c r="DF214" s="541"/>
      <c r="DG214" s="541"/>
      <c r="DH214" s="541"/>
      <c r="DI214" s="541"/>
    </row>
    <row r="215" spans="1:113" ht="12" outlineLevel="1">
      <c r="A215" s="1" t="s">
        <v>189</v>
      </c>
      <c r="B215" s="19" t="s">
        <v>162</v>
      </c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4">
        <v>203.50209364293872</v>
      </c>
      <c r="AQ215" s="44">
        <v>290.84393816110656</v>
      </c>
      <c r="AR215" s="44">
        <v>424.57422902223283</v>
      </c>
      <c r="AS215" s="44">
        <v>548.05585009140771</v>
      </c>
      <c r="AT215" s="44">
        <v>695.36552186369897</v>
      </c>
      <c r="AU215" s="44">
        <v>844.47633455539221</v>
      </c>
      <c r="AV215" s="44">
        <v>1002.1858393289883</v>
      </c>
      <c r="AW215" s="45">
        <v>1074.3107588456885</v>
      </c>
      <c r="AX215" s="44">
        <v>1176.7776703414829</v>
      </c>
      <c r="AY215" s="44">
        <v>1292.2403903700708</v>
      </c>
      <c r="AZ215" s="44">
        <v>1413.0026923869477</v>
      </c>
      <c r="BA215" s="44">
        <v>1530.8448162872292</v>
      </c>
      <c r="BB215" s="44">
        <v>1622.5783372610204</v>
      </c>
      <c r="BC215" s="44">
        <v>1692.480634608562</v>
      </c>
      <c r="BD215" s="44">
        <v>1765.3943928281328</v>
      </c>
      <c r="BE215" s="44">
        <v>1841.4493486655615</v>
      </c>
      <c r="BF215" s="44">
        <v>1906.6787379176196</v>
      </c>
      <c r="BG215" s="44">
        <v>1960.2201835570841</v>
      </c>
      <c r="BH215" s="44">
        <v>2005.3283186499539</v>
      </c>
      <c r="BI215" s="44">
        <v>2041.5866599794631</v>
      </c>
      <c r="BJ215" s="44">
        <v>2078.500588378552</v>
      </c>
      <c r="BK215" s="44">
        <v>2116.081957517024</v>
      </c>
      <c r="BL215" s="44">
        <v>2154.3428353908894</v>
      </c>
      <c r="BM215" s="44">
        <v>2193.2955081975915</v>
      </c>
      <c r="BN215" s="44">
        <v>2232.9524842813116</v>
      </c>
      <c r="BO215" s="44">
        <v>2273.3264981496013</v>
      </c>
      <c r="BP215" s="44">
        <v>2314.430514562644</v>
      </c>
      <c r="BQ215" s="44">
        <v>2356.2777326964501</v>
      </c>
      <c r="BR215" s="44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113"/>
      <c r="CI215" s="113"/>
      <c r="CJ215" s="294"/>
      <c r="CK215" s="294"/>
      <c r="CL215" s="113"/>
      <c r="CM215" s="113"/>
      <c r="CN215" s="113"/>
      <c r="CO215" s="113"/>
      <c r="CP215" s="113"/>
      <c r="CQ215" s="113"/>
      <c r="CR215" s="113"/>
      <c r="CS215" s="113"/>
      <c r="CT215" s="44">
        <v>1.7791200000000003</v>
      </c>
      <c r="CU215" s="44">
        <v>53.389442103465797</v>
      </c>
      <c r="CV215" s="44">
        <v>227.11523864993501</v>
      </c>
      <c r="CW215" s="44">
        <v>488.22674297606659</v>
      </c>
      <c r="CX215" s="44">
        <v>776.28195042600566</v>
      </c>
      <c r="CY215" s="45">
        <v>1032.6519358982202</v>
      </c>
      <c r="CZ215" s="44">
        <v>1234.0345260268923</v>
      </c>
      <c r="DA215" s="44">
        <v>1471.4394716361282</v>
      </c>
      <c r="DB215" s="44">
        <v>1657.2422162196644</v>
      </c>
      <c r="DC215" s="44">
        <v>1803.2140703210621</v>
      </c>
      <c r="DD215" s="44">
        <v>1933.2294273991074</v>
      </c>
      <c r="DE215" s="44">
        <v>2023.3084824325326</v>
      </c>
      <c r="DF215" s="44">
        <v>2097.1368289650272</v>
      </c>
      <c r="DG215" s="44">
        <v>2173.7127437264626</v>
      </c>
      <c r="DH215" s="44">
        <v>2252.9735706105184</v>
      </c>
      <c r="DI215" s="44">
        <v>2335.1821487605043</v>
      </c>
    </row>
    <row r="216" spans="1:113" ht="12" outlineLevel="1">
      <c r="A216" s="1" t="s">
        <v>392</v>
      </c>
      <c r="B216" s="19" t="s">
        <v>163</v>
      </c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4">
        <v>1996.4979063570613</v>
      </c>
      <c r="AQ216" s="44">
        <v>2668.1560618388935</v>
      </c>
      <c r="AR216" s="44">
        <v>3744.4257709777671</v>
      </c>
      <c r="AS216" s="44">
        <v>4838.9441499085924</v>
      </c>
      <c r="AT216" s="44">
        <v>6085.6344781363014</v>
      </c>
      <c r="AU216" s="44">
        <v>7205.523665444608</v>
      </c>
      <c r="AV216" s="44">
        <v>8347.8141606710124</v>
      </c>
      <c r="AW216" s="45">
        <v>8951.6892411543104</v>
      </c>
      <c r="AX216" s="44">
        <v>9855.7972563828553</v>
      </c>
      <c r="AY216" s="44">
        <v>10813.002141720013</v>
      </c>
      <c r="AZ216" s="44">
        <v>11778.31845205593</v>
      </c>
      <c r="BA216" s="44">
        <v>12745.565741657214</v>
      </c>
      <c r="BB216" s="44">
        <v>13560.399725894968</v>
      </c>
      <c r="BC216" s="44">
        <v>14199.379321378861</v>
      </c>
      <c r="BD216" s="44">
        <v>14868.468274381554</v>
      </c>
      <c r="BE216" s="44">
        <v>15569.085367938678</v>
      </c>
      <c r="BF216" s="44">
        <v>16183.260309211611</v>
      </c>
      <c r="BG216" s="44">
        <v>16703.082813603789</v>
      </c>
      <c r="BH216" s="44">
        <v>17154.767024715828</v>
      </c>
      <c r="BI216" s="44">
        <v>17534.247626069562</v>
      </c>
      <c r="BJ216" s="44">
        <v>17922.12271780584</v>
      </c>
      <c r="BK216" s="44">
        <v>18318.577994446423</v>
      </c>
      <c r="BL216" s="44">
        <v>18723.803258261571</v>
      </c>
      <c r="BM216" s="44">
        <v>19137.992510137574</v>
      </c>
      <c r="BN216" s="44">
        <v>19561.344042454322</v>
      </c>
      <c r="BO216" s="44">
        <v>19994.060534017452</v>
      </c>
      <c r="BP216" s="44">
        <v>20436.349147090448</v>
      </c>
      <c r="BQ216" s="44">
        <v>20888.421626573232</v>
      </c>
      <c r="BR216" s="44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4">
        <v>87.176879999999997</v>
      </c>
      <c r="CU216" s="44">
        <v>916.72255789653423</v>
      </c>
      <c r="CV216" s="44">
        <v>2349.3177613500648</v>
      </c>
      <c r="CW216" s="44">
        <v>4284.7732570239332</v>
      </c>
      <c r="CX216" s="44">
        <v>6633.7180495739949</v>
      </c>
      <c r="CY216" s="45">
        <v>8654.3480641017813</v>
      </c>
      <c r="CZ216" s="44">
        <v>10330.46598034457</v>
      </c>
      <c r="DA216" s="44">
        <v>12257.967107995197</v>
      </c>
      <c r="DB216" s="44">
        <v>13877.26358009383</v>
      </c>
      <c r="DC216" s="44">
        <v>15216.862566806134</v>
      </c>
      <c r="DD216" s="44">
        <v>16441.035304540335</v>
      </c>
      <c r="DE216" s="44">
        <v>17342.947816072061</v>
      </c>
      <c r="DF216" s="44">
        <v>18118.721087865964</v>
      </c>
      <c r="DG216" s="44">
        <v>18929.766219576959</v>
      </c>
      <c r="DH216" s="44">
        <v>19775.924001284257</v>
      </c>
      <c r="DI216" s="44">
        <v>20660.527554724376</v>
      </c>
    </row>
    <row r="217" spans="1:113" ht="12" outlineLevel="1">
      <c r="A217" s="1" t="s">
        <v>393</v>
      </c>
      <c r="B217" s="19" t="s">
        <v>164</v>
      </c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0</v>
      </c>
      <c r="AV217" s="44">
        <v>0</v>
      </c>
      <c r="AW217" s="45">
        <v>0</v>
      </c>
      <c r="AX217" s="44">
        <v>0</v>
      </c>
      <c r="AY217" s="44">
        <v>0</v>
      </c>
      <c r="AZ217" s="44">
        <v>0</v>
      </c>
      <c r="BA217" s="44">
        <v>0</v>
      </c>
      <c r="BB217" s="44">
        <v>0</v>
      </c>
      <c r="BC217" s="44">
        <v>0</v>
      </c>
      <c r="BD217" s="44">
        <v>0</v>
      </c>
      <c r="BE217" s="44">
        <v>0</v>
      </c>
      <c r="BF217" s="44">
        <v>0</v>
      </c>
      <c r="BG217" s="44">
        <v>0</v>
      </c>
      <c r="BH217" s="44">
        <v>0</v>
      </c>
      <c r="BI217" s="44">
        <v>0</v>
      </c>
      <c r="BJ217" s="44">
        <v>0</v>
      </c>
      <c r="BK217" s="44">
        <v>0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/>
      <c r="BS217" s="42"/>
      <c r="BT217" s="42"/>
      <c r="BU217" s="42"/>
      <c r="BV217" s="42"/>
      <c r="BW217" s="42"/>
      <c r="BX217" s="42"/>
      <c r="BY217" s="42"/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4">
        <v>0</v>
      </c>
      <c r="CU217" s="44">
        <v>0</v>
      </c>
      <c r="CV217" s="44">
        <v>0</v>
      </c>
      <c r="CW217" s="44">
        <v>0</v>
      </c>
      <c r="CX217" s="44">
        <v>0</v>
      </c>
      <c r="CY217" s="45">
        <v>0</v>
      </c>
      <c r="CZ217" s="44">
        <v>0</v>
      </c>
      <c r="DA217" s="44">
        <v>0</v>
      </c>
      <c r="DB217" s="44">
        <v>0</v>
      </c>
      <c r="DC217" s="44">
        <v>0</v>
      </c>
      <c r="DD217" s="44">
        <v>0</v>
      </c>
      <c r="DE217" s="44">
        <v>0</v>
      </c>
      <c r="DF217" s="44">
        <v>0</v>
      </c>
      <c r="DG217" s="44">
        <v>0</v>
      </c>
      <c r="DH217" s="44">
        <v>0</v>
      </c>
      <c r="DI217" s="44">
        <v>0</v>
      </c>
    </row>
    <row r="218" spans="1:113" ht="12" outlineLevel="1">
      <c r="A218" s="1" t="s">
        <v>394</v>
      </c>
      <c r="B218" s="19" t="s">
        <v>165</v>
      </c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0</v>
      </c>
      <c r="AV218" s="44">
        <v>0</v>
      </c>
      <c r="AW218" s="45">
        <v>0</v>
      </c>
      <c r="AX218" s="44">
        <v>0</v>
      </c>
      <c r="AY218" s="44">
        <v>0</v>
      </c>
      <c r="AZ218" s="44">
        <v>0</v>
      </c>
      <c r="BA218" s="44">
        <v>0</v>
      </c>
      <c r="BB218" s="44">
        <v>0</v>
      </c>
      <c r="BC218" s="44">
        <v>0</v>
      </c>
      <c r="BD218" s="44">
        <v>0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0</v>
      </c>
      <c r="BK218" s="44">
        <v>0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4">
        <v>0</v>
      </c>
      <c r="CU218" s="44">
        <v>0</v>
      </c>
      <c r="CV218" s="44">
        <v>0</v>
      </c>
      <c r="CW218" s="44">
        <v>0</v>
      </c>
      <c r="CX218" s="44">
        <v>0</v>
      </c>
      <c r="CY218" s="45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0</v>
      </c>
      <c r="DE218" s="44">
        <v>0</v>
      </c>
      <c r="DF218" s="44">
        <v>0</v>
      </c>
      <c r="DG218" s="44">
        <v>0</v>
      </c>
      <c r="DH218" s="44">
        <v>0</v>
      </c>
      <c r="DI218" s="44">
        <v>0</v>
      </c>
    </row>
    <row r="219" spans="1:113" s="24" customFormat="1" ht="12" outlineLevel="1">
      <c r="A219" s="1" t="s">
        <v>479</v>
      </c>
      <c r="B219" s="24" t="s">
        <v>166</v>
      </c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  <c r="AJ219" s="55"/>
      <c r="AK219" s="55"/>
      <c r="AL219" s="55"/>
      <c r="AM219" s="55"/>
      <c r="AN219" s="55"/>
      <c r="AO219" s="55"/>
      <c r="AP219" s="521">
        <v>2200</v>
      </c>
      <c r="AQ219" s="521">
        <v>2959</v>
      </c>
      <c r="AR219" s="521">
        <v>4169</v>
      </c>
      <c r="AS219" s="521">
        <v>5387</v>
      </c>
      <c r="AT219" s="521">
        <v>6781</v>
      </c>
      <c r="AU219" s="521">
        <v>8050</v>
      </c>
      <c r="AV219" s="521">
        <v>9350</v>
      </c>
      <c r="AW219" s="522">
        <v>10026</v>
      </c>
      <c r="AX219" s="526">
        <v>11032.574926724337</v>
      </c>
      <c r="AY219" s="526">
        <v>12105.242532090084</v>
      </c>
      <c r="AZ219" s="526">
        <v>13191.321144442876</v>
      </c>
      <c r="BA219" s="526">
        <v>14276.410557944444</v>
      </c>
      <c r="BB219" s="526">
        <v>15182.978063155988</v>
      </c>
      <c r="BC219" s="526">
        <v>15891.859955987424</v>
      </c>
      <c r="BD219" s="526">
        <v>16633.862667209687</v>
      </c>
      <c r="BE219" s="526">
        <v>17410.534716604241</v>
      </c>
      <c r="BF219" s="526">
        <v>18089.939047129232</v>
      </c>
      <c r="BG219" s="526">
        <v>18663.302997160874</v>
      </c>
      <c r="BH219" s="526">
        <v>19160.095343365781</v>
      </c>
      <c r="BI219" s="526">
        <v>19575.834286049027</v>
      </c>
      <c r="BJ219" s="526">
        <v>20000.623306184396</v>
      </c>
      <c r="BK219" s="526">
        <v>20434.659951963451</v>
      </c>
      <c r="BL219" s="526">
        <v>20878.14609365246</v>
      </c>
      <c r="BM219" s="526">
        <v>21331.288018335166</v>
      </c>
      <c r="BN219" s="526">
        <v>21794.296526735634</v>
      </c>
      <c r="BO219" s="526">
        <v>22267.387032167055</v>
      </c>
      <c r="BP219" s="526">
        <v>22750.77966165309</v>
      </c>
      <c r="BQ219" s="526">
        <v>23244.699359269682</v>
      </c>
      <c r="BR219" s="526"/>
      <c r="BS219" s="54"/>
      <c r="BT219" s="54"/>
      <c r="BU219" s="54"/>
      <c r="BV219" s="54"/>
      <c r="BW219" s="54"/>
      <c r="BX219" s="54"/>
      <c r="BY219" s="54"/>
      <c r="BZ219" s="54"/>
      <c r="CA219" s="54"/>
      <c r="CB219" s="54"/>
      <c r="CC219" s="55"/>
      <c r="CD219" s="55"/>
      <c r="CE219" s="55"/>
      <c r="CF219" s="55"/>
      <c r="CG219" s="55"/>
      <c r="CH219" s="117"/>
      <c r="CI219" s="117"/>
      <c r="CJ219" s="295"/>
      <c r="CK219" s="295"/>
      <c r="CL219" s="117"/>
      <c r="CM219" s="117"/>
      <c r="CN219" s="117"/>
      <c r="CO219" s="117"/>
      <c r="CP219" s="117"/>
      <c r="CQ219" s="117"/>
      <c r="CR219" s="117"/>
      <c r="CS219" s="117"/>
      <c r="CT219" s="521">
        <v>88.956000000000003</v>
      </c>
      <c r="CU219" s="521">
        <v>970.11199999999997</v>
      </c>
      <c r="CV219" s="521">
        <v>2576.433</v>
      </c>
      <c r="CW219" s="521">
        <v>4773</v>
      </c>
      <c r="CX219" s="521">
        <v>7410</v>
      </c>
      <c r="CY219" s="522">
        <v>9687</v>
      </c>
      <c r="CZ219" s="526">
        <v>11564.500506371462</v>
      </c>
      <c r="DA219" s="526">
        <v>13729.406579631324</v>
      </c>
      <c r="DB219" s="526">
        <v>15534.505796313495</v>
      </c>
      <c r="DC219" s="526">
        <v>17020.076637127197</v>
      </c>
      <c r="DD219" s="526">
        <v>18374.264731939442</v>
      </c>
      <c r="DE219" s="526">
        <v>19366.256298504595</v>
      </c>
      <c r="DF219" s="526">
        <v>20215.857916830995</v>
      </c>
      <c r="DG219" s="526">
        <v>21103.478963303423</v>
      </c>
      <c r="DH219" s="526">
        <v>22028.897571894777</v>
      </c>
      <c r="DI219" s="526">
        <v>22995.709703484881</v>
      </c>
    </row>
    <row r="220" spans="1:113" ht="12" outlineLevel="1"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4"/>
      <c r="AQ220" s="572"/>
      <c r="AR220" s="44"/>
      <c r="AS220" s="44"/>
      <c r="AT220" s="44"/>
      <c r="AU220" s="44"/>
      <c r="AV220" s="44"/>
      <c r="AW220" s="45"/>
      <c r="AX220" s="44"/>
      <c r="AY220" s="44"/>
      <c r="AZ220" s="44"/>
      <c r="BA220" s="44"/>
      <c r="BB220" s="44"/>
      <c r="BC220" s="44"/>
      <c r="BD220" s="44"/>
      <c r="BE220" s="44"/>
      <c r="BF220" s="44"/>
      <c r="BG220" s="44"/>
      <c r="BH220" s="44"/>
      <c r="BI220" s="44"/>
      <c r="BJ220" s="44"/>
      <c r="BK220" s="44"/>
      <c r="BL220" s="44"/>
      <c r="BM220" s="44"/>
      <c r="BN220" s="44"/>
      <c r="BO220" s="44"/>
      <c r="BP220" s="44"/>
      <c r="BQ220" s="44"/>
      <c r="BR220" s="44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4"/>
      <c r="CU220" s="44"/>
      <c r="CV220" s="44"/>
      <c r="CW220" s="44"/>
      <c r="CX220" s="44"/>
      <c r="CY220" s="45"/>
      <c r="CZ220" s="44"/>
      <c r="DA220" s="632"/>
      <c r="DB220" s="44"/>
      <c r="DC220" s="44"/>
      <c r="DD220" s="44"/>
      <c r="DE220" s="44"/>
      <c r="DF220" s="44"/>
      <c r="DG220" s="44"/>
      <c r="DH220" s="44"/>
      <c r="DI220" s="44"/>
    </row>
    <row r="221" spans="1:113" s="24" customFormat="1" ht="12" outlineLevel="1">
      <c r="A221" s="1"/>
      <c r="B221" s="24" t="s">
        <v>405</v>
      </c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  <c r="AJ221" s="55"/>
      <c r="AK221" s="55"/>
      <c r="AL221" s="55"/>
      <c r="AM221" s="55"/>
      <c r="AN221" s="55"/>
      <c r="AO221" s="55"/>
      <c r="AP221" s="526"/>
      <c r="AQ221" s="526"/>
      <c r="AR221" s="526"/>
      <c r="AS221" s="526"/>
      <c r="AT221" s="526"/>
      <c r="AU221" s="526"/>
      <c r="AV221" s="526"/>
      <c r="AW221" s="524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5"/>
      <c r="BT221" s="55"/>
      <c r="BU221" s="55"/>
      <c r="BV221" s="55"/>
      <c r="BW221" s="55"/>
      <c r="BX221" s="55"/>
      <c r="BY221" s="55"/>
      <c r="BZ221" s="55"/>
      <c r="CA221" s="55"/>
      <c r="CB221" s="55"/>
      <c r="CC221" s="55"/>
      <c r="CD221" s="55"/>
      <c r="CE221" s="55"/>
      <c r="CF221" s="55"/>
      <c r="CG221" s="55"/>
      <c r="CH221" s="55"/>
      <c r="CI221" s="55"/>
      <c r="CJ221" s="55"/>
      <c r="CK221" s="55"/>
      <c r="CL221" s="55"/>
      <c r="CM221" s="55"/>
      <c r="CN221" s="55"/>
      <c r="CO221" s="55"/>
      <c r="CP221" s="55"/>
      <c r="CQ221" s="55"/>
      <c r="CR221" s="55"/>
      <c r="CS221" s="55"/>
      <c r="CT221" s="526"/>
      <c r="CU221" s="526"/>
      <c r="CV221" s="526"/>
      <c r="CW221" s="526"/>
      <c r="CX221" s="526"/>
      <c r="CY221" s="524"/>
      <c r="CZ221" s="526"/>
      <c r="DA221" s="526"/>
      <c r="DB221" s="526"/>
      <c r="DC221" s="526"/>
      <c r="DD221" s="526"/>
      <c r="DE221" s="526"/>
      <c r="DF221" s="526"/>
      <c r="DG221" s="526"/>
      <c r="DH221" s="526"/>
      <c r="DI221" s="526"/>
    </row>
    <row r="222" spans="1:113" ht="12" outlineLevel="1">
      <c r="A222" s="1" t="s">
        <v>480</v>
      </c>
      <c r="B222" s="19" t="s">
        <v>162</v>
      </c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525">
        <v>0</v>
      </c>
      <c r="AQ222" s="525">
        <v>0</v>
      </c>
      <c r="AR222" s="525">
        <v>0</v>
      </c>
      <c r="AS222" s="525">
        <v>0</v>
      </c>
      <c r="AT222" s="525">
        <v>0</v>
      </c>
      <c r="AU222" s="525">
        <v>0</v>
      </c>
      <c r="AV222" s="525">
        <v>0</v>
      </c>
      <c r="AW222" s="523">
        <v>0</v>
      </c>
      <c r="AX222" s="44">
        <v>0</v>
      </c>
      <c r="AY222" s="44">
        <v>0</v>
      </c>
      <c r="AZ222" s="44">
        <v>0</v>
      </c>
      <c r="BA222" s="44">
        <v>0</v>
      </c>
      <c r="BB222" s="44">
        <v>0</v>
      </c>
      <c r="BC222" s="44">
        <v>0</v>
      </c>
      <c r="BD222" s="44">
        <v>0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113"/>
      <c r="CI222" s="113"/>
      <c r="CJ222" s="294"/>
      <c r="CK222" s="294"/>
      <c r="CL222" s="113"/>
      <c r="CM222" s="113"/>
      <c r="CN222" s="113"/>
      <c r="CO222" s="113"/>
      <c r="CP222" s="113"/>
      <c r="CQ222" s="113"/>
      <c r="CR222" s="113"/>
      <c r="CS222" s="113"/>
      <c r="CT222" s="525">
        <v>0</v>
      </c>
      <c r="CU222" s="525">
        <v>0</v>
      </c>
      <c r="CV222" s="525">
        <v>0</v>
      </c>
      <c r="CW222" s="525">
        <v>0</v>
      </c>
      <c r="CX222" s="525">
        <v>0</v>
      </c>
      <c r="CY222" s="523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0</v>
      </c>
      <c r="DE222" s="44">
        <v>0</v>
      </c>
      <c r="DF222" s="44">
        <v>0</v>
      </c>
      <c r="DG222" s="44">
        <v>0</v>
      </c>
      <c r="DH222" s="44">
        <v>0</v>
      </c>
      <c r="DI222" s="44">
        <v>0</v>
      </c>
    </row>
    <row r="223" spans="1:113" ht="12" outlineLevel="1">
      <c r="A223" s="1" t="s">
        <v>1059</v>
      </c>
      <c r="B223" s="19" t="s">
        <v>341</v>
      </c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4">
        <v>0</v>
      </c>
      <c r="AQ223" s="44">
        <v>0</v>
      </c>
      <c r="AR223" s="44">
        <v>0</v>
      </c>
      <c r="AS223" s="44">
        <v>0</v>
      </c>
      <c r="AT223" s="44">
        <v>0</v>
      </c>
      <c r="AU223" s="44">
        <v>0</v>
      </c>
      <c r="AV223" s="44">
        <v>0</v>
      </c>
      <c r="AW223" s="45">
        <v>0</v>
      </c>
      <c r="AX223" s="44">
        <v>0</v>
      </c>
      <c r="AY223" s="44">
        <v>0</v>
      </c>
      <c r="AZ223" s="44">
        <v>0</v>
      </c>
      <c r="BA223" s="44">
        <v>0</v>
      </c>
      <c r="BB223" s="44">
        <v>0</v>
      </c>
      <c r="BC223" s="44">
        <v>0</v>
      </c>
      <c r="BD223" s="44">
        <v>0</v>
      </c>
      <c r="BE223" s="44">
        <v>0</v>
      </c>
      <c r="BF223" s="44">
        <v>0</v>
      </c>
      <c r="BG223" s="44">
        <v>0</v>
      </c>
      <c r="BH223" s="44">
        <v>0</v>
      </c>
      <c r="BI223" s="44">
        <v>0</v>
      </c>
      <c r="BJ223" s="44">
        <v>0</v>
      </c>
      <c r="BK223" s="44">
        <v>0</v>
      </c>
      <c r="BL223" s="44">
        <v>0</v>
      </c>
      <c r="BM223" s="44">
        <v>0</v>
      </c>
      <c r="BN223" s="44">
        <v>0</v>
      </c>
      <c r="BO223" s="44">
        <v>0</v>
      </c>
      <c r="BP223" s="44">
        <v>0</v>
      </c>
      <c r="BQ223" s="44">
        <v>0</v>
      </c>
      <c r="BR223" s="44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4">
        <v>0</v>
      </c>
      <c r="CU223" s="44">
        <v>0</v>
      </c>
      <c r="CV223" s="44">
        <v>0</v>
      </c>
      <c r="CW223" s="44">
        <v>0</v>
      </c>
      <c r="CX223" s="44">
        <v>0</v>
      </c>
      <c r="CY223" s="45">
        <v>0</v>
      </c>
      <c r="CZ223" s="44">
        <v>0</v>
      </c>
      <c r="DA223" s="44">
        <v>0</v>
      </c>
      <c r="DB223" s="44">
        <v>0</v>
      </c>
      <c r="DC223" s="44">
        <v>0</v>
      </c>
      <c r="DD223" s="44">
        <v>0</v>
      </c>
      <c r="DE223" s="44">
        <v>0</v>
      </c>
      <c r="DF223" s="44">
        <v>0</v>
      </c>
      <c r="DG223" s="44">
        <v>0</v>
      </c>
      <c r="DH223" s="44">
        <v>0</v>
      </c>
      <c r="DI223" s="44">
        <v>0</v>
      </c>
    </row>
    <row r="224" spans="1:113" s="24" customFormat="1" ht="12" outlineLevel="1">
      <c r="A224" s="1" t="s">
        <v>397</v>
      </c>
      <c r="B224" s="24" t="s">
        <v>166</v>
      </c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5"/>
      <c r="AM224" s="55"/>
      <c r="AN224" s="55"/>
      <c r="AO224" s="55"/>
      <c r="AP224" s="521">
        <v>0</v>
      </c>
      <c r="AQ224" s="521">
        <v>0</v>
      </c>
      <c r="AR224" s="521">
        <v>0</v>
      </c>
      <c r="AS224" s="521">
        <v>0</v>
      </c>
      <c r="AT224" s="521">
        <v>0</v>
      </c>
      <c r="AU224" s="521">
        <v>0</v>
      </c>
      <c r="AV224" s="521">
        <v>0</v>
      </c>
      <c r="AW224" s="522">
        <v>0</v>
      </c>
      <c r="AX224" s="526">
        <v>0</v>
      </c>
      <c r="AY224" s="526">
        <v>0</v>
      </c>
      <c r="AZ224" s="526">
        <v>0</v>
      </c>
      <c r="BA224" s="526">
        <v>0</v>
      </c>
      <c r="BB224" s="526">
        <v>0</v>
      </c>
      <c r="BC224" s="526">
        <v>0</v>
      </c>
      <c r="BD224" s="526">
        <v>0</v>
      </c>
      <c r="BE224" s="526">
        <v>0</v>
      </c>
      <c r="BF224" s="526">
        <v>0</v>
      </c>
      <c r="BG224" s="526">
        <v>0</v>
      </c>
      <c r="BH224" s="526">
        <v>0</v>
      </c>
      <c r="BI224" s="526">
        <v>0</v>
      </c>
      <c r="BJ224" s="526">
        <v>0</v>
      </c>
      <c r="BK224" s="526">
        <v>0</v>
      </c>
      <c r="BL224" s="526">
        <v>0</v>
      </c>
      <c r="BM224" s="526">
        <v>0</v>
      </c>
      <c r="BN224" s="526">
        <v>0</v>
      </c>
      <c r="BO224" s="526">
        <v>0</v>
      </c>
      <c r="BP224" s="526">
        <v>0</v>
      </c>
      <c r="BQ224" s="526">
        <v>0</v>
      </c>
      <c r="BR224" s="526"/>
      <c r="BS224" s="54"/>
      <c r="BT224" s="54"/>
      <c r="BU224" s="54"/>
      <c r="BV224" s="54"/>
      <c r="BW224" s="54"/>
      <c r="BX224" s="54"/>
      <c r="BY224" s="54"/>
      <c r="BZ224" s="54"/>
      <c r="CA224" s="54"/>
      <c r="CB224" s="54"/>
      <c r="CC224" s="55"/>
      <c r="CD224" s="55"/>
      <c r="CE224" s="55"/>
      <c r="CF224" s="55"/>
      <c r="CG224" s="55"/>
      <c r="CH224" s="117"/>
      <c r="CI224" s="117"/>
      <c r="CJ224" s="295"/>
      <c r="CK224" s="295"/>
      <c r="CL224" s="117"/>
      <c r="CM224" s="117"/>
      <c r="CN224" s="117"/>
      <c r="CO224" s="117"/>
      <c r="CP224" s="117"/>
      <c r="CQ224" s="117"/>
      <c r="CR224" s="117"/>
      <c r="CS224" s="117"/>
      <c r="CT224" s="521">
        <v>0</v>
      </c>
      <c r="CU224" s="521">
        <v>0</v>
      </c>
      <c r="CV224" s="521">
        <v>0</v>
      </c>
      <c r="CW224" s="521">
        <v>0</v>
      </c>
      <c r="CX224" s="521">
        <v>0</v>
      </c>
      <c r="CY224" s="522">
        <v>0</v>
      </c>
      <c r="CZ224" s="526">
        <v>0</v>
      </c>
      <c r="DA224" s="526">
        <v>0</v>
      </c>
      <c r="DB224" s="526">
        <v>0</v>
      </c>
      <c r="DC224" s="526">
        <v>0</v>
      </c>
      <c r="DD224" s="526">
        <v>0</v>
      </c>
      <c r="DE224" s="526">
        <v>0</v>
      </c>
      <c r="DF224" s="526">
        <v>0</v>
      </c>
      <c r="DG224" s="526">
        <v>0</v>
      </c>
      <c r="DH224" s="526">
        <v>0</v>
      </c>
      <c r="DI224" s="526">
        <v>0</v>
      </c>
    </row>
    <row r="225" spans="1:113" ht="12" outlineLevel="1"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4"/>
      <c r="AQ225" s="44"/>
      <c r="AR225" s="44"/>
      <c r="AS225" s="44"/>
      <c r="AT225" s="44"/>
      <c r="AU225" s="44"/>
      <c r="AV225" s="44"/>
      <c r="AW225" s="45"/>
      <c r="AX225" s="44"/>
      <c r="AY225" s="44"/>
      <c r="AZ225" s="44"/>
      <c r="BA225" s="44"/>
      <c r="BB225" s="44"/>
      <c r="BC225" s="44"/>
      <c r="BD225" s="44"/>
      <c r="BE225" s="44"/>
      <c r="BF225" s="44"/>
      <c r="BG225" s="44"/>
      <c r="BH225" s="44"/>
      <c r="BI225" s="44"/>
      <c r="BJ225" s="44"/>
      <c r="BK225" s="44"/>
      <c r="BL225" s="44"/>
      <c r="BM225" s="44"/>
      <c r="BN225" s="44"/>
      <c r="BO225" s="44"/>
      <c r="BP225" s="44"/>
      <c r="BQ225" s="44"/>
      <c r="BR225" s="44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4"/>
      <c r="CU225" s="44"/>
      <c r="CV225" s="44"/>
      <c r="CW225" s="44"/>
      <c r="CX225" s="44"/>
      <c r="CY225" s="45"/>
      <c r="CZ225" s="44"/>
      <c r="DA225" s="44"/>
      <c r="DB225" s="44"/>
      <c r="DC225" s="44"/>
      <c r="DD225" s="44"/>
      <c r="DE225" s="44"/>
      <c r="DF225" s="44"/>
      <c r="DG225" s="44"/>
      <c r="DH225" s="44"/>
      <c r="DI225" s="44"/>
    </row>
    <row r="226" spans="1:113" s="24" customFormat="1" ht="12" outlineLevel="1">
      <c r="A226" s="1"/>
      <c r="B226" s="24" t="s">
        <v>339</v>
      </c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26"/>
      <c r="AQ226" s="526"/>
      <c r="AR226" s="526"/>
      <c r="AS226" s="526"/>
      <c r="AT226" s="526"/>
      <c r="AU226" s="526"/>
      <c r="AV226" s="526"/>
      <c r="AW226" s="524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5"/>
      <c r="BT226" s="55"/>
      <c r="BU226" s="55"/>
      <c r="BV226" s="55"/>
      <c r="BW226" s="55"/>
      <c r="BX226" s="55"/>
      <c r="BY226" s="55"/>
      <c r="BZ226" s="55"/>
      <c r="CA226" s="55"/>
      <c r="CB226" s="55"/>
      <c r="CC226" s="55"/>
      <c r="CD226" s="55"/>
      <c r="CE226" s="55"/>
      <c r="CF226" s="55"/>
      <c r="CG226" s="55"/>
      <c r="CH226" s="55"/>
      <c r="CI226" s="55"/>
      <c r="CJ226" s="55"/>
      <c r="CK226" s="55"/>
      <c r="CL226" s="55"/>
      <c r="CM226" s="55"/>
      <c r="CN226" s="55"/>
      <c r="CO226" s="55"/>
      <c r="CP226" s="55"/>
      <c r="CQ226" s="55"/>
      <c r="CR226" s="55"/>
      <c r="CS226" s="55"/>
      <c r="CT226" s="526"/>
      <c r="CU226" s="526"/>
      <c r="CV226" s="526"/>
      <c r="CW226" s="526"/>
      <c r="CX226" s="526"/>
      <c r="CY226" s="524"/>
      <c r="CZ226" s="526"/>
      <c r="DA226" s="526"/>
      <c r="DB226" s="526"/>
      <c r="DC226" s="526"/>
      <c r="DD226" s="526"/>
      <c r="DE226" s="526"/>
      <c r="DF226" s="526"/>
      <c r="DG226" s="526"/>
      <c r="DH226" s="526"/>
      <c r="DI226" s="526"/>
    </row>
    <row r="227" spans="1:113" ht="12" outlineLevel="1">
      <c r="A227" s="1" t="s">
        <v>398</v>
      </c>
      <c r="B227" s="19" t="s">
        <v>162</v>
      </c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525">
        <v>0</v>
      </c>
      <c r="AQ227" s="525">
        <v>0</v>
      </c>
      <c r="AR227" s="525">
        <v>0</v>
      </c>
      <c r="AS227" s="525">
        <v>0</v>
      </c>
      <c r="AT227" s="525">
        <v>0</v>
      </c>
      <c r="AU227" s="525">
        <v>0</v>
      </c>
      <c r="AV227" s="525">
        <v>0</v>
      </c>
      <c r="AW227" s="523">
        <v>0</v>
      </c>
      <c r="AX227" s="44">
        <v>0</v>
      </c>
      <c r="AY227" s="44">
        <v>0</v>
      </c>
      <c r="AZ227" s="44">
        <v>0</v>
      </c>
      <c r="BA227" s="44">
        <v>0</v>
      </c>
      <c r="BB227" s="44">
        <v>0</v>
      </c>
      <c r="BC227" s="44">
        <v>0</v>
      </c>
      <c r="BD227" s="44">
        <v>0</v>
      </c>
      <c r="BE227" s="44">
        <v>0</v>
      </c>
      <c r="BF227" s="44">
        <v>0</v>
      </c>
      <c r="BG227" s="44">
        <v>0</v>
      </c>
      <c r="BH227" s="44">
        <v>0</v>
      </c>
      <c r="BI227" s="44">
        <v>0</v>
      </c>
      <c r="BJ227" s="44">
        <v>0</v>
      </c>
      <c r="BK227" s="44">
        <v>0</v>
      </c>
      <c r="BL227" s="44">
        <v>0</v>
      </c>
      <c r="BM227" s="44">
        <v>0</v>
      </c>
      <c r="BN227" s="44">
        <v>0</v>
      </c>
      <c r="BO227" s="44">
        <v>0</v>
      </c>
      <c r="BP227" s="44">
        <v>0</v>
      </c>
      <c r="BQ227" s="44">
        <v>0</v>
      </c>
      <c r="BR227" s="44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/>
      <c r="CF227" s="42"/>
      <c r="CG227" s="42"/>
      <c r="CH227" s="113"/>
      <c r="CI227" s="113"/>
      <c r="CJ227" s="294"/>
      <c r="CK227" s="294"/>
      <c r="CL227" s="113"/>
      <c r="CM227" s="113"/>
      <c r="CN227" s="113"/>
      <c r="CO227" s="113"/>
      <c r="CP227" s="113"/>
      <c r="CQ227" s="113"/>
      <c r="CR227" s="113"/>
      <c r="CS227" s="113"/>
      <c r="CT227" s="525">
        <v>0</v>
      </c>
      <c r="CU227" s="525">
        <v>0</v>
      </c>
      <c r="CV227" s="525">
        <v>0</v>
      </c>
      <c r="CW227" s="525">
        <v>0</v>
      </c>
      <c r="CX227" s="525">
        <v>0</v>
      </c>
      <c r="CY227" s="523">
        <v>0</v>
      </c>
      <c r="CZ227" s="44">
        <v>0</v>
      </c>
      <c r="DA227" s="44">
        <v>0</v>
      </c>
      <c r="DB227" s="44">
        <v>0</v>
      </c>
      <c r="DC227" s="44">
        <v>0</v>
      </c>
      <c r="DD227" s="44">
        <v>0</v>
      </c>
      <c r="DE227" s="44">
        <v>0</v>
      </c>
      <c r="DF227" s="44">
        <v>0</v>
      </c>
      <c r="DG227" s="44">
        <v>0</v>
      </c>
      <c r="DH227" s="44">
        <v>0</v>
      </c>
      <c r="DI227" s="44">
        <v>0</v>
      </c>
    </row>
    <row r="228" spans="1:113" ht="12" outlineLevel="1">
      <c r="A228" s="1" t="s">
        <v>1060</v>
      </c>
      <c r="B228" s="19" t="s">
        <v>341</v>
      </c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4">
        <v>0</v>
      </c>
      <c r="AQ228" s="44">
        <v>0</v>
      </c>
      <c r="AR228" s="44">
        <v>0</v>
      </c>
      <c r="AS228" s="44">
        <v>0</v>
      </c>
      <c r="AT228" s="44">
        <v>0</v>
      </c>
      <c r="AU228" s="44">
        <v>0</v>
      </c>
      <c r="AV228" s="44">
        <v>0</v>
      </c>
      <c r="AW228" s="45">
        <v>0</v>
      </c>
      <c r="AX228" s="44">
        <v>0</v>
      </c>
      <c r="AY228" s="44">
        <v>0</v>
      </c>
      <c r="AZ228" s="44">
        <v>0</v>
      </c>
      <c r="BA228" s="44">
        <v>0</v>
      </c>
      <c r="BB228" s="44">
        <v>0</v>
      </c>
      <c r="BC228" s="44">
        <v>0</v>
      </c>
      <c r="BD228" s="44">
        <v>0</v>
      </c>
      <c r="BE228" s="44">
        <v>0</v>
      </c>
      <c r="BF228" s="44">
        <v>0</v>
      </c>
      <c r="BG228" s="44">
        <v>0</v>
      </c>
      <c r="BH228" s="44">
        <v>0</v>
      </c>
      <c r="BI228" s="44">
        <v>0</v>
      </c>
      <c r="BJ228" s="44">
        <v>0</v>
      </c>
      <c r="BK228" s="44">
        <v>0</v>
      </c>
      <c r="BL228" s="44">
        <v>0</v>
      </c>
      <c r="BM228" s="44">
        <v>0</v>
      </c>
      <c r="BN228" s="44">
        <v>0</v>
      </c>
      <c r="BO228" s="44">
        <v>0</v>
      </c>
      <c r="BP228" s="44">
        <v>0</v>
      </c>
      <c r="BQ228" s="44">
        <v>0</v>
      </c>
      <c r="BR228" s="44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4">
        <v>0</v>
      </c>
      <c r="CU228" s="44">
        <v>0</v>
      </c>
      <c r="CV228" s="44">
        <v>0</v>
      </c>
      <c r="CW228" s="44">
        <v>0</v>
      </c>
      <c r="CX228" s="44">
        <v>0</v>
      </c>
      <c r="CY228" s="45">
        <v>0</v>
      </c>
      <c r="CZ228" s="44">
        <v>0</v>
      </c>
      <c r="DA228" s="44">
        <v>0</v>
      </c>
      <c r="DB228" s="44">
        <v>0</v>
      </c>
      <c r="DC228" s="44">
        <v>0</v>
      </c>
      <c r="DD228" s="44">
        <v>0</v>
      </c>
      <c r="DE228" s="44">
        <v>0</v>
      </c>
      <c r="DF228" s="44">
        <v>0</v>
      </c>
      <c r="DG228" s="44">
        <v>0</v>
      </c>
      <c r="DH228" s="44">
        <v>0</v>
      </c>
      <c r="DI228" s="44">
        <v>0</v>
      </c>
    </row>
    <row r="229" spans="1:113" s="24" customFormat="1" ht="12" outlineLevel="1">
      <c r="A229" s="1" t="s">
        <v>399</v>
      </c>
      <c r="B229" s="24" t="s">
        <v>166</v>
      </c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21">
        <v>0</v>
      </c>
      <c r="AQ229" s="521">
        <v>0</v>
      </c>
      <c r="AR229" s="521">
        <v>0</v>
      </c>
      <c r="AS229" s="521">
        <v>0</v>
      </c>
      <c r="AT229" s="521">
        <v>0</v>
      </c>
      <c r="AU229" s="521">
        <v>0</v>
      </c>
      <c r="AV229" s="521">
        <v>0</v>
      </c>
      <c r="AW229" s="522">
        <v>0</v>
      </c>
      <c r="AX229" s="526">
        <v>0</v>
      </c>
      <c r="AY229" s="526">
        <v>0</v>
      </c>
      <c r="AZ229" s="526">
        <v>0</v>
      </c>
      <c r="BA229" s="526">
        <v>0</v>
      </c>
      <c r="BB229" s="526">
        <v>0</v>
      </c>
      <c r="BC229" s="526">
        <v>0</v>
      </c>
      <c r="BD229" s="526">
        <v>0</v>
      </c>
      <c r="BE229" s="526">
        <v>0</v>
      </c>
      <c r="BF229" s="526">
        <v>0</v>
      </c>
      <c r="BG229" s="526">
        <v>0</v>
      </c>
      <c r="BH229" s="526">
        <v>0</v>
      </c>
      <c r="BI229" s="526">
        <v>0</v>
      </c>
      <c r="BJ229" s="526">
        <v>0</v>
      </c>
      <c r="BK229" s="526">
        <v>0</v>
      </c>
      <c r="BL229" s="526">
        <v>0</v>
      </c>
      <c r="BM229" s="526">
        <v>0</v>
      </c>
      <c r="BN229" s="526">
        <v>0</v>
      </c>
      <c r="BO229" s="526">
        <v>0</v>
      </c>
      <c r="BP229" s="526">
        <v>0</v>
      </c>
      <c r="BQ229" s="526">
        <v>0</v>
      </c>
      <c r="BR229" s="526"/>
      <c r="BS229" s="54"/>
      <c r="BT229" s="54"/>
      <c r="BU229" s="54"/>
      <c r="BV229" s="54"/>
      <c r="BW229" s="54"/>
      <c r="BX229" s="54"/>
      <c r="BY229" s="54"/>
      <c r="BZ229" s="54"/>
      <c r="CA229" s="54"/>
      <c r="CB229" s="54"/>
      <c r="CC229" s="55"/>
      <c r="CD229" s="55"/>
      <c r="CE229" s="55"/>
      <c r="CF229" s="55"/>
      <c r="CG229" s="55"/>
      <c r="CH229" s="117"/>
      <c r="CI229" s="117"/>
      <c r="CJ229" s="295"/>
      <c r="CK229" s="295"/>
      <c r="CL229" s="117"/>
      <c r="CM229" s="117"/>
      <c r="CN229" s="117"/>
      <c r="CO229" s="117"/>
      <c r="CP229" s="117"/>
      <c r="CQ229" s="117"/>
      <c r="CR229" s="117"/>
      <c r="CS229" s="117"/>
      <c r="CT229" s="521">
        <v>0</v>
      </c>
      <c r="CU229" s="521">
        <v>0</v>
      </c>
      <c r="CV229" s="521">
        <v>0</v>
      </c>
      <c r="CW229" s="521">
        <v>0</v>
      </c>
      <c r="CX229" s="521">
        <v>0</v>
      </c>
      <c r="CY229" s="522">
        <v>0</v>
      </c>
      <c r="CZ229" s="526">
        <v>0</v>
      </c>
      <c r="DA229" s="526">
        <v>0</v>
      </c>
      <c r="DB229" s="526">
        <v>0</v>
      </c>
      <c r="DC229" s="526">
        <v>0</v>
      </c>
      <c r="DD229" s="526">
        <v>0</v>
      </c>
      <c r="DE229" s="526">
        <v>0</v>
      </c>
      <c r="DF229" s="526">
        <v>0</v>
      </c>
      <c r="DG229" s="526">
        <v>0</v>
      </c>
      <c r="DH229" s="526">
        <v>0</v>
      </c>
      <c r="DI229" s="526">
        <v>0</v>
      </c>
    </row>
    <row r="230" spans="1:113" ht="12" outlineLevel="1"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4"/>
      <c r="AQ230" s="572"/>
      <c r="AR230" s="44"/>
      <c r="AS230" s="44"/>
      <c r="AT230" s="44"/>
      <c r="AU230" s="44"/>
      <c r="AV230" s="44"/>
      <c r="AW230" s="45"/>
      <c r="AX230" s="44"/>
      <c r="AY230" s="44"/>
      <c r="AZ230" s="44"/>
      <c r="BA230" s="44"/>
      <c r="BB230" s="44"/>
      <c r="BC230" s="44"/>
      <c r="BD230" s="44"/>
      <c r="BE230" s="44"/>
      <c r="BF230" s="44"/>
      <c r="BG230" s="44"/>
      <c r="BH230" s="44"/>
      <c r="BI230" s="44"/>
      <c r="BJ230" s="44"/>
      <c r="BK230" s="44"/>
      <c r="BL230" s="44"/>
      <c r="BM230" s="44"/>
      <c r="BN230" s="44"/>
      <c r="BO230" s="44"/>
      <c r="BP230" s="44"/>
      <c r="BQ230" s="44"/>
      <c r="BR230" s="44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4"/>
      <c r="CU230" s="44"/>
      <c r="CV230" s="44"/>
      <c r="CW230" s="44"/>
      <c r="CX230" s="44"/>
      <c r="CY230" s="45"/>
      <c r="CZ230" s="44"/>
      <c r="DA230" s="44"/>
      <c r="DB230" s="44"/>
      <c r="DC230" s="44"/>
      <c r="DD230" s="44"/>
      <c r="DE230" s="44"/>
      <c r="DF230" s="44"/>
      <c r="DG230" s="44"/>
      <c r="DH230" s="44"/>
      <c r="DI230" s="44"/>
    </row>
    <row r="231" spans="1:113" s="24" customFormat="1" ht="12" outlineLevel="1">
      <c r="A231" s="1"/>
      <c r="B231" s="24" t="s">
        <v>340</v>
      </c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5"/>
      <c r="AM231" s="55"/>
      <c r="AN231" s="55"/>
      <c r="AO231" s="55"/>
      <c r="AP231" s="526"/>
      <c r="AQ231" s="526"/>
      <c r="AR231" s="526"/>
      <c r="AS231" s="526"/>
      <c r="AT231" s="526"/>
      <c r="AU231" s="526"/>
      <c r="AV231" s="526"/>
      <c r="AW231" s="524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5"/>
      <c r="BT231" s="55"/>
      <c r="BU231" s="55"/>
      <c r="BV231" s="55"/>
      <c r="BW231" s="55"/>
      <c r="BX231" s="55"/>
      <c r="BY231" s="55"/>
      <c r="BZ231" s="55"/>
      <c r="CA231" s="55"/>
      <c r="CB231" s="55"/>
      <c r="CC231" s="55"/>
      <c r="CD231" s="55"/>
      <c r="CE231" s="55"/>
      <c r="CF231" s="55"/>
      <c r="CG231" s="55"/>
      <c r="CH231" s="55"/>
      <c r="CI231" s="55"/>
      <c r="CJ231" s="55"/>
      <c r="CK231" s="55"/>
      <c r="CL231" s="55"/>
      <c r="CM231" s="55"/>
      <c r="CN231" s="55"/>
      <c r="CO231" s="55"/>
      <c r="CP231" s="55"/>
      <c r="CQ231" s="55"/>
      <c r="CR231" s="55"/>
      <c r="CS231" s="55"/>
      <c r="CT231" s="526"/>
      <c r="CU231" s="526"/>
      <c r="CV231" s="526"/>
      <c r="CW231" s="526"/>
      <c r="CX231" s="526"/>
      <c r="CY231" s="524"/>
      <c r="CZ231" s="526"/>
      <c r="DA231" s="526"/>
      <c r="DB231" s="526"/>
      <c r="DC231" s="526"/>
      <c r="DD231" s="526"/>
      <c r="DE231" s="526"/>
      <c r="DF231" s="526"/>
      <c r="DG231" s="526"/>
      <c r="DH231" s="526"/>
      <c r="DI231" s="526"/>
    </row>
    <row r="232" spans="1:113" ht="12" outlineLevel="1">
      <c r="A232" s="1" t="s">
        <v>402</v>
      </c>
      <c r="B232" s="19" t="s">
        <v>162</v>
      </c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4">
        <v>203.50209364293872</v>
      </c>
      <c r="AQ232" s="44">
        <v>290.84393816110656</v>
      </c>
      <c r="AR232" s="44">
        <v>424.57422902223283</v>
      </c>
      <c r="AS232" s="44">
        <v>548.05585009140771</v>
      </c>
      <c r="AT232" s="44">
        <v>695.36552186369897</v>
      </c>
      <c r="AU232" s="44">
        <v>844.47633455539221</v>
      </c>
      <c r="AV232" s="44">
        <v>1002.1858393289883</v>
      </c>
      <c r="AW232" s="45">
        <v>1074.3107588456885</v>
      </c>
      <c r="AX232" s="44">
        <v>1176.7776703414829</v>
      </c>
      <c r="AY232" s="44">
        <v>1292.2403903700708</v>
      </c>
      <c r="AZ232" s="44">
        <v>1413.0026923869477</v>
      </c>
      <c r="BA232" s="44">
        <v>1530.8448162872292</v>
      </c>
      <c r="BB232" s="44">
        <v>1622.5783372610204</v>
      </c>
      <c r="BC232" s="44">
        <v>1692.480634608562</v>
      </c>
      <c r="BD232" s="44">
        <v>1765.3943928281328</v>
      </c>
      <c r="BE232" s="44">
        <v>1841.4493486655615</v>
      </c>
      <c r="BF232" s="44">
        <v>1906.6787379176196</v>
      </c>
      <c r="BG232" s="44">
        <v>1960.2201835570841</v>
      </c>
      <c r="BH232" s="44">
        <v>2005.3283186499539</v>
      </c>
      <c r="BI232" s="44">
        <v>2041.5866599794631</v>
      </c>
      <c r="BJ232" s="44">
        <v>2078.500588378552</v>
      </c>
      <c r="BK232" s="44">
        <v>2116.081957517024</v>
      </c>
      <c r="BL232" s="44">
        <v>2154.3428353908894</v>
      </c>
      <c r="BM232" s="44">
        <v>2193.2955081975915</v>
      </c>
      <c r="BN232" s="44">
        <v>2232.9524842813116</v>
      </c>
      <c r="BO232" s="44">
        <v>2273.3264981496013</v>
      </c>
      <c r="BP232" s="44">
        <v>2314.430514562644</v>
      </c>
      <c r="BQ232" s="44">
        <v>2356.2777326964501</v>
      </c>
      <c r="BR232" s="44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4">
        <v>1.7791200000000003</v>
      </c>
      <c r="CU232" s="44">
        <v>53.389442103465797</v>
      </c>
      <c r="CV232" s="44">
        <v>227.11523864993501</v>
      </c>
      <c r="CW232" s="44">
        <v>488.22674297606659</v>
      </c>
      <c r="CX232" s="44">
        <v>776.28195042600566</v>
      </c>
      <c r="CY232" s="45">
        <v>1032.6519358982202</v>
      </c>
      <c r="CZ232" s="44">
        <v>1234.0345260268923</v>
      </c>
      <c r="DA232" s="44">
        <v>1471.4394716361282</v>
      </c>
      <c r="DB232" s="44">
        <v>1657.2422162196644</v>
      </c>
      <c r="DC232" s="44">
        <v>1803.2140703210621</v>
      </c>
      <c r="DD232" s="44">
        <v>1933.2294273991074</v>
      </c>
      <c r="DE232" s="44">
        <v>2023.3084824325326</v>
      </c>
      <c r="DF232" s="44">
        <v>2097.1368289650272</v>
      </c>
      <c r="DG232" s="44">
        <v>2173.7127437264626</v>
      </c>
      <c r="DH232" s="44">
        <v>2252.9735706105184</v>
      </c>
      <c r="DI232" s="44">
        <v>2335.1821487605043</v>
      </c>
    </row>
    <row r="233" spans="1:113" ht="12" outlineLevel="1">
      <c r="A233" s="1" t="s">
        <v>332</v>
      </c>
      <c r="B233" s="19" t="s">
        <v>341</v>
      </c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4">
        <v>1996.4979063570613</v>
      </c>
      <c r="AQ233" s="44">
        <v>2668.1560618388935</v>
      </c>
      <c r="AR233" s="44">
        <v>3744.4257709777671</v>
      </c>
      <c r="AS233" s="44">
        <v>4838.9441499085924</v>
      </c>
      <c r="AT233" s="44">
        <v>6085.6344781363014</v>
      </c>
      <c r="AU233" s="44">
        <v>7205.523665444608</v>
      </c>
      <c r="AV233" s="44">
        <v>8347.8141606710124</v>
      </c>
      <c r="AW233" s="45">
        <v>8951.6892411543122</v>
      </c>
      <c r="AX233" s="44">
        <v>9855.7972563828553</v>
      </c>
      <c r="AY233" s="44">
        <v>10813.002141720013</v>
      </c>
      <c r="AZ233" s="44">
        <v>11778.318452055928</v>
      </c>
      <c r="BA233" s="44">
        <v>12745.565741657214</v>
      </c>
      <c r="BB233" s="44">
        <v>13560.399725894968</v>
      </c>
      <c r="BC233" s="44">
        <v>14199.379321378861</v>
      </c>
      <c r="BD233" s="44">
        <v>14868.468274381554</v>
      </c>
      <c r="BE233" s="44">
        <v>15569.08536793868</v>
      </c>
      <c r="BF233" s="44">
        <v>16183.260309211611</v>
      </c>
      <c r="BG233" s="44">
        <v>16703.082813603789</v>
      </c>
      <c r="BH233" s="44">
        <v>17154.767024715828</v>
      </c>
      <c r="BI233" s="44">
        <v>17534.247626069562</v>
      </c>
      <c r="BJ233" s="44">
        <v>17922.122717805843</v>
      </c>
      <c r="BK233" s="44">
        <v>18318.577994446427</v>
      </c>
      <c r="BL233" s="44">
        <v>18723.803258261571</v>
      </c>
      <c r="BM233" s="44">
        <v>19137.992510137574</v>
      </c>
      <c r="BN233" s="44">
        <v>19561.344042454322</v>
      </c>
      <c r="BO233" s="44">
        <v>19994.060534017452</v>
      </c>
      <c r="BP233" s="44">
        <v>20436.349147090448</v>
      </c>
      <c r="BQ233" s="44">
        <v>20888.421626573232</v>
      </c>
      <c r="BR233" s="44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4">
        <v>87.176879999999997</v>
      </c>
      <c r="CU233" s="44">
        <v>916.72255789653423</v>
      </c>
      <c r="CV233" s="44">
        <v>2349.3177613500648</v>
      </c>
      <c r="CW233" s="44">
        <v>4284.7732570239332</v>
      </c>
      <c r="CX233" s="44">
        <v>6633.718049573994</v>
      </c>
      <c r="CY233" s="45">
        <v>8654.3480641017795</v>
      </c>
      <c r="CZ233" s="44">
        <v>10330.46598034457</v>
      </c>
      <c r="DA233" s="44">
        <v>12257.967107995197</v>
      </c>
      <c r="DB233" s="44">
        <v>13877.26358009383</v>
      </c>
      <c r="DC233" s="44">
        <v>15216.862566806138</v>
      </c>
      <c r="DD233" s="44">
        <v>16441.035304540335</v>
      </c>
      <c r="DE233" s="44">
        <v>17342.947816072061</v>
      </c>
      <c r="DF233" s="44">
        <v>18118.721087865972</v>
      </c>
      <c r="DG233" s="44">
        <v>18929.766219576959</v>
      </c>
      <c r="DH233" s="44">
        <v>19775.924001284257</v>
      </c>
      <c r="DI233" s="44">
        <v>20660.527554724376</v>
      </c>
    </row>
    <row r="234" spans="1:113" s="24" customFormat="1" ht="12" outlineLevel="1">
      <c r="A234" s="1" t="s">
        <v>333</v>
      </c>
      <c r="B234" s="24" t="s">
        <v>166</v>
      </c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  <c r="AK234" s="55"/>
      <c r="AL234" s="55"/>
      <c r="AM234" s="55"/>
      <c r="AN234" s="55"/>
      <c r="AO234" s="55"/>
      <c r="AP234" s="526">
        <v>2200</v>
      </c>
      <c r="AQ234" s="526">
        <v>2959</v>
      </c>
      <c r="AR234" s="526">
        <v>4169</v>
      </c>
      <c r="AS234" s="526">
        <v>5387</v>
      </c>
      <c r="AT234" s="526">
        <v>6781</v>
      </c>
      <c r="AU234" s="526">
        <v>8050</v>
      </c>
      <c r="AV234" s="526">
        <v>9350</v>
      </c>
      <c r="AW234" s="524">
        <v>10026</v>
      </c>
      <c r="AX234" s="526">
        <v>11032.574926724337</v>
      </c>
      <c r="AY234" s="526">
        <v>12105.242532090084</v>
      </c>
      <c r="AZ234" s="526">
        <v>13191.321144442876</v>
      </c>
      <c r="BA234" s="526">
        <v>14276.410557944444</v>
      </c>
      <c r="BB234" s="526">
        <v>15182.978063155988</v>
      </c>
      <c r="BC234" s="526">
        <v>15891.859955987424</v>
      </c>
      <c r="BD234" s="526">
        <v>16633.862667209687</v>
      </c>
      <c r="BE234" s="526">
        <v>17410.534716604241</v>
      </c>
      <c r="BF234" s="526">
        <v>18089.939047129232</v>
      </c>
      <c r="BG234" s="526">
        <v>18663.302997160874</v>
      </c>
      <c r="BH234" s="526">
        <v>19160.095343365781</v>
      </c>
      <c r="BI234" s="526">
        <v>19575.834286049027</v>
      </c>
      <c r="BJ234" s="526">
        <v>20000.623306184396</v>
      </c>
      <c r="BK234" s="526">
        <v>20434.659951963451</v>
      </c>
      <c r="BL234" s="526">
        <v>20878.14609365246</v>
      </c>
      <c r="BM234" s="526">
        <v>21331.288018335166</v>
      </c>
      <c r="BN234" s="526">
        <v>21794.296526735634</v>
      </c>
      <c r="BO234" s="526">
        <v>22267.387032167055</v>
      </c>
      <c r="BP234" s="526">
        <v>22750.77966165309</v>
      </c>
      <c r="BQ234" s="526">
        <v>23244.699359269682</v>
      </c>
      <c r="BR234" s="526"/>
      <c r="BS234" s="55"/>
      <c r="BT234" s="55"/>
      <c r="BU234" s="55"/>
      <c r="BV234" s="55"/>
      <c r="BW234" s="55"/>
      <c r="BX234" s="55"/>
      <c r="BY234" s="55"/>
      <c r="BZ234" s="55"/>
      <c r="CA234" s="55"/>
      <c r="CB234" s="55"/>
      <c r="CC234" s="55"/>
      <c r="CD234" s="55"/>
      <c r="CE234" s="55"/>
      <c r="CF234" s="55"/>
      <c r="CG234" s="55"/>
      <c r="CH234" s="55"/>
      <c r="CI234" s="55"/>
      <c r="CJ234" s="55"/>
      <c r="CK234" s="55"/>
      <c r="CL234" s="55"/>
      <c r="CM234" s="55"/>
      <c r="CN234" s="55"/>
      <c r="CO234" s="55"/>
      <c r="CP234" s="55"/>
      <c r="CQ234" s="55"/>
      <c r="CR234" s="55"/>
      <c r="CS234" s="55"/>
      <c r="CT234" s="526">
        <v>88.956000000000003</v>
      </c>
      <c r="CU234" s="526">
        <v>970.11199999999997</v>
      </c>
      <c r="CV234" s="526">
        <v>2576.433</v>
      </c>
      <c r="CW234" s="526">
        <v>4773</v>
      </c>
      <c r="CX234" s="526">
        <v>7410</v>
      </c>
      <c r="CY234" s="524">
        <v>9687</v>
      </c>
      <c r="CZ234" s="526">
        <v>11564.500506371462</v>
      </c>
      <c r="DA234" s="526">
        <v>13729.406579631324</v>
      </c>
      <c r="DB234" s="526">
        <v>15534.505796313495</v>
      </c>
      <c r="DC234" s="526">
        <v>17020.076637127197</v>
      </c>
      <c r="DD234" s="526">
        <v>18374.264731939442</v>
      </c>
      <c r="DE234" s="526">
        <v>19366.256298504595</v>
      </c>
      <c r="DF234" s="526">
        <v>20215.857916830995</v>
      </c>
      <c r="DG234" s="526">
        <v>21103.478963303423</v>
      </c>
      <c r="DH234" s="526">
        <v>22028.897571894777</v>
      </c>
      <c r="DI234" s="526">
        <v>22995.709703484881</v>
      </c>
    </row>
    <row r="235" spans="1:113" ht="12" outlineLevel="1">
      <c r="A235" s="1" t="s">
        <v>334</v>
      </c>
      <c r="B235" s="19" t="s">
        <v>342</v>
      </c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525">
        <v>0</v>
      </c>
      <c r="AQ235" s="525">
        <v>0</v>
      </c>
      <c r="AR235" s="525">
        <v>0</v>
      </c>
      <c r="AS235" s="525">
        <v>0</v>
      </c>
      <c r="AT235" s="525">
        <v>0</v>
      </c>
      <c r="AU235" s="525">
        <v>0</v>
      </c>
      <c r="AV235" s="525">
        <v>0</v>
      </c>
      <c r="AW235" s="523">
        <v>0</v>
      </c>
      <c r="AX235" s="46">
        <v>0</v>
      </c>
      <c r="AY235" s="46">
        <v>0</v>
      </c>
      <c r="AZ235" s="46">
        <v>0</v>
      </c>
      <c r="BA235" s="46">
        <v>0</v>
      </c>
      <c r="BB235" s="46">
        <v>0</v>
      </c>
      <c r="BC235" s="46">
        <v>0</v>
      </c>
      <c r="BD235" s="46">
        <v>0</v>
      </c>
      <c r="BE235" s="46">
        <v>0</v>
      </c>
      <c r="BF235" s="46">
        <v>0</v>
      </c>
      <c r="BG235" s="46">
        <v>0</v>
      </c>
      <c r="BH235" s="46">
        <v>0</v>
      </c>
      <c r="BI235" s="46">
        <v>0</v>
      </c>
      <c r="BJ235" s="46">
        <v>0</v>
      </c>
      <c r="BK235" s="46">
        <v>0</v>
      </c>
      <c r="BL235" s="46">
        <v>0</v>
      </c>
      <c r="BM235" s="46">
        <v>0</v>
      </c>
      <c r="BN235" s="46">
        <v>0</v>
      </c>
      <c r="BO235" s="46">
        <v>0</v>
      </c>
      <c r="BP235" s="46">
        <v>0</v>
      </c>
      <c r="BQ235" s="46">
        <v>0</v>
      </c>
      <c r="BR235" s="44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2"/>
      <c r="CD235" s="42"/>
      <c r="CE235" s="42"/>
      <c r="CF235" s="113"/>
      <c r="CG235" s="113"/>
      <c r="CH235" s="113"/>
      <c r="CI235" s="113"/>
      <c r="CJ235" s="113"/>
      <c r="CK235" s="113"/>
      <c r="CL235" s="113"/>
      <c r="CM235" s="113"/>
      <c r="CN235" s="113"/>
      <c r="CO235" s="113"/>
      <c r="CP235" s="113"/>
      <c r="CQ235" s="113"/>
      <c r="CR235" s="113"/>
      <c r="CS235" s="113"/>
      <c r="CT235" s="525">
        <v>0</v>
      </c>
      <c r="CU235" s="525">
        <v>0</v>
      </c>
      <c r="CV235" s="525">
        <v>0</v>
      </c>
      <c r="CW235" s="525">
        <v>0</v>
      </c>
      <c r="CX235" s="525">
        <v>0</v>
      </c>
      <c r="CY235" s="523">
        <v>0</v>
      </c>
      <c r="CZ235" s="44">
        <v>0</v>
      </c>
      <c r="DA235" s="44">
        <v>0</v>
      </c>
      <c r="DB235" s="44">
        <v>0</v>
      </c>
      <c r="DC235" s="44">
        <v>0</v>
      </c>
      <c r="DD235" s="44">
        <v>0</v>
      </c>
      <c r="DE235" s="44">
        <v>0</v>
      </c>
      <c r="DF235" s="44">
        <v>0</v>
      </c>
      <c r="DG235" s="44">
        <v>0</v>
      </c>
      <c r="DH235" s="44">
        <v>0</v>
      </c>
      <c r="DI235" s="44">
        <v>0</v>
      </c>
    </row>
    <row r="236" spans="1:113" ht="12" outlineLevel="1">
      <c r="A236" s="1" t="s">
        <v>335</v>
      </c>
      <c r="B236" s="19" t="s">
        <v>586</v>
      </c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511"/>
      <c r="AB236" s="511"/>
      <c r="AC236" s="511"/>
      <c r="AD236" s="511"/>
      <c r="AE236" s="511"/>
      <c r="AF236" s="511"/>
      <c r="AG236" s="511"/>
      <c r="AH236" s="511"/>
      <c r="AI236" s="511"/>
      <c r="AJ236" s="511"/>
      <c r="AK236" s="511"/>
      <c r="AL236" s="511"/>
      <c r="AM236" s="511"/>
      <c r="AN236" s="511"/>
      <c r="AO236" s="511"/>
      <c r="AP236" s="575">
        <v>0</v>
      </c>
      <c r="AQ236" s="575">
        <v>0</v>
      </c>
      <c r="AR236" s="575">
        <v>0</v>
      </c>
      <c r="AS236" s="575">
        <v>0</v>
      </c>
      <c r="AT236" s="575">
        <v>0</v>
      </c>
      <c r="AU236" s="575">
        <v>0</v>
      </c>
      <c r="AV236" s="575">
        <v>0</v>
      </c>
      <c r="AW236" s="576">
        <v>0</v>
      </c>
      <c r="AX236" s="46">
        <v>0</v>
      </c>
      <c r="AY236" s="46">
        <v>0</v>
      </c>
      <c r="AZ236" s="46">
        <v>0</v>
      </c>
      <c r="BA236" s="46">
        <v>0</v>
      </c>
      <c r="BB236" s="46">
        <v>0</v>
      </c>
      <c r="BC236" s="46">
        <v>0</v>
      </c>
      <c r="BD236" s="46">
        <v>0</v>
      </c>
      <c r="BE236" s="46">
        <v>0</v>
      </c>
      <c r="BF236" s="46">
        <v>0</v>
      </c>
      <c r="BG236" s="46">
        <v>0</v>
      </c>
      <c r="BH236" s="46">
        <v>0</v>
      </c>
      <c r="BI236" s="46">
        <v>0</v>
      </c>
      <c r="BJ236" s="46">
        <v>0</v>
      </c>
      <c r="BK236" s="46">
        <v>0</v>
      </c>
      <c r="BL236" s="46">
        <v>0</v>
      </c>
      <c r="BM236" s="46">
        <v>0</v>
      </c>
      <c r="BN236" s="46">
        <v>0</v>
      </c>
      <c r="BO236" s="46">
        <v>0</v>
      </c>
      <c r="BP236" s="46">
        <v>0</v>
      </c>
      <c r="BQ236" s="46">
        <v>0</v>
      </c>
      <c r="BR236" s="44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2"/>
      <c r="CD236" s="42"/>
      <c r="CE236" s="42"/>
      <c r="CF236" s="113"/>
      <c r="CG236" s="113"/>
      <c r="CH236" s="113"/>
      <c r="CI236" s="113"/>
      <c r="CJ236" s="113"/>
      <c r="CK236" s="113"/>
      <c r="CL236" s="113"/>
      <c r="CM236" s="113"/>
      <c r="CN236" s="113"/>
      <c r="CO236" s="113"/>
      <c r="CP236" s="113"/>
      <c r="CQ236" s="113"/>
      <c r="CR236" s="113"/>
      <c r="CS236" s="113"/>
      <c r="CT236" s="575">
        <v>0</v>
      </c>
      <c r="CU236" s="575">
        <v>0</v>
      </c>
      <c r="CV236" s="575">
        <v>0</v>
      </c>
      <c r="CW236" s="575">
        <v>0</v>
      </c>
      <c r="CX236" s="575">
        <v>0</v>
      </c>
      <c r="CY236" s="576">
        <v>0</v>
      </c>
      <c r="CZ236" s="44">
        <v>0</v>
      </c>
      <c r="DA236" s="44">
        <v>0</v>
      </c>
      <c r="DB236" s="44">
        <v>0</v>
      </c>
      <c r="DC236" s="44">
        <v>0</v>
      </c>
      <c r="DD236" s="44">
        <v>0</v>
      </c>
      <c r="DE236" s="44">
        <v>0</v>
      </c>
      <c r="DF236" s="44">
        <v>0</v>
      </c>
      <c r="DG236" s="44">
        <v>0</v>
      </c>
      <c r="DH236" s="44">
        <v>0</v>
      </c>
      <c r="DI236" s="44">
        <v>0</v>
      </c>
    </row>
    <row r="237" spans="1:113" s="24" customFormat="1" ht="12" outlineLevel="1">
      <c r="A237" s="1" t="s">
        <v>336</v>
      </c>
      <c r="B237" s="24" t="s">
        <v>587</v>
      </c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  <c r="AJ237" s="55"/>
      <c r="AK237" s="55"/>
      <c r="AL237" s="55"/>
      <c r="AM237" s="55"/>
      <c r="AN237" s="55"/>
      <c r="AO237" s="55"/>
      <c r="AP237" s="526">
        <v>2200</v>
      </c>
      <c r="AQ237" s="526">
        <v>2959</v>
      </c>
      <c r="AR237" s="526">
        <v>4169</v>
      </c>
      <c r="AS237" s="526">
        <v>5387</v>
      </c>
      <c r="AT237" s="526">
        <v>6781</v>
      </c>
      <c r="AU237" s="526">
        <v>8050</v>
      </c>
      <c r="AV237" s="526">
        <v>9350</v>
      </c>
      <c r="AW237" s="524">
        <v>10026</v>
      </c>
      <c r="AX237" s="526">
        <v>11032.574926724337</v>
      </c>
      <c r="AY237" s="526">
        <v>12105.242532090084</v>
      </c>
      <c r="AZ237" s="526">
        <v>13191.321144442876</v>
      </c>
      <c r="BA237" s="526">
        <v>14276.410557944444</v>
      </c>
      <c r="BB237" s="526">
        <v>15182.978063155988</v>
      </c>
      <c r="BC237" s="526">
        <v>15891.859955987424</v>
      </c>
      <c r="BD237" s="526">
        <v>16633.862667209687</v>
      </c>
      <c r="BE237" s="526">
        <v>17410.534716604241</v>
      </c>
      <c r="BF237" s="526">
        <v>18089.939047129232</v>
      </c>
      <c r="BG237" s="526">
        <v>18663.302997160874</v>
      </c>
      <c r="BH237" s="526">
        <v>19160.095343365781</v>
      </c>
      <c r="BI237" s="526">
        <v>19575.834286049027</v>
      </c>
      <c r="BJ237" s="526">
        <v>20000.623306184396</v>
      </c>
      <c r="BK237" s="526">
        <v>20434.659951963451</v>
      </c>
      <c r="BL237" s="526">
        <v>20878.14609365246</v>
      </c>
      <c r="BM237" s="526">
        <v>21331.288018335166</v>
      </c>
      <c r="BN237" s="526">
        <v>21794.296526735634</v>
      </c>
      <c r="BO237" s="526">
        <v>22267.387032167055</v>
      </c>
      <c r="BP237" s="526">
        <v>22750.77966165309</v>
      </c>
      <c r="BQ237" s="526">
        <v>23244.699359269682</v>
      </c>
      <c r="BR237" s="526"/>
      <c r="BS237" s="55"/>
      <c r="BT237" s="55"/>
      <c r="BU237" s="55"/>
      <c r="BV237" s="55"/>
      <c r="BW237" s="55"/>
      <c r="BX237" s="55"/>
      <c r="BY237" s="55"/>
      <c r="BZ237" s="55"/>
      <c r="CA237" s="55"/>
      <c r="CB237" s="55"/>
      <c r="CC237" s="55"/>
      <c r="CD237" s="55"/>
      <c r="CE237" s="55"/>
      <c r="CF237" s="55"/>
      <c r="CG237" s="55"/>
      <c r="CH237" s="55"/>
      <c r="CI237" s="55"/>
      <c r="CJ237" s="55"/>
      <c r="CK237" s="55"/>
      <c r="CL237" s="55"/>
      <c r="CM237" s="55"/>
      <c r="CN237" s="55"/>
      <c r="CO237" s="55"/>
      <c r="CP237" s="55"/>
      <c r="CQ237" s="55"/>
      <c r="CR237" s="55"/>
      <c r="CS237" s="55"/>
      <c r="CT237" s="526">
        <v>88.956000000000003</v>
      </c>
      <c r="CU237" s="526">
        <v>970.11199999999997</v>
      </c>
      <c r="CV237" s="526">
        <v>2576.433</v>
      </c>
      <c r="CW237" s="526">
        <v>4773</v>
      </c>
      <c r="CX237" s="526">
        <v>7410</v>
      </c>
      <c r="CY237" s="524">
        <v>9687</v>
      </c>
      <c r="CZ237" s="526">
        <v>11564.500506371462</v>
      </c>
      <c r="DA237" s="526">
        <v>13729.406579631324</v>
      </c>
      <c r="DB237" s="526">
        <v>15534.505796313495</v>
      </c>
      <c r="DC237" s="526">
        <v>17020.076637127197</v>
      </c>
      <c r="DD237" s="526">
        <v>18374.264731939442</v>
      </c>
      <c r="DE237" s="526">
        <v>19366.256298504595</v>
      </c>
      <c r="DF237" s="526">
        <v>20215.857916830995</v>
      </c>
      <c r="DG237" s="526">
        <v>21103.478963303423</v>
      </c>
      <c r="DH237" s="526">
        <v>22028.897571894777</v>
      </c>
      <c r="DI237" s="526">
        <v>22995.709703484881</v>
      </c>
    </row>
    <row r="238" spans="1:113" ht="12" outlineLevel="1">
      <c r="A238" s="1" t="s">
        <v>919</v>
      </c>
      <c r="B238" s="19" t="s">
        <v>386</v>
      </c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4">
        <v>845</v>
      </c>
      <c r="AQ238" s="44">
        <v>1990</v>
      </c>
      <c r="AR238" s="44">
        <v>3520</v>
      </c>
      <c r="AS238" s="44">
        <v>3303</v>
      </c>
      <c r="AT238" s="44">
        <v>3222</v>
      </c>
      <c r="AU238" s="44">
        <v>3083</v>
      </c>
      <c r="AV238" s="44">
        <v>3510</v>
      </c>
      <c r="AW238" s="45">
        <v>3433</v>
      </c>
      <c r="AX238" s="577">
        <v>2482.3293585129759</v>
      </c>
      <c r="AY238" s="577">
        <v>2421.048506418017</v>
      </c>
      <c r="AZ238" s="44">
        <v>2638.2642288885754</v>
      </c>
      <c r="BA238" s="44">
        <v>2855.2821115888887</v>
      </c>
      <c r="BB238" s="44">
        <v>3036.5956126311976</v>
      </c>
      <c r="BC238" s="44">
        <v>3178.3719911974849</v>
      </c>
      <c r="BD238" s="44">
        <v>3326.7725334419379</v>
      </c>
      <c r="BE238" s="44">
        <v>3482.1069433208486</v>
      </c>
      <c r="BF238" s="44">
        <v>3617.987809425847</v>
      </c>
      <c r="BG238" s="44">
        <v>3732.6605994321753</v>
      </c>
      <c r="BH238" s="44">
        <v>3832.0190686731567</v>
      </c>
      <c r="BI238" s="44">
        <v>3915.166857209806</v>
      </c>
      <c r="BJ238" s="44">
        <v>4000.1246612368795</v>
      </c>
      <c r="BK238" s="44">
        <v>4086.9319903926908</v>
      </c>
      <c r="BL238" s="44">
        <v>4175.6292187304925</v>
      </c>
      <c r="BM238" s="44">
        <v>4266.2576036670334</v>
      </c>
      <c r="BN238" s="44">
        <v>4358.8593053471268</v>
      </c>
      <c r="BO238" s="44">
        <v>4453.4774064334106</v>
      </c>
      <c r="BP238" s="44">
        <v>4550.1559323306174</v>
      </c>
      <c r="BQ238" s="44">
        <v>4648.939871853936</v>
      </c>
      <c r="BR238" s="44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4">
        <v>72.930792452830175</v>
      </c>
      <c r="CU238" s="44">
        <v>421.88800000000003</v>
      </c>
      <c r="CV238" s="44">
        <v>1457.567</v>
      </c>
      <c r="CW238" s="44">
        <v>3406</v>
      </c>
      <c r="CX238" s="44">
        <v>3145</v>
      </c>
      <c r="CY238" s="45">
        <v>3443</v>
      </c>
      <c r="CZ238" s="44">
        <v>2451.9407715836946</v>
      </c>
      <c r="DA238" s="44">
        <v>2745.881315926265</v>
      </c>
      <c r="DB238" s="44">
        <v>3106.9011592626975</v>
      </c>
      <c r="DC238" s="44">
        <v>3404.0153274254408</v>
      </c>
      <c r="DD238" s="44">
        <v>3674.8529463878913</v>
      </c>
      <c r="DE238" s="44">
        <v>3873.251259700919</v>
      </c>
      <c r="DF238" s="44">
        <v>4043.171583366202</v>
      </c>
      <c r="DG238" s="44">
        <v>4220.6957926606883</v>
      </c>
      <c r="DH238" s="44">
        <v>4405.7795143789554</v>
      </c>
      <c r="DI238" s="44">
        <v>4599.1419406969762</v>
      </c>
    </row>
    <row r="239" spans="1:113" s="24" customFormat="1" ht="12" outlineLevel="1">
      <c r="A239" s="1" t="s">
        <v>920</v>
      </c>
      <c r="B239" s="24" t="s">
        <v>469</v>
      </c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  <c r="AN239" s="55"/>
      <c r="AO239" s="55"/>
      <c r="AP239" s="521">
        <v>3045</v>
      </c>
      <c r="AQ239" s="521">
        <v>4949</v>
      </c>
      <c r="AR239" s="521">
        <v>7689</v>
      </c>
      <c r="AS239" s="521">
        <v>8690</v>
      </c>
      <c r="AT239" s="521">
        <v>10003</v>
      </c>
      <c r="AU239" s="521">
        <v>11133</v>
      </c>
      <c r="AV239" s="521">
        <v>12860</v>
      </c>
      <c r="AW239" s="522">
        <v>13459</v>
      </c>
      <c r="AX239" s="526">
        <v>13514.904285237313</v>
      </c>
      <c r="AY239" s="526">
        <v>14526.291038508101</v>
      </c>
      <c r="AZ239" s="526">
        <v>15829.585373331451</v>
      </c>
      <c r="BA239" s="526">
        <v>17131.692669533331</v>
      </c>
      <c r="BB239" s="526">
        <v>18219.573675787185</v>
      </c>
      <c r="BC239" s="526">
        <v>19070.231947184908</v>
      </c>
      <c r="BD239" s="526">
        <v>19960.635200651624</v>
      </c>
      <c r="BE239" s="526">
        <v>20892.641659925088</v>
      </c>
      <c r="BF239" s="526">
        <v>21707.926856555077</v>
      </c>
      <c r="BG239" s="526">
        <v>22395.96359659305</v>
      </c>
      <c r="BH239" s="526">
        <v>22992.114412038936</v>
      </c>
      <c r="BI239" s="526">
        <v>23491.001143258833</v>
      </c>
      <c r="BJ239" s="526">
        <v>24000.747967421274</v>
      </c>
      <c r="BK239" s="526">
        <v>24521.591942356143</v>
      </c>
      <c r="BL239" s="526">
        <v>25053.775312382953</v>
      </c>
      <c r="BM239" s="526">
        <v>25597.545622002199</v>
      </c>
      <c r="BN239" s="526">
        <v>26153.155832082761</v>
      </c>
      <c r="BO239" s="526">
        <v>26720.864438600467</v>
      </c>
      <c r="BP239" s="526">
        <v>27300.935593983708</v>
      </c>
      <c r="BQ239" s="526">
        <v>27893.63923112362</v>
      </c>
      <c r="BR239" s="526"/>
      <c r="BS239" s="54"/>
      <c r="BT239" s="54"/>
      <c r="BU239" s="54"/>
      <c r="BV239" s="54"/>
      <c r="BW239" s="54"/>
      <c r="BX239" s="54"/>
      <c r="BY239" s="54"/>
      <c r="BZ239" s="54"/>
      <c r="CA239" s="54"/>
      <c r="CB239" s="54"/>
      <c r="CC239" s="55"/>
      <c r="CD239" s="55"/>
      <c r="CE239" s="55"/>
      <c r="CF239" s="55"/>
      <c r="CG239" s="117"/>
      <c r="CH239" s="117"/>
      <c r="CI239" s="117"/>
      <c r="CJ239" s="117"/>
      <c r="CK239" s="117"/>
      <c r="CL239" s="117"/>
      <c r="CM239" s="117"/>
      <c r="CN239" s="117"/>
      <c r="CO239" s="117"/>
      <c r="CP239" s="117"/>
      <c r="CQ239" s="117"/>
      <c r="CR239" s="117"/>
      <c r="CS239" s="117"/>
      <c r="CT239" s="521">
        <v>161.88679245283018</v>
      </c>
      <c r="CU239" s="521">
        <v>1392</v>
      </c>
      <c r="CV239" s="521">
        <v>4034</v>
      </c>
      <c r="CW239" s="521">
        <v>8179</v>
      </c>
      <c r="CX239" s="521">
        <v>10555</v>
      </c>
      <c r="CY239" s="522">
        <v>13130</v>
      </c>
      <c r="CZ239" s="526">
        <v>14016.441277955157</v>
      </c>
      <c r="DA239" s="526">
        <v>16475.287895557591</v>
      </c>
      <c r="DB239" s="526">
        <v>18641.406955576193</v>
      </c>
      <c r="DC239" s="526">
        <v>20424.091964552637</v>
      </c>
      <c r="DD239" s="526">
        <v>22049.117678327333</v>
      </c>
      <c r="DE239" s="526">
        <v>23239.507558205514</v>
      </c>
      <c r="DF239" s="526">
        <v>24259.029500197197</v>
      </c>
      <c r="DG239" s="526">
        <v>25324.174755964112</v>
      </c>
      <c r="DH239" s="526">
        <v>26434.677086273732</v>
      </c>
      <c r="DI239" s="526">
        <v>27594.851644181857</v>
      </c>
    </row>
    <row r="240" spans="1:113" ht="12" outlineLevel="1"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388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4"/>
      <c r="AQ240" s="632"/>
      <c r="AR240" s="632"/>
      <c r="AS240" s="636"/>
      <c r="AT240" s="654"/>
      <c r="AU240" s="654"/>
      <c r="AV240" s="668"/>
      <c r="AW240" s="658"/>
      <c r="AX240" s="669"/>
      <c r="AY240" s="669"/>
      <c r="AZ240" s="632"/>
      <c r="BA240" s="632"/>
      <c r="BB240" s="632"/>
      <c r="BC240" s="632"/>
      <c r="BD240" s="44"/>
      <c r="BE240" s="44"/>
      <c r="BF240" s="44"/>
      <c r="BG240" s="44"/>
      <c r="BH240" s="44"/>
      <c r="BI240" s="44"/>
      <c r="BJ240" s="44"/>
      <c r="BK240" s="44"/>
      <c r="BL240" s="44"/>
      <c r="BM240" s="44"/>
      <c r="BN240" s="44"/>
      <c r="BO240" s="44"/>
      <c r="BP240" s="44"/>
      <c r="BQ240" s="44"/>
      <c r="BR240" s="44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172"/>
      <c r="CO240" s="172"/>
      <c r="CP240" s="172"/>
      <c r="CQ240" s="172"/>
      <c r="CR240" s="172"/>
      <c r="CS240" s="172"/>
      <c r="CT240" s="160"/>
      <c r="CU240" s="160"/>
      <c r="CV240" s="572"/>
      <c r="CW240" s="572"/>
      <c r="CX240" s="572"/>
      <c r="CY240" s="573"/>
      <c r="CZ240" s="636"/>
      <c r="DA240" s="44"/>
      <c r="DB240" s="44"/>
      <c r="DC240" s="44"/>
      <c r="DD240" s="44"/>
      <c r="DE240" s="44"/>
      <c r="DF240" s="44"/>
      <c r="DG240" s="44"/>
      <c r="DH240" s="44"/>
      <c r="DI240" s="44"/>
    </row>
    <row r="241" spans="1:113" s="24" customFormat="1" ht="12" outlineLevel="1">
      <c r="A241" s="19"/>
      <c r="B241" s="24" t="s">
        <v>588</v>
      </c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  <c r="AK241" s="55"/>
      <c r="AL241" s="55"/>
      <c r="AM241" s="55"/>
      <c r="AN241" s="55"/>
      <c r="AO241" s="55"/>
      <c r="AP241" s="526"/>
      <c r="AQ241" s="526"/>
      <c r="AR241" s="526"/>
      <c r="AS241" s="526"/>
      <c r="AT241" s="654"/>
      <c r="AU241" s="654"/>
      <c r="AV241" s="654"/>
      <c r="AW241" s="642"/>
      <c r="AX241" s="669"/>
      <c r="AY241" s="669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5"/>
      <c r="BT241" s="55"/>
      <c r="BU241" s="55"/>
      <c r="BV241" s="55"/>
      <c r="BW241" s="55"/>
      <c r="BX241" s="55"/>
      <c r="BY241" s="55"/>
      <c r="BZ241" s="55"/>
      <c r="CA241" s="55"/>
      <c r="CB241" s="55"/>
      <c r="CC241" s="55"/>
      <c r="CD241" s="55"/>
      <c r="CE241" s="55"/>
      <c r="CF241" s="55"/>
      <c r="CG241" s="55"/>
      <c r="CH241" s="55"/>
      <c r="CI241" s="55"/>
      <c r="CJ241" s="55"/>
      <c r="CK241" s="55"/>
      <c r="CL241" s="55"/>
      <c r="CM241" s="55"/>
      <c r="CN241" s="55"/>
      <c r="CO241" s="55"/>
      <c r="CP241" s="55"/>
      <c r="CQ241" s="55"/>
      <c r="CR241" s="55"/>
      <c r="CS241" s="55"/>
      <c r="CT241" s="526"/>
      <c r="CU241" s="526"/>
      <c r="CV241" s="526"/>
      <c r="CW241" s="526"/>
      <c r="CX241" s="526"/>
      <c r="CY241" s="524"/>
      <c r="CZ241" s="636"/>
      <c r="DA241" s="526"/>
      <c r="DB241" s="526"/>
      <c r="DC241" s="526"/>
      <c r="DD241" s="526"/>
      <c r="DE241" s="526"/>
      <c r="DF241" s="526"/>
      <c r="DG241" s="526"/>
      <c r="DH241" s="526"/>
      <c r="DI241" s="526"/>
    </row>
    <row r="242" spans="1:113" ht="12" outlineLevel="1">
      <c r="A242" s="1" t="s">
        <v>337</v>
      </c>
      <c r="B242" s="19" t="s">
        <v>589</v>
      </c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525">
        <v>0</v>
      </c>
      <c r="AQ242" s="525">
        <v>0</v>
      </c>
      <c r="AR242" s="525">
        <v>0</v>
      </c>
      <c r="AS242" s="525">
        <v>0</v>
      </c>
      <c r="AT242" s="525">
        <v>0</v>
      </c>
      <c r="AU242" s="525">
        <v>0</v>
      </c>
      <c r="AV242" s="525">
        <v>0</v>
      </c>
      <c r="AW242" s="523">
        <v>0</v>
      </c>
      <c r="AX242" s="44">
        <v>0</v>
      </c>
      <c r="AY242" s="44">
        <v>0</v>
      </c>
      <c r="AZ242" s="44">
        <v>0</v>
      </c>
      <c r="BA242" s="44">
        <v>0</v>
      </c>
      <c r="BB242" s="44">
        <v>0</v>
      </c>
      <c r="BC242" s="44">
        <v>0</v>
      </c>
      <c r="BD242" s="44">
        <v>0</v>
      </c>
      <c r="BE242" s="44">
        <v>0</v>
      </c>
      <c r="BF242" s="44">
        <v>0</v>
      </c>
      <c r="BG242" s="44">
        <v>0</v>
      </c>
      <c r="BH242" s="44">
        <v>0</v>
      </c>
      <c r="BI242" s="44">
        <v>0</v>
      </c>
      <c r="BJ242" s="44">
        <v>0</v>
      </c>
      <c r="BK242" s="44">
        <v>0</v>
      </c>
      <c r="BL242" s="44">
        <v>0</v>
      </c>
      <c r="BM242" s="44">
        <v>0</v>
      </c>
      <c r="BN242" s="44">
        <v>0</v>
      </c>
      <c r="BO242" s="44">
        <v>0</v>
      </c>
      <c r="BP242" s="44">
        <v>0</v>
      </c>
      <c r="BQ242" s="44">
        <v>0</v>
      </c>
      <c r="BR242" s="44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525">
        <v>0</v>
      </c>
      <c r="CU242" s="525">
        <v>0</v>
      </c>
      <c r="CV242" s="525">
        <v>0</v>
      </c>
      <c r="CW242" s="525">
        <v>0</v>
      </c>
      <c r="CX242" s="525">
        <v>0</v>
      </c>
      <c r="CY242" s="523">
        <v>0</v>
      </c>
      <c r="CZ242" s="44">
        <v>0</v>
      </c>
      <c r="DA242" s="44">
        <v>0</v>
      </c>
      <c r="DB242" s="44">
        <v>0</v>
      </c>
      <c r="DC242" s="44">
        <v>0</v>
      </c>
      <c r="DD242" s="44">
        <v>0</v>
      </c>
      <c r="DE242" s="44">
        <v>0</v>
      </c>
      <c r="DF242" s="44">
        <v>0</v>
      </c>
      <c r="DG242" s="44">
        <v>0</v>
      </c>
      <c r="DH242" s="44">
        <v>0</v>
      </c>
      <c r="DI242" s="44">
        <v>0</v>
      </c>
    </row>
    <row r="243" spans="1:113" ht="12" outlineLevel="1">
      <c r="A243" s="1" t="s">
        <v>338</v>
      </c>
      <c r="B243" s="19" t="s">
        <v>470</v>
      </c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4">
        <v>1733</v>
      </c>
      <c r="AQ243" s="44">
        <v>2201</v>
      </c>
      <c r="AR243" s="44">
        <v>2890</v>
      </c>
      <c r="AS243" s="44">
        <v>3615.9668508287291</v>
      </c>
      <c r="AT243" s="44">
        <v>4735</v>
      </c>
      <c r="AU243" s="44">
        <v>5475</v>
      </c>
      <c r="AV243" s="44">
        <v>6565</v>
      </c>
      <c r="AW243" s="45">
        <v>7476</v>
      </c>
      <c r="AX243" s="44">
        <v>8743.831492579664</v>
      </c>
      <c r="AY243" s="44">
        <v>10099.230621869036</v>
      </c>
      <c r="AZ243" s="44">
        <v>11453.445190532762</v>
      </c>
      <c r="BA243" s="44">
        <v>12766.541027383535</v>
      </c>
      <c r="BB243" s="44">
        <v>13992.670608968778</v>
      </c>
      <c r="BC243" s="44">
        <v>14687.566957466957</v>
      </c>
      <c r="BD243" s="44">
        <v>15194.416827637948</v>
      </c>
      <c r="BE243" s="44">
        <v>15903.87794878452</v>
      </c>
      <c r="BF243" s="44">
        <v>16524.488615052011</v>
      </c>
      <c r="BG243" s="44">
        <v>17048.235325303242</v>
      </c>
      <c r="BH243" s="44">
        <v>17502.036714435657</v>
      </c>
      <c r="BI243" s="44">
        <v>17881.798824595629</v>
      </c>
      <c r="BJ243" s="44">
        <v>18269.827844966487</v>
      </c>
      <c r="BK243" s="44">
        <v>18666.304228496891</v>
      </c>
      <c r="BL243" s="44">
        <v>19071.412376190532</v>
      </c>
      <c r="BM243" s="44">
        <v>19485.340723650079</v>
      </c>
      <c r="BN243" s="44">
        <v>19908.281829521296</v>
      </c>
      <c r="BO243" s="44">
        <v>20340.432465879094</v>
      </c>
      <c r="BP243" s="44">
        <v>20781.993710598144</v>
      </c>
      <c r="BQ243" s="44">
        <v>21233.171041751757</v>
      </c>
      <c r="BR243" s="44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4">
        <v>104.4</v>
      </c>
      <c r="CU243" s="44">
        <v>745.35</v>
      </c>
      <c r="CV243" s="44">
        <v>1967</v>
      </c>
      <c r="CW243" s="44">
        <v>3250</v>
      </c>
      <c r="CX243" s="44">
        <v>5093</v>
      </c>
      <c r="CY243" s="45">
        <v>7028</v>
      </c>
      <c r="CZ243" s="44">
        <v>9415.9609238163102</v>
      </c>
      <c r="DA243" s="44">
        <v>12104.596824697119</v>
      </c>
      <c r="DB243" s="44">
        <v>14337.263044799382</v>
      </c>
      <c r="DC243" s="44">
        <v>15547.208969847446</v>
      </c>
      <c r="DD243" s="44">
        <v>16784.209586436868</v>
      </c>
      <c r="DE243" s="44">
        <v>17690.357103309503</v>
      </c>
      <c r="DF243" s="44">
        <v>18466.436681730876</v>
      </c>
      <c r="DG243" s="44">
        <v>19277.245598151294</v>
      </c>
      <c r="DH243" s="44">
        <v>20122.581186180916</v>
      </c>
      <c r="DI243" s="44">
        <v>21005.728222759251</v>
      </c>
    </row>
    <row r="244" spans="1:113" s="24" customFormat="1" ht="12" outlineLevel="1">
      <c r="A244" s="1" t="s">
        <v>251</v>
      </c>
      <c r="B244" s="24" t="s">
        <v>166</v>
      </c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  <c r="AJ244" s="55"/>
      <c r="AK244" s="55"/>
      <c r="AL244" s="55"/>
      <c r="AM244" s="55"/>
      <c r="AN244" s="55"/>
      <c r="AO244" s="55"/>
      <c r="AP244" s="521">
        <v>1733</v>
      </c>
      <c r="AQ244" s="521">
        <v>2201</v>
      </c>
      <c r="AR244" s="521">
        <v>2890</v>
      </c>
      <c r="AS244" s="521">
        <v>3615.9668508287291</v>
      </c>
      <c r="AT244" s="521">
        <v>4735</v>
      </c>
      <c r="AU244" s="521">
        <v>5475</v>
      </c>
      <c r="AV244" s="521">
        <v>6565</v>
      </c>
      <c r="AW244" s="522">
        <v>7476</v>
      </c>
      <c r="AX244" s="526">
        <v>8743.831492579664</v>
      </c>
      <c r="AY244" s="526">
        <v>10099.230621869036</v>
      </c>
      <c r="AZ244" s="526">
        <v>11453.445190532762</v>
      </c>
      <c r="BA244" s="526">
        <v>12766.541027383535</v>
      </c>
      <c r="BB244" s="526">
        <v>13992.670608968778</v>
      </c>
      <c r="BC244" s="526">
        <v>14687.566957466957</v>
      </c>
      <c r="BD244" s="526">
        <v>15194.416827637948</v>
      </c>
      <c r="BE244" s="526">
        <v>15903.87794878452</v>
      </c>
      <c r="BF244" s="526">
        <v>16524.488615052011</v>
      </c>
      <c r="BG244" s="526">
        <v>17048.235325303242</v>
      </c>
      <c r="BH244" s="526">
        <v>17502.036714435657</v>
      </c>
      <c r="BI244" s="526">
        <v>17881.798824595629</v>
      </c>
      <c r="BJ244" s="526">
        <v>18269.827844966487</v>
      </c>
      <c r="BK244" s="526">
        <v>18666.304228496891</v>
      </c>
      <c r="BL244" s="526">
        <v>19071.412376190532</v>
      </c>
      <c r="BM244" s="526">
        <v>19485.340723650079</v>
      </c>
      <c r="BN244" s="526">
        <v>19908.281829521296</v>
      </c>
      <c r="BO244" s="526">
        <v>20340.432465879094</v>
      </c>
      <c r="BP244" s="526">
        <v>20781.993710598144</v>
      </c>
      <c r="BQ244" s="526">
        <v>21233.171041751757</v>
      </c>
      <c r="BR244" s="526"/>
      <c r="BS244" s="54"/>
      <c r="BT244" s="54"/>
      <c r="BU244" s="54"/>
      <c r="BV244" s="54"/>
      <c r="BW244" s="54"/>
      <c r="BX244" s="54"/>
      <c r="BY244" s="54"/>
      <c r="BZ244" s="54"/>
      <c r="CA244" s="54"/>
      <c r="CB244" s="54"/>
      <c r="CC244" s="55"/>
      <c r="CD244" s="55"/>
      <c r="CE244" s="55"/>
      <c r="CF244" s="55"/>
      <c r="CG244" s="55"/>
      <c r="CH244" s="117"/>
      <c r="CI244" s="117"/>
      <c r="CJ244" s="295"/>
      <c r="CK244" s="295"/>
      <c r="CL244" s="295"/>
      <c r="CM244" s="295"/>
      <c r="CN244" s="117"/>
      <c r="CO244" s="117"/>
      <c r="CP244" s="117"/>
      <c r="CQ244" s="117"/>
      <c r="CR244" s="117"/>
      <c r="CS244" s="117"/>
      <c r="CT244" s="521">
        <v>104.4</v>
      </c>
      <c r="CU244" s="521">
        <v>745.35</v>
      </c>
      <c r="CV244" s="521">
        <v>1967</v>
      </c>
      <c r="CW244" s="521">
        <v>3250</v>
      </c>
      <c r="CX244" s="521">
        <v>5093</v>
      </c>
      <c r="CY244" s="522">
        <v>7028</v>
      </c>
      <c r="CZ244" s="526">
        <v>9415.9609238163102</v>
      </c>
      <c r="DA244" s="526">
        <v>12104.596824697119</v>
      </c>
      <c r="DB244" s="526">
        <v>14337.263044799382</v>
      </c>
      <c r="DC244" s="526">
        <v>15547.208969847446</v>
      </c>
      <c r="DD244" s="526">
        <v>16784.209586436868</v>
      </c>
      <c r="DE244" s="526">
        <v>17690.357103309503</v>
      </c>
      <c r="DF244" s="526">
        <v>18466.436681730876</v>
      </c>
      <c r="DG244" s="526">
        <v>19277.245598151294</v>
      </c>
      <c r="DH244" s="526">
        <v>20122.581186180916</v>
      </c>
      <c r="DI244" s="526">
        <v>21005.728222759251</v>
      </c>
    </row>
    <row r="245" spans="1:113" ht="12" outlineLevel="1"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4"/>
      <c r="AQ245" s="44"/>
      <c r="AR245" s="44"/>
      <c r="AS245" s="44"/>
      <c r="AT245" s="44"/>
      <c r="AU245" s="44"/>
      <c r="AV245" s="44"/>
      <c r="AW245" s="45"/>
      <c r="AX245" s="44"/>
      <c r="AY245" s="44"/>
      <c r="AZ245" s="44"/>
      <c r="BA245" s="44"/>
      <c r="BB245" s="44"/>
      <c r="BC245" s="44"/>
      <c r="BD245" s="44"/>
      <c r="BE245" s="44"/>
      <c r="BF245" s="44"/>
      <c r="BG245" s="44"/>
      <c r="BH245" s="44"/>
      <c r="BI245" s="44"/>
      <c r="BJ245" s="44"/>
      <c r="BK245" s="44"/>
      <c r="BL245" s="44"/>
      <c r="BM245" s="44"/>
      <c r="BN245" s="44"/>
      <c r="BO245" s="44"/>
      <c r="BP245" s="44"/>
      <c r="BQ245" s="44"/>
      <c r="BR245" s="44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4"/>
      <c r="CU245" s="525"/>
      <c r="CV245" s="44"/>
      <c r="CW245" s="44"/>
      <c r="CX245" s="44"/>
      <c r="CY245" s="45"/>
      <c r="CZ245" s="44"/>
      <c r="DA245" s="44"/>
      <c r="DB245" s="44"/>
      <c r="DC245" s="529"/>
      <c r="DD245" s="529"/>
      <c r="DE245" s="529"/>
      <c r="DF245" s="529"/>
      <c r="DG245" s="529"/>
      <c r="DH245" s="529"/>
      <c r="DI245" s="529"/>
    </row>
    <row r="246" spans="1:113" s="24" customFormat="1" ht="12" outlineLevel="1">
      <c r="A246" s="19"/>
      <c r="B246" s="24" t="s">
        <v>591</v>
      </c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  <c r="AJ246" s="55"/>
      <c r="AK246" s="55"/>
      <c r="AL246" s="55"/>
      <c r="AM246" s="55"/>
      <c r="AN246" s="55"/>
      <c r="AO246" s="55"/>
      <c r="AP246" s="526"/>
      <c r="AQ246" s="526"/>
      <c r="AR246" s="526"/>
      <c r="AS246" s="526"/>
      <c r="AT246" s="526"/>
      <c r="AU246" s="526"/>
      <c r="AV246" s="526"/>
      <c r="AW246" s="524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5"/>
      <c r="BT246" s="55"/>
      <c r="BU246" s="55"/>
      <c r="BV246" s="55"/>
      <c r="BW246" s="55"/>
      <c r="BX246" s="55"/>
      <c r="BY246" s="55"/>
      <c r="BZ246" s="55"/>
      <c r="CA246" s="55"/>
      <c r="CB246" s="55"/>
      <c r="CC246" s="55"/>
      <c r="CD246" s="55"/>
      <c r="CE246" s="55"/>
      <c r="CF246" s="55"/>
      <c r="CG246" s="55"/>
      <c r="CH246" s="55"/>
      <c r="CI246" s="55"/>
      <c r="CJ246" s="55"/>
      <c r="CK246" s="55"/>
      <c r="CL246" s="55"/>
      <c r="CM246" s="55"/>
      <c r="CN246" s="55"/>
      <c r="CO246" s="55"/>
      <c r="CP246" s="55"/>
      <c r="CQ246" s="55"/>
      <c r="CR246" s="55"/>
      <c r="CS246" s="55"/>
      <c r="CT246" s="526"/>
      <c r="CU246" s="526"/>
      <c r="CV246" s="526"/>
      <c r="CW246" s="526"/>
      <c r="CX246" s="526"/>
      <c r="CY246" s="524"/>
      <c r="CZ246" s="526"/>
      <c r="DA246" s="526"/>
      <c r="DB246" s="526"/>
      <c r="DC246" s="541"/>
      <c r="DD246" s="541"/>
      <c r="DE246" s="541"/>
      <c r="DF246" s="541"/>
      <c r="DG246" s="541"/>
      <c r="DH246" s="541"/>
      <c r="DI246" s="541"/>
    </row>
    <row r="247" spans="1:113" ht="12" outlineLevel="1">
      <c r="A247" s="1" t="s">
        <v>252</v>
      </c>
      <c r="B247" s="19" t="s">
        <v>589</v>
      </c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525">
        <v>0</v>
      </c>
      <c r="AQ247" s="525">
        <v>0</v>
      </c>
      <c r="AR247" s="525">
        <v>0</v>
      </c>
      <c r="AS247" s="525">
        <v>0</v>
      </c>
      <c r="AT247" s="525">
        <v>0</v>
      </c>
      <c r="AU247" s="525">
        <v>0</v>
      </c>
      <c r="AV247" s="525">
        <v>0</v>
      </c>
      <c r="AW247" s="523">
        <v>0</v>
      </c>
      <c r="AX247" s="44">
        <v>0</v>
      </c>
      <c r="AY247" s="44">
        <v>0</v>
      </c>
      <c r="AZ247" s="44">
        <v>0</v>
      </c>
      <c r="BA247" s="44">
        <v>0</v>
      </c>
      <c r="BB247" s="44">
        <v>0</v>
      </c>
      <c r="BC247" s="44">
        <v>0</v>
      </c>
      <c r="BD247" s="44">
        <v>0</v>
      </c>
      <c r="BE247" s="44">
        <v>0</v>
      </c>
      <c r="BF247" s="44">
        <v>0</v>
      </c>
      <c r="BG247" s="44">
        <v>0</v>
      </c>
      <c r="BH247" s="44">
        <v>0</v>
      </c>
      <c r="BI247" s="44">
        <v>0</v>
      </c>
      <c r="BJ247" s="44">
        <v>0</v>
      </c>
      <c r="BK247" s="44">
        <v>0</v>
      </c>
      <c r="BL247" s="44">
        <v>0</v>
      </c>
      <c r="BM247" s="44">
        <v>0</v>
      </c>
      <c r="BN247" s="44">
        <v>0</v>
      </c>
      <c r="BO247" s="44">
        <v>0</v>
      </c>
      <c r="BP247" s="44">
        <v>0</v>
      </c>
      <c r="BQ247" s="44">
        <v>0</v>
      </c>
      <c r="BR247" s="44"/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525">
        <v>0</v>
      </c>
      <c r="CU247" s="525">
        <v>0</v>
      </c>
      <c r="CV247" s="525">
        <v>0</v>
      </c>
      <c r="CW247" s="525">
        <v>0</v>
      </c>
      <c r="CX247" s="525">
        <v>0</v>
      </c>
      <c r="CY247" s="523">
        <v>0</v>
      </c>
      <c r="CZ247" s="44">
        <v>0</v>
      </c>
      <c r="DA247" s="44">
        <v>0</v>
      </c>
      <c r="DB247" s="44">
        <v>0</v>
      </c>
      <c r="DC247" s="44">
        <v>0</v>
      </c>
      <c r="DD247" s="44">
        <v>0</v>
      </c>
      <c r="DE247" s="44">
        <v>0</v>
      </c>
      <c r="DF247" s="44">
        <v>0</v>
      </c>
      <c r="DG247" s="44">
        <v>0</v>
      </c>
      <c r="DH247" s="44">
        <v>0</v>
      </c>
      <c r="DI247" s="44">
        <v>0</v>
      </c>
    </row>
    <row r="248" spans="1:113" ht="12" outlineLevel="1">
      <c r="A248" s="1" t="s">
        <v>253</v>
      </c>
      <c r="B248" s="19" t="s">
        <v>470</v>
      </c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525">
        <v>0</v>
      </c>
      <c r="AQ248" s="525">
        <v>0</v>
      </c>
      <c r="AR248" s="525">
        <v>0</v>
      </c>
      <c r="AS248" s="525">
        <v>0</v>
      </c>
      <c r="AT248" s="525">
        <v>0</v>
      </c>
      <c r="AU248" s="525">
        <v>0</v>
      </c>
      <c r="AV248" s="525">
        <v>0</v>
      </c>
      <c r="AW248" s="523">
        <v>0</v>
      </c>
      <c r="AX248" s="44">
        <v>0</v>
      </c>
      <c r="AY248" s="44">
        <v>0</v>
      </c>
      <c r="AZ248" s="44">
        <v>0</v>
      </c>
      <c r="BA248" s="44">
        <v>0</v>
      </c>
      <c r="BB248" s="44">
        <v>0</v>
      </c>
      <c r="BC248" s="44">
        <v>0</v>
      </c>
      <c r="BD248" s="44">
        <v>0</v>
      </c>
      <c r="BE248" s="44">
        <v>0</v>
      </c>
      <c r="BF248" s="44">
        <v>0</v>
      </c>
      <c r="BG248" s="44">
        <v>0</v>
      </c>
      <c r="BH248" s="44">
        <v>0</v>
      </c>
      <c r="BI248" s="44">
        <v>0</v>
      </c>
      <c r="BJ248" s="44">
        <v>0</v>
      </c>
      <c r="BK248" s="44">
        <v>0</v>
      </c>
      <c r="BL248" s="44">
        <v>0</v>
      </c>
      <c r="BM248" s="44">
        <v>0</v>
      </c>
      <c r="BN248" s="44">
        <v>0</v>
      </c>
      <c r="BO248" s="44">
        <v>0</v>
      </c>
      <c r="BP248" s="44">
        <v>0</v>
      </c>
      <c r="BQ248" s="44">
        <v>0</v>
      </c>
      <c r="BR248" s="44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525">
        <v>0</v>
      </c>
      <c r="CU248" s="525">
        <v>0</v>
      </c>
      <c r="CV248" s="525">
        <v>0</v>
      </c>
      <c r="CW248" s="525">
        <v>0</v>
      </c>
      <c r="CX248" s="525">
        <v>0</v>
      </c>
      <c r="CY248" s="523">
        <v>0</v>
      </c>
      <c r="CZ248" s="44">
        <v>0</v>
      </c>
      <c r="DA248" s="44">
        <v>0</v>
      </c>
      <c r="DB248" s="44">
        <v>0</v>
      </c>
      <c r="DC248" s="44">
        <v>0</v>
      </c>
      <c r="DD248" s="44">
        <v>0</v>
      </c>
      <c r="DE248" s="44">
        <v>0</v>
      </c>
      <c r="DF248" s="44">
        <v>0</v>
      </c>
      <c r="DG248" s="44">
        <v>0</v>
      </c>
      <c r="DH248" s="44">
        <v>0</v>
      </c>
      <c r="DI248" s="44">
        <v>0</v>
      </c>
    </row>
    <row r="249" spans="1:113" s="24" customFormat="1" ht="12" outlineLevel="1">
      <c r="A249" s="1" t="s">
        <v>254</v>
      </c>
      <c r="B249" s="24" t="s">
        <v>166</v>
      </c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  <c r="AJ249" s="55"/>
      <c r="AK249" s="55"/>
      <c r="AL249" s="55"/>
      <c r="AM249" s="55"/>
      <c r="AN249" s="55"/>
      <c r="AO249" s="55"/>
      <c r="AP249" s="526">
        <v>0</v>
      </c>
      <c r="AQ249" s="526">
        <v>0</v>
      </c>
      <c r="AR249" s="526">
        <v>0</v>
      </c>
      <c r="AS249" s="526">
        <v>0</v>
      </c>
      <c r="AT249" s="526">
        <v>0</v>
      </c>
      <c r="AU249" s="526">
        <v>0</v>
      </c>
      <c r="AV249" s="526">
        <v>0</v>
      </c>
      <c r="AW249" s="524">
        <v>0</v>
      </c>
      <c r="AX249" s="526">
        <v>0</v>
      </c>
      <c r="AY249" s="526">
        <v>0</v>
      </c>
      <c r="AZ249" s="526">
        <v>0</v>
      </c>
      <c r="BA249" s="526">
        <v>0</v>
      </c>
      <c r="BB249" s="526">
        <v>0</v>
      </c>
      <c r="BC249" s="526">
        <v>0</v>
      </c>
      <c r="BD249" s="526">
        <v>0</v>
      </c>
      <c r="BE249" s="526">
        <v>0</v>
      </c>
      <c r="BF249" s="526">
        <v>0</v>
      </c>
      <c r="BG249" s="526">
        <v>0</v>
      </c>
      <c r="BH249" s="526">
        <v>0</v>
      </c>
      <c r="BI249" s="526">
        <v>0</v>
      </c>
      <c r="BJ249" s="526">
        <v>0</v>
      </c>
      <c r="BK249" s="526">
        <v>0</v>
      </c>
      <c r="BL249" s="526">
        <v>0</v>
      </c>
      <c r="BM249" s="526">
        <v>0</v>
      </c>
      <c r="BN249" s="526">
        <v>0</v>
      </c>
      <c r="BO249" s="526">
        <v>0</v>
      </c>
      <c r="BP249" s="526">
        <v>0</v>
      </c>
      <c r="BQ249" s="526">
        <v>0</v>
      </c>
      <c r="BR249" s="526"/>
      <c r="BS249" s="55"/>
      <c r="BT249" s="55"/>
      <c r="BU249" s="55"/>
      <c r="BV249" s="55"/>
      <c r="BW249" s="55"/>
      <c r="BX249" s="55"/>
      <c r="BY249" s="55"/>
      <c r="BZ249" s="55"/>
      <c r="CA249" s="55"/>
      <c r="CB249" s="55"/>
      <c r="CC249" s="55"/>
      <c r="CD249" s="55"/>
      <c r="CE249" s="55"/>
      <c r="CF249" s="55"/>
      <c r="CG249" s="55"/>
      <c r="CH249" s="117"/>
      <c r="CI249" s="117"/>
      <c r="CJ249" s="295"/>
      <c r="CK249" s="295"/>
      <c r="CL249" s="295"/>
      <c r="CM249" s="295"/>
      <c r="CN249" s="117"/>
      <c r="CO249" s="117"/>
      <c r="CP249" s="117"/>
      <c r="CQ249" s="117"/>
      <c r="CR249" s="117"/>
      <c r="CS249" s="117"/>
      <c r="CT249" s="526">
        <v>0</v>
      </c>
      <c r="CU249" s="526">
        <v>0</v>
      </c>
      <c r="CV249" s="526">
        <v>0</v>
      </c>
      <c r="CW249" s="526">
        <v>0</v>
      </c>
      <c r="CX249" s="526">
        <v>0</v>
      </c>
      <c r="CY249" s="524">
        <v>0</v>
      </c>
      <c r="CZ249" s="526">
        <v>0</v>
      </c>
      <c r="DA249" s="526">
        <v>0</v>
      </c>
      <c r="DB249" s="526">
        <v>0</v>
      </c>
      <c r="DC249" s="526">
        <v>0</v>
      </c>
      <c r="DD249" s="526">
        <v>0</v>
      </c>
      <c r="DE249" s="526">
        <v>0</v>
      </c>
      <c r="DF249" s="526">
        <v>0</v>
      </c>
      <c r="DG249" s="526">
        <v>0</v>
      </c>
      <c r="DH249" s="526">
        <v>0</v>
      </c>
      <c r="DI249" s="526">
        <v>0</v>
      </c>
    </row>
    <row r="250" spans="1:113" ht="12" outlineLevel="1"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4"/>
      <c r="AQ250" s="44"/>
      <c r="AR250" s="44"/>
      <c r="AS250" s="44"/>
      <c r="AT250" s="44"/>
      <c r="AU250" s="44"/>
      <c r="AV250" s="44"/>
      <c r="AW250" s="45"/>
      <c r="AX250" s="44"/>
      <c r="AY250" s="44"/>
      <c r="AZ250" s="44"/>
      <c r="BA250" s="44"/>
      <c r="BB250" s="44"/>
      <c r="BC250" s="44"/>
      <c r="BD250" s="44"/>
      <c r="BE250" s="44"/>
      <c r="BF250" s="44"/>
      <c r="BG250" s="44"/>
      <c r="BH250" s="44"/>
      <c r="BI250" s="44"/>
      <c r="BJ250" s="44"/>
      <c r="BK250" s="44"/>
      <c r="BL250" s="44"/>
      <c r="BM250" s="44"/>
      <c r="BN250" s="44"/>
      <c r="BO250" s="44"/>
      <c r="BP250" s="44"/>
      <c r="BQ250" s="44"/>
      <c r="BR250" s="44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4"/>
      <c r="CU250" s="44"/>
      <c r="CV250" s="44"/>
      <c r="CW250" s="44"/>
      <c r="CX250" s="44"/>
      <c r="CY250" s="45"/>
      <c r="CZ250" s="44"/>
      <c r="DA250" s="44"/>
      <c r="DB250" s="44"/>
      <c r="DC250" s="44"/>
      <c r="DD250" s="44"/>
      <c r="DE250" s="44"/>
      <c r="DF250" s="44"/>
      <c r="DG250" s="44"/>
      <c r="DH250" s="44"/>
      <c r="DI250" s="44"/>
    </row>
    <row r="251" spans="1:113" s="24" customFormat="1" ht="12" outlineLevel="1">
      <c r="A251" s="1"/>
      <c r="B251" s="24" t="s">
        <v>491</v>
      </c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5"/>
      <c r="AP251" s="526"/>
      <c r="AQ251" s="526"/>
      <c r="AR251" s="526"/>
      <c r="AS251" s="526"/>
      <c r="AT251" s="526"/>
      <c r="AU251" s="526"/>
      <c r="AV251" s="526"/>
      <c r="AW251" s="524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5"/>
      <c r="BT251" s="55"/>
      <c r="BU251" s="55"/>
      <c r="BV251" s="55"/>
      <c r="BW251" s="55"/>
      <c r="BX251" s="55"/>
      <c r="BY251" s="55"/>
      <c r="BZ251" s="55"/>
      <c r="CA251" s="55"/>
      <c r="CB251" s="55"/>
      <c r="CC251" s="55"/>
      <c r="CD251" s="55"/>
      <c r="CE251" s="55"/>
      <c r="CF251" s="55"/>
      <c r="CG251" s="55"/>
      <c r="CH251" s="55"/>
      <c r="CI251" s="55"/>
      <c r="CJ251" s="55"/>
      <c r="CK251" s="55"/>
      <c r="CL251" s="55"/>
      <c r="CM251" s="55"/>
      <c r="CN251" s="55"/>
      <c r="CO251" s="55"/>
      <c r="CP251" s="55"/>
      <c r="CQ251" s="55"/>
      <c r="CR251" s="55"/>
      <c r="CS251" s="55"/>
      <c r="CT251" s="526"/>
      <c r="CU251" s="526"/>
      <c r="CV251" s="526"/>
      <c r="CW251" s="526"/>
      <c r="CX251" s="526"/>
      <c r="CY251" s="524"/>
      <c r="CZ251" s="526"/>
      <c r="DA251" s="526"/>
      <c r="DB251" s="526"/>
      <c r="DC251" s="526"/>
      <c r="DD251" s="526"/>
      <c r="DE251" s="526"/>
      <c r="DF251" s="526"/>
      <c r="DG251" s="526"/>
      <c r="DH251" s="526"/>
      <c r="DI251" s="526"/>
    </row>
    <row r="252" spans="1:113" ht="12" outlineLevel="1">
      <c r="A252" s="1" t="s">
        <v>255</v>
      </c>
      <c r="B252" s="19" t="s">
        <v>589</v>
      </c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525">
        <v>0</v>
      </c>
      <c r="AQ252" s="525">
        <v>0</v>
      </c>
      <c r="AR252" s="525">
        <v>0</v>
      </c>
      <c r="AS252" s="525">
        <v>0</v>
      </c>
      <c r="AT252" s="525">
        <v>0</v>
      </c>
      <c r="AU252" s="525">
        <v>0</v>
      </c>
      <c r="AV252" s="525">
        <v>0</v>
      </c>
      <c r="AW252" s="523">
        <v>0</v>
      </c>
      <c r="AX252" s="44">
        <v>0</v>
      </c>
      <c r="AY252" s="44">
        <v>0</v>
      </c>
      <c r="AZ252" s="44">
        <v>0</v>
      </c>
      <c r="BA252" s="44">
        <v>0</v>
      </c>
      <c r="BB252" s="44">
        <v>0</v>
      </c>
      <c r="BC252" s="44">
        <v>0</v>
      </c>
      <c r="BD252" s="44">
        <v>0</v>
      </c>
      <c r="BE252" s="44">
        <v>0</v>
      </c>
      <c r="BF252" s="44">
        <v>0</v>
      </c>
      <c r="BG252" s="44">
        <v>0</v>
      </c>
      <c r="BH252" s="44">
        <v>0</v>
      </c>
      <c r="BI252" s="44">
        <v>0</v>
      </c>
      <c r="BJ252" s="44">
        <v>0</v>
      </c>
      <c r="BK252" s="44">
        <v>0</v>
      </c>
      <c r="BL252" s="44">
        <v>0</v>
      </c>
      <c r="BM252" s="44">
        <v>0</v>
      </c>
      <c r="BN252" s="44">
        <v>0</v>
      </c>
      <c r="BO252" s="44">
        <v>0</v>
      </c>
      <c r="BP252" s="44">
        <v>0</v>
      </c>
      <c r="BQ252" s="44">
        <v>0</v>
      </c>
      <c r="BR252" s="44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525">
        <v>0</v>
      </c>
      <c r="CU252" s="525">
        <v>0</v>
      </c>
      <c r="CV252" s="525">
        <v>0</v>
      </c>
      <c r="CW252" s="525">
        <v>0</v>
      </c>
      <c r="CX252" s="525">
        <v>0</v>
      </c>
      <c r="CY252" s="523">
        <v>0</v>
      </c>
      <c r="CZ252" s="44">
        <v>0</v>
      </c>
      <c r="DA252" s="44">
        <v>0</v>
      </c>
      <c r="DB252" s="44">
        <v>0</v>
      </c>
      <c r="DC252" s="44">
        <v>0</v>
      </c>
      <c r="DD252" s="44">
        <v>0</v>
      </c>
      <c r="DE252" s="44">
        <v>0</v>
      </c>
      <c r="DF252" s="44">
        <v>0</v>
      </c>
      <c r="DG252" s="44">
        <v>0</v>
      </c>
      <c r="DH252" s="44">
        <v>0</v>
      </c>
      <c r="DI252" s="44">
        <v>0</v>
      </c>
    </row>
    <row r="253" spans="1:113" ht="12" outlineLevel="1">
      <c r="A253" s="1" t="s">
        <v>156</v>
      </c>
      <c r="B253" s="19" t="s">
        <v>470</v>
      </c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525">
        <v>0</v>
      </c>
      <c r="AQ253" s="525">
        <v>0</v>
      </c>
      <c r="AR253" s="525">
        <v>0</v>
      </c>
      <c r="AS253" s="525">
        <v>0</v>
      </c>
      <c r="AT253" s="525">
        <v>0</v>
      </c>
      <c r="AU253" s="525">
        <v>0</v>
      </c>
      <c r="AV253" s="525">
        <v>0</v>
      </c>
      <c r="AW253" s="523">
        <v>0</v>
      </c>
      <c r="AX253" s="44">
        <v>0</v>
      </c>
      <c r="AY253" s="44">
        <v>0</v>
      </c>
      <c r="AZ253" s="44">
        <v>0</v>
      </c>
      <c r="BA253" s="44">
        <v>0</v>
      </c>
      <c r="BB253" s="44">
        <v>0</v>
      </c>
      <c r="BC253" s="44">
        <v>0</v>
      </c>
      <c r="BD253" s="44">
        <v>0</v>
      </c>
      <c r="BE253" s="44">
        <v>0</v>
      </c>
      <c r="BF253" s="44">
        <v>0</v>
      </c>
      <c r="BG253" s="44">
        <v>0</v>
      </c>
      <c r="BH253" s="44">
        <v>0</v>
      </c>
      <c r="BI253" s="44">
        <v>0</v>
      </c>
      <c r="BJ253" s="44">
        <v>0</v>
      </c>
      <c r="BK253" s="44">
        <v>0</v>
      </c>
      <c r="BL253" s="44">
        <v>0</v>
      </c>
      <c r="BM253" s="44">
        <v>0</v>
      </c>
      <c r="BN253" s="44">
        <v>0</v>
      </c>
      <c r="BO253" s="44">
        <v>0</v>
      </c>
      <c r="BP253" s="44">
        <v>0</v>
      </c>
      <c r="BQ253" s="44">
        <v>0</v>
      </c>
      <c r="BR253" s="44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525">
        <v>0</v>
      </c>
      <c r="CU253" s="525">
        <v>0</v>
      </c>
      <c r="CV253" s="525">
        <v>0</v>
      </c>
      <c r="CW253" s="525">
        <v>0</v>
      </c>
      <c r="CX253" s="525">
        <v>0</v>
      </c>
      <c r="CY253" s="523">
        <v>0</v>
      </c>
      <c r="CZ253" s="44">
        <v>0</v>
      </c>
      <c r="DA253" s="44">
        <v>0</v>
      </c>
      <c r="DB253" s="44">
        <v>0</v>
      </c>
      <c r="DC253" s="44">
        <v>0</v>
      </c>
      <c r="DD253" s="44">
        <v>0</v>
      </c>
      <c r="DE253" s="44">
        <v>0</v>
      </c>
      <c r="DF253" s="44">
        <v>0</v>
      </c>
      <c r="DG253" s="44">
        <v>0</v>
      </c>
      <c r="DH253" s="44">
        <v>0</v>
      </c>
      <c r="DI253" s="44">
        <v>0</v>
      </c>
    </row>
    <row r="254" spans="1:113" s="24" customFormat="1" ht="12" outlineLevel="1">
      <c r="A254" s="1" t="s">
        <v>157</v>
      </c>
      <c r="B254" s="24" t="s">
        <v>166</v>
      </c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26">
        <v>0</v>
      </c>
      <c r="AQ254" s="526">
        <v>0</v>
      </c>
      <c r="AR254" s="526">
        <v>0</v>
      </c>
      <c r="AS254" s="526">
        <v>0</v>
      </c>
      <c r="AT254" s="526">
        <v>0</v>
      </c>
      <c r="AU254" s="526">
        <v>0</v>
      </c>
      <c r="AV254" s="526">
        <v>0</v>
      </c>
      <c r="AW254" s="524">
        <v>0</v>
      </c>
      <c r="AX254" s="526">
        <v>0</v>
      </c>
      <c r="AY254" s="526">
        <v>0</v>
      </c>
      <c r="AZ254" s="526">
        <v>0</v>
      </c>
      <c r="BA254" s="526">
        <v>0</v>
      </c>
      <c r="BB254" s="526">
        <v>0</v>
      </c>
      <c r="BC254" s="526">
        <v>0</v>
      </c>
      <c r="BD254" s="526">
        <v>0</v>
      </c>
      <c r="BE254" s="526">
        <v>0</v>
      </c>
      <c r="BF254" s="526">
        <v>0</v>
      </c>
      <c r="BG254" s="526">
        <v>0</v>
      </c>
      <c r="BH254" s="526">
        <v>0</v>
      </c>
      <c r="BI254" s="526">
        <v>0</v>
      </c>
      <c r="BJ254" s="526">
        <v>0</v>
      </c>
      <c r="BK254" s="526">
        <v>0</v>
      </c>
      <c r="BL254" s="526">
        <v>0</v>
      </c>
      <c r="BM254" s="526">
        <v>0</v>
      </c>
      <c r="BN254" s="526">
        <v>0</v>
      </c>
      <c r="BO254" s="526">
        <v>0</v>
      </c>
      <c r="BP254" s="526">
        <v>0</v>
      </c>
      <c r="BQ254" s="526">
        <v>0</v>
      </c>
      <c r="BR254" s="526"/>
      <c r="BS254" s="54"/>
      <c r="BT254" s="54"/>
      <c r="BU254" s="54"/>
      <c r="BV254" s="54"/>
      <c r="BW254" s="54"/>
      <c r="BX254" s="54"/>
      <c r="BY254" s="54"/>
      <c r="BZ254" s="54"/>
      <c r="CA254" s="54"/>
      <c r="CB254" s="54"/>
      <c r="CC254" s="55"/>
      <c r="CD254" s="55"/>
      <c r="CE254" s="55"/>
      <c r="CF254" s="55"/>
      <c r="CG254" s="55"/>
      <c r="CH254" s="117"/>
      <c r="CI254" s="117"/>
      <c r="CJ254" s="295"/>
      <c r="CK254" s="295"/>
      <c r="CL254" s="295"/>
      <c r="CM254" s="295"/>
      <c r="CN254" s="117"/>
      <c r="CO254" s="117"/>
      <c r="CP254" s="117"/>
      <c r="CQ254" s="117"/>
      <c r="CR254" s="117"/>
      <c r="CS254" s="117"/>
      <c r="CT254" s="526">
        <v>0</v>
      </c>
      <c r="CU254" s="526">
        <v>0</v>
      </c>
      <c r="CV254" s="526">
        <v>0</v>
      </c>
      <c r="CW254" s="526">
        <v>0</v>
      </c>
      <c r="CX254" s="526">
        <v>0</v>
      </c>
      <c r="CY254" s="524">
        <v>0</v>
      </c>
      <c r="CZ254" s="526">
        <v>0</v>
      </c>
      <c r="DA254" s="526">
        <v>0</v>
      </c>
      <c r="DB254" s="526">
        <v>0</v>
      </c>
      <c r="DC254" s="526">
        <v>0</v>
      </c>
      <c r="DD254" s="526">
        <v>0</v>
      </c>
      <c r="DE254" s="526">
        <v>0</v>
      </c>
      <c r="DF254" s="526">
        <v>0</v>
      </c>
      <c r="DG254" s="526">
        <v>0</v>
      </c>
      <c r="DH254" s="526">
        <v>0</v>
      </c>
      <c r="DI254" s="526">
        <v>0</v>
      </c>
    </row>
    <row r="255" spans="1:113" ht="12" outlineLevel="1"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4"/>
      <c r="AQ255" s="44"/>
      <c r="AR255" s="44"/>
      <c r="AS255" s="44"/>
      <c r="AT255" s="44"/>
      <c r="AU255" s="44"/>
      <c r="AV255" s="44"/>
      <c r="AW255" s="45"/>
      <c r="AX255" s="44"/>
      <c r="AY255" s="44"/>
      <c r="AZ255" s="44"/>
      <c r="BA255" s="44"/>
      <c r="BB255" s="44"/>
      <c r="BC255" s="44"/>
      <c r="BD255" s="44"/>
      <c r="BE255" s="44"/>
      <c r="BF255" s="44"/>
      <c r="BG255" s="44"/>
      <c r="BH255" s="44"/>
      <c r="BI255" s="44"/>
      <c r="BJ255" s="44"/>
      <c r="BK255" s="44"/>
      <c r="BL255" s="44"/>
      <c r="BM255" s="44"/>
      <c r="BN255" s="44"/>
      <c r="BO255" s="44"/>
      <c r="BP255" s="44"/>
      <c r="BQ255" s="44"/>
      <c r="BR255" s="44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4"/>
      <c r="CU255" s="44"/>
      <c r="CV255" s="44"/>
      <c r="CW255" s="44"/>
      <c r="CX255" s="44"/>
      <c r="CY255" s="45"/>
      <c r="CZ255" s="44"/>
      <c r="DA255" s="44"/>
      <c r="DB255" s="44"/>
      <c r="DC255" s="44"/>
      <c r="DD255" s="44"/>
      <c r="DE255" s="44"/>
      <c r="DF255" s="44"/>
      <c r="DG255" s="44"/>
      <c r="DH255" s="44"/>
      <c r="DI255" s="44"/>
    </row>
    <row r="256" spans="1:113" s="24" customFormat="1" ht="12" outlineLevel="1">
      <c r="A256" s="19"/>
      <c r="B256" s="24" t="s">
        <v>496</v>
      </c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5"/>
      <c r="AP256" s="526"/>
      <c r="AQ256" s="526"/>
      <c r="AR256" s="526"/>
      <c r="AS256" s="526"/>
      <c r="AT256" s="526"/>
      <c r="AU256" s="526"/>
      <c r="AV256" s="526"/>
      <c r="AW256" s="524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5"/>
      <c r="BT256" s="55"/>
      <c r="BU256" s="55"/>
      <c r="BV256" s="55"/>
      <c r="BW256" s="55"/>
      <c r="BX256" s="55"/>
      <c r="BY256" s="55"/>
      <c r="BZ256" s="55"/>
      <c r="CA256" s="55"/>
      <c r="CB256" s="55"/>
      <c r="CC256" s="55"/>
      <c r="CD256" s="55"/>
      <c r="CE256" s="55"/>
      <c r="CF256" s="55"/>
      <c r="CG256" s="55"/>
      <c r="CH256" s="55"/>
      <c r="CI256" s="55"/>
      <c r="CJ256" s="55"/>
      <c r="CK256" s="55"/>
      <c r="CL256" s="55"/>
      <c r="CM256" s="55"/>
      <c r="CN256" s="55"/>
      <c r="CO256" s="55"/>
      <c r="CP256" s="55"/>
      <c r="CQ256" s="55"/>
      <c r="CR256" s="55"/>
      <c r="CS256" s="55"/>
      <c r="CT256" s="526"/>
      <c r="CU256" s="526"/>
      <c r="CV256" s="526"/>
      <c r="CW256" s="526"/>
      <c r="CX256" s="526"/>
      <c r="CY256" s="524"/>
      <c r="CZ256" s="526"/>
      <c r="DA256" s="526"/>
      <c r="DB256" s="526"/>
      <c r="DC256" s="526"/>
      <c r="DD256" s="526"/>
      <c r="DE256" s="526"/>
      <c r="DF256" s="526"/>
      <c r="DG256" s="526"/>
      <c r="DH256" s="526"/>
      <c r="DI256" s="526"/>
    </row>
    <row r="257" spans="1:113" ht="12" outlineLevel="1">
      <c r="A257" s="1" t="s">
        <v>287</v>
      </c>
      <c r="B257" s="19" t="s">
        <v>589</v>
      </c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4">
        <v>0</v>
      </c>
      <c r="AQ257" s="44">
        <v>0</v>
      </c>
      <c r="AR257" s="44">
        <v>0</v>
      </c>
      <c r="AS257" s="44">
        <v>0</v>
      </c>
      <c r="AT257" s="44">
        <v>0</v>
      </c>
      <c r="AU257" s="44">
        <v>0</v>
      </c>
      <c r="AV257" s="44">
        <v>0</v>
      </c>
      <c r="AW257" s="45">
        <v>0</v>
      </c>
      <c r="AX257" s="44">
        <v>0</v>
      </c>
      <c r="AY257" s="44">
        <v>0</v>
      </c>
      <c r="AZ257" s="44">
        <v>0</v>
      </c>
      <c r="BA257" s="44">
        <v>0</v>
      </c>
      <c r="BB257" s="44">
        <v>0</v>
      </c>
      <c r="BC257" s="44">
        <v>0</v>
      </c>
      <c r="BD257" s="44">
        <v>0</v>
      </c>
      <c r="BE257" s="44">
        <v>0</v>
      </c>
      <c r="BF257" s="44">
        <v>0</v>
      </c>
      <c r="BG257" s="44">
        <v>0</v>
      </c>
      <c r="BH257" s="44">
        <v>0</v>
      </c>
      <c r="BI257" s="44">
        <v>0</v>
      </c>
      <c r="BJ257" s="44">
        <v>0</v>
      </c>
      <c r="BK257" s="44">
        <v>0</v>
      </c>
      <c r="BL257" s="44">
        <v>0</v>
      </c>
      <c r="BM257" s="44">
        <v>0</v>
      </c>
      <c r="BN257" s="44">
        <v>0</v>
      </c>
      <c r="BO257" s="44">
        <v>0</v>
      </c>
      <c r="BP257" s="44">
        <v>0</v>
      </c>
      <c r="BQ257" s="44">
        <v>0</v>
      </c>
      <c r="BR257" s="44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4">
        <v>0</v>
      </c>
      <c r="CU257" s="44">
        <v>0</v>
      </c>
      <c r="CV257" s="44">
        <v>0</v>
      </c>
      <c r="CW257" s="44">
        <v>0</v>
      </c>
      <c r="CX257" s="44">
        <v>0</v>
      </c>
      <c r="CY257" s="45">
        <v>0</v>
      </c>
      <c r="CZ257" s="44">
        <v>0</v>
      </c>
      <c r="DA257" s="44">
        <v>0</v>
      </c>
      <c r="DB257" s="44">
        <v>0</v>
      </c>
      <c r="DC257" s="44">
        <v>0</v>
      </c>
      <c r="DD257" s="44">
        <v>0</v>
      </c>
      <c r="DE257" s="44">
        <v>0</v>
      </c>
      <c r="DF257" s="44">
        <v>0</v>
      </c>
      <c r="DG257" s="44">
        <v>0</v>
      </c>
      <c r="DH257" s="44">
        <v>0</v>
      </c>
      <c r="DI257" s="44">
        <v>0</v>
      </c>
    </row>
    <row r="258" spans="1:113" ht="12" outlineLevel="1">
      <c r="A258" s="1" t="s">
        <v>288</v>
      </c>
      <c r="B258" s="19" t="s">
        <v>590</v>
      </c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4">
        <v>1733</v>
      </c>
      <c r="AQ258" s="44">
        <v>2201</v>
      </c>
      <c r="AR258" s="44">
        <v>2890</v>
      </c>
      <c r="AS258" s="44">
        <v>3615.9668508287291</v>
      </c>
      <c r="AT258" s="44">
        <v>4735</v>
      </c>
      <c r="AU258" s="44">
        <v>5475</v>
      </c>
      <c r="AV258" s="44">
        <v>6565</v>
      </c>
      <c r="AW258" s="45">
        <v>7476</v>
      </c>
      <c r="AX258" s="44">
        <v>8743.831492579664</v>
      </c>
      <c r="AY258" s="44">
        <v>10099.230621869036</v>
      </c>
      <c r="AZ258" s="44">
        <v>11453.445190532762</v>
      </c>
      <c r="BA258" s="44">
        <v>12766.541027383535</v>
      </c>
      <c r="BB258" s="44">
        <v>13992.670608968778</v>
      </c>
      <c r="BC258" s="44">
        <v>14687.566957466957</v>
      </c>
      <c r="BD258" s="44">
        <v>15194.416827637948</v>
      </c>
      <c r="BE258" s="44">
        <v>15903.87794878452</v>
      </c>
      <c r="BF258" s="44">
        <v>16524.488615052011</v>
      </c>
      <c r="BG258" s="44">
        <v>17048.235325303242</v>
      </c>
      <c r="BH258" s="44">
        <v>17502.036714435657</v>
      </c>
      <c r="BI258" s="44">
        <v>17881.798824595629</v>
      </c>
      <c r="BJ258" s="44">
        <v>18269.827844966487</v>
      </c>
      <c r="BK258" s="44">
        <v>18666.304228496891</v>
      </c>
      <c r="BL258" s="44">
        <v>19071.412376190532</v>
      </c>
      <c r="BM258" s="44">
        <v>19485.340723650079</v>
      </c>
      <c r="BN258" s="44">
        <v>19908.281829521296</v>
      </c>
      <c r="BO258" s="44">
        <v>20340.432465879094</v>
      </c>
      <c r="BP258" s="44">
        <v>20781.993710598144</v>
      </c>
      <c r="BQ258" s="44">
        <v>21233.171041751757</v>
      </c>
      <c r="BR258" s="44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4">
        <v>104.4</v>
      </c>
      <c r="CU258" s="44">
        <v>745.35</v>
      </c>
      <c r="CV258" s="44">
        <v>1967</v>
      </c>
      <c r="CW258" s="44">
        <v>3250</v>
      </c>
      <c r="CX258" s="44">
        <v>5093</v>
      </c>
      <c r="CY258" s="45">
        <v>7028</v>
      </c>
      <c r="CZ258" s="44">
        <v>9415.9609238163102</v>
      </c>
      <c r="DA258" s="44">
        <v>12104.596824697119</v>
      </c>
      <c r="DB258" s="44">
        <v>14337.263044799382</v>
      </c>
      <c r="DC258" s="44">
        <v>15547.208969847446</v>
      </c>
      <c r="DD258" s="44">
        <v>16784.209586436868</v>
      </c>
      <c r="DE258" s="44">
        <v>17690.357103309503</v>
      </c>
      <c r="DF258" s="44">
        <v>18466.436681730876</v>
      </c>
      <c r="DG258" s="44">
        <v>19277.245598151294</v>
      </c>
      <c r="DH258" s="44">
        <v>20122.581186180916</v>
      </c>
      <c r="DI258" s="44">
        <v>21005.728222759251</v>
      </c>
    </row>
    <row r="259" spans="1:113" s="24" customFormat="1" ht="12" outlineLevel="1">
      <c r="A259" s="1" t="s">
        <v>289</v>
      </c>
      <c r="B259" s="24" t="s">
        <v>166</v>
      </c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  <c r="AJ259" s="55"/>
      <c r="AK259" s="55"/>
      <c r="AL259" s="55"/>
      <c r="AM259" s="55"/>
      <c r="AN259" s="55"/>
      <c r="AO259" s="55"/>
      <c r="AP259" s="526">
        <v>1733</v>
      </c>
      <c r="AQ259" s="526">
        <v>2201</v>
      </c>
      <c r="AR259" s="526">
        <v>2890</v>
      </c>
      <c r="AS259" s="526">
        <v>3615.9668508287291</v>
      </c>
      <c r="AT259" s="526">
        <v>4735</v>
      </c>
      <c r="AU259" s="526">
        <v>5475</v>
      </c>
      <c r="AV259" s="526">
        <v>6565</v>
      </c>
      <c r="AW259" s="524">
        <v>7476</v>
      </c>
      <c r="AX259" s="526">
        <v>8743.831492579664</v>
      </c>
      <c r="AY259" s="526">
        <v>10099.230621869036</v>
      </c>
      <c r="AZ259" s="526">
        <v>11453.445190532762</v>
      </c>
      <c r="BA259" s="526">
        <v>12766.541027383535</v>
      </c>
      <c r="BB259" s="526">
        <v>13992.670608968778</v>
      </c>
      <c r="BC259" s="526">
        <v>14687.566957466957</v>
      </c>
      <c r="BD259" s="526">
        <v>15194.416827637948</v>
      </c>
      <c r="BE259" s="526">
        <v>15903.87794878452</v>
      </c>
      <c r="BF259" s="526">
        <v>16524.488615052011</v>
      </c>
      <c r="BG259" s="526">
        <v>17048.235325303242</v>
      </c>
      <c r="BH259" s="526">
        <v>17502.036714435657</v>
      </c>
      <c r="BI259" s="526">
        <v>17881.798824595629</v>
      </c>
      <c r="BJ259" s="526">
        <v>18269.827844966487</v>
      </c>
      <c r="BK259" s="526">
        <v>18666.304228496891</v>
      </c>
      <c r="BL259" s="526">
        <v>19071.412376190532</v>
      </c>
      <c r="BM259" s="526">
        <v>19485.340723650079</v>
      </c>
      <c r="BN259" s="526">
        <v>19908.281829521296</v>
      </c>
      <c r="BO259" s="526">
        <v>20340.432465879094</v>
      </c>
      <c r="BP259" s="526">
        <v>20781.993710598144</v>
      </c>
      <c r="BQ259" s="526">
        <v>21233.171041751757</v>
      </c>
      <c r="BR259" s="526"/>
      <c r="BS259" s="117"/>
      <c r="BT259" s="117"/>
      <c r="BU259" s="117"/>
      <c r="BV259" s="117"/>
      <c r="BW259" s="117"/>
      <c r="BX259" s="117"/>
      <c r="BY259" s="117"/>
      <c r="BZ259" s="117"/>
      <c r="CA259" s="117"/>
      <c r="CB259" s="117"/>
      <c r="CC259" s="55"/>
      <c r="CD259" s="55"/>
      <c r="CE259" s="55"/>
      <c r="CF259" s="55"/>
      <c r="CG259" s="55"/>
      <c r="CH259" s="55"/>
      <c r="CI259" s="55"/>
      <c r="CJ259" s="55"/>
      <c r="CK259" s="55"/>
      <c r="CL259" s="55"/>
      <c r="CM259" s="55"/>
      <c r="CN259" s="55"/>
      <c r="CO259" s="55"/>
      <c r="CP259" s="55"/>
      <c r="CQ259" s="55"/>
      <c r="CR259" s="55"/>
      <c r="CS259" s="55"/>
      <c r="CT259" s="526">
        <v>104.4</v>
      </c>
      <c r="CU259" s="526">
        <v>745.35</v>
      </c>
      <c r="CV259" s="526">
        <v>1967</v>
      </c>
      <c r="CW259" s="526">
        <v>3250</v>
      </c>
      <c r="CX259" s="526">
        <v>5093</v>
      </c>
      <c r="CY259" s="524">
        <v>7028</v>
      </c>
      <c r="CZ259" s="526">
        <v>9415.9609238163102</v>
      </c>
      <c r="DA259" s="526">
        <v>12104.596824697119</v>
      </c>
      <c r="DB259" s="526">
        <v>14337.263044799382</v>
      </c>
      <c r="DC259" s="526">
        <v>15547.208969847446</v>
      </c>
      <c r="DD259" s="526">
        <v>16784.209586436868</v>
      </c>
      <c r="DE259" s="526">
        <v>17690.357103309503</v>
      </c>
      <c r="DF259" s="526">
        <v>18466.436681730876</v>
      </c>
      <c r="DG259" s="526">
        <v>19277.245598151294</v>
      </c>
      <c r="DH259" s="526">
        <v>20122.581186180916</v>
      </c>
      <c r="DI259" s="526">
        <v>21005.728222759251</v>
      </c>
    </row>
    <row r="260" spans="1:113" ht="12" outlineLevel="1">
      <c r="A260" s="1" t="s">
        <v>921</v>
      </c>
      <c r="B260" s="19" t="s">
        <v>275</v>
      </c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525">
        <v>770.64130434782612</v>
      </c>
      <c r="AQ260" s="525">
        <v>1822</v>
      </c>
      <c r="AR260" s="525">
        <v>3655</v>
      </c>
      <c r="AS260" s="525">
        <v>3713.4806629834252</v>
      </c>
      <c r="AT260" s="525">
        <v>3846</v>
      </c>
      <c r="AU260" s="525">
        <v>4130</v>
      </c>
      <c r="AV260" s="525">
        <v>4683</v>
      </c>
      <c r="AW260" s="523">
        <v>4292</v>
      </c>
      <c r="AX260" s="44">
        <v>3057.658951387808</v>
      </c>
      <c r="AY260" s="44">
        <v>2686.3781052978229</v>
      </c>
      <c r="AZ260" s="44">
        <v>2584.8874957933076</v>
      </c>
      <c r="BA260" s="44">
        <v>2510.9605189816066</v>
      </c>
      <c r="BB260" s="44">
        <v>2298.2018850372424</v>
      </c>
      <c r="BC260" s="44">
        <v>2409.1348343509835</v>
      </c>
      <c r="BD260" s="44">
        <v>2744.5332144604236</v>
      </c>
      <c r="BE260" s="44">
        <v>2915.9492229985844</v>
      </c>
      <c r="BF260" s="44">
        <v>3056.4675852304608</v>
      </c>
      <c r="BG260" s="44">
        <v>3163.566059230212</v>
      </c>
      <c r="BH260" s="44">
        <v>3246.973907557378</v>
      </c>
      <c r="BI260" s="44">
        <v>3303.9014598560643</v>
      </c>
      <c r="BJ260" s="44">
        <v>3363.1803194494678</v>
      </c>
      <c r="BK260" s="44">
        <v>3422.5129200627962</v>
      </c>
      <c r="BL260" s="44">
        <v>3484.2868887090372</v>
      </c>
      <c r="BM260" s="44">
        <v>3545.0029158619291</v>
      </c>
      <c r="BN260" s="44">
        <v>3607.7138896345932</v>
      </c>
      <c r="BO260" s="44">
        <v>3670.7950423196598</v>
      </c>
      <c r="BP260" s="44">
        <v>3736.8050334831569</v>
      </c>
      <c r="BQ260" s="44">
        <v>3802.4387518237781</v>
      </c>
      <c r="BR260" s="17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2"/>
      <c r="CD260" s="42"/>
      <c r="CE260" s="42"/>
      <c r="CF260" s="42"/>
      <c r="CG260" s="42"/>
      <c r="CH260" s="113"/>
      <c r="CI260" s="113"/>
      <c r="CJ260" s="294"/>
      <c r="CK260" s="294"/>
      <c r="CL260" s="294"/>
      <c r="CM260" s="294"/>
      <c r="CN260" s="113"/>
      <c r="CO260" s="113"/>
      <c r="CP260" s="113"/>
      <c r="CQ260" s="113"/>
      <c r="CR260" s="113"/>
      <c r="CS260" s="113"/>
      <c r="CT260" s="44">
        <v>-24.913584905660386</v>
      </c>
      <c r="CU260" s="44">
        <v>209.56199999999995</v>
      </c>
      <c r="CV260" s="525">
        <v>1292</v>
      </c>
      <c r="CW260" s="525">
        <v>3684</v>
      </c>
      <c r="CX260" s="525">
        <v>3988</v>
      </c>
      <c r="CY260" s="523">
        <v>4451</v>
      </c>
      <c r="CZ260" s="44">
        <v>2873.5443400390755</v>
      </c>
      <c r="DA260" s="44">
        <v>2548.2278168812036</v>
      </c>
      <c r="DB260" s="44">
        <v>2353.2124708613169</v>
      </c>
      <c r="DC260" s="44">
        <v>2829.7728689793998</v>
      </c>
      <c r="DD260" s="44">
        <v>3109.576691515269</v>
      </c>
      <c r="DE260" s="44">
        <v>3275.2037348616582</v>
      </c>
      <c r="DF260" s="44">
        <v>3392.6027871508713</v>
      </c>
      <c r="DG260" s="44">
        <v>3514.4790115009127</v>
      </c>
      <c r="DH260" s="44">
        <v>3638.9952283633529</v>
      </c>
      <c r="DI260" s="44">
        <v>3769.3521650438483</v>
      </c>
    </row>
    <row r="261" spans="1:113" ht="12" outlineLevel="1">
      <c r="A261" s="1" t="s">
        <v>922</v>
      </c>
      <c r="B261" s="19" t="s">
        <v>276</v>
      </c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4">
        <v>541.35869565217388</v>
      </c>
      <c r="AQ261" s="44">
        <v>926</v>
      </c>
      <c r="AR261" s="44">
        <v>1144</v>
      </c>
      <c r="AS261" s="44">
        <v>1360.5524861878462</v>
      </c>
      <c r="AT261" s="44">
        <v>1422</v>
      </c>
      <c r="AU261" s="44">
        <v>1528</v>
      </c>
      <c r="AV261" s="44">
        <v>1612</v>
      </c>
      <c r="AW261" s="45">
        <v>1691</v>
      </c>
      <c r="AX261" s="44">
        <v>1713.4138412698412</v>
      </c>
      <c r="AY261" s="44">
        <v>1740.6823113412433</v>
      </c>
      <c r="AZ261" s="44">
        <v>1791.2526870053807</v>
      </c>
      <c r="BA261" s="44">
        <v>1854.1911231681902</v>
      </c>
      <c r="BB261" s="44">
        <v>1928.7011817811647</v>
      </c>
      <c r="BC261" s="44">
        <v>1973.5301553669658</v>
      </c>
      <c r="BD261" s="44">
        <v>2021.6851585532538</v>
      </c>
      <c r="BE261" s="44">
        <v>2072.8144881419817</v>
      </c>
      <c r="BF261" s="44">
        <v>2126.9706562726051</v>
      </c>
      <c r="BG261" s="44">
        <v>2184.1622120595953</v>
      </c>
      <c r="BH261" s="44">
        <v>2243.1037900459</v>
      </c>
      <c r="BI261" s="44">
        <v>2305.3008588071389</v>
      </c>
      <c r="BJ261" s="44">
        <v>2367.7398030053196</v>
      </c>
      <c r="BK261" s="44">
        <v>2432.7747937964546</v>
      </c>
      <c r="BL261" s="44">
        <v>2498.0760474833837</v>
      </c>
      <c r="BM261" s="44">
        <v>2567.2019824901899</v>
      </c>
      <c r="BN261" s="44">
        <v>2637.1601129268706</v>
      </c>
      <c r="BO261" s="44">
        <v>2709.6369304017126</v>
      </c>
      <c r="BP261" s="44">
        <v>2782.1368499024079</v>
      </c>
      <c r="BQ261" s="44">
        <v>2858.0294375480858</v>
      </c>
      <c r="BR261" s="44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525">
        <v>82.400377358490559</v>
      </c>
      <c r="CU261" s="525">
        <v>437.08800000000002</v>
      </c>
      <c r="CV261" s="44">
        <v>775</v>
      </c>
      <c r="CW261" s="44">
        <v>1245</v>
      </c>
      <c r="CX261" s="44">
        <v>1474</v>
      </c>
      <c r="CY261" s="45">
        <v>1651</v>
      </c>
      <c r="CZ261" s="44">
        <v>1726.936014099771</v>
      </c>
      <c r="DA261" s="44">
        <v>1822.4632539792683</v>
      </c>
      <c r="DB261" s="44">
        <v>1950.9314399154941</v>
      </c>
      <c r="DC261" s="44">
        <v>2047.110125725791</v>
      </c>
      <c r="DD261" s="44">
        <v>2155.3314003751966</v>
      </c>
      <c r="DE261" s="44">
        <v>2273.9467200343529</v>
      </c>
      <c r="DF261" s="44">
        <v>2399.9900313154494</v>
      </c>
      <c r="DG261" s="44">
        <v>2532.450146311905</v>
      </c>
      <c r="DH261" s="44">
        <v>2673.1006717294631</v>
      </c>
      <c r="DI261" s="44">
        <v>2819.7712563787577</v>
      </c>
    </row>
    <row r="262" spans="1:113" s="24" customFormat="1" ht="12" outlineLevel="1">
      <c r="A262" s="1" t="s">
        <v>923</v>
      </c>
      <c r="B262" s="24" t="s">
        <v>579</v>
      </c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  <c r="AJ262" s="55"/>
      <c r="AK262" s="55"/>
      <c r="AL262" s="55"/>
      <c r="AM262" s="55"/>
      <c r="AN262" s="55"/>
      <c r="AO262" s="55"/>
      <c r="AP262" s="526">
        <v>3045</v>
      </c>
      <c r="AQ262" s="526">
        <v>4949</v>
      </c>
      <c r="AR262" s="526">
        <v>7689</v>
      </c>
      <c r="AS262" s="526">
        <v>8690</v>
      </c>
      <c r="AT262" s="526">
        <v>10003</v>
      </c>
      <c r="AU262" s="526">
        <v>11133</v>
      </c>
      <c r="AV262" s="526">
        <v>12860</v>
      </c>
      <c r="AW262" s="524">
        <v>13459</v>
      </c>
      <c r="AX262" s="526">
        <v>13514.904285237313</v>
      </c>
      <c r="AY262" s="526">
        <v>14526.291038508101</v>
      </c>
      <c r="AZ262" s="526">
        <v>15829.585373331451</v>
      </c>
      <c r="BA262" s="526">
        <v>17131.692669533331</v>
      </c>
      <c r="BB262" s="526">
        <v>18219.573675787185</v>
      </c>
      <c r="BC262" s="526">
        <v>19070.231947184908</v>
      </c>
      <c r="BD262" s="526">
        <v>19960.635200651624</v>
      </c>
      <c r="BE262" s="526">
        <v>20892.641659925088</v>
      </c>
      <c r="BF262" s="526">
        <v>21707.926856555077</v>
      </c>
      <c r="BG262" s="526">
        <v>22395.96359659305</v>
      </c>
      <c r="BH262" s="526">
        <v>22992.114412038936</v>
      </c>
      <c r="BI262" s="526">
        <v>23491.001143258833</v>
      </c>
      <c r="BJ262" s="526">
        <v>24000.747967421274</v>
      </c>
      <c r="BK262" s="526">
        <v>24521.591942356143</v>
      </c>
      <c r="BL262" s="526">
        <v>25053.775312382953</v>
      </c>
      <c r="BM262" s="526">
        <v>25597.545622002199</v>
      </c>
      <c r="BN262" s="526">
        <v>26153.155832082761</v>
      </c>
      <c r="BO262" s="526">
        <v>26720.864438600467</v>
      </c>
      <c r="BP262" s="526">
        <v>27300.935593983708</v>
      </c>
      <c r="BQ262" s="526">
        <v>27893.63923112362</v>
      </c>
      <c r="BR262" s="526"/>
      <c r="BS262" s="55"/>
      <c r="BT262" s="55"/>
      <c r="BU262" s="55"/>
      <c r="BV262" s="55"/>
      <c r="BW262" s="55"/>
      <c r="BX262" s="55"/>
      <c r="BY262" s="55"/>
      <c r="BZ262" s="55"/>
      <c r="CA262" s="55"/>
      <c r="CB262" s="55"/>
      <c r="CC262" s="55"/>
      <c r="CD262" s="55"/>
      <c r="CE262" s="55"/>
      <c r="CF262" s="55"/>
      <c r="CG262" s="55"/>
      <c r="CH262" s="55"/>
      <c r="CI262" s="55"/>
      <c r="CJ262" s="55"/>
      <c r="CK262" s="55"/>
      <c r="CL262" s="55"/>
      <c r="CM262" s="55"/>
      <c r="CN262" s="55"/>
      <c r="CO262" s="55"/>
      <c r="CP262" s="55"/>
      <c r="CQ262" s="55"/>
      <c r="CR262" s="55"/>
      <c r="CS262" s="55"/>
      <c r="CT262" s="526">
        <v>161.88679245283018</v>
      </c>
      <c r="CU262" s="526">
        <v>1392</v>
      </c>
      <c r="CV262" s="526">
        <v>4034</v>
      </c>
      <c r="CW262" s="526">
        <v>8179</v>
      </c>
      <c r="CX262" s="526">
        <v>10555</v>
      </c>
      <c r="CY262" s="524">
        <v>13130</v>
      </c>
      <c r="CZ262" s="526">
        <v>14016.441277955157</v>
      </c>
      <c r="DA262" s="526">
        <v>16475.287895557591</v>
      </c>
      <c r="DB262" s="526">
        <v>18641.406955576193</v>
      </c>
      <c r="DC262" s="526">
        <v>20424.091964552637</v>
      </c>
      <c r="DD262" s="526">
        <v>22049.117678327333</v>
      </c>
      <c r="DE262" s="526">
        <v>23239.507558205514</v>
      </c>
      <c r="DF262" s="526">
        <v>24259.029500197197</v>
      </c>
      <c r="DG262" s="526">
        <v>25324.174755964112</v>
      </c>
      <c r="DH262" s="526">
        <v>26434.677086273732</v>
      </c>
      <c r="DI262" s="526">
        <v>27594.851644181857</v>
      </c>
    </row>
    <row r="263" spans="1:113" ht="12" outlineLevel="1"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4"/>
      <c r="AQ263" s="44"/>
      <c r="AR263" s="44"/>
      <c r="AS263" s="44"/>
      <c r="AT263" s="44"/>
      <c r="AU263" s="44"/>
      <c r="AV263" s="44"/>
      <c r="AW263" s="45"/>
      <c r="AX263" s="663"/>
      <c r="AY263" s="663"/>
      <c r="AZ263" s="663"/>
      <c r="BA263" s="663"/>
      <c r="BB263" s="663"/>
      <c r="BC263" s="663"/>
      <c r="BD263" s="663"/>
      <c r="BE263" s="663"/>
      <c r="BF263" s="650"/>
      <c r="BG263" s="650"/>
      <c r="BH263" s="650"/>
      <c r="BI263" s="650"/>
      <c r="BJ263" s="650"/>
      <c r="BK263" s="650"/>
      <c r="BL263" s="650"/>
      <c r="BM263" s="650"/>
      <c r="BN263" s="650"/>
      <c r="BO263" s="650"/>
      <c r="BP263" s="650"/>
      <c r="BQ263" s="650"/>
      <c r="BR263" s="639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4"/>
      <c r="CU263" s="44"/>
      <c r="CV263" s="44"/>
      <c r="CW263" s="44"/>
      <c r="CX263" s="44"/>
      <c r="CY263" s="45"/>
      <c r="CZ263" s="44"/>
      <c r="DA263" s="44"/>
      <c r="DB263" s="44"/>
      <c r="DC263" s="44"/>
      <c r="DD263" s="44"/>
      <c r="DE263" s="44"/>
      <c r="DF263" s="44"/>
      <c r="DG263" s="44"/>
      <c r="DH263" s="44"/>
      <c r="DI263" s="44"/>
    </row>
    <row r="264" spans="1:113" s="24" customFormat="1" ht="12" outlineLevel="1">
      <c r="A264" s="19"/>
      <c r="B264" s="24" t="s">
        <v>497</v>
      </c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  <c r="AJ264" s="55"/>
      <c r="AK264" s="55"/>
      <c r="AL264" s="55"/>
      <c r="AM264" s="55"/>
      <c r="AN264" s="55"/>
      <c r="AO264" s="55"/>
      <c r="AP264" s="526"/>
      <c r="AQ264" s="526"/>
      <c r="AR264" s="526"/>
      <c r="AS264" s="526"/>
      <c r="AT264" s="526"/>
      <c r="AU264" s="526"/>
      <c r="AV264" s="526"/>
      <c r="AW264" s="524"/>
      <c r="AX264" s="639"/>
      <c r="AY264" s="639"/>
      <c r="AZ264" s="639"/>
      <c r="BA264" s="639"/>
      <c r="BB264" s="639"/>
      <c r="BC264" s="639"/>
      <c r="BD264" s="639"/>
      <c r="BE264" s="639"/>
      <c r="BF264" s="639"/>
      <c r="BG264" s="639"/>
      <c r="BH264" s="639"/>
      <c r="BI264" s="639"/>
      <c r="BJ264" s="639"/>
      <c r="BK264" s="639"/>
      <c r="BL264" s="639"/>
      <c r="BM264" s="639"/>
      <c r="BN264" s="639"/>
      <c r="BO264" s="639"/>
      <c r="BP264" s="639"/>
      <c r="BQ264" s="639"/>
      <c r="BR264" s="526"/>
      <c r="BS264" s="55"/>
      <c r="BT264" s="55"/>
      <c r="BU264" s="55"/>
      <c r="BV264" s="55"/>
      <c r="BW264" s="55"/>
      <c r="BX264" s="55"/>
      <c r="BY264" s="55"/>
      <c r="BZ264" s="55"/>
      <c r="CA264" s="55"/>
      <c r="CB264" s="55"/>
      <c r="CC264" s="55"/>
      <c r="CD264" s="55"/>
      <c r="CE264" s="55"/>
      <c r="CF264" s="55"/>
      <c r="CG264" s="55"/>
      <c r="CH264" s="55"/>
      <c r="CI264" s="55"/>
      <c r="CJ264" s="55"/>
      <c r="CK264" s="55"/>
      <c r="CL264" s="55"/>
      <c r="CM264" s="55"/>
      <c r="CN264" s="55"/>
      <c r="CO264" s="55"/>
      <c r="CP264" s="55"/>
      <c r="CQ264" s="55"/>
      <c r="CR264" s="55"/>
      <c r="CS264" s="55"/>
      <c r="CT264" s="526"/>
      <c r="CU264" s="526"/>
      <c r="CV264" s="526"/>
      <c r="CW264" s="526"/>
      <c r="CX264" s="526"/>
      <c r="CY264" s="524"/>
      <c r="CZ264" s="526"/>
      <c r="DA264" s="526"/>
      <c r="DB264" s="526"/>
      <c r="DC264" s="526"/>
      <c r="DD264" s="526"/>
      <c r="DE264" s="526"/>
      <c r="DF264" s="526"/>
      <c r="DG264" s="526"/>
      <c r="DH264" s="526"/>
      <c r="DI264" s="526"/>
    </row>
    <row r="265" spans="1:113" ht="12" outlineLevel="1">
      <c r="A265" s="1" t="s">
        <v>290</v>
      </c>
      <c r="B265" s="19" t="s">
        <v>432</v>
      </c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4">
        <v>0</v>
      </c>
      <c r="AQ265" s="44">
        <v>0</v>
      </c>
      <c r="AR265" s="44">
        <v>0</v>
      </c>
      <c r="AS265" s="44">
        <v>0</v>
      </c>
      <c r="AT265" s="44">
        <v>0</v>
      </c>
      <c r="AU265" s="44">
        <v>0</v>
      </c>
      <c r="AV265" s="44">
        <v>0</v>
      </c>
      <c r="AW265" s="45">
        <v>0</v>
      </c>
      <c r="AX265" s="44">
        <v>0</v>
      </c>
      <c r="AY265" s="44">
        <v>0</v>
      </c>
      <c r="AZ265" s="44">
        <v>0</v>
      </c>
      <c r="BA265" s="44">
        <v>0</v>
      </c>
      <c r="BB265" s="44">
        <v>0</v>
      </c>
      <c r="BC265" s="44">
        <v>0</v>
      </c>
      <c r="BD265" s="44">
        <v>0</v>
      </c>
      <c r="BE265" s="44">
        <v>0</v>
      </c>
      <c r="BF265" s="44">
        <v>0</v>
      </c>
      <c r="BG265" s="44">
        <v>0</v>
      </c>
      <c r="BH265" s="44">
        <v>0</v>
      </c>
      <c r="BI265" s="44">
        <v>0</v>
      </c>
      <c r="BJ265" s="44">
        <v>0</v>
      </c>
      <c r="BK265" s="44">
        <v>0</v>
      </c>
      <c r="BL265" s="44">
        <v>0</v>
      </c>
      <c r="BM265" s="44">
        <v>0</v>
      </c>
      <c r="BN265" s="44">
        <v>0</v>
      </c>
      <c r="BO265" s="44">
        <v>0</v>
      </c>
      <c r="BP265" s="44">
        <v>0</v>
      </c>
      <c r="BQ265" s="44">
        <v>0</v>
      </c>
      <c r="BR265" s="44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4">
        <v>0</v>
      </c>
      <c r="CU265" s="44">
        <v>0</v>
      </c>
      <c r="CV265" s="44">
        <v>0</v>
      </c>
      <c r="CW265" s="44">
        <v>0</v>
      </c>
      <c r="CX265" s="44">
        <v>0</v>
      </c>
      <c r="CY265" s="45">
        <v>0</v>
      </c>
      <c r="CZ265" s="44">
        <v>0</v>
      </c>
      <c r="DA265" s="44">
        <v>0</v>
      </c>
      <c r="DB265" s="44">
        <v>0</v>
      </c>
      <c r="DC265" s="44">
        <v>0</v>
      </c>
      <c r="DD265" s="44">
        <v>0</v>
      </c>
      <c r="DE265" s="44">
        <v>0</v>
      </c>
      <c r="DF265" s="44">
        <v>0</v>
      </c>
      <c r="DG265" s="44">
        <v>0</v>
      </c>
      <c r="DH265" s="44">
        <v>0</v>
      </c>
      <c r="DI265" s="44">
        <v>0</v>
      </c>
    </row>
    <row r="266" spans="1:113" ht="12" outlineLevel="1">
      <c r="A266" s="1" t="s">
        <v>291</v>
      </c>
      <c r="B266" s="19" t="s">
        <v>433</v>
      </c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4">
        <v>0</v>
      </c>
      <c r="AQ266" s="44">
        <v>0</v>
      </c>
      <c r="AR266" s="44">
        <v>0</v>
      </c>
      <c r="AS266" s="44">
        <v>0</v>
      </c>
      <c r="AT266" s="44">
        <v>0</v>
      </c>
      <c r="AU266" s="44">
        <v>0</v>
      </c>
      <c r="AV266" s="44">
        <v>0</v>
      </c>
      <c r="AW266" s="45">
        <v>0</v>
      </c>
      <c r="AX266" s="44">
        <v>0</v>
      </c>
      <c r="AY266" s="44">
        <v>0</v>
      </c>
      <c r="AZ266" s="44">
        <v>0</v>
      </c>
      <c r="BA266" s="44">
        <v>0</v>
      </c>
      <c r="BB266" s="44">
        <v>0</v>
      </c>
      <c r="BC266" s="44">
        <v>0</v>
      </c>
      <c r="BD266" s="44">
        <v>0</v>
      </c>
      <c r="BE266" s="44">
        <v>0</v>
      </c>
      <c r="BF266" s="44">
        <v>0</v>
      </c>
      <c r="BG266" s="44">
        <v>0</v>
      </c>
      <c r="BH266" s="44">
        <v>0</v>
      </c>
      <c r="BI266" s="44">
        <v>0</v>
      </c>
      <c r="BJ266" s="44">
        <v>0</v>
      </c>
      <c r="BK266" s="44">
        <v>0</v>
      </c>
      <c r="BL266" s="44">
        <v>0</v>
      </c>
      <c r="BM266" s="44">
        <v>0</v>
      </c>
      <c r="BN266" s="44">
        <v>0</v>
      </c>
      <c r="BO266" s="44">
        <v>0</v>
      </c>
      <c r="BP266" s="44">
        <v>0</v>
      </c>
      <c r="BQ266" s="44">
        <v>0</v>
      </c>
      <c r="BR266" s="44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4">
        <v>0</v>
      </c>
      <c r="CU266" s="44">
        <v>0</v>
      </c>
      <c r="CV266" s="44">
        <v>0</v>
      </c>
      <c r="CW266" s="44">
        <v>0</v>
      </c>
      <c r="CX266" s="44">
        <v>0</v>
      </c>
      <c r="CY266" s="45">
        <v>0</v>
      </c>
      <c r="CZ266" s="44">
        <v>0</v>
      </c>
      <c r="DA266" s="44">
        <v>0</v>
      </c>
      <c r="DB266" s="44">
        <v>0</v>
      </c>
      <c r="DC266" s="44">
        <v>0</v>
      </c>
      <c r="DD266" s="44">
        <v>0</v>
      </c>
      <c r="DE266" s="44">
        <v>0</v>
      </c>
      <c r="DF266" s="44">
        <v>0</v>
      </c>
      <c r="DG266" s="44">
        <v>0</v>
      </c>
      <c r="DH266" s="44">
        <v>0</v>
      </c>
      <c r="DI266" s="44">
        <v>0</v>
      </c>
    </row>
    <row r="267" spans="1:113" s="24" customFormat="1" ht="12" outlineLevel="1">
      <c r="A267" s="1" t="s">
        <v>292</v>
      </c>
      <c r="B267" s="24" t="s">
        <v>384</v>
      </c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  <c r="AJ267" s="55"/>
      <c r="AK267" s="55"/>
      <c r="AL267" s="55"/>
      <c r="AM267" s="55"/>
      <c r="AN267" s="55"/>
      <c r="AO267" s="55"/>
      <c r="AP267" s="526">
        <v>0</v>
      </c>
      <c r="AQ267" s="526">
        <v>0</v>
      </c>
      <c r="AR267" s="526">
        <v>0</v>
      </c>
      <c r="AS267" s="526">
        <v>0</v>
      </c>
      <c r="AT267" s="526">
        <v>0</v>
      </c>
      <c r="AU267" s="526">
        <v>0</v>
      </c>
      <c r="AV267" s="526">
        <v>0</v>
      </c>
      <c r="AW267" s="524">
        <v>0</v>
      </c>
      <c r="AX267" s="526">
        <v>0</v>
      </c>
      <c r="AY267" s="526">
        <v>0</v>
      </c>
      <c r="AZ267" s="526">
        <v>0</v>
      </c>
      <c r="BA267" s="526">
        <v>0</v>
      </c>
      <c r="BB267" s="526">
        <v>0</v>
      </c>
      <c r="BC267" s="526">
        <v>0</v>
      </c>
      <c r="BD267" s="526">
        <v>0</v>
      </c>
      <c r="BE267" s="526">
        <v>0</v>
      </c>
      <c r="BF267" s="526">
        <v>0</v>
      </c>
      <c r="BG267" s="526">
        <v>0</v>
      </c>
      <c r="BH267" s="526">
        <v>0</v>
      </c>
      <c r="BI267" s="526">
        <v>0</v>
      </c>
      <c r="BJ267" s="526">
        <v>0</v>
      </c>
      <c r="BK267" s="526">
        <v>0</v>
      </c>
      <c r="BL267" s="526">
        <v>0</v>
      </c>
      <c r="BM267" s="526">
        <v>0</v>
      </c>
      <c r="BN267" s="526">
        <v>0</v>
      </c>
      <c r="BO267" s="526">
        <v>0</v>
      </c>
      <c r="BP267" s="526">
        <v>0</v>
      </c>
      <c r="BQ267" s="526">
        <v>0</v>
      </c>
      <c r="BR267" s="526"/>
      <c r="BS267" s="55"/>
      <c r="BT267" s="55"/>
      <c r="BU267" s="55"/>
      <c r="BV267" s="55"/>
      <c r="BW267" s="55"/>
      <c r="BX267" s="55"/>
      <c r="BY267" s="55"/>
      <c r="BZ267" s="55"/>
      <c r="CA267" s="55"/>
      <c r="CB267" s="55"/>
      <c r="CC267" s="55"/>
      <c r="CD267" s="55"/>
      <c r="CE267" s="55"/>
      <c r="CF267" s="55"/>
      <c r="CG267" s="55"/>
      <c r="CH267" s="55"/>
      <c r="CI267" s="55"/>
      <c r="CJ267" s="55"/>
      <c r="CK267" s="55"/>
      <c r="CL267" s="55"/>
      <c r="CM267" s="55"/>
      <c r="CN267" s="55"/>
      <c r="CO267" s="55"/>
      <c r="CP267" s="55"/>
      <c r="CQ267" s="55"/>
      <c r="CR267" s="55"/>
      <c r="CS267" s="55"/>
      <c r="CT267" s="526">
        <v>0</v>
      </c>
      <c r="CU267" s="526">
        <v>0</v>
      </c>
      <c r="CV267" s="526">
        <v>0</v>
      </c>
      <c r="CW267" s="526">
        <v>0</v>
      </c>
      <c r="CX267" s="526">
        <v>0</v>
      </c>
      <c r="CY267" s="524">
        <v>0</v>
      </c>
      <c r="CZ267" s="526">
        <v>0</v>
      </c>
      <c r="DA267" s="526">
        <v>0</v>
      </c>
      <c r="DB267" s="526">
        <v>0</v>
      </c>
      <c r="DC267" s="526">
        <v>0</v>
      </c>
      <c r="DD267" s="526">
        <v>0</v>
      </c>
      <c r="DE267" s="526">
        <v>0</v>
      </c>
      <c r="DF267" s="526">
        <v>0</v>
      </c>
      <c r="DG267" s="526">
        <v>0</v>
      </c>
      <c r="DH267" s="526">
        <v>0</v>
      </c>
      <c r="DI267" s="526">
        <v>0</v>
      </c>
    </row>
    <row r="268" spans="1:113" ht="12">
      <c r="AP268" s="44"/>
      <c r="AQ268" s="44"/>
      <c r="AR268" s="44"/>
      <c r="AS268" s="44"/>
      <c r="AT268" s="44"/>
      <c r="AU268" s="44"/>
      <c r="AV268" s="44"/>
      <c r="AW268" s="45"/>
      <c r="AX268" s="44"/>
      <c r="AY268" s="44"/>
      <c r="AZ268" s="44"/>
      <c r="BA268" s="44"/>
      <c r="BB268" s="44"/>
      <c r="BC268" s="44"/>
      <c r="BD268" s="44"/>
      <c r="BE268" s="44"/>
      <c r="BF268" s="44"/>
      <c r="BG268" s="44"/>
      <c r="BH268" s="44"/>
      <c r="BI268" s="44"/>
      <c r="BJ268" s="44"/>
      <c r="BK268" s="44"/>
      <c r="BL268" s="44"/>
      <c r="BM268" s="44"/>
      <c r="BN268" s="44"/>
      <c r="BO268" s="44"/>
      <c r="BP268" s="44"/>
      <c r="BQ268" s="44"/>
      <c r="BR268" s="44"/>
      <c r="CT268" s="44"/>
      <c r="CU268" s="44"/>
      <c r="CV268" s="44"/>
      <c r="CW268" s="44"/>
      <c r="CX268" s="44"/>
      <c r="CY268" s="45"/>
      <c r="DC268" s="19"/>
      <c r="DD268" s="19"/>
      <c r="DE268" s="19"/>
      <c r="DF268" s="19"/>
      <c r="DG268" s="19"/>
      <c r="DH268" s="19"/>
      <c r="DI268" s="19"/>
    </row>
    <row r="269" spans="1:113" s="36" customFormat="1" ht="12" collapsed="1">
      <c r="A269" s="1" t="s">
        <v>924</v>
      </c>
      <c r="B269" s="2" t="s">
        <v>580</v>
      </c>
      <c r="C269" s="584"/>
      <c r="D269" s="584"/>
      <c r="E269" s="584"/>
      <c r="F269" s="584"/>
      <c r="G269" s="584"/>
      <c r="H269" s="584"/>
      <c r="I269" s="584"/>
      <c r="J269" s="584"/>
      <c r="K269" s="584"/>
      <c r="L269" s="584"/>
      <c r="M269" s="584"/>
      <c r="N269" s="584"/>
      <c r="O269" s="584"/>
      <c r="P269" s="584"/>
      <c r="Q269" s="584"/>
      <c r="R269" s="584"/>
      <c r="S269" s="584"/>
      <c r="T269" s="515"/>
      <c r="U269" s="584"/>
      <c r="V269" s="584"/>
      <c r="W269" s="584"/>
      <c r="X269" s="584"/>
      <c r="Y269" s="515"/>
      <c r="Z269" s="515"/>
      <c r="AA269" s="515"/>
      <c r="AB269" s="515"/>
      <c r="AC269" s="515"/>
      <c r="AD269" s="515"/>
      <c r="AE269" s="515"/>
      <c r="AF269" s="515"/>
      <c r="AG269" s="515"/>
      <c r="AH269" s="515"/>
      <c r="AI269" s="515"/>
      <c r="AJ269" s="515"/>
      <c r="AK269" s="515"/>
      <c r="AL269" s="515"/>
      <c r="AM269" s="515"/>
      <c r="AN269" s="515"/>
      <c r="AO269" s="515"/>
      <c r="AP269" s="512">
        <v>2.2801099450274857E-2</v>
      </c>
      <c r="AQ269" s="512">
        <v>2.016982056757937E-2</v>
      </c>
      <c r="AR269" s="512">
        <v>1.8962365773804477E-2</v>
      </c>
      <c r="AS269" s="512">
        <v>2.2347080851172048E-2</v>
      </c>
      <c r="AT269" s="512">
        <v>3.2324541767904405E-2</v>
      </c>
      <c r="AU269" s="512">
        <v>3.3437498294106464E-2</v>
      </c>
      <c r="AV269" s="512">
        <v>3.0192710798566502E-2</v>
      </c>
      <c r="AW269" s="578">
        <v>2.8508559573274632E-2</v>
      </c>
      <c r="AX269" s="414">
        <v>2.7847532821386592E-2</v>
      </c>
      <c r="AY269" s="414">
        <v>2.9535370180991789E-2</v>
      </c>
      <c r="AZ269" s="414">
        <v>2.981155867669491E-2</v>
      </c>
      <c r="BA269" s="414">
        <v>3.0279539659559027E-2</v>
      </c>
      <c r="BB269" s="414">
        <v>3.1135695108537711E-2</v>
      </c>
      <c r="BC269" s="414">
        <v>3.103007529324206E-2</v>
      </c>
      <c r="BD269" s="414">
        <v>3.078937974953435E-2</v>
      </c>
      <c r="BE269" s="414">
        <v>3.0672436370766859E-2</v>
      </c>
      <c r="BF269" s="414">
        <v>3.060290296453079E-2</v>
      </c>
      <c r="BG269" s="414">
        <v>3.057712660517025E-2</v>
      </c>
      <c r="BH269" s="414">
        <v>3.0579096506180459E-2</v>
      </c>
      <c r="BI269" s="414">
        <v>3.0611610331573988E-2</v>
      </c>
      <c r="BJ269" s="414">
        <v>3.0640819341964692E-2</v>
      </c>
      <c r="BK269" s="414">
        <v>3.0672257918350397E-2</v>
      </c>
      <c r="BL269" s="414">
        <v>3.0700439666500469E-2</v>
      </c>
      <c r="BM269" s="414">
        <v>3.0733325480754421E-2</v>
      </c>
      <c r="BN269" s="414">
        <v>3.076406188588688E-2</v>
      </c>
      <c r="BO269" s="414">
        <v>3.0796250757044202E-2</v>
      </c>
      <c r="BP269" s="414">
        <v>3.0824541168629746E-2</v>
      </c>
      <c r="BQ269" s="414">
        <v>3.0855904212596139E-2</v>
      </c>
      <c r="BR269" s="414"/>
      <c r="BS269" s="414"/>
      <c r="BT269" s="414"/>
      <c r="BU269" s="414"/>
      <c r="BV269" s="414"/>
      <c r="BW269" s="414"/>
      <c r="BX269" s="414"/>
      <c r="BY269" s="414"/>
      <c r="BZ269" s="414"/>
      <c r="CA269" s="414"/>
      <c r="CB269" s="414"/>
      <c r="CC269" s="414"/>
      <c r="CD269" s="414"/>
      <c r="CE269" s="414"/>
      <c r="CF269" s="414"/>
      <c r="CG269" s="414"/>
      <c r="CH269" s="414"/>
      <c r="CI269" s="414"/>
      <c r="CJ269" s="414"/>
      <c r="CK269" s="414"/>
      <c r="CL269" s="414"/>
      <c r="CM269" s="512"/>
      <c r="CN269" s="512"/>
      <c r="CO269" s="512"/>
      <c r="CP269" s="512"/>
      <c r="CQ269" s="512"/>
      <c r="CR269" s="512"/>
      <c r="CS269" s="512"/>
      <c r="CT269" s="512">
        <v>5.2999999999999992E-3</v>
      </c>
      <c r="CU269" s="512">
        <v>0.02</v>
      </c>
      <c r="CV269" s="512">
        <v>2.094695091720377E-2</v>
      </c>
      <c r="CW269" s="512">
        <v>2.0760484166768553E-2</v>
      </c>
      <c r="CX269" s="512">
        <v>3.2932259592610133E-2</v>
      </c>
      <c r="CY269" s="578">
        <v>2.9398324447829395E-2</v>
      </c>
      <c r="CZ269" s="414">
        <v>2.8714960518742436E-2</v>
      </c>
      <c r="DA269" s="414">
        <v>3.0052871931892516E-2</v>
      </c>
      <c r="DB269" s="414">
        <v>3.1082114406222702E-2</v>
      </c>
      <c r="DC269" s="414">
        <v>3.0729893506889178E-2</v>
      </c>
      <c r="DD269" s="414">
        <v>3.0589919642602229E-2</v>
      </c>
      <c r="DE269" s="414">
        <v>3.0595394283678044E-2</v>
      </c>
      <c r="DF269" s="414">
        <v>3.0656578166533714E-2</v>
      </c>
      <c r="DG269" s="414">
        <v>3.0716969250581552E-2</v>
      </c>
      <c r="DH269" s="414">
        <v>3.0780196848041015E-2</v>
      </c>
      <c r="DI269" s="414">
        <v>3.0840262199963227E-2</v>
      </c>
    </row>
    <row r="270" spans="1:113" ht="12" outlineLevel="1">
      <c r="AD270" s="608"/>
      <c r="AE270" s="608"/>
      <c r="AF270" s="608"/>
      <c r="AG270" s="165"/>
      <c r="AH270" s="165"/>
      <c r="AI270" s="165"/>
      <c r="AJ270" s="165"/>
      <c r="AK270" s="165"/>
      <c r="AL270" s="165"/>
      <c r="AM270" s="165"/>
      <c r="AN270" s="165"/>
      <c r="AO270" s="165"/>
      <c r="AP270" s="165"/>
      <c r="CR270" s="165"/>
      <c r="CS270" s="165"/>
      <c r="CU270" s="165"/>
      <c r="DC270" s="19"/>
      <c r="DD270" s="19"/>
      <c r="DE270" s="19"/>
      <c r="DF270" s="19"/>
      <c r="DG270" s="19"/>
      <c r="DH270" s="19"/>
      <c r="DI270" s="19"/>
    </row>
    <row r="271" spans="1:113" s="24" customFormat="1" ht="12" outlineLevel="1">
      <c r="A271" s="1"/>
      <c r="B271" s="24" t="s">
        <v>439</v>
      </c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2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21"/>
      <c r="CW271" s="21"/>
      <c r="CX271" s="21"/>
      <c r="CY271" s="22"/>
      <c r="CZ271" s="13"/>
      <c r="DA271" s="13"/>
      <c r="DB271" s="13"/>
    </row>
    <row r="272" spans="1:113" ht="12" outlineLevel="1">
      <c r="A272" s="1" t="s">
        <v>173</v>
      </c>
      <c r="B272" s="19" t="s">
        <v>162</v>
      </c>
      <c r="C272" s="601"/>
      <c r="D272" s="601"/>
      <c r="E272" s="601"/>
      <c r="F272" s="601"/>
      <c r="G272" s="601"/>
      <c r="H272" s="601"/>
      <c r="I272" s="416"/>
      <c r="J272" s="416"/>
      <c r="K272" s="416"/>
      <c r="L272" s="416"/>
      <c r="M272" s="416"/>
      <c r="N272" s="416"/>
      <c r="O272" s="416"/>
      <c r="P272" s="416"/>
      <c r="Q272" s="416"/>
      <c r="R272" s="416"/>
      <c r="S272" s="416"/>
      <c r="T272" s="416"/>
      <c r="U272" s="416"/>
      <c r="V272" s="416"/>
      <c r="W272" s="416"/>
      <c r="X272" s="416"/>
      <c r="Y272" s="416"/>
      <c r="Z272" s="416"/>
      <c r="AA272" s="416"/>
      <c r="AB272" s="416"/>
      <c r="AC272" s="416"/>
      <c r="AD272" s="416"/>
      <c r="AE272" s="416"/>
      <c r="AF272" s="416"/>
      <c r="AG272" s="416"/>
      <c r="AH272" s="416"/>
      <c r="AI272" s="416"/>
      <c r="AJ272" s="416"/>
      <c r="AK272" s="416"/>
      <c r="AL272" s="416"/>
      <c r="AM272" s="416"/>
      <c r="AN272" s="416"/>
      <c r="AO272" s="416"/>
      <c r="AP272" s="167">
        <v>4.6841633728590265E-2</v>
      </c>
      <c r="AQ272" s="167">
        <v>4.5910715466499094E-2</v>
      </c>
      <c r="AR272" s="167">
        <v>4.4614336408355361E-2</v>
      </c>
      <c r="AS272" s="167">
        <v>3.8655283831899243E-2</v>
      </c>
      <c r="AT272" s="167">
        <v>3.604800790738534E-2</v>
      </c>
      <c r="AU272" s="167">
        <v>3.5828757708805753E-2</v>
      </c>
      <c r="AV272" s="167">
        <v>3.7121212460429598E-2</v>
      </c>
      <c r="AW272" s="174">
        <v>3.9122758354213139E-2</v>
      </c>
      <c r="AX272" s="166">
        <v>4.0311379177106574E-2</v>
      </c>
      <c r="AY272" s="166">
        <v>4.1500000000000002E-2</v>
      </c>
      <c r="AZ272" s="166">
        <v>4.2333333333333334E-2</v>
      </c>
      <c r="BA272" s="166">
        <v>4.3166666666666666E-2</v>
      </c>
      <c r="BB272" s="166">
        <v>4.3999999999999997E-2</v>
      </c>
      <c r="BC272" s="166">
        <v>4.3999999999999997E-2</v>
      </c>
      <c r="BD272" s="166">
        <v>4.3999999999999997E-2</v>
      </c>
      <c r="BE272" s="166">
        <v>4.3999999999999997E-2</v>
      </c>
      <c r="BF272" s="166">
        <v>4.3999999999999997E-2</v>
      </c>
      <c r="BG272" s="166">
        <v>4.3999999999999997E-2</v>
      </c>
      <c r="BH272" s="166">
        <v>4.3999999999999997E-2</v>
      </c>
      <c r="BI272" s="166">
        <v>4.3999999999999997E-2</v>
      </c>
      <c r="BJ272" s="166">
        <v>4.3999999999999997E-2</v>
      </c>
      <c r="BK272" s="166">
        <v>4.3999999999999997E-2</v>
      </c>
      <c r="BL272" s="166">
        <v>4.3999999999999997E-2</v>
      </c>
      <c r="BM272" s="166">
        <v>4.3999999999999997E-2</v>
      </c>
      <c r="BN272" s="166">
        <v>4.3999999999999997E-2</v>
      </c>
      <c r="BO272" s="166">
        <v>4.3999999999999997E-2</v>
      </c>
      <c r="BP272" s="166">
        <v>4.3999999999999997E-2</v>
      </c>
      <c r="BQ272" s="166">
        <v>4.3999999999999997E-2</v>
      </c>
      <c r="BR272" s="166"/>
      <c r="BS272" s="166"/>
      <c r="BT272" s="166"/>
      <c r="BU272" s="166"/>
      <c r="BV272" s="166"/>
      <c r="BW272" s="166"/>
      <c r="BX272" s="166"/>
      <c r="BY272" s="166"/>
      <c r="BZ272" s="166"/>
      <c r="CA272" s="166"/>
      <c r="CB272" s="166"/>
      <c r="CC272" s="166"/>
      <c r="CD272" s="166"/>
      <c r="CE272" s="166"/>
      <c r="CF272" s="166"/>
      <c r="CG272" s="166"/>
      <c r="CH272" s="166"/>
      <c r="CI272" s="166"/>
      <c r="CJ272" s="166"/>
      <c r="CK272" s="166"/>
      <c r="CL272" s="166"/>
      <c r="CM272" s="167"/>
      <c r="CN272" s="167"/>
      <c r="CO272" s="167"/>
      <c r="CP272" s="167"/>
      <c r="CQ272" s="167"/>
      <c r="CR272" s="167"/>
      <c r="CS272" s="167"/>
      <c r="CT272" s="167">
        <v>2.4461945833333294E-2</v>
      </c>
      <c r="CU272" s="167">
        <v>2.8680270525412967E-2</v>
      </c>
      <c r="CV272" s="167">
        <v>5.0313274290201729E-2</v>
      </c>
      <c r="CW272" s="167">
        <v>4.1076114321334567E-2</v>
      </c>
      <c r="CX272" s="167">
        <v>3.5605891827913939E-2</v>
      </c>
      <c r="CY272" s="174">
        <v>3.8350759992520307E-2</v>
      </c>
      <c r="CZ272" s="166">
        <v>4.0928606361341643E-2</v>
      </c>
      <c r="DA272" s="166">
        <v>4.2763258858471702E-2</v>
      </c>
      <c r="DB272" s="166">
        <v>4.3999999999999991E-2</v>
      </c>
      <c r="DC272" s="166">
        <v>4.3999999999999984E-2</v>
      </c>
      <c r="DD272" s="166">
        <v>4.3999999999999997E-2</v>
      </c>
      <c r="DE272" s="166">
        <v>4.3999999999999997E-2</v>
      </c>
      <c r="DF272" s="166">
        <v>4.3999999999999997E-2</v>
      </c>
      <c r="DG272" s="166">
        <v>4.3999999999999997E-2</v>
      </c>
      <c r="DH272" s="166">
        <v>4.3999999999999997E-2</v>
      </c>
      <c r="DI272" s="166">
        <v>4.3999999999999984E-2</v>
      </c>
    </row>
    <row r="273" spans="1:113" ht="12" outlineLevel="1">
      <c r="A273" s="1" t="s">
        <v>226</v>
      </c>
      <c r="B273" s="19" t="s">
        <v>163</v>
      </c>
      <c r="C273" s="601"/>
      <c r="D273" s="601"/>
      <c r="E273" s="601"/>
      <c r="F273" s="601"/>
      <c r="G273" s="601"/>
      <c r="H273" s="601"/>
      <c r="I273" s="601"/>
      <c r="J273" s="601"/>
      <c r="K273" s="601"/>
      <c r="L273" s="601"/>
      <c r="M273" s="601"/>
      <c r="N273" s="601"/>
      <c r="O273" s="601"/>
      <c r="P273" s="601"/>
      <c r="Q273" s="601"/>
      <c r="R273" s="601"/>
      <c r="S273" s="601"/>
      <c r="T273" s="416"/>
      <c r="U273" s="601"/>
      <c r="V273" s="601"/>
      <c r="W273" s="601"/>
      <c r="X273" s="601"/>
      <c r="Y273" s="416"/>
      <c r="Z273" s="416"/>
      <c r="AA273" s="416"/>
      <c r="AB273" s="416"/>
      <c r="AC273" s="416"/>
      <c r="AD273" s="416"/>
      <c r="AE273" s="416"/>
      <c r="AF273" s="416"/>
      <c r="AG273" s="416"/>
      <c r="AH273" s="416"/>
      <c r="AI273" s="416"/>
      <c r="AJ273" s="416"/>
      <c r="AK273" s="416"/>
      <c r="AL273" s="416"/>
      <c r="AM273" s="416"/>
      <c r="AN273" s="416"/>
      <c r="AO273" s="416"/>
      <c r="AP273" s="167">
        <v>4.6841633728590258E-2</v>
      </c>
      <c r="AQ273" s="167">
        <v>4.5910715466499087E-2</v>
      </c>
      <c r="AR273" s="167">
        <v>4.4614336408355354E-2</v>
      </c>
      <c r="AS273" s="167">
        <v>3.8655283831899243E-2</v>
      </c>
      <c r="AT273" s="167">
        <v>3.604800790738534E-2</v>
      </c>
      <c r="AU273" s="167">
        <v>3.5828757708805753E-2</v>
      </c>
      <c r="AV273" s="167">
        <v>3.7121212460429598E-2</v>
      </c>
      <c r="AW273" s="174">
        <v>3.9122758354213139E-2</v>
      </c>
      <c r="AX273" s="166">
        <v>4.0311379177106574E-2</v>
      </c>
      <c r="AY273" s="166">
        <v>4.1500000000000002E-2</v>
      </c>
      <c r="AZ273" s="166">
        <v>4.2333333333333334E-2</v>
      </c>
      <c r="BA273" s="166">
        <v>4.3166666666666666E-2</v>
      </c>
      <c r="BB273" s="166">
        <v>4.3999999999999997E-2</v>
      </c>
      <c r="BC273" s="166">
        <v>4.3999999999999997E-2</v>
      </c>
      <c r="BD273" s="166">
        <v>4.3999999999999997E-2</v>
      </c>
      <c r="BE273" s="166">
        <v>4.3999999999999997E-2</v>
      </c>
      <c r="BF273" s="166">
        <v>4.3999999999999997E-2</v>
      </c>
      <c r="BG273" s="166">
        <v>4.3999999999999997E-2</v>
      </c>
      <c r="BH273" s="166">
        <v>4.3999999999999997E-2</v>
      </c>
      <c r="BI273" s="166">
        <v>4.3999999999999997E-2</v>
      </c>
      <c r="BJ273" s="166">
        <v>4.3999999999999997E-2</v>
      </c>
      <c r="BK273" s="166">
        <v>4.3999999999999997E-2</v>
      </c>
      <c r="BL273" s="166">
        <v>4.3999999999999997E-2</v>
      </c>
      <c r="BM273" s="166">
        <v>4.3999999999999997E-2</v>
      </c>
      <c r="BN273" s="166">
        <v>4.3999999999999997E-2</v>
      </c>
      <c r="BO273" s="166">
        <v>4.3999999999999997E-2</v>
      </c>
      <c r="BP273" s="166">
        <v>4.3999999999999997E-2</v>
      </c>
      <c r="BQ273" s="166">
        <v>4.3999999999999997E-2</v>
      </c>
      <c r="BR273" s="166"/>
      <c r="BS273" s="166"/>
      <c r="BT273" s="166"/>
      <c r="BU273" s="166"/>
      <c r="BV273" s="166"/>
      <c r="BW273" s="166"/>
      <c r="BX273" s="166"/>
      <c r="BY273" s="166"/>
      <c r="BZ273" s="166"/>
      <c r="CA273" s="166"/>
      <c r="CB273" s="166"/>
      <c r="CC273" s="166"/>
      <c r="CD273" s="166"/>
      <c r="CE273" s="166"/>
      <c r="CF273" s="166"/>
      <c r="CG273" s="166"/>
      <c r="CH273" s="166"/>
      <c r="CI273" s="166"/>
      <c r="CJ273" s="166"/>
      <c r="CK273" s="166"/>
      <c r="CL273" s="166"/>
      <c r="CM273" s="167"/>
      <c r="CN273" s="167"/>
      <c r="CO273" s="167"/>
      <c r="CP273" s="167"/>
      <c r="CQ273" s="167"/>
      <c r="CR273" s="167"/>
      <c r="CS273" s="167"/>
      <c r="CT273" s="167">
        <v>4.3767260132129782E-2</v>
      </c>
      <c r="CU273" s="167">
        <v>4.4314220398418494E-2</v>
      </c>
      <c r="CV273" s="167">
        <v>4.5923545948211353E-2</v>
      </c>
      <c r="CW273" s="167">
        <v>4.130224182325079E-2</v>
      </c>
      <c r="CX273" s="167">
        <v>3.5969356565473051E-2</v>
      </c>
      <c r="CY273" s="174">
        <v>3.812392048248564E-2</v>
      </c>
      <c r="CZ273" s="166">
        <v>4.092833692385877E-2</v>
      </c>
      <c r="DA273" s="166">
        <v>4.276301332416773E-2</v>
      </c>
      <c r="DB273" s="166">
        <v>4.3999999999999997E-2</v>
      </c>
      <c r="DC273" s="166">
        <v>4.3999999999999997E-2</v>
      </c>
      <c r="DD273" s="166">
        <v>4.3999999999999991E-2</v>
      </c>
      <c r="DE273" s="166">
        <v>4.4000000000000004E-2</v>
      </c>
      <c r="DF273" s="166">
        <v>4.3999999999999991E-2</v>
      </c>
      <c r="DG273" s="166">
        <v>4.3999999999999997E-2</v>
      </c>
      <c r="DH273" s="166">
        <v>4.3999999999999997E-2</v>
      </c>
      <c r="DI273" s="166">
        <v>4.3999999999999997E-2</v>
      </c>
    </row>
    <row r="274" spans="1:113" ht="12" outlineLevel="1">
      <c r="A274" s="1" t="s">
        <v>227</v>
      </c>
      <c r="B274" s="19" t="s">
        <v>164</v>
      </c>
      <c r="C274" s="601"/>
      <c r="D274" s="601"/>
      <c r="E274" s="601"/>
      <c r="F274" s="601"/>
      <c r="G274" s="601"/>
      <c r="H274" s="601"/>
      <c r="I274" s="601"/>
      <c r="J274" s="601"/>
      <c r="K274" s="601"/>
      <c r="L274" s="601"/>
      <c r="M274" s="601"/>
      <c r="N274" s="601"/>
      <c r="O274" s="601"/>
      <c r="P274" s="601"/>
      <c r="Q274" s="601"/>
      <c r="R274" s="601"/>
      <c r="S274" s="601"/>
      <c r="T274" s="416"/>
      <c r="U274" s="601"/>
      <c r="V274" s="601"/>
      <c r="W274" s="601"/>
      <c r="X274" s="601"/>
      <c r="Y274" s="416"/>
      <c r="Z274" s="416"/>
      <c r="AA274" s="416"/>
      <c r="AB274" s="416"/>
      <c r="AC274" s="416"/>
      <c r="AD274" s="416"/>
      <c r="AE274" s="416"/>
      <c r="AF274" s="416"/>
      <c r="AG274" s="416"/>
      <c r="AH274" s="416"/>
      <c r="AI274" s="416"/>
      <c r="AJ274" s="416"/>
      <c r="AK274" s="416"/>
      <c r="AL274" s="416"/>
      <c r="AM274" s="416"/>
      <c r="AN274" s="416"/>
      <c r="AO274" s="416"/>
      <c r="AP274" s="167">
        <v>1.6582E-2</v>
      </c>
      <c r="AQ274" s="167">
        <v>1.5839083333333337E-2</v>
      </c>
      <c r="AR274" s="167">
        <v>1.4994833333333334E-2</v>
      </c>
      <c r="AS274" s="167">
        <v>1.2483416666666667E-2</v>
      </c>
      <c r="AT274" s="167">
        <v>8.9397499999999998E-3</v>
      </c>
      <c r="AU274" s="167">
        <v>1.2081916666666666E-2</v>
      </c>
      <c r="AV274" s="167">
        <v>1.3563916666666669E-2</v>
      </c>
      <c r="AW274" s="174">
        <v>1.3563916666666669E-2</v>
      </c>
      <c r="AX274" s="166">
        <v>1.3563916666666669E-2</v>
      </c>
      <c r="AY274" s="166">
        <v>1.3563916666666669E-2</v>
      </c>
      <c r="AZ274" s="166">
        <v>1.3563916666666669E-2</v>
      </c>
      <c r="BA274" s="166">
        <v>1.3563916666666669E-2</v>
      </c>
      <c r="BB274" s="166">
        <v>1.3563916666666669E-2</v>
      </c>
      <c r="BC274" s="166">
        <v>1.3563916666666669E-2</v>
      </c>
      <c r="BD274" s="166">
        <v>1.3563916666666669E-2</v>
      </c>
      <c r="BE274" s="166">
        <v>1.3563916666666669E-2</v>
      </c>
      <c r="BF274" s="166">
        <v>1.3563916666666669E-2</v>
      </c>
      <c r="BG274" s="166">
        <v>1.3563916666666669E-2</v>
      </c>
      <c r="BH274" s="166">
        <v>1.3563916666666669E-2</v>
      </c>
      <c r="BI274" s="166">
        <v>1.3563916666666669E-2</v>
      </c>
      <c r="BJ274" s="166">
        <v>1.3563916666666669E-2</v>
      </c>
      <c r="BK274" s="166">
        <v>1.3563916666666669E-2</v>
      </c>
      <c r="BL274" s="166">
        <v>1.3563916666666669E-2</v>
      </c>
      <c r="BM274" s="166">
        <v>1.3563916666666669E-2</v>
      </c>
      <c r="BN274" s="166">
        <v>1.3563916666666669E-2</v>
      </c>
      <c r="BO274" s="166">
        <v>1.3563916666666669E-2</v>
      </c>
      <c r="BP274" s="166">
        <v>1.3563916666666669E-2</v>
      </c>
      <c r="BQ274" s="166">
        <v>1.3563916666666669E-2</v>
      </c>
      <c r="BR274" s="166"/>
      <c r="BS274" s="166"/>
      <c r="BT274" s="166"/>
      <c r="BU274" s="166"/>
      <c r="BV274" s="166"/>
      <c r="BW274" s="166"/>
      <c r="BX274" s="166"/>
      <c r="BY274" s="166"/>
      <c r="BZ274" s="166"/>
      <c r="CA274" s="166"/>
      <c r="CB274" s="166"/>
      <c r="CC274" s="166"/>
      <c r="CD274" s="166"/>
      <c r="CE274" s="166"/>
      <c r="CF274" s="166"/>
      <c r="CG274" s="166"/>
      <c r="CH274" s="166"/>
      <c r="CI274" s="166"/>
      <c r="CJ274" s="166"/>
      <c r="CK274" s="166"/>
      <c r="CL274" s="166"/>
      <c r="CM274" s="167"/>
      <c r="CN274" s="167"/>
      <c r="CO274" s="167"/>
      <c r="CP274" s="167"/>
      <c r="CQ274" s="167"/>
      <c r="CR274" s="167"/>
      <c r="CS274" s="167"/>
      <c r="CT274" s="167">
        <v>1.5691475421072076E-2</v>
      </c>
      <c r="CU274" s="167">
        <v>1.7048333333333335E-2</v>
      </c>
      <c r="CV274" s="167">
        <v>0</v>
      </c>
      <c r="CW274" s="167">
        <v>0</v>
      </c>
      <c r="CX274" s="167">
        <v>0</v>
      </c>
      <c r="CY274" s="174">
        <v>0</v>
      </c>
      <c r="CZ274" s="166">
        <v>0</v>
      </c>
      <c r="DA274" s="166">
        <v>0</v>
      </c>
      <c r="DB274" s="166">
        <v>0</v>
      </c>
      <c r="DC274" s="166">
        <v>0</v>
      </c>
      <c r="DD274" s="166">
        <v>0</v>
      </c>
      <c r="DE274" s="166">
        <v>0</v>
      </c>
      <c r="DF274" s="166">
        <v>0</v>
      </c>
      <c r="DG274" s="166">
        <v>0</v>
      </c>
      <c r="DH274" s="166">
        <v>0</v>
      </c>
      <c r="DI274" s="166">
        <v>0</v>
      </c>
    </row>
    <row r="275" spans="1:113" ht="12" outlineLevel="1">
      <c r="A275" s="1" t="s">
        <v>228</v>
      </c>
      <c r="B275" s="19" t="s">
        <v>165</v>
      </c>
      <c r="C275" s="601"/>
      <c r="D275" s="601"/>
      <c r="E275" s="601"/>
      <c r="F275" s="601"/>
      <c r="G275" s="601"/>
      <c r="H275" s="601"/>
      <c r="I275" s="601"/>
      <c r="J275" s="601"/>
      <c r="K275" s="601"/>
      <c r="L275" s="601"/>
      <c r="M275" s="601"/>
      <c r="N275" s="601"/>
      <c r="O275" s="601"/>
      <c r="P275" s="601"/>
      <c r="Q275" s="601"/>
      <c r="R275" s="601"/>
      <c r="S275" s="601"/>
      <c r="T275" s="416"/>
      <c r="U275" s="601"/>
      <c r="V275" s="601"/>
      <c r="W275" s="601"/>
      <c r="X275" s="601"/>
      <c r="Y275" s="416"/>
      <c r="Z275" s="416"/>
      <c r="AA275" s="416"/>
      <c r="AB275" s="416"/>
      <c r="AC275" s="416"/>
      <c r="AD275" s="416"/>
      <c r="AE275" s="416"/>
      <c r="AF275" s="416"/>
      <c r="AG275" s="416"/>
      <c r="AH275" s="416"/>
      <c r="AI275" s="416"/>
      <c r="AJ275" s="416"/>
      <c r="AK275" s="416"/>
      <c r="AL275" s="416"/>
      <c r="AM275" s="416"/>
      <c r="AN275" s="416"/>
      <c r="AO275" s="416"/>
      <c r="AP275" s="167">
        <v>6.6399064031689881E-2</v>
      </c>
      <c r="AQ275" s="167">
        <v>6.4497411434484814E-2</v>
      </c>
      <c r="AR275" s="167">
        <v>6.2440975267959012E-2</v>
      </c>
      <c r="AS275" s="167">
        <v>5.7809015859684038E-2</v>
      </c>
      <c r="AT275" s="167">
        <v>4.5787666504944105E-2</v>
      </c>
      <c r="AU275" s="167">
        <v>4.165275439335963E-2</v>
      </c>
      <c r="AV275" s="167">
        <v>3.9897816350236322E-2</v>
      </c>
      <c r="AW275" s="174">
        <v>3.9897816350236322E-2</v>
      </c>
      <c r="AX275" s="166">
        <v>3.9897816350236322E-2</v>
      </c>
      <c r="AY275" s="166">
        <v>3.9897816350236322E-2</v>
      </c>
      <c r="AZ275" s="166">
        <v>3.9897816350236322E-2</v>
      </c>
      <c r="BA275" s="166">
        <v>3.9897816350236322E-2</v>
      </c>
      <c r="BB275" s="166">
        <v>3.9897816350236322E-2</v>
      </c>
      <c r="BC275" s="166">
        <v>3.9897816350236322E-2</v>
      </c>
      <c r="BD275" s="166">
        <v>3.9897816350236322E-2</v>
      </c>
      <c r="BE275" s="166">
        <v>3.9897816350236322E-2</v>
      </c>
      <c r="BF275" s="166">
        <v>3.9897816350236322E-2</v>
      </c>
      <c r="BG275" s="166">
        <v>3.9897816350236322E-2</v>
      </c>
      <c r="BH275" s="166">
        <v>3.9897816350236322E-2</v>
      </c>
      <c r="BI275" s="166">
        <v>3.9897816350236322E-2</v>
      </c>
      <c r="BJ275" s="166">
        <v>3.9897816350236322E-2</v>
      </c>
      <c r="BK275" s="166">
        <v>3.9897816350236322E-2</v>
      </c>
      <c r="BL275" s="166">
        <v>3.9897816350236322E-2</v>
      </c>
      <c r="BM275" s="166">
        <v>3.9897816350236322E-2</v>
      </c>
      <c r="BN275" s="166">
        <v>3.9897816350236322E-2</v>
      </c>
      <c r="BO275" s="166">
        <v>3.9897816350236322E-2</v>
      </c>
      <c r="BP275" s="166">
        <v>3.9897816350236322E-2</v>
      </c>
      <c r="BQ275" s="166">
        <v>3.9897816350236322E-2</v>
      </c>
      <c r="BR275" s="166"/>
      <c r="BS275" s="166"/>
      <c r="BT275" s="166"/>
      <c r="BU275" s="166"/>
      <c r="BV275" s="166"/>
      <c r="BW275" s="166"/>
      <c r="BX275" s="166"/>
      <c r="BY275" s="166"/>
      <c r="BZ275" s="166"/>
      <c r="CA275" s="166"/>
      <c r="CB275" s="166"/>
      <c r="CC275" s="166"/>
      <c r="CD275" s="166"/>
      <c r="CE275" s="166"/>
      <c r="CF275" s="166"/>
      <c r="CG275" s="166"/>
      <c r="CH275" s="166"/>
      <c r="CI275" s="166"/>
      <c r="CJ275" s="166"/>
      <c r="CK275" s="166"/>
      <c r="CL275" s="166"/>
      <c r="CM275" s="167"/>
      <c r="CN275" s="167"/>
      <c r="CO275" s="167"/>
      <c r="CP275" s="167"/>
      <c r="CQ275" s="167"/>
      <c r="CR275" s="167"/>
      <c r="CS275" s="167"/>
      <c r="CT275" s="167">
        <v>6.1180343239283744E-2</v>
      </c>
      <c r="CU275" s="167">
        <v>6.6218619106021642E-2</v>
      </c>
      <c r="CV275" s="167" t="s">
        <v>213</v>
      </c>
      <c r="CW275" s="167" t="s">
        <v>213</v>
      </c>
      <c r="CX275" s="167" t="s">
        <v>213</v>
      </c>
      <c r="CY275" s="174" t="s">
        <v>213</v>
      </c>
      <c r="CZ275" s="166" t="s">
        <v>213</v>
      </c>
      <c r="DA275" s="166" t="s">
        <v>213</v>
      </c>
      <c r="DB275" s="166" t="s">
        <v>213</v>
      </c>
      <c r="DC275" s="166" t="s">
        <v>213</v>
      </c>
      <c r="DD275" s="166" t="s">
        <v>213</v>
      </c>
      <c r="DE275" s="166" t="s">
        <v>213</v>
      </c>
      <c r="DF275" s="166" t="s">
        <v>213</v>
      </c>
      <c r="DG275" s="166" t="s">
        <v>213</v>
      </c>
      <c r="DH275" s="166" t="s">
        <v>213</v>
      </c>
      <c r="DI275" s="166" t="s">
        <v>213</v>
      </c>
    </row>
    <row r="276" spans="1:113" s="24" customFormat="1" ht="12" outlineLevel="1">
      <c r="A276" s="1" t="s">
        <v>229</v>
      </c>
      <c r="B276" s="24" t="s">
        <v>166</v>
      </c>
      <c r="C276" s="515"/>
      <c r="D276" s="515"/>
      <c r="E276" s="515"/>
      <c r="F276" s="515"/>
      <c r="G276" s="515"/>
      <c r="H276" s="515"/>
      <c r="I276" s="515"/>
      <c r="J276" s="515"/>
      <c r="K276" s="515"/>
      <c r="L276" s="515"/>
      <c r="M276" s="515"/>
      <c r="N276" s="515"/>
      <c r="O276" s="515"/>
      <c r="P276" s="515"/>
      <c r="Q276" s="515"/>
      <c r="R276" s="515"/>
      <c r="S276" s="515"/>
      <c r="T276" s="515"/>
      <c r="U276" s="515"/>
      <c r="V276" s="515"/>
      <c r="W276" s="515"/>
      <c r="X276" s="515"/>
      <c r="Y276" s="515"/>
      <c r="Z276" s="515"/>
      <c r="AA276" s="515"/>
      <c r="AB276" s="515"/>
      <c r="AC276" s="515"/>
      <c r="AD276" s="515"/>
      <c r="AE276" s="515"/>
      <c r="AF276" s="515"/>
      <c r="AG276" s="515"/>
      <c r="AH276" s="515"/>
      <c r="AI276" s="515"/>
      <c r="AJ276" s="515"/>
      <c r="AK276" s="515"/>
      <c r="AL276" s="515"/>
      <c r="AM276" s="515"/>
      <c r="AN276" s="515"/>
      <c r="AO276" s="515"/>
      <c r="AP276" s="598">
        <v>4.6841633728590258E-2</v>
      </c>
      <c r="AQ276" s="598">
        <v>4.5910715466499094E-2</v>
      </c>
      <c r="AR276" s="598">
        <v>4.4614336408355354E-2</v>
      </c>
      <c r="AS276" s="598">
        <v>3.8655283831899243E-2</v>
      </c>
      <c r="AT276" s="598">
        <v>3.6048007907385347E-2</v>
      </c>
      <c r="AU276" s="598">
        <v>3.5828757708805746E-2</v>
      </c>
      <c r="AV276" s="598">
        <v>3.7121212460429598E-2</v>
      </c>
      <c r="AW276" s="624">
        <v>3.9122758354213132E-2</v>
      </c>
      <c r="AX276" s="415">
        <v>4.0311379177106581E-2</v>
      </c>
      <c r="AY276" s="415">
        <v>4.1500000000000009E-2</v>
      </c>
      <c r="AZ276" s="415">
        <v>4.2333333333333341E-2</v>
      </c>
      <c r="BA276" s="415">
        <v>4.3166666666666659E-2</v>
      </c>
      <c r="BB276" s="415">
        <v>4.3999999999999997E-2</v>
      </c>
      <c r="BC276" s="415">
        <v>4.3999999999999997E-2</v>
      </c>
      <c r="BD276" s="415">
        <v>4.3999999999999991E-2</v>
      </c>
      <c r="BE276" s="415">
        <v>4.3999999999999984E-2</v>
      </c>
      <c r="BF276" s="415">
        <v>4.3999999999999997E-2</v>
      </c>
      <c r="BG276" s="415">
        <v>4.3999999999999991E-2</v>
      </c>
      <c r="BH276" s="415">
        <v>4.3999999999999997E-2</v>
      </c>
      <c r="BI276" s="415">
        <v>4.3999999999999991E-2</v>
      </c>
      <c r="BJ276" s="415">
        <v>4.3999999999999984E-2</v>
      </c>
      <c r="BK276" s="415">
        <v>4.3999999999999984E-2</v>
      </c>
      <c r="BL276" s="415">
        <v>4.3999999999999997E-2</v>
      </c>
      <c r="BM276" s="415">
        <v>4.3999999999999991E-2</v>
      </c>
      <c r="BN276" s="415">
        <v>4.3999999999999991E-2</v>
      </c>
      <c r="BO276" s="415">
        <v>4.3999999999999991E-2</v>
      </c>
      <c r="BP276" s="415">
        <v>4.4000000000000004E-2</v>
      </c>
      <c r="BQ276" s="415">
        <v>4.3999999999999997E-2</v>
      </c>
      <c r="BR276" s="415"/>
      <c r="BS276" s="425"/>
      <c r="BT276" s="425"/>
      <c r="BU276" s="425"/>
      <c r="BV276" s="425"/>
      <c r="BW276" s="425"/>
      <c r="BX276" s="425"/>
      <c r="BY276" s="425"/>
      <c r="BZ276" s="425"/>
      <c r="CA276" s="425"/>
      <c r="CB276" s="425"/>
      <c r="CC276" s="415"/>
      <c r="CD276" s="415"/>
      <c r="CE276" s="415"/>
      <c r="CF276" s="415"/>
      <c r="CG276" s="415"/>
      <c r="CH276" s="415"/>
      <c r="CI276" s="415"/>
      <c r="CJ276" s="415"/>
      <c r="CK276" s="415"/>
      <c r="CL276" s="415"/>
      <c r="CM276" s="514"/>
      <c r="CN276" s="514"/>
      <c r="CO276" s="514"/>
      <c r="CP276" s="514"/>
      <c r="CQ276" s="514"/>
      <c r="CR276" s="514"/>
      <c r="CS276" s="514"/>
      <c r="CT276" s="579">
        <v>4.3381153846153847E-2</v>
      </c>
      <c r="CU276" s="579">
        <v>4.3453816793893124E-2</v>
      </c>
      <c r="CV276" s="514">
        <v>4.6310505050194413E-2</v>
      </c>
      <c r="CW276" s="514">
        <v>4.1279111403439796E-2</v>
      </c>
      <c r="CX276" s="514">
        <v>3.5931279491872047E-2</v>
      </c>
      <c r="CY276" s="581">
        <v>3.8148101989575106E-2</v>
      </c>
      <c r="CZ276" s="415">
        <v>4.0928365675222157E-2</v>
      </c>
      <c r="DA276" s="415">
        <v>4.2763039639133672E-2</v>
      </c>
      <c r="DB276" s="415">
        <v>4.3999999999999997E-2</v>
      </c>
      <c r="DC276" s="415">
        <v>4.3999999999999991E-2</v>
      </c>
      <c r="DD276" s="415">
        <v>4.3999999999999991E-2</v>
      </c>
      <c r="DE276" s="415">
        <v>4.3999999999999997E-2</v>
      </c>
      <c r="DF276" s="415">
        <v>4.3999999999999984E-2</v>
      </c>
      <c r="DG276" s="415">
        <v>4.3999999999999997E-2</v>
      </c>
      <c r="DH276" s="415">
        <v>4.3999999999999991E-2</v>
      </c>
      <c r="DI276" s="415">
        <v>4.3999999999999997E-2</v>
      </c>
    </row>
    <row r="277" spans="1:113" ht="12" outlineLevel="1">
      <c r="C277" s="601"/>
      <c r="D277" s="601"/>
      <c r="E277" s="601"/>
      <c r="F277" s="601"/>
      <c r="G277" s="601"/>
      <c r="H277" s="601"/>
      <c r="I277" s="601"/>
      <c r="J277" s="601"/>
      <c r="K277" s="601"/>
      <c r="L277" s="601"/>
      <c r="M277" s="601"/>
      <c r="N277" s="601"/>
      <c r="O277" s="601"/>
      <c r="P277" s="601"/>
      <c r="Q277" s="601"/>
      <c r="R277" s="601"/>
      <c r="S277" s="601"/>
      <c r="T277" s="601"/>
      <c r="U277" s="601"/>
      <c r="V277" s="601"/>
      <c r="W277" s="601"/>
      <c r="X277" s="601"/>
      <c r="Y277" s="416"/>
      <c r="Z277" s="416"/>
      <c r="AA277" s="416"/>
      <c r="AB277" s="416"/>
      <c r="AC277" s="416"/>
      <c r="AD277" s="416"/>
      <c r="AE277" s="416"/>
      <c r="AF277" s="416"/>
      <c r="AG277" s="416"/>
      <c r="AH277" s="416"/>
      <c r="AI277" s="416"/>
      <c r="AJ277" s="416"/>
      <c r="AK277" s="416"/>
      <c r="AL277" s="416"/>
      <c r="AM277" s="416"/>
      <c r="AN277" s="416"/>
      <c r="AO277" s="416"/>
      <c r="AP277" s="167"/>
      <c r="AQ277" s="167"/>
      <c r="AR277" s="167"/>
      <c r="AS277" s="167"/>
      <c r="AT277" s="167"/>
      <c r="AU277" s="167"/>
      <c r="AV277" s="167"/>
      <c r="AW277" s="174"/>
      <c r="AX277" s="166"/>
      <c r="AY277" s="166"/>
      <c r="AZ277" s="166"/>
      <c r="BA277" s="166"/>
      <c r="BB277" s="166"/>
      <c r="BC277" s="166"/>
      <c r="BD277" s="166"/>
      <c r="BE277" s="166"/>
      <c r="BF277" s="166"/>
      <c r="BG277" s="166"/>
      <c r="BH277" s="166"/>
      <c r="BI277" s="166"/>
      <c r="BJ277" s="166"/>
      <c r="BK277" s="166"/>
      <c r="BL277" s="166"/>
      <c r="BM277" s="166"/>
      <c r="BN277" s="166"/>
      <c r="BO277" s="166"/>
      <c r="BP277" s="166"/>
      <c r="BQ277" s="166"/>
      <c r="BR277" s="166"/>
      <c r="BS277" s="166"/>
      <c r="BT277" s="166"/>
      <c r="BU277" s="166"/>
      <c r="BV277" s="166"/>
      <c r="BW277" s="166"/>
      <c r="BX277" s="166"/>
      <c r="BY277" s="166"/>
      <c r="BZ277" s="166"/>
      <c r="CA277" s="166"/>
      <c r="CB277" s="166"/>
      <c r="CC277" s="166"/>
      <c r="CD277" s="166"/>
      <c r="CE277" s="166"/>
      <c r="CF277" s="166"/>
      <c r="CG277" s="166"/>
      <c r="CH277" s="166"/>
      <c r="CI277" s="166"/>
      <c r="CJ277" s="166"/>
      <c r="CK277" s="166"/>
      <c r="CL277" s="166"/>
      <c r="CM277" s="167"/>
      <c r="CN277" s="167"/>
      <c r="CO277" s="167"/>
      <c r="CP277" s="167"/>
      <c r="CQ277" s="167"/>
      <c r="CR277" s="167"/>
      <c r="CS277" s="167"/>
      <c r="CT277" s="167"/>
      <c r="CU277" s="167"/>
      <c r="CV277" s="167"/>
      <c r="CW277" s="167"/>
      <c r="CX277" s="167"/>
      <c r="CY277" s="174"/>
      <c r="CZ277" s="166"/>
      <c r="DA277" s="166"/>
      <c r="DG277" s="21"/>
      <c r="DH277" s="21"/>
      <c r="DI277" s="21"/>
    </row>
    <row r="278" spans="1:113" s="24" customFormat="1" ht="12" outlineLevel="1">
      <c r="A278" s="1"/>
      <c r="B278" s="24" t="s">
        <v>405</v>
      </c>
      <c r="C278" s="584"/>
      <c r="D278" s="584"/>
      <c r="E278" s="584"/>
      <c r="F278" s="584"/>
      <c r="G278" s="584"/>
      <c r="H278" s="584"/>
      <c r="I278" s="584"/>
      <c r="J278" s="584"/>
      <c r="K278" s="584"/>
      <c r="L278" s="584"/>
      <c r="M278" s="584"/>
      <c r="N278" s="584"/>
      <c r="O278" s="584"/>
      <c r="P278" s="584"/>
      <c r="Q278" s="584"/>
      <c r="R278" s="584"/>
      <c r="S278" s="584"/>
      <c r="T278" s="584"/>
      <c r="U278" s="584"/>
      <c r="V278" s="584"/>
      <c r="W278" s="584"/>
      <c r="X278" s="584"/>
      <c r="Y278" s="515"/>
      <c r="Z278" s="515"/>
      <c r="AA278" s="515"/>
      <c r="AB278" s="515"/>
      <c r="AC278" s="515"/>
      <c r="AD278" s="515"/>
      <c r="AE278" s="515"/>
      <c r="AF278" s="515"/>
      <c r="AG278" s="515"/>
      <c r="AH278" s="515"/>
      <c r="AI278" s="515"/>
      <c r="AJ278" s="515"/>
      <c r="AK278" s="515"/>
      <c r="AL278" s="515"/>
      <c r="AM278" s="515"/>
      <c r="AN278" s="515"/>
      <c r="AO278" s="515"/>
      <c r="AP278" s="514"/>
      <c r="AQ278" s="514"/>
      <c r="AR278" s="514"/>
      <c r="AS278" s="514"/>
      <c r="AT278" s="514"/>
      <c r="AU278" s="514"/>
      <c r="AV278" s="514"/>
      <c r="AW278" s="581"/>
      <c r="AX278" s="415"/>
      <c r="AY278" s="415"/>
      <c r="AZ278" s="415"/>
      <c r="BA278" s="415"/>
      <c r="BB278" s="415"/>
      <c r="BC278" s="415"/>
      <c r="BD278" s="415"/>
      <c r="BE278" s="415"/>
      <c r="BF278" s="415"/>
      <c r="BG278" s="415"/>
      <c r="BH278" s="415"/>
      <c r="BI278" s="415"/>
      <c r="BJ278" s="415"/>
      <c r="BK278" s="415"/>
      <c r="BL278" s="415"/>
      <c r="BM278" s="415"/>
      <c r="BN278" s="415"/>
      <c r="BO278" s="415"/>
      <c r="BP278" s="415"/>
      <c r="BQ278" s="415"/>
      <c r="BR278" s="415"/>
      <c r="BS278" s="415"/>
      <c r="BT278" s="415"/>
      <c r="BU278" s="415"/>
      <c r="BV278" s="415"/>
      <c r="BW278" s="415"/>
      <c r="BX278" s="415"/>
      <c r="BY278" s="415"/>
      <c r="BZ278" s="415"/>
      <c r="CA278" s="415"/>
      <c r="CB278" s="415"/>
      <c r="CC278" s="415"/>
      <c r="CD278" s="415"/>
      <c r="CE278" s="415"/>
      <c r="CF278" s="415"/>
      <c r="CG278" s="415"/>
      <c r="CH278" s="415"/>
      <c r="CI278" s="415"/>
      <c r="CJ278" s="415"/>
      <c r="CK278" s="415"/>
      <c r="CL278" s="415"/>
      <c r="CM278" s="514"/>
      <c r="CN278" s="514"/>
      <c r="CO278" s="514"/>
      <c r="CP278" s="514"/>
      <c r="CQ278" s="514"/>
      <c r="CR278" s="514"/>
      <c r="CS278" s="514"/>
      <c r="CT278" s="514"/>
      <c r="CU278" s="514"/>
      <c r="CV278" s="514"/>
      <c r="CW278" s="514"/>
      <c r="CX278" s="514"/>
      <c r="CY278" s="581"/>
      <c r="CZ278" s="415"/>
      <c r="DA278" s="415"/>
      <c r="DB278" s="13"/>
      <c r="DC278" s="13"/>
      <c r="DD278" s="13"/>
      <c r="DE278" s="13"/>
      <c r="DF278" s="13"/>
      <c r="DG278" s="13"/>
      <c r="DH278" s="13"/>
      <c r="DI278" s="13"/>
    </row>
    <row r="279" spans="1:113" ht="12" outlineLevel="1">
      <c r="A279" s="1" t="s">
        <v>142</v>
      </c>
      <c r="B279" s="19" t="s">
        <v>162</v>
      </c>
      <c r="C279" s="416"/>
      <c r="D279" s="416"/>
      <c r="E279" s="416"/>
      <c r="F279" s="416"/>
      <c r="G279" s="416"/>
      <c r="H279" s="416"/>
      <c r="I279" s="416"/>
      <c r="J279" s="416"/>
      <c r="K279" s="416"/>
      <c r="L279" s="416"/>
      <c r="M279" s="416"/>
      <c r="N279" s="416"/>
      <c r="O279" s="416"/>
      <c r="P279" s="416"/>
      <c r="Q279" s="416"/>
      <c r="R279" s="416"/>
      <c r="S279" s="416"/>
      <c r="T279" s="416"/>
      <c r="U279" s="416"/>
      <c r="V279" s="416"/>
      <c r="W279" s="416"/>
      <c r="X279" s="416"/>
      <c r="Y279" s="416"/>
      <c r="Z279" s="416"/>
      <c r="AA279" s="416"/>
      <c r="AB279" s="416"/>
      <c r="AC279" s="416"/>
      <c r="AD279" s="416"/>
      <c r="AE279" s="416"/>
      <c r="AF279" s="416"/>
      <c r="AG279" s="416"/>
      <c r="AH279" s="416"/>
      <c r="AI279" s="416"/>
      <c r="AJ279" s="416"/>
      <c r="AK279" s="416"/>
      <c r="AL279" s="416"/>
      <c r="AM279" s="416"/>
      <c r="AN279" s="416"/>
      <c r="AO279" s="416"/>
      <c r="AP279" s="509">
        <v>0</v>
      </c>
      <c r="AQ279" s="509">
        <v>0</v>
      </c>
      <c r="AR279" s="509">
        <v>0</v>
      </c>
      <c r="AS279" s="509">
        <v>0</v>
      </c>
      <c r="AT279" s="509">
        <v>0</v>
      </c>
      <c r="AU279" s="509">
        <v>0</v>
      </c>
      <c r="AV279" s="509">
        <v>0</v>
      </c>
      <c r="AW279" s="558">
        <v>0</v>
      </c>
      <c r="AX279" s="166"/>
      <c r="AY279" s="166"/>
      <c r="AZ279" s="166"/>
      <c r="BA279" s="166"/>
      <c r="BB279" s="166"/>
      <c r="BC279" s="166"/>
      <c r="BD279" s="166"/>
      <c r="BE279" s="166"/>
      <c r="BF279" s="166"/>
      <c r="BG279" s="166"/>
      <c r="BH279" s="166"/>
      <c r="BI279" s="166"/>
      <c r="BJ279" s="166"/>
      <c r="BK279" s="166"/>
      <c r="BL279" s="166"/>
      <c r="BM279" s="166"/>
      <c r="BN279" s="166"/>
      <c r="BO279" s="166"/>
      <c r="BP279" s="166"/>
      <c r="BQ279" s="166"/>
      <c r="BR279" s="166"/>
      <c r="BS279" s="166"/>
      <c r="BT279" s="166"/>
      <c r="BU279" s="166"/>
      <c r="BV279" s="166"/>
      <c r="BW279" s="166"/>
      <c r="BX279" s="166"/>
      <c r="BY279" s="166"/>
      <c r="BZ279" s="166"/>
      <c r="CA279" s="166"/>
      <c r="CB279" s="166"/>
      <c r="CC279" s="166"/>
      <c r="CD279" s="166"/>
      <c r="CE279" s="166"/>
      <c r="CF279" s="166"/>
      <c r="CG279" s="166"/>
      <c r="CH279" s="166"/>
      <c r="CI279" s="166"/>
      <c r="CJ279" s="166"/>
      <c r="CK279" s="166"/>
      <c r="CL279" s="166"/>
      <c r="CM279" s="167"/>
      <c r="CN279" s="167"/>
      <c r="CO279" s="167"/>
      <c r="CP279" s="167"/>
      <c r="CQ279" s="167"/>
      <c r="CR279" s="167"/>
      <c r="CS279" s="167"/>
      <c r="CT279" s="509">
        <v>0</v>
      </c>
      <c r="CU279" s="509">
        <v>0</v>
      </c>
      <c r="CV279" s="167"/>
      <c r="CW279" s="167"/>
      <c r="CX279" s="167"/>
      <c r="CY279" s="174"/>
      <c r="CZ279" s="166"/>
      <c r="DA279" s="166"/>
      <c r="DG279" s="21"/>
      <c r="DH279" s="21"/>
      <c r="DI279" s="21"/>
    </row>
    <row r="280" spans="1:113" ht="12" outlineLevel="1">
      <c r="A280" s="1" t="s">
        <v>143</v>
      </c>
      <c r="B280" s="19" t="s">
        <v>341</v>
      </c>
      <c r="C280" s="416"/>
      <c r="D280" s="416"/>
      <c r="E280" s="416"/>
      <c r="F280" s="416"/>
      <c r="G280" s="416"/>
      <c r="H280" s="416"/>
      <c r="I280" s="416"/>
      <c r="J280" s="416"/>
      <c r="K280" s="416"/>
      <c r="L280" s="416"/>
      <c r="M280" s="416"/>
      <c r="N280" s="416"/>
      <c r="O280" s="416"/>
      <c r="P280" s="416"/>
      <c r="Q280" s="416"/>
      <c r="R280" s="416"/>
      <c r="S280" s="416"/>
      <c r="T280" s="416"/>
      <c r="U280" s="416"/>
      <c r="V280" s="416"/>
      <c r="W280" s="416"/>
      <c r="X280" s="416"/>
      <c r="Y280" s="416"/>
      <c r="Z280" s="416"/>
      <c r="AA280" s="416"/>
      <c r="AB280" s="416"/>
      <c r="AC280" s="416"/>
      <c r="AD280" s="416"/>
      <c r="AE280" s="416"/>
      <c r="AF280" s="416"/>
      <c r="AG280" s="416"/>
      <c r="AH280" s="416"/>
      <c r="AI280" s="416"/>
      <c r="AJ280" s="416"/>
      <c r="AK280" s="416"/>
      <c r="AL280" s="416"/>
      <c r="AM280" s="416"/>
      <c r="AN280" s="416"/>
      <c r="AO280" s="416"/>
      <c r="AP280" s="167">
        <v>0</v>
      </c>
      <c r="AQ280" s="167">
        <v>0</v>
      </c>
      <c r="AR280" s="167">
        <v>0</v>
      </c>
      <c r="AS280" s="167">
        <v>0</v>
      </c>
      <c r="AT280" s="167">
        <v>0</v>
      </c>
      <c r="AU280" s="167">
        <v>0</v>
      </c>
      <c r="AV280" s="167">
        <v>0</v>
      </c>
      <c r="AW280" s="174">
        <v>0</v>
      </c>
      <c r="AX280" s="166"/>
      <c r="AY280" s="166"/>
      <c r="AZ280" s="166"/>
      <c r="BA280" s="166"/>
      <c r="BB280" s="166"/>
      <c r="BC280" s="166"/>
      <c r="BD280" s="166"/>
      <c r="BE280" s="166"/>
      <c r="BF280" s="166"/>
      <c r="BG280" s="166"/>
      <c r="BH280" s="166"/>
      <c r="BI280" s="166"/>
      <c r="BJ280" s="166"/>
      <c r="BK280" s="166"/>
      <c r="BL280" s="166"/>
      <c r="BM280" s="166"/>
      <c r="BN280" s="166"/>
      <c r="BO280" s="166"/>
      <c r="BP280" s="166"/>
      <c r="BQ280" s="166"/>
      <c r="BR280" s="166"/>
      <c r="BS280" s="166"/>
      <c r="BT280" s="166"/>
      <c r="BU280" s="166"/>
      <c r="BV280" s="166"/>
      <c r="BW280" s="166"/>
      <c r="BX280" s="166"/>
      <c r="BY280" s="166"/>
      <c r="BZ280" s="166"/>
      <c r="CA280" s="166"/>
      <c r="CB280" s="166"/>
      <c r="CC280" s="166"/>
      <c r="CD280" s="166"/>
      <c r="CE280" s="166"/>
      <c r="CF280" s="166"/>
      <c r="CG280" s="166"/>
      <c r="CH280" s="166"/>
      <c r="CI280" s="166"/>
      <c r="CJ280" s="166"/>
      <c r="CK280" s="166"/>
      <c r="CL280" s="166"/>
      <c r="CM280" s="167"/>
      <c r="CN280" s="167"/>
      <c r="CO280" s="167"/>
      <c r="CP280" s="167"/>
      <c r="CQ280" s="167"/>
      <c r="CR280" s="167"/>
      <c r="CS280" s="167"/>
      <c r="CT280" s="167">
        <v>0</v>
      </c>
      <c r="CU280" s="167">
        <v>0</v>
      </c>
      <c r="CV280" s="167"/>
      <c r="CW280" s="167"/>
      <c r="CX280" s="167"/>
      <c r="CY280" s="174"/>
      <c r="CZ280" s="166"/>
      <c r="DA280" s="166"/>
      <c r="DG280" s="21"/>
      <c r="DH280" s="21"/>
      <c r="DI280" s="21"/>
    </row>
    <row r="281" spans="1:113" s="24" customFormat="1" ht="12" outlineLevel="1">
      <c r="A281" s="1" t="s">
        <v>144</v>
      </c>
      <c r="B281" s="24" t="s">
        <v>166</v>
      </c>
      <c r="C281" s="515"/>
      <c r="D281" s="515"/>
      <c r="E281" s="515"/>
      <c r="F281" s="515"/>
      <c r="G281" s="515"/>
      <c r="H281" s="515"/>
      <c r="I281" s="515"/>
      <c r="J281" s="515"/>
      <c r="K281" s="515"/>
      <c r="L281" s="515"/>
      <c r="M281" s="515"/>
      <c r="N281" s="515"/>
      <c r="O281" s="515"/>
      <c r="P281" s="515"/>
      <c r="Q281" s="515"/>
      <c r="R281" s="515"/>
      <c r="S281" s="515"/>
      <c r="T281" s="515"/>
      <c r="U281" s="515"/>
      <c r="V281" s="515"/>
      <c r="W281" s="515"/>
      <c r="X281" s="515"/>
      <c r="Y281" s="515"/>
      <c r="Z281" s="515"/>
      <c r="AA281" s="515"/>
      <c r="AB281" s="515"/>
      <c r="AC281" s="515"/>
      <c r="AD281" s="515"/>
      <c r="AE281" s="515"/>
      <c r="AF281" s="515"/>
      <c r="AG281" s="515"/>
      <c r="AH281" s="515"/>
      <c r="AI281" s="515"/>
      <c r="AJ281" s="515"/>
      <c r="AK281" s="515"/>
      <c r="AL281" s="515"/>
      <c r="AM281" s="515"/>
      <c r="AN281" s="515"/>
      <c r="AO281" s="515"/>
      <c r="AP281" s="513">
        <v>0</v>
      </c>
      <c r="AQ281" s="513">
        <v>0</v>
      </c>
      <c r="AR281" s="513">
        <v>0</v>
      </c>
      <c r="AS281" s="513">
        <v>0</v>
      </c>
      <c r="AT281" s="513">
        <v>0</v>
      </c>
      <c r="AU281" s="513">
        <v>0</v>
      </c>
      <c r="AV281" s="513">
        <v>0</v>
      </c>
      <c r="AW281" s="580">
        <v>0</v>
      </c>
      <c r="AX281" s="415">
        <v>0</v>
      </c>
      <c r="AY281" s="415">
        <v>0</v>
      </c>
      <c r="AZ281" s="415">
        <v>0</v>
      </c>
      <c r="BA281" s="415">
        <v>0</v>
      </c>
      <c r="BB281" s="415">
        <v>0</v>
      </c>
      <c r="BC281" s="415">
        <v>0</v>
      </c>
      <c r="BD281" s="415">
        <v>0</v>
      </c>
      <c r="BE281" s="415">
        <v>0</v>
      </c>
      <c r="BF281" s="415">
        <v>0</v>
      </c>
      <c r="BG281" s="415">
        <v>0</v>
      </c>
      <c r="BH281" s="415">
        <v>0</v>
      </c>
      <c r="BI281" s="415">
        <v>0</v>
      </c>
      <c r="BJ281" s="415">
        <v>0</v>
      </c>
      <c r="BK281" s="415">
        <v>0</v>
      </c>
      <c r="BL281" s="415">
        <v>0</v>
      </c>
      <c r="BM281" s="415">
        <v>0</v>
      </c>
      <c r="BN281" s="415">
        <v>0</v>
      </c>
      <c r="BO281" s="415">
        <v>0</v>
      </c>
      <c r="BP281" s="415">
        <v>0</v>
      </c>
      <c r="BQ281" s="415">
        <v>0</v>
      </c>
      <c r="BR281" s="415"/>
      <c r="BS281" s="415"/>
      <c r="BT281" s="415"/>
      <c r="BU281" s="415"/>
      <c r="BV281" s="415"/>
      <c r="BW281" s="415"/>
      <c r="BX281" s="415"/>
      <c r="BY281" s="415"/>
      <c r="BZ281" s="415"/>
      <c r="CA281" s="415"/>
      <c r="CB281" s="415"/>
      <c r="CC281" s="415"/>
      <c r="CD281" s="415"/>
      <c r="CE281" s="415"/>
      <c r="CF281" s="415"/>
      <c r="CG281" s="415"/>
      <c r="CH281" s="415"/>
      <c r="CI281" s="415"/>
      <c r="CJ281" s="415"/>
      <c r="CK281" s="415"/>
      <c r="CL281" s="415"/>
      <c r="CM281" s="514"/>
      <c r="CN281" s="514"/>
      <c r="CO281" s="514"/>
      <c r="CP281" s="514"/>
      <c r="CQ281" s="514"/>
      <c r="CR281" s="514"/>
      <c r="CS281" s="514"/>
      <c r="CT281" s="513">
        <v>0</v>
      </c>
      <c r="CU281" s="513">
        <v>0</v>
      </c>
      <c r="CV281" s="633">
        <v>0</v>
      </c>
      <c r="CW281" s="633">
        <v>0</v>
      </c>
      <c r="CX281" s="633">
        <v>0</v>
      </c>
      <c r="CY281" s="630">
        <v>0</v>
      </c>
      <c r="CZ281" s="626">
        <v>0</v>
      </c>
      <c r="DA281" s="626">
        <v>0</v>
      </c>
      <c r="DB281" s="626">
        <v>0</v>
      </c>
      <c r="DC281" s="626">
        <v>0</v>
      </c>
      <c r="DD281" s="626">
        <v>0</v>
      </c>
      <c r="DE281" s="626">
        <v>0</v>
      </c>
      <c r="DF281" s="626">
        <v>0</v>
      </c>
      <c r="DG281" s="626">
        <v>0</v>
      </c>
      <c r="DH281" s="626">
        <v>0</v>
      </c>
      <c r="DI281" s="626">
        <v>0</v>
      </c>
    </row>
    <row r="282" spans="1:113" ht="12" outlineLevel="1">
      <c r="C282" s="601"/>
      <c r="D282" s="601"/>
      <c r="E282" s="601"/>
      <c r="F282" s="601"/>
      <c r="G282" s="601"/>
      <c r="H282" s="601"/>
      <c r="I282" s="601"/>
      <c r="J282" s="601"/>
      <c r="K282" s="601"/>
      <c r="L282" s="601"/>
      <c r="M282" s="601"/>
      <c r="N282" s="601"/>
      <c r="O282" s="601"/>
      <c r="P282" s="601"/>
      <c r="Q282" s="601"/>
      <c r="R282" s="601"/>
      <c r="S282" s="601"/>
      <c r="T282" s="601"/>
      <c r="U282" s="601"/>
      <c r="V282" s="601"/>
      <c r="W282" s="601"/>
      <c r="X282" s="601"/>
      <c r="Y282" s="416"/>
      <c r="Z282" s="416"/>
      <c r="AA282" s="416"/>
      <c r="AB282" s="416"/>
      <c r="AC282" s="416"/>
      <c r="AD282" s="416"/>
      <c r="AE282" s="416"/>
      <c r="AF282" s="416"/>
      <c r="AG282" s="416"/>
      <c r="AH282" s="416"/>
      <c r="AI282" s="416"/>
      <c r="AJ282" s="416"/>
      <c r="AK282" s="416"/>
      <c r="AL282" s="416"/>
      <c r="AM282" s="416"/>
      <c r="AN282" s="416"/>
      <c r="AO282" s="416"/>
      <c r="AP282" s="167"/>
      <c r="AQ282" s="167"/>
      <c r="AR282" s="167"/>
      <c r="AS282" s="167"/>
      <c r="AT282" s="167"/>
      <c r="AU282" s="167"/>
      <c r="AV282" s="167"/>
      <c r="AW282" s="174"/>
      <c r="AX282" s="166"/>
      <c r="AY282" s="166"/>
      <c r="AZ282" s="166"/>
      <c r="BA282" s="166"/>
      <c r="BB282" s="166"/>
      <c r="BC282" s="166"/>
      <c r="BD282" s="166"/>
      <c r="BE282" s="166"/>
      <c r="BF282" s="166"/>
      <c r="BG282" s="166"/>
      <c r="BH282" s="166"/>
      <c r="BI282" s="166"/>
      <c r="BJ282" s="166"/>
      <c r="BK282" s="166"/>
      <c r="BL282" s="166"/>
      <c r="BM282" s="166"/>
      <c r="BN282" s="166"/>
      <c r="BO282" s="166"/>
      <c r="BP282" s="166"/>
      <c r="BQ282" s="166"/>
      <c r="BR282" s="166"/>
      <c r="BS282" s="166"/>
      <c r="BT282" s="166"/>
      <c r="BU282" s="166"/>
      <c r="BV282" s="166"/>
      <c r="BW282" s="166"/>
      <c r="BX282" s="166"/>
      <c r="BY282" s="166"/>
      <c r="BZ282" s="166"/>
      <c r="CA282" s="166"/>
      <c r="CB282" s="166"/>
      <c r="CC282" s="166"/>
      <c r="CD282" s="166"/>
      <c r="CE282" s="166"/>
      <c r="CF282" s="166"/>
      <c r="CG282" s="166"/>
      <c r="CH282" s="166"/>
      <c r="CI282" s="166"/>
      <c r="CJ282" s="166"/>
      <c r="CK282" s="166"/>
      <c r="CL282" s="166"/>
      <c r="CM282" s="167"/>
      <c r="CN282" s="167"/>
      <c r="CO282" s="167"/>
      <c r="CP282" s="167"/>
      <c r="CQ282" s="167"/>
      <c r="CR282" s="167"/>
      <c r="CS282" s="167"/>
      <c r="CT282" s="167"/>
      <c r="CU282" s="167"/>
      <c r="CV282" s="167"/>
      <c r="CW282" s="167"/>
      <c r="CX282" s="167"/>
      <c r="CY282" s="174"/>
      <c r="CZ282" s="166"/>
      <c r="DA282" s="166"/>
      <c r="DG282" s="21"/>
      <c r="DH282" s="21"/>
      <c r="DI282" s="21"/>
    </row>
    <row r="283" spans="1:113" s="24" customFormat="1" ht="12" outlineLevel="1">
      <c r="A283" s="1"/>
      <c r="B283" s="24" t="s">
        <v>339</v>
      </c>
      <c r="C283" s="584"/>
      <c r="D283" s="584"/>
      <c r="E283" s="584"/>
      <c r="F283" s="584"/>
      <c r="G283" s="584"/>
      <c r="H283" s="584"/>
      <c r="I283" s="584"/>
      <c r="J283" s="584"/>
      <c r="K283" s="584"/>
      <c r="L283" s="584"/>
      <c r="M283" s="584"/>
      <c r="N283" s="584"/>
      <c r="O283" s="584"/>
      <c r="P283" s="584"/>
      <c r="Q283" s="584"/>
      <c r="R283" s="584"/>
      <c r="S283" s="584"/>
      <c r="T283" s="584"/>
      <c r="U283" s="584"/>
      <c r="V283" s="584"/>
      <c r="W283" s="584"/>
      <c r="X283" s="584"/>
      <c r="Y283" s="515"/>
      <c r="Z283" s="515"/>
      <c r="AA283" s="515"/>
      <c r="AB283" s="515"/>
      <c r="AC283" s="515"/>
      <c r="AD283" s="515"/>
      <c r="AE283" s="515"/>
      <c r="AF283" s="515"/>
      <c r="AG283" s="515"/>
      <c r="AH283" s="515"/>
      <c r="AI283" s="515"/>
      <c r="AJ283" s="515"/>
      <c r="AK283" s="515"/>
      <c r="AL283" s="515"/>
      <c r="AM283" s="515"/>
      <c r="AN283" s="515"/>
      <c r="AO283" s="515"/>
      <c r="AP283" s="514"/>
      <c r="AQ283" s="514"/>
      <c r="AR283" s="514"/>
      <c r="AS283" s="514"/>
      <c r="AT283" s="514"/>
      <c r="AU283" s="514"/>
      <c r="AV283" s="514"/>
      <c r="AW283" s="581"/>
      <c r="AX283" s="415"/>
      <c r="AY283" s="415"/>
      <c r="AZ283" s="415"/>
      <c r="BA283" s="415"/>
      <c r="BB283" s="415"/>
      <c r="BC283" s="415"/>
      <c r="BD283" s="415"/>
      <c r="BE283" s="415"/>
      <c r="BF283" s="415"/>
      <c r="BG283" s="415"/>
      <c r="BH283" s="415"/>
      <c r="BI283" s="415"/>
      <c r="BJ283" s="415"/>
      <c r="BK283" s="415"/>
      <c r="BL283" s="415"/>
      <c r="BM283" s="415"/>
      <c r="BN283" s="415"/>
      <c r="BO283" s="415"/>
      <c r="BP283" s="415"/>
      <c r="BQ283" s="415"/>
      <c r="BR283" s="415"/>
      <c r="BS283" s="415"/>
      <c r="BT283" s="415"/>
      <c r="BU283" s="415"/>
      <c r="BV283" s="415"/>
      <c r="BW283" s="415"/>
      <c r="BX283" s="415"/>
      <c r="BY283" s="415"/>
      <c r="BZ283" s="415"/>
      <c r="CA283" s="415"/>
      <c r="CB283" s="415"/>
      <c r="CC283" s="415"/>
      <c r="CD283" s="415"/>
      <c r="CE283" s="415"/>
      <c r="CF283" s="415"/>
      <c r="CG283" s="415"/>
      <c r="CH283" s="415"/>
      <c r="CI283" s="415"/>
      <c r="CJ283" s="415"/>
      <c r="CK283" s="415"/>
      <c r="CL283" s="415"/>
      <c r="CM283" s="514"/>
      <c r="CN283" s="514"/>
      <c r="CO283" s="514"/>
      <c r="CP283" s="514"/>
      <c r="CQ283" s="514"/>
      <c r="CR283" s="514"/>
      <c r="CS283" s="514"/>
      <c r="CT283" s="514"/>
      <c r="CU283" s="514"/>
      <c r="CV283" s="514"/>
      <c r="CW283" s="514"/>
      <c r="CX283" s="514"/>
      <c r="CY283" s="581"/>
      <c r="CZ283" s="415"/>
      <c r="DA283" s="415"/>
      <c r="DB283" s="13"/>
      <c r="DC283" s="13"/>
      <c r="DD283" s="13"/>
      <c r="DE283" s="13"/>
      <c r="DF283" s="13"/>
      <c r="DG283" s="13"/>
      <c r="DH283" s="13"/>
      <c r="DI283" s="13"/>
    </row>
    <row r="284" spans="1:113" ht="12" outlineLevel="1">
      <c r="A284" s="1" t="s">
        <v>145</v>
      </c>
      <c r="B284" s="19" t="s">
        <v>162</v>
      </c>
      <c r="C284" s="416"/>
      <c r="D284" s="416"/>
      <c r="E284" s="416"/>
      <c r="F284" s="416"/>
      <c r="G284" s="416"/>
      <c r="H284" s="416"/>
      <c r="I284" s="416"/>
      <c r="J284" s="416"/>
      <c r="K284" s="416"/>
      <c r="L284" s="416"/>
      <c r="M284" s="416"/>
      <c r="N284" s="416"/>
      <c r="O284" s="416"/>
      <c r="P284" s="416"/>
      <c r="Q284" s="416"/>
      <c r="R284" s="416"/>
      <c r="S284" s="416"/>
      <c r="T284" s="416"/>
      <c r="U284" s="416"/>
      <c r="V284" s="416"/>
      <c r="W284" s="416"/>
      <c r="X284" s="416"/>
      <c r="Y284" s="416"/>
      <c r="Z284" s="416"/>
      <c r="AA284" s="416"/>
      <c r="AB284" s="416"/>
      <c r="AC284" s="416"/>
      <c r="AD284" s="416"/>
      <c r="AE284" s="416"/>
      <c r="AF284" s="416"/>
      <c r="AG284" s="416"/>
      <c r="AH284" s="416"/>
      <c r="AI284" s="416"/>
      <c r="AJ284" s="416"/>
      <c r="AK284" s="416"/>
      <c r="AL284" s="416"/>
      <c r="AM284" s="416"/>
      <c r="AN284" s="416"/>
      <c r="AO284" s="416"/>
      <c r="AP284" s="509">
        <v>0</v>
      </c>
      <c r="AQ284" s="509">
        <v>0</v>
      </c>
      <c r="AR284" s="509">
        <v>0</v>
      </c>
      <c r="AS284" s="509">
        <v>0</v>
      </c>
      <c r="AT284" s="509">
        <v>0</v>
      </c>
      <c r="AU284" s="509">
        <v>0</v>
      </c>
      <c r="AV284" s="509">
        <v>0</v>
      </c>
      <c r="AW284" s="558">
        <v>0</v>
      </c>
      <c r="AX284" s="166"/>
      <c r="AY284" s="166"/>
      <c r="AZ284" s="166"/>
      <c r="BA284" s="166"/>
      <c r="BB284" s="166"/>
      <c r="BC284" s="166"/>
      <c r="BD284" s="166"/>
      <c r="BE284" s="166"/>
      <c r="BF284" s="166"/>
      <c r="BG284" s="166"/>
      <c r="BH284" s="166"/>
      <c r="BI284" s="166"/>
      <c r="BJ284" s="166"/>
      <c r="BK284" s="166"/>
      <c r="BL284" s="166"/>
      <c r="BM284" s="166"/>
      <c r="BN284" s="166"/>
      <c r="BO284" s="166"/>
      <c r="BP284" s="166"/>
      <c r="BQ284" s="166"/>
      <c r="BR284" s="166"/>
      <c r="BS284" s="166"/>
      <c r="BT284" s="166"/>
      <c r="BU284" s="166"/>
      <c r="BV284" s="166"/>
      <c r="BW284" s="166"/>
      <c r="BX284" s="166"/>
      <c r="BY284" s="166"/>
      <c r="BZ284" s="166"/>
      <c r="CA284" s="166"/>
      <c r="CB284" s="166"/>
      <c r="CC284" s="166"/>
      <c r="CD284" s="166"/>
      <c r="CE284" s="166"/>
      <c r="CF284" s="166"/>
      <c r="CG284" s="166"/>
      <c r="CH284" s="166"/>
      <c r="CI284" s="166"/>
      <c r="CJ284" s="166"/>
      <c r="CK284" s="166"/>
      <c r="CL284" s="166"/>
      <c r="CM284" s="167"/>
      <c r="CN284" s="167"/>
      <c r="CO284" s="167"/>
      <c r="CP284" s="167"/>
      <c r="CQ284" s="167"/>
      <c r="CR284" s="167"/>
      <c r="CS284" s="167"/>
      <c r="CT284" s="509">
        <v>0</v>
      </c>
      <c r="CU284" s="509">
        <v>0</v>
      </c>
      <c r="CV284" s="167"/>
      <c r="CW284" s="167"/>
      <c r="CX284" s="167"/>
      <c r="CY284" s="174"/>
      <c r="CZ284" s="166"/>
      <c r="DA284" s="166"/>
      <c r="DG284" s="21"/>
      <c r="DH284" s="21"/>
      <c r="DI284" s="21"/>
    </row>
    <row r="285" spans="1:113" ht="12" outlineLevel="1">
      <c r="A285" s="1" t="s">
        <v>146</v>
      </c>
      <c r="B285" s="19" t="s">
        <v>341</v>
      </c>
      <c r="C285" s="416"/>
      <c r="D285" s="416"/>
      <c r="E285" s="416"/>
      <c r="F285" s="416"/>
      <c r="G285" s="416"/>
      <c r="H285" s="416"/>
      <c r="I285" s="416"/>
      <c r="J285" s="416"/>
      <c r="K285" s="416"/>
      <c r="L285" s="416"/>
      <c r="M285" s="416"/>
      <c r="N285" s="416"/>
      <c r="O285" s="416"/>
      <c r="P285" s="416"/>
      <c r="Q285" s="416"/>
      <c r="R285" s="416"/>
      <c r="S285" s="416"/>
      <c r="T285" s="416"/>
      <c r="U285" s="416"/>
      <c r="V285" s="416"/>
      <c r="W285" s="416"/>
      <c r="X285" s="416"/>
      <c r="Y285" s="416"/>
      <c r="Z285" s="416"/>
      <c r="AA285" s="416"/>
      <c r="AB285" s="416"/>
      <c r="AC285" s="416"/>
      <c r="AD285" s="416"/>
      <c r="AE285" s="416"/>
      <c r="AF285" s="416"/>
      <c r="AG285" s="416"/>
      <c r="AH285" s="416"/>
      <c r="AI285" s="416"/>
      <c r="AJ285" s="416"/>
      <c r="AK285" s="416"/>
      <c r="AL285" s="416"/>
      <c r="AM285" s="416"/>
      <c r="AN285" s="416"/>
      <c r="AO285" s="416"/>
      <c r="AP285" s="167">
        <v>0</v>
      </c>
      <c r="AQ285" s="167">
        <v>0</v>
      </c>
      <c r="AR285" s="167">
        <v>0</v>
      </c>
      <c r="AS285" s="167">
        <v>0</v>
      </c>
      <c r="AT285" s="167">
        <v>0</v>
      </c>
      <c r="AU285" s="167">
        <v>0</v>
      </c>
      <c r="AV285" s="167">
        <v>0</v>
      </c>
      <c r="AW285" s="174">
        <v>0</v>
      </c>
      <c r="AX285" s="166"/>
      <c r="AY285" s="166"/>
      <c r="AZ285" s="166"/>
      <c r="BA285" s="166"/>
      <c r="BB285" s="166"/>
      <c r="BC285" s="166"/>
      <c r="BD285" s="166"/>
      <c r="BE285" s="166"/>
      <c r="BF285" s="166"/>
      <c r="BG285" s="166"/>
      <c r="BH285" s="166"/>
      <c r="BI285" s="166"/>
      <c r="BJ285" s="166"/>
      <c r="BK285" s="166"/>
      <c r="BL285" s="166"/>
      <c r="BM285" s="166"/>
      <c r="BN285" s="166"/>
      <c r="BO285" s="166"/>
      <c r="BP285" s="166"/>
      <c r="BQ285" s="166"/>
      <c r="BR285" s="166"/>
      <c r="BS285" s="166"/>
      <c r="BT285" s="166"/>
      <c r="BU285" s="166"/>
      <c r="BV285" s="166"/>
      <c r="BW285" s="166"/>
      <c r="BX285" s="166"/>
      <c r="BY285" s="166"/>
      <c r="BZ285" s="166"/>
      <c r="CA285" s="166"/>
      <c r="CB285" s="166"/>
      <c r="CC285" s="166"/>
      <c r="CD285" s="166"/>
      <c r="CE285" s="166"/>
      <c r="CF285" s="166"/>
      <c r="CG285" s="166"/>
      <c r="CH285" s="166"/>
      <c r="CI285" s="166"/>
      <c r="CJ285" s="166"/>
      <c r="CK285" s="166"/>
      <c r="CL285" s="166"/>
      <c r="CM285" s="167"/>
      <c r="CN285" s="167"/>
      <c r="CO285" s="167"/>
      <c r="CP285" s="167"/>
      <c r="CQ285" s="167"/>
      <c r="CR285" s="167"/>
      <c r="CS285" s="167"/>
      <c r="CT285" s="167">
        <v>0</v>
      </c>
      <c r="CU285" s="167">
        <v>0</v>
      </c>
      <c r="CV285" s="167"/>
      <c r="CW285" s="167"/>
      <c r="CX285" s="167"/>
      <c r="CY285" s="174"/>
      <c r="CZ285" s="166"/>
      <c r="DA285" s="166"/>
      <c r="DG285" s="21"/>
      <c r="DH285" s="21"/>
      <c r="DI285" s="21"/>
    </row>
    <row r="286" spans="1:113" s="24" customFormat="1" ht="12" outlineLevel="1">
      <c r="A286" s="1" t="s">
        <v>147</v>
      </c>
      <c r="B286" s="24" t="s">
        <v>166</v>
      </c>
      <c r="C286" s="515"/>
      <c r="D286" s="515"/>
      <c r="E286" s="515"/>
      <c r="F286" s="515"/>
      <c r="G286" s="515"/>
      <c r="H286" s="515"/>
      <c r="I286" s="515"/>
      <c r="J286" s="515"/>
      <c r="K286" s="515"/>
      <c r="L286" s="515"/>
      <c r="M286" s="515"/>
      <c r="N286" s="515"/>
      <c r="O286" s="515"/>
      <c r="P286" s="515"/>
      <c r="Q286" s="515"/>
      <c r="R286" s="515"/>
      <c r="S286" s="515"/>
      <c r="T286" s="515"/>
      <c r="U286" s="515"/>
      <c r="V286" s="515"/>
      <c r="W286" s="515"/>
      <c r="X286" s="515"/>
      <c r="Y286" s="515"/>
      <c r="Z286" s="515"/>
      <c r="AA286" s="515"/>
      <c r="AB286" s="515"/>
      <c r="AC286" s="515"/>
      <c r="AD286" s="515"/>
      <c r="AE286" s="515"/>
      <c r="AF286" s="515"/>
      <c r="AG286" s="515"/>
      <c r="AH286" s="515"/>
      <c r="AI286" s="515"/>
      <c r="AJ286" s="515"/>
      <c r="AK286" s="515"/>
      <c r="AL286" s="515"/>
      <c r="AM286" s="515"/>
      <c r="AN286" s="515"/>
      <c r="AO286" s="515"/>
      <c r="AP286" s="513">
        <v>0</v>
      </c>
      <c r="AQ286" s="513">
        <v>0</v>
      </c>
      <c r="AR286" s="513">
        <v>0</v>
      </c>
      <c r="AS286" s="513">
        <v>0</v>
      </c>
      <c r="AT286" s="513">
        <v>0</v>
      </c>
      <c r="AU286" s="513">
        <v>0</v>
      </c>
      <c r="AV286" s="513">
        <v>0</v>
      </c>
      <c r="AW286" s="580">
        <v>0</v>
      </c>
      <c r="AX286" s="415">
        <v>0</v>
      </c>
      <c r="AY286" s="415">
        <v>0</v>
      </c>
      <c r="AZ286" s="415">
        <v>0</v>
      </c>
      <c r="BA286" s="415">
        <v>0</v>
      </c>
      <c r="BB286" s="415">
        <v>0</v>
      </c>
      <c r="BC286" s="415">
        <v>0</v>
      </c>
      <c r="BD286" s="415">
        <v>0</v>
      </c>
      <c r="BE286" s="415">
        <v>0</v>
      </c>
      <c r="BF286" s="415">
        <v>0</v>
      </c>
      <c r="BG286" s="415">
        <v>0</v>
      </c>
      <c r="BH286" s="415">
        <v>0</v>
      </c>
      <c r="BI286" s="415">
        <v>0</v>
      </c>
      <c r="BJ286" s="415">
        <v>0</v>
      </c>
      <c r="BK286" s="415">
        <v>0</v>
      </c>
      <c r="BL286" s="415">
        <v>0</v>
      </c>
      <c r="BM286" s="415">
        <v>0</v>
      </c>
      <c r="BN286" s="415">
        <v>0</v>
      </c>
      <c r="BO286" s="415">
        <v>0</v>
      </c>
      <c r="BP286" s="415">
        <v>0</v>
      </c>
      <c r="BQ286" s="415">
        <v>0</v>
      </c>
      <c r="BR286" s="415"/>
      <c r="BS286" s="415"/>
      <c r="BT286" s="415"/>
      <c r="BU286" s="415"/>
      <c r="BV286" s="415"/>
      <c r="BW286" s="415"/>
      <c r="BX286" s="415"/>
      <c r="BY286" s="415"/>
      <c r="BZ286" s="415"/>
      <c r="CA286" s="415"/>
      <c r="CB286" s="415"/>
      <c r="CC286" s="415"/>
      <c r="CD286" s="415"/>
      <c r="CE286" s="415"/>
      <c r="CF286" s="415"/>
      <c r="CG286" s="415"/>
      <c r="CH286" s="415"/>
      <c r="CI286" s="415"/>
      <c r="CJ286" s="415"/>
      <c r="CK286" s="415"/>
      <c r="CL286" s="415"/>
      <c r="CM286" s="514"/>
      <c r="CN286" s="514"/>
      <c r="CO286" s="514"/>
      <c r="CP286" s="514"/>
      <c r="CQ286" s="514"/>
      <c r="CR286" s="514"/>
      <c r="CS286" s="514"/>
      <c r="CT286" s="513">
        <v>0</v>
      </c>
      <c r="CU286" s="513">
        <v>0</v>
      </c>
      <c r="CV286" s="633">
        <v>0</v>
      </c>
      <c r="CW286" s="633">
        <v>0</v>
      </c>
      <c r="CX286" s="633">
        <v>0</v>
      </c>
      <c r="CY286" s="630">
        <v>0</v>
      </c>
      <c r="CZ286" s="626">
        <v>0</v>
      </c>
      <c r="DA286" s="626">
        <v>0</v>
      </c>
      <c r="DB286" s="626">
        <v>0</v>
      </c>
      <c r="DC286" s="626">
        <v>0</v>
      </c>
      <c r="DD286" s="626">
        <v>0</v>
      </c>
      <c r="DE286" s="626">
        <v>0</v>
      </c>
      <c r="DF286" s="626">
        <v>0</v>
      </c>
      <c r="DG286" s="626">
        <v>0</v>
      </c>
      <c r="DH286" s="626">
        <v>0</v>
      </c>
      <c r="DI286" s="626">
        <v>0</v>
      </c>
    </row>
    <row r="287" spans="1:113" ht="12" outlineLevel="1">
      <c r="C287" s="601"/>
      <c r="D287" s="601"/>
      <c r="E287" s="601"/>
      <c r="F287" s="601"/>
      <c r="G287" s="601"/>
      <c r="H287" s="601"/>
      <c r="I287" s="601"/>
      <c r="J287" s="601"/>
      <c r="K287" s="601"/>
      <c r="L287" s="601"/>
      <c r="M287" s="601"/>
      <c r="N287" s="601"/>
      <c r="O287" s="601"/>
      <c r="P287" s="601"/>
      <c r="Q287" s="601"/>
      <c r="R287" s="601"/>
      <c r="S287" s="601"/>
      <c r="T287" s="601"/>
      <c r="U287" s="601"/>
      <c r="V287" s="601"/>
      <c r="W287" s="601"/>
      <c r="X287" s="601"/>
      <c r="Y287" s="416"/>
      <c r="Z287" s="416"/>
      <c r="AA287" s="416"/>
      <c r="AB287" s="416"/>
      <c r="AC287" s="416"/>
      <c r="AD287" s="416"/>
      <c r="AE287" s="416"/>
      <c r="AF287" s="416"/>
      <c r="AG287" s="416"/>
      <c r="AH287" s="416"/>
      <c r="AI287" s="416"/>
      <c r="AJ287" s="416"/>
      <c r="AK287" s="416"/>
      <c r="AL287" s="416"/>
      <c r="AM287" s="416"/>
      <c r="AN287" s="416"/>
      <c r="AO287" s="416"/>
      <c r="AP287" s="167"/>
      <c r="AQ287" s="167"/>
      <c r="AR287" s="167"/>
      <c r="AS287" s="167"/>
      <c r="AT287" s="167"/>
      <c r="AU287" s="167"/>
      <c r="AV287" s="167"/>
      <c r="AW287" s="174"/>
      <c r="AX287" s="166"/>
      <c r="AY287" s="166"/>
      <c r="AZ287" s="166"/>
      <c r="BA287" s="166"/>
      <c r="BB287" s="166"/>
      <c r="BC287" s="166"/>
      <c r="BD287" s="166"/>
      <c r="BE287" s="166"/>
      <c r="BF287" s="166"/>
      <c r="BG287" s="166"/>
      <c r="BH287" s="166"/>
      <c r="BI287" s="166"/>
      <c r="BJ287" s="166"/>
      <c r="BK287" s="166"/>
      <c r="BL287" s="166"/>
      <c r="BM287" s="166"/>
      <c r="BN287" s="166"/>
      <c r="BO287" s="166"/>
      <c r="BP287" s="166"/>
      <c r="BQ287" s="166"/>
      <c r="BR287" s="166"/>
      <c r="BS287" s="166"/>
      <c r="BT287" s="166"/>
      <c r="BU287" s="166"/>
      <c r="BV287" s="166"/>
      <c r="BW287" s="166"/>
      <c r="BX287" s="166"/>
      <c r="BY287" s="166"/>
      <c r="BZ287" s="166"/>
      <c r="CA287" s="166"/>
      <c r="CB287" s="166"/>
      <c r="CC287" s="166"/>
      <c r="CD287" s="166"/>
      <c r="CE287" s="166"/>
      <c r="CF287" s="166"/>
      <c r="CG287" s="166"/>
      <c r="CH287" s="166"/>
      <c r="CI287" s="166"/>
      <c r="CJ287" s="166"/>
      <c r="CK287" s="166"/>
      <c r="CL287" s="166"/>
      <c r="CM287" s="167"/>
      <c r="CN287" s="167"/>
      <c r="CO287" s="167"/>
      <c r="CP287" s="167"/>
      <c r="CQ287" s="167"/>
      <c r="CR287" s="167"/>
      <c r="CS287" s="167"/>
      <c r="CT287" s="167"/>
      <c r="CU287" s="167"/>
      <c r="CV287" s="167"/>
      <c r="CW287" s="167"/>
      <c r="CX287" s="167"/>
      <c r="CY287" s="174"/>
      <c r="CZ287" s="166"/>
      <c r="DA287" s="166"/>
      <c r="DC287" s="19"/>
      <c r="DD287" s="19"/>
      <c r="DE287" s="19"/>
      <c r="DF287" s="19"/>
      <c r="DG287" s="19"/>
      <c r="DH287" s="19"/>
      <c r="DI287" s="19"/>
    </row>
    <row r="288" spans="1:113" s="24" customFormat="1" ht="12" outlineLevel="1">
      <c r="A288" s="1"/>
      <c r="B288" s="24" t="s">
        <v>340</v>
      </c>
      <c r="C288" s="584"/>
      <c r="D288" s="584"/>
      <c r="E288" s="584"/>
      <c r="F288" s="584"/>
      <c r="G288" s="584"/>
      <c r="H288" s="584"/>
      <c r="I288" s="584"/>
      <c r="J288" s="584"/>
      <c r="K288" s="584"/>
      <c r="L288" s="584"/>
      <c r="M288" s="584"/>
      <c r="N288" s="584"/>
      <c r="O288" s="584"/>
      <c r="P288" s="584"/>
      <c r="Q288" s="584"/>
      <c r="R288" s="584"/>
      <c r="S288" s="584"/>
      <c r="T288" s="584"/>
      <c r="U288" s="584"/>
      <c r="V288" s="584"/>
      <c r="W288" s="584"/>
      <c r="X288" s="584"/>
      <c r="Y288" s="515"/>
      <c r="Z288" s="515"/>
      <c r="AA288" s="515"/>
      <c r="AB288" s="515"/>
      <c r="AC288" s="515"/>
      <c r="AD288" s="515"/>
      <c r="AE288" s="515"/>
      <c r="AF288" s="515"/>
      <c r="AG288" s="515"/>
      <c r="AH288" s="515"/>
      <c r="AI288" s="515"/>
      <c r="AJ288" s="515"/>
      <c r="AK288" s="515"/>
      <c r="AL288" s="515"/>
      <c r="AM288" s="515"/>
      <c r="AN288" s="515"/>
      <c r="AO288" s="515"/>
      <c r="AP288" s="514"/>
      <c r="AQ288" s="514"/>
      <c r="AR288" s="514"/>
      <c r="AS288" s="514"/>
      <c r="AT288" s="514"/>
      <c r="AU288" s="514"/>
      <c r="AV288" s="514"/>
      <c r="AW288" s="581"/>
      <c r="AX288" s="415"/>
      <c r="AY288" s="415"/>
      <c r="AZ288" s="415"/>
      <c r="BA288" s="415"/>
      <c r="BB288" s="415"/>
      <c r="BC288" s="415"/>
      <c r="BD288" s="415"/>
      <c r="BE288" s="415"/>
      <c r="BF288" s="415"/>
      <c r="BG288" s="415"/>
      <c r="BH288" s="415"/>
      <c r="BI288" s="415"/>
      <c r="BJ288" s="415"/>
      <c r="BK288" s="415"/>
      <c r="BL288" s="415"/>
      <c r="BM288" s="415"/>
      <c r="BN288" s="415"/>
      <c r="BO288" s="415"/>
      <c r="BP288" s="415"/>
      <c r="BQ288" s="415"/>
      <c r="BR288" s="415"/>
      <c r="BS288" s="415"/>
      <c r="BT288" s="415"/>
      <c r="BU288" s="415"/>
      <c r="BV288" s="415"/>
      <c r="BW288" s="415"/>
      <c r="BX288" s="415"/>
      <c r="BY288" s="415"/>
      <c r="BZ288" s="415"/>
      <c r="CA288" s="415"/>
      <c r="CB288" s="415"/>
      <c r="CC288" s="415"/>
      <c r="CD288" s="415"/>
      <c r="CE288" s="415"/>
      <c r="CF288" s="415"/>
      <c r="CG288" s="415"/>
      <c r="CH288" s="415"/>
      <c r="CI288" s="415"/>
      <c r="CJ288" s="415"/>
      <c r="CK288" s="415"/>
      <c r="CL288" s="415"/>
      <c r="CM288" s="514"/>
      <c r="CN288" s="514"/>
      <c r="CO288" s="514"/>
      <c r="CP288" s="514"/>
      <c r="CQ288" s="514"/>
      <c r="CR288" s="514"/>
      <c r="CS288" s="514"/>
      <c r="CT288" s="514"/>
      <c r="CU288" s="514"/>
      <c r="CV288" s="514"/>
      <c r="CW288" s="514"/>
      <c r="CX288" s="514"/>
      <c r="CY288" s="581"/>
      <c r="CZ288" s="415"/>
      <c r="DA288" s="415"/>
      <c r="DB288" s="13"/>
    </row>
    <row r="289" spans="1:113" ht="12" outlineLevel="1">
      <c r="A289" s="1" t="s">
        <v>148</v>
      </c>
      <c r="B289" s="19" t="s">
        <v>162</v>
      </c>
      <c r="C289" s="416"/>
      <c r="D289" s="416"/>
      <c r="E289" s="416"/>
      <c r="F289" s="416"/>
      <c r="G289" s="416"/>
      <c r="H289" s="416"/>
      <c r="I289" s="416"/>
      <c r="J289" s="416"/>
      <c r="K289" s="416"/>
      <c r="L289" s="416"/>
      <c r="M289" s="416"/>
      <c r="N289" s="416"/>
      <c r="O289" s="416"/>
      <c r="P289" s="416"/>
      <c r="Q289" s="416"/>
      <c r="R289" s="416"/>
      <c r="S289" s="416"/>
      <c r="T289" s="416"/>
      <c r="U289" s="416"/>
      <c r="V289" s="416"/>
      <c r="W289" s="416"/>
      <c r="X289" s="416"/>
      <c r="Y289" s="416"/>
      <c r="Z289" s="416"/>
      <c r="AA289" s="416"/>
      <c r="AB289" s="416"/>
      <c r="AC289" s="416"/>
      <c r="AD289" s="416"/>
      <c r="AE289" s="416"/>
      <c r="AF289" s="416"/>
      <c r="AG289" s="416"/>
      <c r="AH289" s="416"/>
      <c r="AI289" s="416"/>
      <c r="AJ289" s="416"/>
      <c r="AK289" s="416"/>
      <c r="AL289" s="416"/>
      <c r="AM289" s="416"/>
      <c r="AN289" s="416"/>
      <c r="AO289" s="416"/>
      <c r="AP289" s="167">
        <v>4.6841633728590265E-2</v>
      </c>
      <c r="AQ289" s="167">
        <v>4.5910715466499094E-2</v>
      </c>
      <c r="AR289" s="167">
        <v>4.4614336408355354E-2</v>
      </c>
      <c r="AS289" s="167">
        <v>3.8655283831899243E-2</v>
      </c>
      <c r="AT289" s="167">
        <v>3.604800790738534E-2</v>
      </c>
      <c r="AU289" s="167">
        <v>3.582875770880576E-2</v>
      </c>
      <c r="AV289" s="167">
        <v>3.7121212460429591E-2</v>
      </c>
      <c r="AW289" s="174">
        <v>3.9122758354213139E-2</v>
      </c>
      <c r="AX289" s="166"/>
      <c r="AY289" s="166"/>
      <c r="AZ289" s="166"/>
      <c r="BA289" s="166"/>
      <c r="BB289" s="166"/>
      <c r="BC289" s="166"/>
      <c r="BD289" s="166"/>
      <c r="BE289" s="166"/>
      <c r="BF289" s="166"/>
      <c r="BG289" s="166"/>
      <c r="BH289" s="166"/>
      <c r="BI289" s="166"/>
      <c r="BJ289" s="166"/>
      <c r="BK289" s="166"/>
      <c r="BL289" s="166"/>
      <c r="BM289" s="166"/>
      <c r="BN289" s="166"/>
      <c r="BO289" s="166"/>
      <c r="BP289" s="166"/>
      <c r="BQ289" s="166"/>
      <c r="BR289" s="166"/>
      <c r="BS289" s="166"/>
      <c r="BT289" s="166"/>
      <c r="BU289" s="166"/>
      <c r="BV289" s="166"/>
      <c r="BW289" s="166"/>
      <c r="BX289" s="166"/>
      <c r="BY289" s="166"/>
      <c r="BZ289" s="166"/>
      <c r="CA289" s="166"/>
      <c r="CB289" s="166"/>
      <c r="CC289" s="166"/>
      <c r="CD289" s="166"/>
      <c r="CE289" s="166"/>
      <c r="CF289" s="166"/>
      <c r="CG289" s="166"/>
      <c r="CH289" s="166"/>
      <c r="CI289" s="166"/>
      <c r="CJ289" s="166"/>
      <c r="CK289" s="166"/>
      <c r="CL289" s="166"/>
      <c r="CM289" s="167"/>
      <c r="CN289" s="167"/>
      <c r="CO289" s="167"/>
      <c r="CP289" s="167"/>
      <c r="CQ289" s="167"/>
      <c r="CR289" s="167"/>
      <c r="CS289" s="167"/>
      <c r="CT289" s="167">
        <v>2.4461945833333297E-2</v>
      </c>
      <c r="CU289" s="167">
        <v>2.8680270525412967E-2</v>
      </c>
      <c r="CV289" s="167">
        <v>5.0313274290201729E-2</v>
      </c>
      <c r="CW289" s="167">
        <v>4.1076114321334567E-2</v>
      </c>
      <c r="CX289" s="167"/>
      <c r="CY289" s="174"/>
      <c r="CZ289" s="166"/>
      <c r="DA289" s="166"/>
      <c r="DC289" s="19"/>
      <c r="DD289" s="19"/>
      <c r="DE289" s="19"/>
      <c r="DF289" s="19"/>
      <c r="DG289" s="19"/>
      <c r="DH289" s="19"/>
      <c r="DI289" s="19"/>
    </row>
    <row r="290" spans="1:113" ht="12" outlineLevel="1">
      <c r="A290" s="1" t="s">
        <v>149</v>
      </c>
      <c r="B290" s="19" t="s">
        <v>341</v>
      </c>
      <c r="C290" s="416"/>
      <c r="D290" s="416"/>
      <c r="E290" s="416"/>
      <c r="F290" s="416"/>
      <c r="G290" s="416"/>
      <c r="H290" s="416"/>
      <c r="I290" s="416"/>
      <c r="J290" s="416"/>
      <c r="K290" s="416"/>
      <c r="L290" s="416"/>
      <c r="M290" s="416"/>
      <c r="N290" s="416"/>
      <c r="O290" s="416"/>
      <c r="P290" s="416"/>
      <c r="Q290" s="416"/>
      <c r="R290" s="416"/>
      <c r="S290" s="416"/>
      <c r="T290" s="416"/>
      <c r="U290" s="416"/>
      <c r="V290" s="416"/>
      <c r="W290" s="416"/>
      <c r="X290" s="416"/>
      <c r="Y290" s="416"/>
      <c r="Z290" s="416"/>
      <c r="AA290" s="416"/>
      <c r="AB290" s="416"/>
      <c r="AC290" s="416"/>
      <c r="AD290" s="416"/>
      <c r="AE290" s="416"/>
      <c r="AF290" s="416"/>
      <c r="AG290" s="416"/>
      <c r="AH290" s="416"/>
      <c r="AI290" s="416"/>
      <c r="AJ290" s="416"/>
      <c r="AK290" s="416"/>
      <c r="AL290" s="416"/>
      <c r="AM290" s="416"/>
      <c r="AN290" s="416"/>
      <c r="AO290" s="416"/>
      <c r="AP290" s="167">
        <v>4.6841633728590258E-2</v>
      </c>
      <c r="AQ290" s="167">
        <v>4.5910715466499094E-2</v>
      </c>
      <c r="AR290" s="167">
        <v>4.4614336408355354E-2</v>
      </c>
      <c r="AS290" s="167">
        <v>3.8655283831899243E-2</v>
      </c>
      <c r="AT290" s="167">
        <v>3.604800790738534E-2</v>
      </c>
      <c r="AU290" s="167">
        <v>3.5828757708805746E-2</v>
      </c>
      <c r="AV290" s="167">
        <v>3.7121212460429591E-2</v>
      </c>
      <c r="AW290" s="174">
        <v>3.9122758354213132E-2</v>
      </c>
      <c r="AX290" s="166"/>
      <c r="AY290" s="166"/>
      <c r="AZ290" s="166"/>
      <c r="BA290" s="166"/>
      <c r="BB290" s="166"/>
      <c r="BC290" s="166"/>
      <c r="BD290" s="166"/>
      <c r="BE290" s="166"/>
      <c r="BF290" s="166"/>
      <c r="BG290" s="166"/>
      <c r="BH290" s="166"/>
      <c r="BI290" s="166"/>
      <c r="BJ290" s="166"/>
      <c r="BK290" s="166"/>
      <c r="BL290" s="166"/>
      <c r="BM290" s="166"/>
      <c r="BN290" s="166"/>
      <c r="BO290" s="166"/>
      <c r="BP290" s="166"/>
      <c r="BQ290" s="166"/>
      <c r="BR290" s="166"/>
      <c r="BS290" s="166"/>
      <c r="BT290" s="166"/>
      <c r="BU290" s="166"/>
      <c r="BV290" s="166"/>
      <c r="BW290" s="166"/>
      <c r="BX290" s="166"/>
      <c r="BY290" s="166"/>
      <c r="BZ290" s="166"/>
      <c r="CA290" s="166"/>
      <c r="CB290" s="166"/>
      <c r="CC290" s="166"/>
      <c r="CD290" s="166"/>
      <c r="CE290" s="166"/>
      <c r="CF290" s="166"/>
      <c r="CG290" s="166"/>
      <c r="CH290" s="166"/>
      <c r="CI290" s="166"/>
      <c r="CJ290" s="166"/>
      <c r="CK290" s="166"/>
      <c r="CL290" s="166"/>
      <c r="CM290" s="167"/>
      <c r="CN290" s="167"/>
      <c r="CO290" s="167"/>
      <c r="CP290" s="167"/>
      <c r="CQ290" s="167"/>
      <c r="CR290" s="167"/>
      <c r="CS290" s="167"/>
      <c r="CT290" s="167">
        <v>4.3767260132129782E-2</v>
      </c>
      <c r="CU290" s="167">
        <v>4.4314220398418494E-2</v>
      </c>
      <c r="CV290" s="167">
        <v>4.5923545948211353E-2</v>
      </c>
      <c r="CW290" s="167">
        <v>4.130224182325079E-2</v>
      </c>
      <c r="CX290" s="167"/>
      <c r="CY290" s="174"/>
      <c r="CZ290" s="166"/>
      <c r="DA290" s="166"/>
      <c r="DC290" s="19"/>
      <c r="DD290" s="19"/>
      <c r="DE290" s="19"/>
      <c r="DF290" s="19"/>
      <c r="DG290" s="19"/>
      <c r="DH290" s="19"/>
      <c r="DI290" s="19"/>
    </row>
    <row r="291" spans="1:113" s="24" customFormat="1" ht="12" outlineLevel="1">
      <c r="A291" s="1" t="s">
        <v>67</v>
      </c>
      <c r="B291" s="24" t="s">
        <v>581</v>
      </c>
      <c r="C291" s="584"/>
      <c r="D291" s="584"/>
      <c r="E291" s="584"/>
      <c r="F291" s="584"/>
      <c r="G291" s="584"/>
      <c r="H291" s="584"/>
      <c r="I291" s="584"/>
      <c r="J291" s="584"/>
      <c r="K291" s="584"/>
      <c r="L291" s="584"/>
      <c r="M291" s="584"/>
      <c r="N291" s="584"/>
      <c r="O291" s="584"/>
      <c r="P291" s="584"/>
      <c r="Q291" s="584"/>
      <c r="R291" s="584"/>
      <c r="S291" s="584"/>
      <c r="T291" s="584"/>
      <c r="U291" s="584"/>
      <c r="V291" s="584"/>
      <c r="W291" s="584"/>
      <c r="X291" s="584"/>
      <c r="Y291" s="515"/>
      <c r="Z291" s="515"/>
      <c r="AA291" s="515"/>
      <c r="AB291" s="515"/>
      <c r="AC291" s="515"/>
      <c r="AD291" s="515"/>
      <c r="AE291" s="515"/>
      <c r="AF291" s="515"/>
      <c r="AG291" s="515"/>
      <c r="AH291" s="515"/>
      <c r="AI291" s="515"/>
      <c r="AJ291" s="515"/>
      <c r="AK291" s="515"/>
      <c r="AL291" s="515"/>
      <c r="AM291" s="515"/>
      <c r="AN291" s="515"/>
      <c r="AO291" s="515"/>
      <c r="AP291" s="514">
        <v>4.6841633728590258E-2</v>
      </c>
      <c r="AQ291" s="514">
        <v>4.5910715466499094E-2</v>
      </c>
      <c r="AR291" s="514">
        <v>4.4614336408355354E-2</v>
      </c>
      <c r="AS291" s="514">
        <v>3.8655283831899243E-2</v>
      </c>
      <c r="AT291" s="514">
        <v>3.6048007907385347E-2</v>
      </c>
      <c r="AU291" s="514">
        <v>3.5828757708805746E-2</v>
      </c>
      <c r="AV291" s="514">
        <v>3.7121212460429598E-2</v>
      </c>
      <c r="AW291" s="581">
        <v>3.9122758354213132E-2</v>
      </c>
      <c r="AX291" s="415">
        <v>4.0311379177106581E-2</v>
      </c>
      <c r="AY291" s="415">
        <v>4.1500000000000009E-2</v>
      </c>
      <c r="AZ291" s="415">
        <v>4.2333333333333341E-2</v>
      </c>
      <c r="BA291" s="415">
        <v>4.3166666666666659E-2</v>
      </c>
      <c r="BB291" s="415">
        <v>4.3999999999999997E-2</v>
      </c>
      <c r="BC291" s="415">
        <v>4.3999999999999997E-2</v>
      </c>
      <c r="BD291" s="415">
        <v>4.3999999999999991E-2</v>
      </c>
      <c r="BE291" s="415">
        <v>4.3999999999999984E-2</v>
      </c>
      <c r="BF291" s="415">
        <v>4.3999999999999997E-2</v>
      </c>
      <c r="BG291" s="415">
        <v>4.3999999999999991E-2</v>
      </c>
      <c r="BH291" s="415">
        <v>4.3999999999999997E-2</v>
      </c>
      <c r="BI291" s="415">
        <v>4.3999999999999991E-2</v>
      </c>
      <c r="BJ291" s="415">
        <v>4.3999999999999984E-2</v>
      </c>
      <c r="BK291" s="415">
        <v>4.3999999999999984E-2</v>
      </c>
      <c r="BL291" s="415">
        <v>4.3999999999999997E-2</v>
      </c>
      <c r="BM291" s="415">
        <v>4.3999999999999991E-2</v>
      </c>
      <c r="BN291" s="415">
        <v>4.3999999999999991E-2</v>
      </c>
      <c r="BO291" s="415">
        <v>4.3999999999999991E-2</v>
      </c>
      <c r="BP291" s="415">
        <v>4.4000000000000004E-2</v>
      </c>
      <c r="BQ291" s="415">
        <v>4.3999999999999997E-2</v>
      </c>
      <c r="BR291" s="415"/>
      <c r="BS291" s="415"/>
      <c r="BT291" s="415"/>
      <c r="BU291" s="415"/>
      <c r="BV291" s="415"/>
      <c r="BW291" s="415"/>
      <c r="BX291" s="415"/>
      <c r="BY291" s="415"/>
      <c r="BZ291" s="415"/>
      <c r="CA291" s="415"/>
      <c r="CB291" s="415"/>
      <c r="CC291" s="415"/>
      <c r="CD291" s="415"/>
      <c r="CE291" s="415"/>
      <c r="CF291" s="415"/>
      <c r="CG291" s="415"/>
      <c r="CH291" s="415"/>
      <c r="CI291" s="415"/>
      <c r="CJ291" s="415"/>
      <c r="CK291" s="415"/>
      <c r="CL291" s="415"/>
      <c r="CM291" s="514"/>
      <c r="CN291" s="514"/>
      <c r="CO291" s="514"/>
      <c r="CP291" s="514"/>
      <c r="CQ291" s="514"/>
      <c r="CR291" s="514"/>
      <c r="CS291" s="514"/>
      <c r="CT291" s="514">
        <v>4.3381153846153847E-2</v>
      </c>
      <c r="CU291" s="514">
        <v>4.3453816793893124E-2</v>
      </c>
      <c r="CV291" s="514">
        <v>4.6310505050194413E-2</v>
      </c>
      <c r="CW291" s="514">
        <v>4.1279111403439796E-2</v>
      </c>
      <c r="CX291" s="514">
        <v>3.5931279491872047E-2</v>
      </c>
      <c r="CY291" s="581">
        <v>3.8148101989575106E-2</v>
      </c>
      <c r="CZ291" s="415">
        <v>4.0928365675222157E-2</v>
      </c>
      <c r="DA291" s="415">
        <v>4.2763039639133672E-2</v>
      </c>
      <c r="DB291" s="415">
        <v>4.3999999999999997E-2</v>
      </c>
      <c r="DC291" s="415">
        <v>4.3999999999999991E-2</v>
      </c>
      <c r="DD291" s="415">
        <v>4.3999999999999991E-2</v>
      </c>
      <c r="DE291" s="415">
        <v>4.3999999999999997E-2</v>
      </c>
      <c r="DF291" s="415">
        <v>4.3999999999999984E-2</v>
      </c>
      <c r="DG291" s="415">
        <v>4.3999999999999997E-2</v>
      </c>
      <c r="DH291" s="415">
        <v>4.3999999999999991E-2</v>
      </c>
      <c r="DI291" s="415">
        <v>4.3999999999999997E-2</v>
      </c>
    </row>
    <row r="292" spans="1:113" ht="12" outlineLevel="1">
      <c r="A292" s="1" t="s">
        <v>68</v>
      </c>
      <c r="B292" s="19" t="s">
        <v>342</v>
      </c>
      <c r="C292" s="601"/>
      <c r="D292" s="601"/>
      <c r="E292" s="601"/>
      <c r="F292" s="601"/>
      <c r="G292" s="601"/>
      <c r="H292" s="601"/>
      <c r="I292" s="601"/>
      <c r="J292" s="601"/>
      <c r="K292" s="601"/>
      <c r="L292" s="601"/>
      <c r="M292" s="601"/>
      <c r="N292" s="601"/>
      <c r="O292" s="601"/>
      <c r="P292" s="601"/>
      <c r="Q292" s="601"/>
      <c r="R292" s="601"/>
      <c r="S292" s="601"/>
      <c r="T292" s="601"/>
      <c r="U292" s="601"/>
      <c r="V292" s="601"/>
      <c r="W292" s="601"/>
      <c r="X292" s="601"/>
      <c r="Y292" s="416"/>
      <c r="Z292" s="416"/>
      <c r="AA292" s="416"/>
      <c r="AB292" s="416"/>
      <c r="AC292" s="416"/>
      <c r="AD292" s="416"/>
      <c r="AE292" s="416"/>
      <c r="AF292" s="416"/>
      <c r="AG292" s="416"/>
      <c r="AH292" s="416"/>
      <c r="AI292" s="416"/>
      <c r="AJ292" s="416"/>
      <c r="AK292" s="416"/>
      <c r="AL292" s="416"/>
      <c r="AM292" s="416"/>
      <c r="AN292" s="416"/>
      <c r="AO292" s="416"/>
      <c r="AP292" s="509">
        <v>0</v>
      </c>
      <c r="AQ292" s="509">
        <v>0</v>
      </c>
      <c r="AR292" s="509">
        <v>0</v>
      </c>
      <c r="AS292" s="509">
        <v>0</v>
      </c>
      <c r="AT292" s="509">
        <v>0</v>
      </c>
      <c r="AU292" s="509">
        <v>0</v>
      </c>
      <c r="AV292" s="509">
        <v>0</v>
      </c>
      <c r="AW292" s="558">
        <v>0</v>
      </c>
      <c r="AX292" s="499">
        <v>0</v>
      </c>
      <c r="AY292" s="499">
        <v>0</v>
      </c>
      <c r="AZ292" s="499">
        <v>0</v>
      </c>
      <c r="BA292" s="499">
        <v>0</v>
      </c>
      <c r="BB292" s="499">
        <v>0</v>
      </c>
      <c r="BC292" s="499">
        <v>0</v>
      </c>
      <c r="BD292" s="499">
        <v>0</v>
      </c>
      <c r="BE292" s="499">
        <v>0</v>
      </c>
      <c r="BF292" s="499">
        <v>0</v>
      </c>
      <c r="BG292" s="499">
        <v>0</v>
      </c>
      <c r="BH292" s="499">
        <v>0</v>
      </c>
      <c r="BI292" s="499">
        <v>0</v>
      </c>
      <c r="BJ292" s="499">
        <v>0</v>
      </c>
      <c r="BK292" s="499">
        <v>0</v>
      </c>
      <c r="BL292" s="499">
        <v>0</v>
      </c>
      <c r="BM292" s="499">
        <v>0</v>
      </c>
      <c r="BN292" s="499">
        <v>0</v>
      </c>
      <c r="BO292" s="499">
        <v>0</v>
      </c>
      <c r="BP292" s="499">
        <v>0</v>
      </c>
      <c r="BQ292" s="499">
        <v>0</v>
      </c>
      <c r="BR292" s="166"/>
      <c r="BS292" s="417"/>
      <c r="BT292" s="417"/>
      <c r="BU292" s="417"/>
      <c r="BV292" s="417"/>
      <c r="BW292" s="417"/>
      <c r="BX292" s="417"/>
      <c r="BY292" s="417"/>
      <c r="BZ292" s="417"/>
      <c r="CA292" s="417"/>
      <c r="CB292" s="417"/>
      <c r="CC292" s="166"/>
      <c r="CD292" s="166"/>
      <c r="CE292" s="166"/>
      <c r="CF292" s="166"/>
      <c r="CG292" s="166"/>
      <c r="CH292" s="166"/>
      <c r="CI292" s="166"/>
      <c r="CJ292" s="166"/>
      <c r="CK292" s="166"/>
      <c r="CL292" s="166"/>
      <c r="CM292" s="167"/>
      <c r="CN292" s="167"/>
      <c r="CO292" s="167"/>
      <c r="CP292" s="167"/>
      <c r="CQ292" s="167"/>
      <c r="CR292" s="167"/>
      <c r="CS292" s="167"/>
      <c r="CT292" s="509">
        <v>0</v>
      </c>
      <c r="CU292" s="509">
        <v>0</v>
      </c>
      <c r="CV292" s="167">
        <v>0</v>
      </c>
      <c r="CW292" s="167">
        <v>0</v>
      </c>
      <c r="CX292" s="167">
        <v>0</v>
      </c>
      <c r="CY292" s="174">
        <v>0</v>
      </c>
      <c r="CZ292" s="166">
        <v>0</v>
      </c>
      <c r="DA292" s="166">
        <v>0</v>
      </c>
      <c r="DB292" s="166">
        <v>0</v>
      </c>
      <c r="DC292" s="166">
        <v>0</v>
      </c>
      <c r="DD292" s="166">
        <v>0</v>
      </c>
      <c r="DE292" s="166">
        <v>0</v>
      </c>
      <c r="DF292" s="166">
        <v>0</v>
      </c>
      <c r="DG292" s="166">
        <v>0</v>
      </c>
      <c r="DH292" s="166">
        <v>0</v>
      </c>
      <c r="DI292" s="166">
        <v>0</v>
      </c>
    </row>
    <row r="293" spans="1:113" ht="12" outlineLevel="1">
      <c r="A293" s="1" t="s">
        <v>69</v>
      </c>
      <c r="B293" s="19" t="s">
        <v>586</v>
      </c>
      <c r="C293" s="601"/>
      <c r="D293" s="601"/>
      <c r="E293" s="601"/>
      <c r="F293" s="601"/>
      <c r="G293" s="601"/>
      <c r="H293" s="601"/>
      <c r="I293" s="601"/>
      <c r="J293" s="601"/>
      <c r="K293" s="601"/>
      <c r="L293" s="601"/>
      <c r="M293" s="601"/>
      <c r="N293" s="601"/>
      <c r="O293" s="601"/>
      <c r="P293" s="601"/>
      <c r="Q293" s="601"/>
      <c r="R293" s="601"/>
      <c r="S293" s="601"/>
      <c r="T293" s="601"/>
      <c r="U293" s="601"/>
      <c r="V293" s="601"/>
      <c r="W293" s="601"/>
      <c r="X293" s="601"/>
      <c r="Y293" s="416"/>
      <c r="Z293" s="416"/>
      <c r="AA293" s="416"/>
      <c r="AB293" s="416"/>
      <c r="AC293" s="416"/>
      <c r="AD293" s="416"/>
      <c r="AE293" s="416"/>
      <c r="AF293" s="416"/>
      <c r="AG293" s="416"/>
      <c r="AH293" s="416"/>
      <c r="AI293" s="416"/>
      <c r="AJ293" s="416"/>
      <c r="AK293" s="416"/>
      <c r="AL293" s="416"/>
      <c r="AM293" s="416"/>
      <c r="AN293" s="416"/>
      <c r="AO293" s="416"/>
      <c r="AP293" s="509">
        <v>0</v>
      </c>
      <c r="AQ293" s="509">
        <v>0</v>
      </c>
      <c r="AR293" s="509">
        <v>0</v>
      </c>
      <c r="AS293" s="509">
        <v>0</v>
      </c>
      <c r="AT293" s="509">
        <v>0</v>
      </c>
      <c r="AU293" s="509">
        <v>0</v>
      </c>
      <c r="AV293" s="509">
        <v>0</v>
      </c>
      <c r="AW293" s="558">
        <v>0</v>
      </c>
      <c r="AX293" s="499">
        <v>0</v>
      </c>
      <c r="AY293" s="499">
        <v>0</v>
      </c>
      <c r="AZ293" s="499">
        <v>0</v>
      </c>
      <c r="BA293" s="499">
        <v>0</v>
      </c>
      <c r="BB293" s="499">
        <v>0</v>
      </c>
      <c r="BC293" s="499">
        <v>0</v>
      </c>
      <c r="BD293" s="499">
        <v>0</v>
      </c>
      <c r="BE293" s="499">
        <v>0</v>
      </c>
      <c r="BF293" s="499">
        <v>0</v>
      </c>
      <c r="BG293" s="499">
        <v>0</v>
      </c>
      <c r="BH293" s="499">
        <v>0</v>
      </c>
      <c r="BI293" s="499">
        <v>0</v>
      </c>
      <c r="BJ293" s="499">
        <v>0</v>
      </c>
      <c r="BK293" s="499">
        <v>0</v>
      </c>
      <c r="BL293" s="499">
        <v>0</v>
      </c>
      <c r="BM293" s="499">
        <v>0</v>
      </c>
      <c r="BN293" s="499">
        <v>0</v>
      </c>
      <c r="BO293" s="499">
        <v>0</v>
      </c>
      <c r="BP293" s="499">
        <v>0</v>
      </c>
      <c r="BQ293" s="499">
        <v>0</v>
      </c>
      <c r="BR293" s="166"/>
      <c r="BS293" s="417"/>
      <c r="BT293" s="417"/>
      <c r="BU293" s="417"/>
      <c r="BV293" s="417"/>
      <c r="BW293" s="417"/>
      <c r="BX293" s="417"/>
      <c r="BY293" s="417"/>
      <c r="BZ293" s="417"/>
      <c r="CA293" s="417"/>
      <c r="CB293" s="417"/>
      <c r="CC293" s="166"/>
      <c r="CD293" s="166"/>
      <c r="CE293" s="166"/>
      <c r="CF293" s="166"/>
      <c r="CG293" s="166"/>
      <c r="CH293" s="166"/>
      <c r="CI293" s="166"/>
      <c r="CJ293" s="166"/>
      <c r="CK293" s="166"/>
      <c r="CL293" s="166"/>
      <c r="CM293" s="167"/>
      <c r="CN293" s="167"/>
      <c r="CO293" s="167"/>
      <c r="CP293" s="167"/>
      <c r="CQ293" s="167"/>
      <c r="CR293" s="167"/>
      <c r="CS293" s="167"/>
      <c r="CT293" s="509">
        <v>0</v>
      </c>
      <c r="CU293" s="509">
        <v>0</v>
      </c>
      <c r="CV293" s="167">
        <v>0</v>
      </c>
      <c r="CW293" s="167">
        <v>0</v>
      </c>
      <c r="CX293" s="167">
        <v>0</v>
      </c>
      <c r="CY293" s="174">
        <v>0</v>
      </c>
      <c r="CZ293" s="166">
        <v>0</v>
      </c>
      <c r="DA293" s="166">
        <v>0</v>
      </c>
      <c r="DB293" s="166">
        <v>0</v>
      </c>
      <c r="DC293" s="166">
        <v>0</v>
      </c>
      <c r="DD293" s="166">
        <v>0</v>
      </c>
      <c r="DE293" s="166">
        <v>0</v>
      </c>
      <c r="DF293" s="166">
        <v>0</v>
      </c>
      <c r="DG293" s="166">
        <v>0</v>
      </c>
      <c r="DH293" s="166">
        <v>0</v>
      </c>
      <c r="DI293" s="166">
        <v>0</v>
      </c>
    </row>
    <row r="294" spans="1:113" s="24" customFormat="1" ht="12" outlineLevel="1">
      <c r="A294" s="1" t="s">
        <v>70</v>
      </c>
      <c r="B294" s="24" t="s">
        <v>587</v>
      </c>
      <c r="C294" s="584"/>
      <c r="D294" s="584"/>
      <c r="E294" s="584"/>
      <c r="F294" s="584"/>
      <c r="G294" s="584"/>
      <c r="H294" s="584"/>
      <c r="I294" s="584"/>
      <c r="J294" s="584"/>
      <c r="K294" s="584"/>
      <c r="L294" s="584"/>
      <c r="M294" s="584"/>
      <c r="N294" s="584"/>
      <c r="O294" s="584"/>
      <c r="P294" s="584"/>
      <c r="Q294" s="584"/>
      <c r="R294" s="584"/>
      <c r="S294" s="584"/>
      <c r="T294" s="584"/>
      <c r="U294" s="584"/>
      <c r="V294" s="584"/>
      <c r="W294" s="584"/>
      <c r="X294" s="584"/>
      <c r="Y294" s="515"/>
      <c r="Z294" s="515"/>
      <c r="AA294" s="515"/>
      <c r="AB294" s="515"/>
      <c r="AC294" s="515"/>
      <c r="AD294" s="515"/>
      <c r="AE294" s="515"/>
      <c r="AF294" s="515"/>
      <c r="AG294" s="515"/>
      <c r="AH294" s="515"/>
      <c r="AI294" s="515"/>
      <c r="AJ294" s="515"/>
      <c r="AK294" s="515"/>
      <c r="AL294" s="515"/>
      <c r="AM294" s="515"/>
      <c r="AN294" s="515"/>
      <c r="AO294" s="515"/>
      <c r="AP294" s="514">
        <v>4.6841633728590258E-2</v>
      </c>
      <c r="AQ294" s="514">
        <v>4.5910715466499094E-2</v>
      </c>
      <c r="AR294" s="514">
        <v>4.4614336408355354E-2</v>
      </c>
      <c r="AS294" s="514">
        <v>3.8655283831899243E-2</v>
      </c>
      <c r="AT294" s="514">
        <v>3.6048007907385347E-2</v>
      </c>
      <c r="AU294" s="514">
        <v>3.5828757708805746E-2</v>
      </c>
      <c r="AV294" s="514">
        <v>3.7121212460429598E-2</v>
      </c>
      <c r="AW294" s="581">
        <v>3.9122758354213132E-2</v>
      </c>
      <c r="AX294" s="415">
        <v>4.0311379177106581E-2</v>
      </c>
      <c r="AY294" s="415">
        <v>4.1500000000000009E-2</v>
      </c>
      <c r="AZ294" s="415">
        <v>4.2333333333333341E-2</v>
      </c>
      <c r="BA294" s="415">
        <v>4.3166666666666659E-2</v>
      </c>
      <c r="BB294" s="415">
        <v>4.3999999999999997E-2</v>
      </c>
      <c r="BC294" s="415">
        <v>4.3999999999999997E-2</v>
      </c>
      <c r="BD294" s="415">
        <v>4.3999999999999991E-2</v>
      </c>
      <c r="BE294" s="415">
        <v>4.3999999999999984E-2</v>
      </c>
      <c r="BF294" s="415">
        <v>4.3999999999999997E-2</v>
      </c>
      <c r="BG294" s="415">
        <v>4.3999999999999991E-2</v>
      </c>
      <c r="BH294" s="415">
        <v>4.3999999999999997E-2</v>
      </c>
      <c r="BI294" s="415">
        <v>4.3999999999999991E-2</v>
      </c>
      <c r="BJ294" s="415">
        <v>4.3999999999999984E-2</v>
      </c>
      <c r="BK294" s="415">
        <v>4.3999999999999984E-2</v>
      </c>
      <c r="BL294" s="415">
        <v>4.3999999999999997E-2</v>
      </c>
      <c r="BM294" s="415">
        <v>4.3999999999999991E-2</v>
      </c>
      <c r="BN294" s="415">
        <v>4.3999999999999991E-2</v>
      </c>
      <c r="BO294" s="415">
        <v>4.3999999999999991E-2</v>
      </c>
      <c r="BP294" s="415">
        <v>4.4000000000000004E-2</v>
      </c>
      <c r="BQ294" s="415">
        <v>4.3999999999999997E-2</v>
      </c>
      <c r="BR294" s="415"/>
      <c r="BS294" s="415"/>
      <c r="BT294" s="415"/>
      <c r="BU294" s="415"/>
      <c r="BV294" s="415"/>
      <c r="BW294" s="415"/>
      <c r="BX294" s="415"/>
      <c r="BY294" s="415"/>
      <c r="BZ294" s="415"/>
      <c r="CA294" s="415"/>
      <c r="CB294" s="415"/>
      <c r="CC294" s="415"/>
      <c r="CD294" s="415"/>
      <c r="CE294" s="415"/>
      <c r="CF294" s="415"/>
      <c r="CG294" s="415"/>
      <c r="CH294" s="415"/>
      <c r="CI294" s="415"/>
      <c r="CJ294" s="415"/>
      <c r="CK294" s="415"/>
      <c r="CL294" s="415"/>
      <c r="CM294" s="514"/>
      <c r="CN294" s="514"/>
      <c r="CO294" s="514"/>
      <c r="CP294" s="514"/>
      <c r="CQ294" s="514"/>
      <c r="CR294" s="514"/>
      <c r="CS294" s="514"/>
      <c r="CT294" s="514">
        <v>4.3381153846153847E-2</v>
      </c>
      <c r="CU294" s="514">
        <v>4.3453816793893124E-2</v>
      </c>
      <c r="CV294" s="514">
        <v>4.6310505050194413E-2</v>
      </c>
      <c r="CW294" s="514">
        <v>4.1279111403439796E-2</v>
      </c>
      <c r="CX294" s="514">
        <v>3.5931279491872047E-2</v>
      </c>
      <c r="CY294" s="581">
        <v>3.8148101989575106E-2</v>
      </c>
      <c r="CZ294" s="415">
        <v>4.0928365675222157E-2</v>
      </c>
      <c r="DA294" s="415">
        <v>4.2763039639133672E-2</v>
      </c>
      <c r="DB294" s="415">
        <v>4.3999999999999997E-2</v>
      </c>
      <c r="DC294" s="415">
        <v>4.3999999999999991E-2</v>
      </c>
      <c r="DD294" s="415">
        <v>4.3999999999999991E-2</v>
      </c>
      <c r="DE294" s="415">
        <v>4.3999999999999997E-2</v>
      </c>
      <c r="DF294" s="415">
        <v>4.3999999999999984E-2</v>
      </c>
      <c r="DG294" s="415">
        <v>4.3999999999999997E-2</v>
      </c>
      <c r="DH294" s="415">
        <v>4.3999999999999991E-2</v>
      </c>
      <c r="DI294" s="415">
        <v>4.3999999999999997E-2</v>
      </c>
    </row>
    <row r="295" spans="1:113" ht="12" outlineLevel="1">
      <c r="A295" s="1" t="s">
        <v>71</v>
      </c>
      <c r="B295" s="19" t="s">
        <v>386</v>
      </c>
      <c r="C295" s="601"/>
      <c r="D295" s="601"/>
      <c r="E295" s="601"/>
      <c r="F295" s="601"/>
      <c r="G295" s="601"/>
      <c r="H295" s="601"/>
      <c r="I295" s="601"/>
      <c r="J295" s="601"/>
      <c r="K295" s="601"/>
      <c r="L295" s="601"/>
      <c r="M295" s="601"/>
      <c r="N295" s="601"/>
      <c r="O295" s="601"/>
      <c r="P295" s="601"/>
      <c r="Q295" s="601"/>
      <c r="R295" s="601"/>
      <c r="S295" s="601"/>
      <c r="T295" s="601"/>
      <c r="U295" s="601"/>
      <c r="V295" s="601"/>
      <c r="W295" s="601"/>
      <c r="X295" s="601"/>
      <c r="Y295" s="416"/>
      <c r="Z295" s="416"/>
      <c r="AA295" s="416"/>
      <c r="AB295" s="416"/>
      <c r="AC295" s="416"/>
      <c r="AD295" s="416"/>
      <c r="AE295" s="416"/>
      <c r="AF295" s="416"/>
      <c r="AG295" s="416"/>
      <c r="AH295" s="416"/>
      <c r="AI295" s="416"/>
      <c r="AJ295" s="416"/>
      <c r="AK295" s="416"/>
      <c r="AL295" s="416"/>
      <c r="AM295" s="416"/>
      <c r="AN295" s="416"/>
      <c r="AO295" s="416"/>
      <c r="AP295" s="416">
        <v>5.8962987542000665E-3</v>
      </c>
      <c r="AQ295" s="416">
        <v>2.6765585397650303E-3</v>
      </c>
      <c r="AR295" s="416">
        <v>1.9773999134446835E-3</v>
      </c>
      <c r="AS295" s="416">
        <v>-3.0177922776178645E-3</v>
      </c>
      <c r="AT295" s="416">
        <v>-1.189146121390384E-2</v>
      </c>
      <c r="AU295" s="416">
        <v>-1.0531766423289193E-2</v>
      </c>
      <c r="AV295" s="416">
        <v>-1.0241287216648066E-2</v>
      </c>
      <c r="AW295" s="435">
        <v>-5.424039025553524E-3</v>
      </c>
      <c r="AX295" s="499">
        <v>-3.6160260170356824E-3</v>
      </c>
      <c r="AY295" s="499">
        <v>-1.808013008517841E-3</v>
      </c>
      <c r="AZ295" s="499">
        <v>0</v>
      </c>
      <c r="BA295" s="499">
        <v>0</v>
      </c>
      <c r="BB295" s="499">
        <v>0</v>
      </c>
      <c r="BC295" s="499">
        <v>0</v>
      </c>
      <c r="BD295" s="499">
        <v>0</v>
      </c>
      <c r="BE295" s="499">
        <v>0</v>
      </c>
      <c r="BF295" s="499">
        <v>0</v>
      </c>
      <c r="BG295" s="499">
        <v>0</v>
      </c>
      <c r="BH295" s="499">
        <v>0</v>
      </c>
      <c r="BI295" s="499">
        <v>0</v>
      </c>
      <c r="BJ295" s="499">
        <v>0</v>
      </c>
      <c r="BK295" s="499">
        <v>0</v>
      </c>
      <c r="BL295" s="499">
        <v>0</v>
      </c>
      <c r="BM295" s="499">
        <v>0</v>
      </c>
      <c r="BN295" s="499">
        <v>0</v>
      </c>
      <c r="BO295" s="499">
        <v>0</v>
      </c>
      <c r="BP295" s="499">
        <v>0</v>
      </c>
      <c r="BQ295" s="499">
        <v>0</v>
      </c>
      <c r="BR295" s="166"/>
      <c r="BS295" s="166"/>
      <c r="BT295" s="166"/>
      <c r="BU295" s="166"/>
      <c r="BV295" s="166"/>
      <c r="BW295" s="166"/>
      <c r="BX295" s="166"/>
      <c r="BY295" s="166"/>
      <c r="BZ295" s="166"/>
      <c r="CA295" s="166"/>
      <c r="CB295" s="166"/>
      <c r="CC295" s="166"/>
      <c r="CD295" s="166"/>
      <c r="CE295" s="166"/>
      <c r="CF295" s="166"/>
      <c r="CG295" s="166"/>
      <c r="CH295" s="166"/>
      <c r="CI295" s="166"/>
      <c r="CJ295" s="166"/>
      <c r="CK295" s="166"/>
      <c r="CL295" s="166"/>
      <c r="CM295" s="167"/>
      <c r="CN295" s="167"/>
      <c r="CO295" s="167"/>
      <c r="CP295" s="167"/>
      <c r="CQ295" s="167"/>
      <c r="CR295" s="167"/>
      <c r="CS295" s="167"/>
      <c r="CT295" s="416">
        <v>-8.1580153636320318E-3</v>
      </c>
      <c r="CU295" s="416">
        <v>1.0089025038446037E-3</v>
      </c>
      <c r="CV295" s="167">
        <v>3.5353080566413024E-3</v>
      </c>
      <c r="CW295" s="167">
        <v>-4.2104876381570387E-4</v>
      </c>
      <c r="CX295" s="167">
        <v>-1.1261011732093614E-2</v>
      </c>
      <c r="CY295" s="174">
        <v>-7.9381822176618662E-3</v>
      </c>
      <c r="CZ295" s="166">
        <v>-2.7307457645095183E-3</v>
      </c>
      <c r="DA295" s="166">
        <v>0</v>
      </c>
      <c r="DB295" s="166">
        <v>0</v>
      </c>
      <c r="DC295" s="166">
        <v>0</v>
      </c>
      <c r="DD295" s="166">
        <v>-3.09364318464394E-17</v>
      </c>
      <c r="DE295" s="166">
        <v>0</v>
      </c>
      <c r="DF295" s="166">
        <v>-2.811823227817712E-17</v>
      </c>
      <c r="DG295" s="166">
        <v>0</v>
      </c>
      <c r="DH295" s="166">
        <v>0</v>
      </c>
      <c r="DI295" s="166">
        <v>-4.9438281830626596E-17</v>
      </c>
    </row>
    <row r="296" spans="1:113" s="24" customFormat="1" ht="12" outlineLevel="1">
      <c r="A296" s="1" t="s">
        <v>72</v>
      </c>
      <c r="B296" s="24" t="s">
        <v>469</v>
      </c>
      <c r="C296" s="515"/>
      <c r="D296" s="515"/>
      <c r="E296" s="515"/>
      <c r="F296" s="515"/>
      <c r="G296" s="515"/>
      <c r="H296" s="515"/>
      <c r="I296" s="515"/>
      <c r="J296" s="515"/>
      <c r="K296" s="515"/>
      <c r="L296" s="515"/>
      <c r="M296" s="515"/>
      <c r="N296" s="515"/>
      <c r="O296" s="515"/>
      <c r="P296" s="515"/>
      <c r="Q296" s="515"/>
      <c r="R296" s="515"/>
      <c r="S296" s="515"/>
      <c r="T296" s="515"/>
      <c r="U296" s="515"/>
      <c r="V296" s="515"/>
      <c r="W296" s="515"/>
      <c r="X296" s="515"/>
      <c r="Y296" s="515"/>
      <c r="Z296" s="515"/>
      <c r="AA296" s="515"/>
      <c r="AB296" s="515"/>
      <c r="AC296" s="515"/>
      <c r="AD296" s="515"/>
      <c r="AE296" s="515"/>
      <c r="AF296" s="515"/>
      <c r="AG296" s="515"/>
      <c r="AH296" s="515"/>
      <c r="AI296" s="515"/>
      <c r="AJ296" s="515"/>
      <c r="AK296" s="515"/>
      <c r="AL296" s="515"/>
      <c r="AM296" s="515"/>
      <c r="AN296" s="515"/>
      <c r="AO296" s="515"/>
      <c r="AP296" s="598">
        <v>3.5479135188899058E-2</v>
      </c>
      <c r="AQ296" s="598">
        <v>2.852619894109986E-2</v>
      </c>
      <c r="AR296" s="598">
        <v>2.5095281074490671E-2</v>
      </c>
      <c r="AS296" s="598">
        <v>2.2815678493609829E-2</v>
      </c>
      <c r="AT296" s="598">
        <v>2.0606543395859427E-2</v>
      </c>
      <c r="AU296" s="598">
        <v>2.2990394653093119E-2</v>
      </c>
      <c r="AV296" s="598">
        <v>2.4194122735193002E-2</v>
      </c>
      <c r="AW296" s="624">
        <v>2.776016414923959E-2</v>
      </c>
      <c r="AX296" s="415">
        <v>3.224308026389678E-2</v>
      </c>
      <c r="AY296" s="415">
        <v>3.4281997831913699E-2</v>
      </c>
      <c r="AZ296" s="415">
        <v>3.5277777777777783E-2</v>
      </c>
      <c r="BA296" s="415">
        <v>3.5972222222222225E-2</v>
      </c>
      <c r="BB296" s="415">
        <v>3.6666666666666667E-2</v>
      </c>
      <c r="BC296" s="415">
        <v>3.6666666666666667E-2</v>
      </c>
      <c r="BD296" s="415">
        <v>3.666666666666666E-2</v>
      </c>
      <c r="BE296" s="415">
        <v>3.666666666666666E-2</v>
      </c>
      <c r="BF296" s="415">
        <v>3.6666666666666667E-2</v>
      </c>
      <c r="BG296" s="415">
        <v>3.6666666666666653E-2</v>
      </c>
      <c r="BH296" s="415">
        <v>3.6666666666666667E-2</v>
      </c>
      <c r="BI296" s="415">
        <v>3.666666666666666E-2</v>
      </c>
      <c r="BJ296" s="415">
        <v>3.666666666666666E-2</v>
      </c>
      <c r="BK296" s="415">
        <v>3.6666666666666646E-2</v>
      </c>
      <c r="BL296" s="415">
        <v>3.666666666666666E-2</v>
      </c>
      <c r="BM296" s="415">
        <v>3.6666666666666667E-2</v>
      </c>
      <c r="BN296" s="415">
        <v>3.666666666666666E-2</v>
      </c>
      <c r="BO296" s="415">
        <v>3.666666666666666E-2</v>
      </c>
      <c r="BP296" s="415">
        <v>3.6666666666666667E-2</v>
      </c>
      <c r="BQ296" s="415">
        <v>3.666666666666666E-2</v>
      </c>
      <c r="BR296" s="415"/>
      <c r="BS296" s="425"/>
      <c r="BT296" s="425"/>
      <c r="BU296" s="425"/>
      <c r="BV296" s="425"/>
      <c r="BW296" s="425"/>
      <c r="BX296" s="425"/>
      <c r="BY296" s="425"/>
      <c r="BZ296" s="425"/>
      <c r="CA296" s="425"/>
      <c r="CB296" s="425"/>
      <c r="CC296" s="415"/>
      <c r="CD296" s="415"/>
      <c r="CE296" s="415"/>
      <c r="CF296" s="415"/>
      <c r="CG296" s="415"/>
      <c r="CH296" s="415"/>
      <c r="CI296" s="415"/>
      <c r="CJ296" s="415"/>
      <c r="CK296" s="415"/>
      <c r="CL296" s="415"/>
      <c r="CM296" s="514"/>
      <c r="CN296" s="514"/>
      <c r="CO296" s="514"/>
      <c r="CP296" s="514"/>
      <c r="CQ296" s="514"/>
      <c r="CR296" s="514"/>
      <c r="CS296" s="514"/>
      <c r="CT296" s="513">
        <v>2.0162505827505822E-2</v>
      </c>
      <c r="CU296" s="513">
        <v>3.0589592655962096E-2</v>
      </c>
      <c r="CV296" s="514">
        <v>3.0854948392707495E-2</v>
      </c>
      <c r="CW296" s="514">
        <v>2.3913816681631232E-2</v>
      </c>
      <c r="CX296" s="514">
        <v>2.1869720429875648E-2</v>
      </c>
      <c r="CY296" s="581">
        <v>2.6063176130815248E-2</v>
      </c>
      <c r="CZ296" s="415">
        <v>3.3290938080918306E-2</v>
      </c>
      <c r="DA296" s="415">
        <v>3.5635866365944721E-2</v>
      </c>
      <c r="DB296" s="415">
        <v>3.6666666666666667E-2</v>
      </c>
      <c r="DC296" s="415">
        <v>3.666666666666666E-2</v>
      </c>
      <c r="DD296" s="415">
        <v>3.6666666666666653E-2</v>
      </c>
      <c r="DE296" s="415">
        <v>3.6666666666666667E-2</v>
      </c>
      <c r="DF296" s="415">
        <v>3.6666666666666646E-2</v>
      </c>
      <c r="DG296" s="415">
        <v>3.666666666666666E-2</v>
      </c>
      <c r="DH296" s="415">
        <v>3.666666666666666E-2</v>
      </c>
      <c r="DI296" s="415">
        <v>3.666666666666666E-2</v>
      </c>
    </row>
    <row r="297" spans="1:113" ht="12" outlineLevel="1">
      <c r="C297" s="601"/>
      <c r="D297" s="601"/>
      <c r="E297" s="601"/>
      <c r="F297" s="601"/>
      <c r="G297" s="601"/>
      <c r="H297" s="601"/>
      <c r="I297" s="601"/>
      <c r="J297" s="601"/>
      <c r="K297" s="601"/>
      <c r="L297" s="601"/>
      <c r="M297" s="601"/>
      <c r="N297" s="601"/>
      <c r="O297" s="601"/>
      <c r="P297" s="601"/>
      <c r="Q297" s="601"/>
      <c r="R297" s="601"/>
      <c r="S297" s="601"/>
      <c r="T297" s="601"/>
      <c r="U297" s="601"/>
      <c r="V297" s="601"/>
      <c r="W297" s="601"/>
      <c r="X297" s="601"/>
      <c r="Y297" s="416"/>
      <c r="Z297" s="416"/>
      <c r="AA297" s="416"/>
      <c r="AB297" s="416"/>
      <c r="AC297" s="416"/>
      <c r="AD297" s="416"/>
      <c r="AE297" s="604"/>
      <c r="AF297" s="604"/>
      <c r="AG297" s="604"/>
      <c r="AH297" s="604"/>
      <c r="AI297" s="604"/>
      <c r="AJ297" s="416"/>
      <c r="AK297" s="416"/>
      <c r="AL297" s="416"/>
      <c r="AM297" s="416"/>
      <c r="AN297" s="416"/>
      <c r="AO297" s="416"/>
      <c r="AP297" s="167"/>
      <c r="AQ297" s="167"/>
      <c r="AR297" s="167"/>
      <c r="AS297" s="167"/>
      <c r="AT297" s="167"/>
      <c r="AU297" s="167"/>
      <c r="AV297" s="167"/>
      <c r="AW297" s="174"/>
      <c r="AX297" s="167"/>
      <c r="AY297" s="167"/>
      <c r="AZ297" s="167"/>
      <c r="BA297" s="167"/>
      <c r="BB297" s="167"/>
      <c r="BC297" s="167"/>
      <c r="BD297" s="166"/>
      <c r="BE297" s="166"/>
      <c r="BF297" s="166"/>
      <c r="BG297" s="166"/>
      <c r="BH297" s="166"/>
      <c r="BI297" s="166"/>
      <c r="BJ297" s="166"/>
      <c r="BK297" s="166"/>
      <c r="BL297" s="166"/>
      <c r="BM297" s="166"/>
      <c r="BN297" s="166"/>
      <c r="BO297" s="166"/>
      <c r="BP297" s="166"/>
      <c r="BQ297" s="166"/>
      <c r="BR297" s="166"/>
      <c r="BS297" s="166"/>
      <c r="BT297" s="166"/>
      <c r="BU297" s="166"/>
      <c r="BV297" s="166"/>
      <c r="BW297" s="166"/>
      <c r="BX297" s="166"/>
      <c r="BY297" s="166"/>
      <c r="BZ297" s="166"/>
      <c r="CA297" s="166"/>
      <c r="CB297" s="166"/>
      <c r="CC297" s="166"/>
      <c r="CD297" s="166"/>
      <c r="CE297" s="166"/>
      <c r="CF297" s="166"/>
      <c r="CG297" s="166"/>
      <c r="CH297" s="166"/>
      <c r="CI297" s="166"/>
      <c r="CJ297" s="166"/>
      <c r="CK297" s="166"/>
      <c r="CL297" s="166"/>
      <c r="CM297" s="167"/>
      <c r="CN297" s="167"/>
      <c r="CO297" s="167"/>
      <c r="CP297" s="167"/>
      <c r="CQ297" s="167"/>
      <c r="CR297" s="167"/>
      <c r="CS297" s="167"/>
      <c r="CT297" s="167"/>
      <c r="CU297" s="167"/>
      <c r="CV297" s="167"/>
      <c r="CW297" s="167"/>
      <c r="CX297" s="167"/>
      <c r="CY297" s="174"/>
      <c r="CZ297" s="166"/>
      <c r="DA297" s="166"/>
      <c r="DC297" s="19"/>
      <c r="DD297" s="19"/>
      <c r="DE297" s="19"/>
      <c r="DF297" s="19"/>
      <c r="DG297" s="19"/>
      <c r="DH297" s="19"/>
      <c r="DI297" s="19"/>
    </row>
    <row r="298" spans="1:113" s="24" customFormat="1" ht="12" outlineLevel="1">
      <c r="A298" s="19"/>
      <c r="B298" s="24" t="s">
        <v>588</v>
      </c>
      <c r="C298" s="584"/>
      <c r="D298" s="584"/>
      <c r="E298" s="584"/>
      <c r="F298" s="584"/>
      <c r="G298" s="584"/>
      <c r="H298" s="584"/>
      <c r="I298" s="584"/>
      <c r="J298" s="584"/>
      <c r="K298" s="584"/>
      <c r="L298" s="584"/>
      <c r="M298" s="584"/>
      <c r="N298" s="584"/>
      <c r="O298" s="584"/>
      <c r="P298" s="584"/>
      <c r="Q298" s="584"/>
      <c r="R298" s="584"/>
      <c r="S298" s="584"/>
      <c r="T298" s="584"/>
      <c r="U298" s="584"/>
      <c r="V298" s="584"/>
      <c r="W298" s="584"/>
      <c r="X298" s="584"/>
      <c r="Y298" s="515"/>
      <c r="Z298" s="515"/>
      <c r="AA298" s="515"/>
      <c r="AB298" s="515"/>
      <c r="AC298" s="515"/>
      <c r="AD298" s="515"/>
      <c r="AE298" s="515"/>
      <c r="AF298" s="515"/>
      <c r="AG298" s="515"/>
      <c r="AH298" s="515"/>
      <c r="AI298" s="515"/>
      <c r="AJ298" s="515"/>
      <c r="AK298" s="515"/>
      <c r="AL298" s="515"/>
      <c r="AM298" s="515"/>
      <c r="AN298" s="515"/>
      <c r="AO298" s="515"/>
      <c r="AP298" s="514"/>
      <c r="AQ298" s="514"/>
      <c r="AR298" s="514"/>
      <c r="AS298" s="514"/>
      <c r="AT298" s="514"/>
      <c r="AU298" s="514"/>
      <c r="AV298" s="514"/>
      <c r="AW298" s="581"/>
      <c r="AX298" s="415"/>
      <c r="AY298" s="415"/>
      <c r="AZ298" s="415"/>
      <c r="BA298" s="415"/>
      <c r="BB298" s="415"/>
      <c r="BC298" s="415"/>
      <c r="BD298" s="415"/>
      <c r="BE298" s="415"/>
      <c r="BF298" s="415"/>
      <c r="BG298" s="415"/>
      <c r="BH298" s="415"/>
      <c r="BI298" s="415"/>
      <c r="BJ298" s="415"/>
      <c r="BK298" s="415"/>
      <c r="BL298" s="415"/>
      <c r="BM298" s="415"/>
      <c r="BN298" s="415"/>
      <c r="BO298" s="415"/>
      <c r="BP298" s="415"/>
      <c r="BQ298" s="415"/>
      <c r="BR298" s="415"/>
      <c r="BS298" s="415"/>
      <c r="BT298" s="415"/>
      <c r="BU298" s="415"/>
      <c r="BV298" s="415"/>
      <c r="BW298" s="415"/>
      <c r="BX298" s="415"/>
      <c r="BY298" s="415"/>
      <c r="BZ298" s="415"/>
      <c r="CA298" s="415"/>
      <c r="CB298" s="415"/>
      <c r="CC298" s="415"/>
      <c r="CD298" s="415"/>
      <c r="CE298" s="415"/>
      <c r="CF298" s="415"/>
      <c r="CG298" s="415"/>
      <c r="CH298" s="415"/>
      <c r="CI298" s="415"/>
      <c r="CJ298" s="415"/>
      <c r="CK298" s="415"/>
      <c r="CL298" s="415"/>
      <c r="CM298" s="514"/>
      <c r="CN298" s="514"/>
      <c r="CO298" s="514"/>
      <c r="CP298" s="514"/>
      <c r="CQ298" s="514"/>
      <c r="CR298" s="514"/>
      <c r="CS298" s="514"/>
      <c r="CT298" s="514"/>
      <c r="CU298" s="514"/>
      <c r="CV298" s="514"/>
      <c r="CW298" s="514"/>
      <c r="CX298" s="514"/>
      <c r="CY298" s="581"/>
      <c r="CZ298" s="415"/>
      <c r="DA298" s="415"/>
      <c r="DB298" s="13"/>
    </row>
    <row r="299" spans="1:113" ht="12" outlineLevel="1">
      <c r="A299" s="1" t="s">
        <v>73</v>
      </c>
      <c r="B299" s="19" t="s">
        <v>589</v>
      </c>
      <c r="C299" s="416"/>
      <c r="D299" s="416"/>
      <c r="E299" s="416"/>
      <c r="F299" s="416"/>
      <c r="G299" s="416"/>
      <c r="H299" s="416"/>
      <c r="I299" s="416"/>
      <c r="J299" s="416"/>
      <c r="K299" s="416"/>
      <c r="L299" s="416"/>
      <c r="M299" s="416"/>
      <c r="N299" s="416"/>
      <c r="O299" s="416"/>
      <c r="P299" s="416"/>
      <c r="Q299" s="416"/>
      <c r="R299" s="416"/>
      <c r="S299" s="416"/>
      <c r="T299" s="416"/>
      <c r="U299" s="416"/>
      <c r="V299" s="416"/>
      <c r="W299" s="416"/>
      <c r="X299" s="416"/>
      <c r="Y299" s="416"/>
      <c r="Z299" s="416"/>
      <c r="AA299" s="416"/>
      <c r="AB299" s="416"/>
      <c r="AC299" s="416"/>
      <c r="AD299" s="416"/>
      <c r="AE299" s="416"/>
      <c r="AF299" s="416"/>
      <c r="AG299" s="416"/>
      <c r="AH299" s="416"/>
      <c r="AI299" s="416"/>
      <c r="AJ299" s="416"/>
      <c r="AK299" s="416"/>
      <c r="AL299" s="416"/>
      <c r="AM299" s="416"/>
      <c r="AN299" s="416"/>
      <c r="AO299" s="416"/>
      <c r="AP299" s="509">
        <v>0</v>
      </c>
      <c r="AQ299" s="509">
        <v>0</v>
      </c>
      <c r="AR299" s="509">
        <v>0</v>
      </c>
      <c r="AS299" s="509">
        <v>0</v>
      </c>
      <c r="AT299" s="509">
        <v>0</v>
      </c>
      <c r="AU299" s="509">
        <v>0</v>
      </c>
      <c r="AV299" s="509">
        <v>0</v>
      </c>
      <c r="AW299" s="558">
        <v>0</v>
      </c>
      <c r="AX299" s="166">
        <v>0</v>
      </c>
      <c r="AY299" s="166">
        <v>0</v>
      </c>
      <c r="AZ299" s="166">
        <v>0</v>
      </c>
      <c r="BA299" s="166">
        <v>0</v>
      </c>
      <c r="BB299" s="166">
        <v>0</v>
      </c>
      <c r="BC299" s="166">
        <v>0</v>
      </c>
      <c r="BD299" s="166">
        <v>0</v>
      </c>
      <c r="BE299" s="166">
        <v>0</v>
      </c>
      <c r="BF299" s="166">
        <v>0</v>
      </c>
      <c r="BG299" s="166">
        <v>0</v>
      </c>
      <c r="BH299" s="166">
        <v>0</v>
      </c>
      <c r="BI299" s="166">
        <v>0</v>
      </c>
      <c r="BJ299" s="166">
        <v>0</v>
      </c>
      <c r="BK299" s="166">
        <v>0</v>
      </c>
      <c r="BL299" s="166">
        <v>0</v>
      </c>
      <c r="BM299" s="166">
        <v>0</v>
      </c>
      <c r="BN299" s="166">
        <v>0</v>
      </c>
      <c r="BO299" s="166">
        <v>0</v>
      </c>
      <c r="BP299" s="166">
        <v>0</v>
      </c>
      <c r="BQ299" s="166">
        <v>0</v>
      </c>
      <c r="BR299" s="166"/>
      <c r="BS299" s="166"/>
      <c r="BT299" s="166"/>
      <c r="BU299" s="166"/>
      <c r="BV299" s="166"/>
      <c r="BW299" s="166"/>
      <c r="BX299" s="166"/>
      <c r="BY299" s="166"/>
      <c r="BZ299" s="166"/>
      <c r="CA299" s="166"/>
      <c r="CB299" s="166"/>
      <c r="CC299" s="166"/>
      <c r="CD299" s="166"/>
      <c r="CE299" s="166"/>
      <c r="CF299" s="166"/>
      <c r="CG299" s="166"/>
      <c r="CH299" s="166"/>
      <c r="CI299" s="166"/>
      <c r="CJ299" s="166"/>
      <c r="CK299" s="166"/>
      <c r="CL299" s="166"/>
      <c r="CM299" s="167"/>
      <c r="CN299" s="167"/>
      <c r="CO299" s="167"/>
      <c r="CP299" s="167"/>
      <c r="CQ299" s="167"/>
      <c r="CR299" s="167"/>
      <c r="CS299" s="167"/>
      <c r="CT299" s="509">
        <v>0</v>
      </c>
      <c r="CU299" s="509">
        <v>0</v>
      </c>
      <c r="CV299" s="167">
        <v>0</v>
      </c>
      <c r="CW299" s="167">
        <v>0</v>
      </c>
      <c r="CX299" s="167"/>
      <c r="CY299" s="174"/>
      <c r="CZ299" s="166"/>
      <c r="DA299" s="166"/>
      <c r="DC299" s="19"/>
      <c r="DD299" s="19"/>
      <c r="DE299" s="19"/>
      <c r="DF299" s="19"/>
      <c r="DG299" s="19"/>
      <c r="DH299" s="19"/>
      <c r="DI299" s="19"/>
    </row>
    <row r="300" spans="1:113" ht="12" outlineLevel="1">
      <c r="A300" s="1" t="s">
        <v>38</v>
      </c>
      <c r="B300" s="19" t="s">
        <v>470</v>
      </c>
      <c r="C300" s="416"/>
      <c r="D300" s="416"/>
      <c r="E300" s="416"/>
      <c r="F300" s="416"/>
      <c r="G300" s="416"/>
      <c r="H300" s="416"/>
      <c r="I300" s="416"/>
      <c r="J300" s="416"/>
      <c r="K300" s="416"/>
      <c r="L300" s="416"/>
      <c r="M300" s="416"/>
      <c r="N300" s="416"/>
      <c r="O300" s="416"/>
      <c r="P300" s="416"/>
      <c r="Q300" s="416"/>
      <c r="R300" s="416"/>
      <c r="S300" s="416"/>
      <c r="T300" s="416"/>
      <c r="U300" s="416"/>
      <c r="V300" s="416"/>
      <c r="W300" s="416"/>
      <c r="X300" s="416"/>
      <c r="Y300" s="416"/>
      <c r="Z300" s="416"/>
      <c r="AA300" s="416"/>
      <c r="AB300" s="416"/>
      <c r="AC300" s="416"/>
      <c r="AD300" s="416"/>
      <c r="AE300" s="416"/>
      <c r="AF300" s="416"/>
      <c r="AG300" s="416"/>
      <c r="AH300" s="416"/>
      <c r="AI300" s="416"/>
      <c r="AJ300" s="416"/>
      <c r="AK300" s="416"/>
      <c r="AL300" s="416"/>
      <c r="AM300" s="416"/>
      <c r="AN300" s="416"/>
      <c r="AO300" s="416"/>
      <c r="AP300" s="509">
        <v>-1.5806208998462003E-2</v>
      </c>
      <c r="AQ300" s="509">
        <v>-1.1913688284719266E-2</v>
      </c>
      <c r="AR300" s="509">
        <v>-1.046789342470061E-2</v>
      </c>
      <c r="AS300" s="509">
        <v>-5.0592261707766836E-3</v>
      </c>
      <c r="AT300" s="509">
        <v>2.4596109968384149E-3</v>
      </c>
      <c r="AU300" s="509">
        <v>-2.3391725881853065E-3</v>
      </c>
      <c r="AV300" s="509">
        <v>-7.0336409450644025E-3</v>
      </c>
      <c r="AW300" s="558">
        <v>-7.7289020743301767E-3</v>
      </c>
      <c r="AX300" s="166">
        <v>-8.5000000000000006E-3</v>
      </c>
      <c r="AY300" s="166">
        <v>-8.5000000000000006E-3</v>
      </c>
      <c r="AZ300" s="166">
        <v>-8.5000000000000006E-3</v>
      </c>
      <c r="BA300" s="166">
        <v>-8.5000000000000006E-3</v>
      </c>
      <c r="BB300" s="166">
        <v>-8.5000000000000006E-3</v>
      </c>
      <c r="BC300" s="166">
        <v>-8.5000000000000006E-3</v>
      </c>
      <c r="BD300" s="166">
        <v>-8.5000000000000006E-3</v>
      </c>
      <c r="BE300" s="166">
        <v>-8.5000000000000006E-3</v>
      </c>
      <c r="BF300" s="166">
        <v>-8.5000000000000006E-3</v>
      </c>
      <c r="BG300" s="166">
        <v>-8.5000000000000006E-3</v>
      </c>
      <c r="BH300" s="166">
        <v>-8.5000000000000006E-3</v>
      </c>
      <c r="BI300" s="166">
        <v>-8.5000000000000006E-3</v>
      </c>
      <c r="BJ300" s="166">
        <v>-8.5000000000000006E-3</v>
      </c>
      <c r="BK300" s="166">
        <v>-8.5000000000000006E-3</v>
      </c>
      <c r="BL300" s="166">
        <v>-8.5000000000000006E-3</v>
      </c>
      <c r="BM300" s="166">
        <v>-8.5000000000000006E-3</v>
      </c>
      <c r="BN300" s="166">
        <v>-8.5000000000000006E-3</v>
      </c>
      <c r="BO300" s="166">
        <v>-8.5000000000000006E-3</v>
      </c>
      <c r="BP300" s="166">
        <v>-8.5000000000000006E-3</v>
      </c>
      <c r="BQ300" s="166">
        <v>-8.5000000000000006E-3</v>
      </c>
      <c r="BR300" s="166"/>
      <c r="BS300" s="166"/>
      <c r="BT300" s="166"/>
      <c r="BU300" s="166"/>
      <c r="BV300" s="166"/>
      <c r="BW300" s="166"/>
      <c r="BX300" s="166"/>
      <c r="BY300" s="166"/>
      <c r="BZ300" s="166"/>
      <c r="CA300" s="166"/>
      <c r="CB300" s="166"/>
      <c r="CC300" s="166"/>
      <c r="CD300" s="166"/>
      <c r="CE300" s="166"/>
      <c r="CF300" s="166"/>
      <c r="CG300" s="166"/>
      <c r="CH300" s="166"/>
      <c r="CI300" s="166"/>
      <c r="CJ300" s="166"/>
      <c r="CK300" s="166"/>
      <c r="CL300" s="166"/>
      <c r="CM300" s="167"/>
      <c r="CN300" s="167"/>
      <c r="CO300" s="167"/>
      <c r="CP300" s="167"/>
      <c r="CQ300" s="167"/>
      <c r="CR300" s="167"/>
      <c r="CS300" s="167"/>
      <c r="CT300" s="509">
        <v>-8.4811538461538431E-3</v>
      </c>
      <c r="CU300" s="509">
        <v>-1.545381679389313E-2</v>
      </c>
      <c r="CV300" s="167">
        <v>-1.3630860608690409E-2</v>
      </c>
      <c r="CW300" s="167">
        <v>-7.4837681298465146E-3</v>
      </c>
      <c r="CX300" s="167"/>
      <c r="CY300" s="174"/>
      <c r="CZ300" s="166"/>
      <c r="DA300" s="166"/>
      <c r="DC300" s="19"/>
      <c r="DD300" s="19"/>
      <c r="DE300" s="19"/>
      <c r="DF300" s="19"/>
      <c r="DG300" s="19"/>
      <c r="DH300" s="19"/>
      <c r="DI300" s="19"/>
    </row>
    <row r="301" spans="1:113" s="24" customFormat="1" ht="12" outlineLevel="1">
      <c r="A301" s="1" t="s">
        <v>39</v>
      </c>
      <c r="B301" s="24" t="s">
        <v>166</v>
      </c>
      <c r="C301" s="584"/>
      <c r="D301" s="584"/>
      <c r="E301" s="584"/>
      <c r="F301" s="584"/>
      <c r="G301" s="584"/>
      <c r="H301" s="584"/>
      <c r="I301" s="584"/>
      <c r="J301" s="584"/>
      <c r="K301" s="584"/>
      <c r="L301" s="584"/>
      <c r="M301" s="584"/>
      <c r="N301" s="584"/>
      <c r="O301" s="584"/>
      <c r="P301" s="584"/>
      <c r="Q301" s="584"/>
      <c r="R301" s="584"/>
      <c r="S301" s="584"/>
      <c r="T301" s="584"/>
      <c r="U301" s="584"/>
      <c r="V301" s="584"/>
      <c r="W301" s="584"/>
      <c r="X301" s="584"/>
      <c r="Y301" s="515"/>
      <c r="Z301" s="515"/>
      <c r="AA301" s="515"/>
      <c r="AB301" s="515"/>
      <c r="AC301" s="515"/>
      <c r="AD301" s="515"/>
      <c r="AE301" s="515"/>
      <c r="AF301" s="515"/>
      <c r="AG301" s="515"/>
      <c r="AH301" s="515"/>
      <c r="AI301" s="515"/>
      <c r="AJ301" s="515"/>
      <c r="AK301" s="515"/>
      <c r="AL301" s="515"/>
      <c r="AM301" s="515"/>
      <c r="AN301" s="515"/>
      <c r="AO301" s="515"/>
      <c r="AP301" s="514">
        <v>-1.5806208998462003E-2</v>
      </c>
      <c r="AQ301" s="514">
        <v>-1.1913688284719266E-2</v>
      </c>
      <c r="AR301" s="514">
        <v>-1.046789342470061E-2</v>
      </c>
      <c r="AS301" s="514">
        <v>-5.0592261707766836E-3</v>
      </c>
      <c r="AT301" s="514">
        <v>2.4596109968384149E-3</v>
      </c>
      <c r="AU301" s="514">
        <v>-2.3391725881853065E-3</v>
      </c>
      <c r="AV301" s="514">
        <v>-7.0336409450644033E-3</v>
      </c>
      <c r="AW301" s="581">
        <v>-7.7289020743301767E-3</v>
      </c>
      <c r="AX301" s="415">
        <v>-8.4999999999999989E-3</v>
      </c>
      <c r="AY301" s="415">
        <v>-8.5000000000000006E-3</v>
      </c>
      <c r="AZ301" s="415">
        <v>-8.4999999999999989E-3</v>
      </c>
      <c r="BA301" s="415">
        <v>-8.5000000000000006E-3</v>
      </c>
      <c r="BB301" s="415">
        <v>-8.4999999999999989E-3</v>
      </c>
      <c r="BC301" s="415">
        <v>-8.5000000000000006E-3</v>
      </c>
      <c r="BD301" s="415">
        <v>-8.5000000000000006E-3</v>
      </c>
      <c r="BE301" s="415">
        <v>-8.4999999999999989E-3</v>
      </c>
      <c r="BF301" s="415">
        <v>-8.5000000000000006E-3</v>
      </c>
      <c r="BG301" s="415">
        <v>-8.5000000000000006E-3</v>
      </c>
      <c r="BH301" s="415">
        <v>-8.5000000000000006E-3</v>
      </c>
      <c r="BI301" s="415">
        <v>-8.5000000000000006E-3</v>
      </c>
      <c r="BJ301" s="415">
        <v>-8.5000000000000006E-3</v>
      </c>
      <c r="BK301" s="415">
        <v>-8.5000000000000023E-3</v>
      </c>
      <c r="BL301" s="415">
        <v>-8.5000000000000006E-3</v>
      </c>
      <c r="BM301" s="415">
        <v>-8.5000000000000006E-3</v>
      </c>
      <c r="BN301" s="415">
        <v>-8.5000000000000006E-3</v>
      </c>
      <c r="BO301" s="415">
        <v>-8.5000000000000006E-3</v>
      </c>
      <c r="BP301" s="415">
        <v>-8.4999999999999989E-3</v>
      </c>
      <c r="BQ301" s="415">
        <v>-8.5000000000000006E-3</v>
      </c>
      <c r="BR301" s="415"/>
      <c r="BS301" s="425"/>
      <c r="BT301" s="425"/>
      <c r="BU301" s="425"/>
      <c r="BV301" s="425"/>
      <c r="BW301" s="425"/>
      <c r="BX301" s="425"/>
      <c r="BY301" s="425"/>
      <c r="BZ301" s="425"/>
      <c r="CA301" s="425"/>
      <c r="CB301" s="425"/>
      <c r="CC301" s="415"/>
      <c r="CD301" s="415"/>
      <c r="CE301" s="415"/>
      <c r="CF301" s="415"/>
      <c r="CG301" s="415"/>
      <c r="CH301" s="415"/>
      <c r="CI301" s="415"/>
      <c r="CJ301" s="415"/>
      <c r="CK301" s="415"/>
      <c r="CL301" s="415"/>
      <c r="CM301" s="514"/>
      <c r="CN301" s="514"/>
      <c r="CO301" s="514"/>
      <c r="CP301" s="514"/>
      <c r="CQ301" s="514"/>
      <c r="CR301" s="514"/>
      <c r="CS301" s="514"/>
      <c r="CT301" s="514">
        <v>-8.4811538461538431E-3</v>
      </c>
      <c r="CU301" s="514">
        <v>-1.5453816793893132E-2</v>
      </c>
      <c r="CV301" s="514">
        <v>-1.3630860608690409E-2</v>
      </c>
      <c r="CW301" s="514">
        <v>-7.4837681298465146E-3</v>
      </c>
      <c r="CX301" s="514">
        <v>-9.4220146745295524E-5</v>
      </c>
      <c r="CY301" s="581">
        <v>-7.39141342638813E-3</v>
      </c>
      <c r="CZ301" s="415">
        <v>-8.5000000000000006E-3</v>
      </c>
      <c r="DA301" s="415">
        <v>-8.5000000000000006E-3</v>
      </c>
      <c r="DB301" s="415">
        <v>-8.5000000000000006E-3</v>
      </c>
      <c r="DC301" s="415">
        <v>-8.5000000000000006E-3</v>
      </c>
      <c r="DD301" s="415">
        <v>-8.4999999999999989E-3</v>
      </c>
      <c r="DE301" s="415">
        <v>-8.5000000000000006E-3</v>
      </c>
      <c r="DF301" s="415">
        <v>-8.5000000000000023E-3</v>
      </c>
      <c r="DG301" s="415">
        <v>-8.4999999999999989E-3</v>
      </c>
      <c r="DH301" s="415">
        <v>-8.5000000000000006E-3</v>
      </c>
      <c r="DI301" s="415">
        <v>-8.4999999999999989E-3</v>
      </c>
    </row>
    <row r="302" spans="1:113" ht="12" outlineLevel="1">
      <c r="C302" s="601"/>
      <c r="D302" s="601"/>
      <c r="E302" s="601"/>
      <c r="F302" s="601"/>
      <c r="G302" s="601"/>
      <c r="H302" s="601"/>
      <c r="I302" s="601"/>
      <c r="J302" s="601"/>
      <c r="K302" s="601"/>
      <c r="L302" s="601"/>
      <c r="M302" s="601"/>
      <c r="N302" s="601"/>
      <c r="O302" s="601"/>
      <c r="P302" s="601"/>
      <c r="Q302" s="601"/>
      <c r="R302" s="601"/>
      <c r="S302" s="601"/>
      <c r="T302" s="601"/>
      <c r="U302" s="601"/>
      <c r="V302" s="601"/>
      <c r="W302" s="601"/>
      <c r="X302" s="601"/>
      <c r="Y302" s="416"/>
      <c r="Z302" s="416"/>
      <c r="AA302" s="416"/>
      <c r="AB302" s="416"/>
      <c r="AC302" s="416"/>
      <c r="AD302" s="416"/>
      <c r="AE302" s="416"/>
      <c r="AF302" s="416"/>
      <c r="AG302" s="416"/>
      <c r="AH302" s="416"/>
      <c r="AI302" s="416"/>
      <c r="AJ302" s="416"/>
      <c r="AK302" s="416"/>
      <c r="AL302" s="416"/>
      <c r="AM302" s="416"/>
      <c r="AN302" s="416"/>
      <c r="AO302" s="416"/>
      <c r="AP302" s="167"/>
      <c r="AQ302" s="167"/>
      <c r="AR302" s="167"/>
      <c r="AS302" s="167"/>
      <c r="AT302" s="167"/>
      <c r="AU302" s="167"/>
      <c r="AV302" s="167"/>
      <c r="AW302" s="174"/>
      <c r="AX302" s="166"/>
      <c r="AY302" s="166"/>
      <c r="AZ302" s="166"/>
      <c r="BA302" s="166"/>
      <c r="BB302" s="166"/>
      <c r="BC302" s="166"/>
      <c r="BD302" s="166"/>
      <c r="BE302" s="166"/>
      <c r="BF302" s="166"/>
      <c r="BG302" s="166"/>
      <c r="BH302" s="166"/>
      <c r="BI302" s="166"/>
      <c r="BJ302" s="166"/>
      <c r="BK302" s="166"/>
      <c r="BL302" s="166"/>
      <c r="BM302" s="166"/>
      <c r="BN302" s="166"/>
      <c r="BO302" s="166"/>
      <c r="BP302" s="166"/>
      <c r="BQ302" s="166"/>
      <c r="BR302" s="166"/>
      <c r="BS302" s="166"/>
      <c r="BT302" s="166"/>
      <c r="BU302" s="166"/>
      <c r="BV302" s="166"/>
      <c r="BW302" s="166"/>
      <c r="BX302" s="166"/>
      <c r="BY302" s="166"/>
      <c r="BZ302" s="166"/>
      <c r="CA302" s="166"/>
      <c r="CB302" s="166"/>
      <c r="CC302" s="166"/>
      <c r="CD302" s="166"/>
      <c r="CE302" s="166"/>
      <c r="CF302" s="166"/>
      <c r="CG302" s="166"/>
      <c r="CH302" s="166"/>
      <c r="CI302" s="166"/>
      <c r="CJ302" s="166"/>
      <c r="CK302" s="166"/>
      <c r="CL302" s="166"/>
      <c r="CM302" s="167"/>
      <c r="CN302" s="167"/>
      <c r="CO302" s="167"/>
      <c r="CP302" s="167"/>
      <c r="CQ302" s="167"/>
      <c r="CR302" s="167"/>
      <c r="CS302" s="167"/>
      <c r="CT302" s="167"/>
      <c r="CU302" s="167"/>
      <c r="CV302" s="167"/>
      <c r="CW302" s="167"/>
      <c r="CX302" s="167"/>
      <c r="CY302" s="174"/>
      <c r="CZ302" s="166"/>
      <c r="DA302" s="166"/>
      <c r="DC302" s="19"/>
      <c r="DD302" s="19"/>
      <c r="DE302" s="19"/>
      <c r="DF302" s="19"/>
      <c r="DG302" s="19"/>
      <c r="DH302" s="19"/>
      <c r="DI302" s="19"/>
    </row>
    <row r="303" spans="1:113" s="24" customFormat="1" ht="12" outlineLevel="1">
      <c r="A303" s="19"/>
      <c r="B303" s="24" t="s">
        <v>591</v>
      </c>
      <c r="C303" s="584"/>
      <c r="D303" s="584"/>
      <c r="E303" s="584"/>
      <c r="F303" s="584"/>
      <c r="G303" s="584"/>
      <c r="H303" s="584"/>
      <c r="I303" s="584"/>
      <c r="J303" s="584"/>
      <c r="K303" s="584"/>
      <c r="L303" s="584"/>
      <c r="M303" s="584"/>
      <c r="N303" s="584"/>
      <c r="O303" s="584"/>
      <c r="P303" s="584"/>
      <c r="Q303" s="584"/>
      <c r="R303" s="584"/>
      <c r="S303" s="584"/>
      <c r="T303" s="584"/>
      <c r="U303" s="584"/>
      <c r="V303" s="584"/>
      <c r="W303" s="584"/>
      <c r="X303" s="515"/>
      <c r="Y303" s="515"/>
      <c r="Z303" s="515"/>
      <c r="AA303" s="515"/>
      <c r="AB303" s="515"/>
      <c r="AC303" s="515"/>
      <c r="AD303" s="515"/>
      <c r="AE303" s="515"/>
      <c r="AF303" s="515"/>
      <c r="AG303" s="515"/>
      <c r="AH303" s="515"/>
      <c r="AI303" s="515"/>
      <c r="AJ303" s="515"/>
      <c r="AK303" s="515"/>
      <c r="AL303" s="515"/>
      <c r="AM303" s="515"/>
      <c r="AN303" s="515"/>
      <c r="AO303" s="515"/>
      <c r="AP303" s="514"/>
      <c r="AQ303" s="514"/>
      <c r="AR303" s="514"/>
      <c r="AS303" s="514"/>
      <c r="AT303" s="514"/>
      <c r="AU303" s="514"/>
      <c r="AV303" s="514"/>
      <c r="AW303" s="581"/>
      <c r="AX303" s="415"/>
      <c r="AY303" s="415"/>
      <c r="AZ303" s="415"/>
      <c r="BA303" s="415"/>
      <c r="BB303" s="415"/>
      <c r="BC303" s="415"/>
      <c r="BD303" s="415"/>
      <c r="BE303" s="415"/>
      <c r="BF303" s="415"/>
      <c r="BG303" s="415"/>
      <c r="BH303" s="415"/>
      <c r="BI303" s="415"/>
      <c r="BJ303" s="415"/>
      <c r="BK303" s="415"/>
      <c r="BL303" s="415"/>
      <c r="BM303" s="415"/>
      <c r="BN303" s="415"/>
      <c r="BO303" s="415"/>
      <c r="BP303" s="415"/>
      <c r="BQ303" s="415"/>
      <c r="BR303" s="415"/>
      <c r="BS303" s="415"/>
      <c r="BT303" s="415"/>
      <c r="BU303" s="415"/>
      <c r="BV303" s="415"/>
      <c r="BW303" s="415"/>
      <c r="BX303" s="415"/>
      <c r="BY303" s="415"/>
      <c r="BZ303" s="415"/>
      <c r="CA303" s="415"/>
      <c r="CB303" s="415"/>
      <c r="CC303" s="415"/>
      <c r="CD303" s="415"/>
      <c r="CE303" s="415"/>
      <c r="CF303" s="415"/>
      <c r="CG303" s="415"/>
      <c r="CH303" s="415"/>
      <c r="CI303" s="415"/>
      <c r="CJ303" s="415"/>
      <c r="CK303" s="415"/>
      <c r="CL303" s="415"/>
      <c r="CM303" s="514"/>
      <c r="CN303" s="514"/>
      <c r="CO303" s="514"/>
      <c r="CP303" s="514"/>
      <c r="CQ303" s="514"/>
      <c r="CR303" s="514"/>
      <c r="CS303" s="514"/>
      <c r="CT303" s="514"/>
      <c r="CU303" s="514"/>
      <c r="CV303" s="514"/>
      <c r="CW303" s="514"/>
      <c r="CX303" s="514"/>
      <c r="CY303" s="581"/>
      <c r="CZ303" s="415"/>
      <c r="DA303" s="415"/>
      <c r="DB303" s="13"/>
    </row>
    <row r="304" spans="1:113" ht="12" outlineLevel="1">
      <c r="A304" s="1" t="s">
        <v>76</v>
      </c>
      <c r="B304" s="19" t="s">
        <v>589</v>
      </c>
      <c r="C304" s="416"/>
      <c r="D304" s="416"/>
      <c r="E304" s="416"/>
      <c r="F304" s="416"/>
      <c r="G304" s="416"/>
      <c r="H304" s="416"/>
      <c r="I304" s="416"/>
      <c r="J304" s="416"/>
      <c r="K304" s="416"/>
      <c r="L304" s="416"/>
      <c r="M304" s="416"/>
      <c r="N304" s="416"/>
      <c r="O304" s="416"/>
      <c r="P304" s="416"/>
      <c r="Q304" s="416"/>
      <c r="R304" s="416"/>
      <c r="S304" s="416"/>
      <c r="T304" s="416"/>
      <c r="U304" s="416"/>
      <c r="V304" s="416"/>
      <c r="W304" s="416"/>
      <c r="X304" s="416"/>
      <c r="Y304" s="416"/>
      <c r="Z304" s="416"/>
      <c r="AA304" s="416"/>
      <c r="AB304" s="416"/>
      <c r="AC304" s="416"/>
      <c r="AD304" s="416"/>
      <c r="AE304" s="416"/>
      <c r="AF304" s="416"/>
      <c r="AG304" s="416"/>
      <c r="AH304" s="416"/>
      <c r="AI304" s="416"/>
      <c r="AJ304" s="416"/>
      <c r="AK304" s="416"/>
      <c r="AL304" s="416"/>
      <c r="AM304" s="416"/>
      <c r="AN304" s="416"/>
      <c r="AO304" s="416"/>
      <c r="AP304" s="509">
        <v>0</v>
      </c>
      <c r="AQ304" s="509">
        <v>0</v>
      </c>
      <c r="AR304" s="509">
        <v>0</v>
      </c>
      <c r="AS304" s="509">
        <v>0</v>
      </c>
      <c r="AT304" s="509">
        <v>0</v>
      </c>
      <c r="AU304" s="509">
        <v>0</v>
      </c>
      <c r="AV304" s="509">
        <v>0</v>
      </c>
      <c r="AW304" s="558">
        <v>0</v>
      </c>
      <c r="AX304" s="166"/>
      <c r="AY304" s="166"/>
      <c r="AZ304" s="166"/>
      <c r="BA304" s="166"/>
      <c r="BB304" s="166"/>
      <c r="BC304" s="166"/>
      <c r="BD304" s="166"/>
      <c r="BE304" s="166"/>
      <c r="BF304" s="166"/>
      <c r="BG304" s="166"/>
      <c r="BH304" s="166"/>
      <c r="BI304" s="166"/>
      <c r="BJ304" s="166"/>
      <c r="BK304" s="166"/>
      <c r="BL304" s="166"/>
      <c r="BM304" s="166"/>
      <c r="BN304" s="166"/>
      <c r="BO304" s="166"/>
      <c r="BP304" s="166"/>
      <c r="BQ304" s="166"/>
      <c r="BR304" s="166"/>
      <c r="BS304" s="166"/>
      <c r="BT304" s="166"/>
      <c r="BU304" s="166"/>
      <c r="BV304" s="166"/>
      <c r="BW304" s="166"/>
      <c r="BX304" s="166"/>
      <c r="BY304" s="166"/>
      <c r="BZ304" s="166"/>
      <c r="CA304" s="166"/>
      <c r="CB304" s="166"/>
      <c r="CC304" s="166"/>
      <c r="CD304" s="166"/>
      <c r="CE304" s="166"/>
      <c r="CF304" s="166"/>
      <c r="CG304" s="166"/>
      <c r="CH304" s="166"/>
      <c r="CI304" s="166"/>
      <c r="CJ304" s="166"/>
      <c r="CK304" s="166"/>
      <c r="CL304" s="166"/>
      <c r="CM304" s="167"/>
      <c r="CN304" s="167"/>
      <c r="CO304" s="167"/>
      <c r="CP304" s="167"/>
      <c r="CQ304" s="167"/>
      <c r="CR304" s="167"/>
      <c r="CS304" s="167"/>
      <c r="CT304" s="509">
        <v>0</v>
      </c>
      <c r="CU304" s="509">
        <v>0</v>
      </c>
      <c r="CV304" s="167">
        <v>0</v>
      </c>
      <c r="CW304" s="167">
        <v>0</v>
      </c>
      <c r="CX304" s="167"/>
      <c r="CY304" s="174"/>
      <c r="CZ304" s="166"/>
      <c r="DA304" s="166"/>
      <c r="DC304" s="19"/>
      <c r="DD304" s="19"/>
      <c r="DE304" s="19"/>
      <c r="DF304" s="19"/>
      <c r="DG304" s="19"/>
      <c r="DH304" s="19"/>
      <c r="DI304" s="19"/>
    </row>
    <row r="305" spans="1:113" ht="12" outlineLevel="1">
      <c r="A305" s="1" t="s">
        <v>77</v>
      </c>
      <c r="B305" s="19" t="s">
        <v>470</v>
      </c>
      <c r="C305" s="416"/>
      <c r="D305" s="416"/>
      <c r="E305" s="416"/>
      <c r="F305" s="416"/>
      <c r="G305" s="416"/>
      <c r="H305" s="416"/>
      <c r="I305" s="416"/>
      <c r="J305" s="416"/>
      <c r="K305" s="416"/>
      <c r="L305" s="416"/>
      <c r="M305" s="416"/>
      <c r="N305" s="416"/>
      <c r="O305" s="416"/>
      <c r="P305" s="416"/>
      <c r="Q305" s="416"/>
      <c r="R305" s="416"/>
      <c r="S305" s="416"/>
      <c r="T305" s="416"/>
      <c r="U305" s="416"/>
      <c r="V305" s="416"/>
      <c r="W305" s="416"/>
      <c r="X305" s="416"/>
      <c r="Y305" s="416"/>
      <c r="Z305" s="416"/>
      <c r="AA305" s="416"/>
      <c r="AB305" s="416"/>
      <c r="AC305" s="416"/>
      <c r="AD305" s="416"/>
      <c r="AE305" s="416"/>
      <c r="AF305" s="416"/>
      <c r="AG305" s="416"/>
      <c r="AH305" s="416"/>
      <c r="AI305" s="416"/>
      <c r="AJ305" s="416"/>
      <c r="AK305" s="416"/>
      <c r="AL305" s="416"/>
      <c r="AM305" s="416"/>
      <c r="AN305" s="416"/>
      <c r="AO305" s="416"/>
      <c r="AP305" s="509">
        <v>0</v>
      </c>
      <c r="AQ305" s="509">
        <v>0</v>
      </c>
      <c r="AR305" s="509">
        <v>0</v>
      </c>
      <c r="AS305" s="509">
        <v>0</v>
      </c>
      <c r="AT305" s="509">
        <v>0</v>
      </c>
      <c r="AU305" s="509">
        <v>0</v>
      </c>
      <c r="AV305" s="509">
        <v>0</v>
      </c>
      <c r="AW305" s="558">
        <v>0</v>
      </c>
      <c r="AX305" s="166"/>
      <c r="AY305" s="166"/>
      <c r="AZ305" s="166"/>
      <c r="BA305" s="166"/>
      <c r="BB305" s="166"/>
      <c r="BC305" s="166"/>
      <c r="BD305" s="166"/>
      <c r="BE305" s="166"/>
      <c r="BF305" s="166"/>
      <c r="BG305" s="166"/>
      <c r="BH305" s="166"/>
      <c r="BI305" s="166"/>
      <c r="BJ305" s="166"/>
      <c r="BK305" s="166"/>
      <c r="BL305" s="166"/>
      <c r="BM305" s="166"/>
      <c r="BN305" s="166"/>
      <c r="BO305" s="166"/>
      <c r="BP305" s="166"/>
      <c r="BQ305" s="166"/>
      <c r="BR305" s="166"/>
      <c r="BS305" s="166"/>
      <c r="BT305" s="166"/>
      <c r="BU305" s="166"/>
      <c r="BV305" s="166"/>
      <c r="BW305" s="166"/>
      <c r="BX305" s="166"/>
      <c r="BY305" s="166"/>
      <c r="BZ305" s="166"/>
      <c r="CA305" s="166"/>
      <c r="CB305" s="166"/>
      <c r="CC305" s="166"/>
      <c r="CD305" s="166"/>
      <c r="CE305" s="166"/>
      <c r="CF305" s="166"/>
      <c r="CG305" s="166"/>
      <c r="CH305" s="166"/>
      <c r="CI305" s="166"/>
      <c r="CJ305" s="166"/>
      <c r="CK305" s="166"/>
      <c r="CL305" s="166"/>
      <c r="CM305" s="167"/>
      <c r="CN305" s="167"/>
      <c r="CO305" s="167"/>
      <c r="CP305" s="167"/>
      <c r="CQ305" s="167"/>
      <c r="CR305" s="167"/>
      <c r="CS305" s="167"/>
      <c r="CT305" s="509">
        <v>0</v>
      </c>
      <c r="CU305" s="509">
        <v>0</v>
      </c>
      <c r="CV305" s="167">
        <v>0</v>
      </c>
      <c r="CW305" s="167">
        <v>0</v>
      </c>
      <c r="CX305" s="167"/>
      <c r="CY305" s="174"/>
      <c r="CZ305" s="166"/>
      <c r="DA305" s="166"/>
      <c r="DC305" s="19"/>
      <c r="DD305" s="19"/>
      <c r="DE305" s="19"/>
      <c r="DF305" s="19"/>
      <c r="DG305" s="19"/>
      <c r="DH305" s="19"/>
      <c r="DI305" s="19"/>
    </row>
    <row r="306" spans="1:113" s="24" customFormat="1" ht="12" outlineLevel="1">
      <c r="A306" s="1" t="s">
        <v>78</v>
      </c>
      <c r="B306" s="24" t="s">
        <v>166</v>
      </c>
      <c r="C306" s="584"/>
      <c r="D306" s="584"/>
      <c r="E306" s="584"/>
      <c r="F306" s="584"/>
      <c r="G306" s="584"/>
      <c r="H306" s="584"/>
      <c r="I306" s="584"/>
      <c r="J306" s="584"/>
      <c r="K306" s="584"/>
      <c r="L306" s="584"/>
      <c r="M306" s="584"/>
      <c r="N306" s="584"/>
      <c r="O306" s="584"/>
      <c r="P306" s="584"/>
      <c r="Q306" s="584"/>
      <c r="R306" s="584"/>
      <c r="S306" s="584"/>
      <c r="T306" s="584"/>
      <c r="U306" s="584"/>
      <c r="V306" s="584"/>
      <c r="W306" s="584"/>
      <c r="X306" s="584"/>
      <c r="Y306" s="515"/>
      <c r="Z306" s="515"/>
      <c r="AA306" s="515"/>
      <c r="AB306" s="515"/>
      <c r="AC306" s="515"/>
      <c r="AD306" s="515"/>
      <c r="AE306" s="515"/>
      <c r="AF306" s="515"/>
      <c r="AG306" s="515"/>
      <c r="AH306" s="515"/>
      <c r="AI306" s="515"/>
      <c r="AJ306" s="515"/>
      <c r="AK306" s="515"/>
      <c r="AL306" s="515"/>
      <c r="AM306" s="515"/>
      <c r="AN306" s="515"/>
      <c r="AO306" s="515"/>
      <c r="AP306" s="514">
        <v>0</v>
      </c>
      <c r="AQ306" s="514">
        <v>0</v>
      </c>
      <c r="AR306" s="514">
        <v>0</v>
      </c>
      <c r="AS306" s="514">
        <v>0</v>
      </c>
      <c r="AT306" s="514">
        <v>0</v>
      </c>
      <c r="AU306" s="514">
        <v>0</v>
      </c>
      <c r="AV306" s="514">
        <v>0</v>
      </c>
      <c r="AW306" s="581">
        <v>0</v>
      </c>
      <c r="AX306" s="415">
        <v>0</v>
      </c>
      <c r="AY306" s="415">
        <v>0</v>
      </c>
      <c r="AZ306" s="415">
        <v>0</v>
      </c>
      <c r="BA306" s="415">
        <v>0</v>
      </c>
      <c r="BB306" s="415">
        <v>0</v>
      </c>
      <c r="BC306" s="415">
        <v>0</v>
      </c>
      <c r="BD306" s="415">
        <v>0</v>
      </c>
      <c r="BE306" s="415">
        <v>0</v>
      </c>
      <c r="BF306" s="415">
        <v>0</v>
      </c>
      <c r="BG306" s="415">
        <v>0</v>
      </c>
      <c r="BH306" s="415">
        <v>0</v>
      </c>
      <c r="BI306" s="415">
        <v>0</v>
      </c>
      <c r="BJ306" s="415">
        <v>0</v>
      </c>
      <c r="BK306" s="415">
        <v>0</v>
      </c>
      <c r="BL306" s="415">
        <v>0</v>
      </c>
      <c r="BM306" s="415">
        <v>0</v>
      </c>
      <c r="BN306" s="415">
        <v>0</v>
      </c>
      <c r="BO306" s="415">
        <v>0</v>
      </c>
      <c r="BP306" s="415">
        <v>0</v>
      </c>
      <c r="BQ306" s="415">
        <v>0</v>
      </c>
      <c r="BR306" s="415"/>
      <c r="BS306" s="415"/>
      <c r="BT306" s="415"/>
      <c r="BU306" s="415"/>
      <c r="BV306" s="415"/>
      <c r="BW306" s="415"/>
      <c r="BX306" s="415"/>
      <c r="BY306" s="415"/>
      <c r="BZ306" s="415"/>
      <c r="CA306" s="415"/>
      <c r="CB306" s="415"/>
      <c r="CC306" s="415"/>
      <c r="CD306" s="415"/>
      <c r="CE306" s="415"/>
      <c r="CF306" s="415"/>
      <c r="CG306" s="415"/>
      <c r="CH306" s="415"/>
      <c r="CI306" s="415"/>
      <c r="CJ306" s="415"/>
      <c r="CK306" s="415"/>
      <c r="CL306" s="415"/>
      <c r="CM306" s="514"/>
      <c r="CN306" s="514"/>
      <c r="CO306" s="514"/>
      <c r="CP306" s="514"/>
      <c r="CQ306" s="514"/>
      <c r="CR306" s="514"/>
      <c r="CS306" s="514"/>
      <c r="CT306" s="514">
        <v>0</v>
      </c>
      <c r="CU306" s="514">
        <v>0</v>
      </c>
      <c r="CV306" s="514">
        <v>0</v>
      </c>
      <c r="CW306" s="514">
        <v>0</v>
      </c>
      <c r="CX306" s="514">
        <v>0</v>
      </c>
      <c r="CY306" s="581">
        <v>0</v>
      </c>
      <c r="CZ306" s="626">
        <v>0</v>
      </c>
      <c r="DA306" s="626">
        <v>0</v>
      </c>
      <c r="DB306" s="626">
        <v>0</v>
      </c>
      <c r="DC306" s="626">
        <v>0</v>
      </c>
      <c r="DD306" s="626">
        <v>0</v>
      </c>
      <c r="DE306" s="626">
        <v>0</v>
      </c>
      <c r="DF306" s="626">
        <v>0</v>
      </c>
      <c r="DG306" s="626">
        <v>0</v>
      </c>
      <c r="DH306" s="626">
        <v>0</v>
      </c>
      <c r="DI306" s="626">
        <v>0</v>
      </c>
    </row>
    <row r="307" spans="1:113" ht="12" outlineLevel="1">
      <c r="C307" s="601"/>
      <c r="D307" s="601"/>
      <c r="E307" s="601"/>
      <c r="F307" s="601"/>
      <c r="G307" s="601"/>
      <c r="H307" s="601"/>
      <c r="I307" s="601"/>
      <c r="J307" s="601"/>
      <c r="K307" s="601"/>
      <c r="L307" s="601"/>
      <c r="M307" s="601"/>
      <c r="N307" s="601"/>
      <c r="O307" s="601"/>
      <c r="P307" s="601"/>
      <c r="Q307" s="601"/>
      <c r="R307" s="601"/>
      <c r="S307" s="601"/>
      <c r="T307" s="601"/>
      <c r="U307" s="601"/>
      <c r="V307" s="601"/>
      <c r="W307" s="601"/>
      <c r="X307" s="601"/>
      <c r="Y307" s="416"/>
      <c r="Z307" s="416"/>
      <c r="AA307" s="416"/>
      <c r="AB307" s="416"/>
      <c r="AC307" s="416"/>
      <c r="AD307" s="416"/>
      <c r="AE307" s="416"/>
      <c r="AF307" s="416"/>
      <c r="AG307" s="416"/>
      <c r="AH307" s="416"/>
      <c r="AI307" s="416"/>
      <c r="AJ307" s="416"/>
      <c r="AK307" s="416"/>
      <c r="AL307" s="416"/>
      <c r="AM307" s="416"/>
      <c r="AN307" s="416"/>
      <c r="AO307" s="416"/>
      <c r="AP307" s="167"/>
      <c r="AQ307" s="167"/>
      <c r="AR307" s="167"/>
      <c r="AS307" s="167"/>
      <c r="AT307" s="167"/>
      <c r="AU307" s="167"/>
      <c r="AV307" s="167"/>
      <c r="AW307" s="174"/>
      <c r="AX307" s="166"/>
      <c r="AY307" s="166"/>
      <c r="AZ307" s="166"/>
      <c r="BA307" s="166"/>
      <c r="BB307" s="166"/>
      <c r="BC307" s="166"/>
      <c r="BD307" s="166"/>
      <c r="BE307" s="166"/>
      <c r="BF307" s="166"/>
      <c r="BG307" s="166"/>
      <c r="BH307" s="166"/>
      <c r="BI307" s="166"/>
      <c r="BJ307" s="166"/>
      <c r="BK307" s="166"/>
      <c r="BL307" s="166"/>
      <c r="BM307" s="166"/>
      <c r="BN307" s="166"/>
      <c r="BO307" s="166"/>
      <c r="BP307" s="166"/>
      <c r="BQ307" s="166"/>
      <c r="BR307" s="166"/>
      <c r="BS307" s="166"/>
      <c r="BT307" s="166"/>
      <c r="BU307" s="166"/>
      <c r="BV307" s="166"/>
      <c r="BW307" s="166"/>
      <c r="BX307" s="166"/>
      <c r="BY307" s="166"/>
      <c r="BZ307" s="166"/>
      <c r="CA307" s="166"/>
      <c r="CB307" s="166"/>
      <c r="CC307" s="166"/>
      <c r="CD307" s="166"/>
      <c r="CE307" s="166"/>
      <c r="CF307" s="166"/>
      <c r="CG307" s="166"/>
      <c r="CH307" s="166"/>
      <c r="CI307" s="166"/>
      <c r="CJ307" s="166"/>
      <c r="CK307" s="166"/>
      <c r="CL307" s="166"/>
      <c r="CM307" s="167"/>
      <c r="CN307" s="167"/>
      <c r="CO307" s="167"/>
      <c r="CP307" s="167"/>
      <c r="CQ307" s="167"/>
      <c r="CR307" s="167"/>
      <c r="CS307" s="167"/>
      <c r="CT307" s="167"/>
      <c r="CU307" s="167"/>
      <c r="CV307" s="167"/>
      <c r="CW307" s="167"/>
      <c r="CX307" s="167"/>
      <c r="CY307" s="174"/>
      <c r="CZ307" s="166"/>
      <c r="DA307" s="166"/>
      <c r="DC307" s="19"/>
      <c r="DD307" s="19"/>
      <c r="DE307" s="19"/>
      <c r="DF307" s="19"/>
      <c r="DG307" s="19"/>
      <c r="DH307" s="19"/>
      <c r="DI307" s="19"/>
    </row>
    <row r="308" spans="1:113" s="24" customFormat="1" ht="12" outlineLevel="1">
      <c r="A308" s="1"/>
      <c r="B308" s="24" t="s">
        <v>491</v>
      </c>
      <c r="C308" s="584"/>
      <c r="D308" s="584"/>
      <c r="E308" s="584"/>
      <c r="F308" s="584"/>
      <c r="G308" s="584"/>
      <c r="H308" s="584"/>
      <c r="I308" s="584"/>
      <c r="J308" s="584"/>
      <c r="K308" s="584"/>
      <c r="L308" s="584"/>
      <c r="M308" s="584"/>
      <c r="N308" s="584"/>
      <c r="O308" s="584"/>
      <c r="P308" s="584"/>
      <c r="Q308" s="584"/>
      <c r="R308" s="584"/>
      <c r="S308" s="584"/>
      <c r="T308" s="584"/>
      <c r="U308" s="584"/>
      <c r="V308" s="584"/>
      <c r="W308" s="584"/>
      <c r="X308" s="584"/>
      <c r="Y308" s="515"/>
      <c r="Z308" s="515"/>
      <c r="AA308" s="515"/>
      <c r="AB308" s="515"/>
      <c r="AC308" s="515"/>
      <c r="AD308" s="515"/>
      <c r="AE308" s="515"/>
      <c r="AF308" s="515"/>
      <c r="AG308" s="515"/>
      <c r="AH308" s="515"/>
      <c r="AI308" s="515"/>
      <c r="AJ308" s="515"/>
      <c r="AK308" s="515"/>
      <c r="AL308" s="515"/>
      <c r="AM308" s="515"/>
      <c r="AN308" s="515"/>
      <c r="AO308" s="515"/>
      <c r="AP308" s="514"/>
      <c r="AQ308" s="514"/>
      <c r="AR308" s="514"/>
      <c r="AS308" s="514"/>
      <c r="AT308" s="514"/>
      <c r="AU308" s="514"/>
      <c r="AV308" s="514"/>
      <c r="AW308" s="581"/>
      <c r="AX308" s="415"/>
      <c r="AY308" s="415"/>
      <c r="AZ308" s="415"/>
      <c r="BA308" s="415"/>
      <c r="BB308" s="415"/>
      <c r="BC308" s="415"/>
      <c r="BD308" s="415"/>
      <c r="BE308" s="415"/>
      <c r="BF308" s="415"/>
      <c r="BG308" s="415"/>
      <c r="BH308" s="415"/>
      <c r="BI308" s="415"/>
      <c r="BJ308" s="415"/>
      <c r="BK308" s="415"/>
      <c r="BL308" s="415"/>
      <c r="BM308" s="415"/>
      <c r="BN308" s="415"/>
      <c r="BO308" s="415"/>
      <c r="BP308" s="415"/>
      <c r="BQ308" s="415"/>
      <c r="BR308" s="415"/>
      <c r="BS308" s="415"/>
      <c r="BT308" s="415"/>
      <c r="BU308" s="415"/>
      <c r="BV308" s="415"/>
      <c r="BW308" s="415"/>
      <c r="BX308" s="415"/>
      <c r="BY308" s="415"/>
      <c r="BZ308" s="415"/>
      <c r="CA308" s="415"/>
      <c r="CB308" s="415"/>
      <c r="CC308" s="415"/>
      <c r="CD308" s="415"/>
      <c r="CE308" s="415"/>
      <c r="CF308" s="415"/>
      <c r="CG308" s="415"/>
      <c r="CH308" s="415"/>
      <c r="CI308" s="415"/>
      <c r="CJ308" s="415"/>
      <c r="CK308" s="415"/>
      <c r="CL308" s="415"/>
      <c r="CM308" s="514"/>
      <c r="CN308" s="514"/>
      <c r="CO308" s="514"/>
      <c r="CP308" s="514"/>
      <c r="CQ308" s="514"/>
      <c r="CR308" s="514"/>
      <c r="CS308" s="514"/>
      <c r="CT308" s="514"/>
      <c r="CU308" s="514"/>
      <c r="CV308" s="514"/>
      <c r="CW308" s="514"/>
      <c r="CX308" s="514"/>
      <c r="CY308" s="581"/>
      <c r="CZ308" s="415"/>
      <c r="DA308" s="415"/>
      <c r="DB308" s="13"/>
    </row>
    <row r="309" spans="1:113" ht="12" outlineLevel="1">
      <c r="A309" s="1" t="s">
        <v>79</v>
      </c>
      <c r="B309" s="19" t="s">
        <v>589</v>
      </c>
      <c r="C309" s="416"/>
      <c r="D309" s="416"/>
      <c r="E309" s="416"/>
      <c r="F309" s="416"/>
      <c r="G309" s="416"/>
      <c r="H309" s="416"/>
      <c r="I309" s="416"/>
      <c r="J309" s="416"/>
      <c r="K309" s="416"/>
      <c r="L309" s="416"/>
      <c r="M309" s="416"/>
      <c r="N309" s="416"/>
      <c r="O309" s="416"/>
      <c r="P309" s="416"/>
      <c r="Q309" s="416"/>
      <c r="R309" s="416"/>
      <c r="S309" s="416"/>
      <c r="T309" s="416"/>
      <c r="U309" s="416"/>
      <c r="V309" s="416"/>
      <c r="W309" s="416"/>
      <c r="X309" s="416"/>
      <c r="Y309" s="416"/>
      <c r="Z309" s="416"/>
      <c r="AA309" s="416"/>
      <c r="AB309" s="416"/>
      <c r="AC309" s="416"/>
      <c r="AD309" s="416"/>
      <c r="AE309" s="416"/>
      <c r="AF309" s="416"/>
      <c r="AG309" s="416"/>
      <c r="AH309" s="416"/>
      <c r="AI309" s="416"/>
      <c r="AJ309" s="416"/>
      <c r="AK309" s="416"/>
      <c r="AL309" s="416"/>
      <c r="AM309" s="416"/>
      <c r="AN309" s="416"/>
      <c r="AO309" s="416"/>
      <c r="AP309" s="379">
        <v>0</v>
      </c>
      <c r="AQ309" s="379">
        <v>0</v>
      </c>
      <c r="AR309" s="379">
        <v>0</v>
      </c>
      <c r="AS309" s="379">
        <v>0</v>
      </c>
      <c r="AT309" s="379">
        <v>0</v>
      </c>
      <c r="AU309" s="379">
        <v>0</v>
      </c>
      <c r="AV309" s="379">
        <v>0</v>
      </c>
      <c r="AW309" s="502">
        <v>0</v>
      </c>
      <c r="AX309" s="166"/>
      <c r="AY309" s="166"/>
      <c r="AZ309" s="166"/>
      <c r="BA309" s="166"/>
      <c r="BB309" s="166"/>
      <c r="BC309" s="166"/>
      <c r="BD309" s="166"/>
      <c r="BE309" s="166"/>
      <c r="BF309" s="166"/>
      <c r="BG309" s="166"/>
      <c r="BH309" s="166"/>
      <c r="BI309" s="166"/>
      <c r="BJ309" s="166"/>
      <c r="BK309" s="166"/>
      <c r="BL309" s="166"/>
      <c r="BM309" s="166"/>
      <c r="BN309" s="166"/>
      <c r="BO309" s="166"/>
      <c r="BP309" s="166"/>
      <c r="BQ309" s="166"/>
      <c r="BR309" s="166"/>
      <c r="BS309" s="166"/>
      <c r="BT309" s="166"/>
      <c r="BU309" s="166"/>
      <c r="BV309" s="166"/>
      <c r="BW309" s="166"/>
      <c r="BX309" s="166"/>
      <c r="BY309" s="166"/>
      <c r="BZ309" s="166"/>
      <c r="CA309" s="166"/>
      <c r="CB309" s="166"/>
      <c r="CC309" s="166"/>
      <c r="CD309" s="166"/>
      <c r="CE309" s="166"/>
      <c r="CF309" s="166"/>
      <c r="CG309" s="166"/>
      <c r="CH309" s="166"/>
      <c r="CI309" s="166"/>
      <c r="CJ309" s="166"/>
      <c r="CK309" s="166"/>
      <c r="CL309" s="166"/>
      <c r="CM309" s="167"/>
      <c r="CN309" s="167"/>
      <c r="CO309" s="167"/>
      <c r="CP309" s="167"/>
      <c r="CQ309" s="167"/>
      <c r="CR309" s="167"/>
      <c r="CS309" s="167"/>
      <c r="CT309" s="379">
        <v>0</v>
      </c>
      <c r="CU309" s="379">
        <v>0</v>
      </c>
      <c r="CV309" s="167">
        <v>0</v>
      </c>
      <c r="CW309" s="167">
        <v>0</v>
      </c>
      <c r="CX309" s="167"/>
      <c r="CY309" s="174"/>
      <c r="CZ309" s="166"/>
      <c r="DA309" s="166"/>
      <c r="DC309" s="19"/>
      <c r="DD309" s="19"/>
      <c r="DE309" s="19"/>
      <c r="DF309" s="19"/>
      <c r="DG309" s="19"/>
      <c r="DH309" s="19"/>
      <c r="DI309" s="19"/>
    </row>
    <row r="310" spans="1:113" ht="12" outlineLevel="1">
      <c r="A310" s="1" t="s">
        <v>80</v>
      </c>
      <c r="B310" s="19" t="s">
        <v>470</v>
      </c>
      <c r="C310" s="416"/>
      <c r="D310" s="416"/>
      <c r="E310" s="416"/>
      <c r="F310" s="416"/>
      <c r="G310" s="416"/>
      <c r="H310" s="416"/>
      <c r="I310" s="416"/>
      <c r="J310" s="416"/>
      <c r="K310" s="416"/>
      <c r="L310" s="416"/>
      <c r="M310" s="416"/>
      <c r="N310" s="416"/>
      <c r="O310" s="416"/>
      <c r="P310" s="416"/>
      <c r="Q310" s="416"/>
      <c r="R310" s="416"/>
      <c r="S310" s="416"/>
      <c r="T310" s="416"/>
      <c r="U310" s="416"/>
      <c r="V310" s="416"/>
      <c r="W310" s="416"/>
      <c r="X310" s="416"/>
      <c r="Y310" s="416"/>
      <c r="Z310" s="416"/>
      <c r="AA310" s="416"/>
      <c r="AB310" s="416"/>
      <c r="AC310" s="416"/>
      <c r="AD310" s="416"/>
      <c r="AE310" s="416"/>
      <c r="AF310" s="416"/>
      <c r="AG310" s="416"/>
      <c r="AH310" s="416"/>
      <c r="AI310" s="416"/>
      <c r="AJ310" s="416"/>
      <c r="AK310" s="416"/>
      <c r="AL310" s="416"/>
      <c r="AM310" s="416"/>
      <c r="AN310" s="416"/>
      <c r="AO310" s="416"/>
      <c r="AP310" s="379">
        <v>0</v>
      </c>
      <c r="AQ310" s="379">
        <v>0</v>
      </c>
      <c r="AR310" s="379">
        <v>0</v>
      </c>
      <c r="AS310" s="379">
        <v>0</v>
      </c>
      <c r="AT310" s="379">
        <v>0</v>
      </c>
      <c r="AU310" s="379">
        <v>0</v>
      </c>
      <c r="AV310" s="379">
        <v>0</v>
      </c>
      <c r="AW310" s="502">
        <v>0</v>
      </c>
      <c r="AX310" s="166"/>
      <c r="AY310" s="166"/>
      <c r="AZ310" s="166"/>
      <c r="BA310" s="166"/>
      <c r="BB310" s="166"/>
      <c r="BC310" s="166"/>
      <c r="BD310" s="166"/>
      <c r="BE310" s="166"/>
      <c r="BF310" s="166"/>
      <c r="BG310" s="166"/>
      <c r="BH310" s="166"/>
      <c r="BI310" s="166"/>
      <c r="BJ310" s="166"/>
      <c r="BK310" s="166"/>
      <c r="BL310" s="166"/>
      <c r="BM310" s="166"/>
      <c r="BN310" s="166"/>
      <c r="BO310" s="166"/>
      <c r="BP310" s="166"/>
      <c r="BQ310" s="166"/>
      <c r="BR310" s="166"/>
      <c r="BS310" s="166"/>
      <c r="BT310" s="166"/>
      <c r="BU310" s="166"/>
      <c r="BV310" s="166"/>
      <c r="BW310" s="166"/>
      <c r="BX310" s="166"/>
      <c r="BY310" s="166"/>
      <c r="BZ310" s="166"/>
      <c r="CA310" s="166"/>
      <c r="CB310" s="166"/>
      <c r="CC310" s="166"/>
      <c r="CD310" s="166"/>
      <c r="CE310" s="166"/>
      <c r="CF310" s="166"/>
      <c r="CG310" s="166"/>
      <c r="CH310" s="166"/>
      <c r="CI310" s="166"/>
      <c r="CJ310" s="166"/>
      <c r="CK310" s="166"/>
      <c r="CL310" s="166"/>
      <c r="CM310" s="167"/>
      <c r="CN310" s="167"/>
      <c r="CO310" s="167"/>
      <c r="CP310" s="167"/>
      <c r="CQ310" s="167"/>
      <c r="CR310" s="167"/>
      <c r="CS310" s="167"/>
      <c r="CT310" s="379">
        <v>0</v>
      </c>
      <c r="CU310" s="379">
        <v>0</v>
      </c>
      <c r="CV310" s="167">
        <v>0</v>
      </c>
      <c r="CW310" s="167">
        <v>0</v>
      </c>
      <c r="CX310" s="167"/>
      <c r="CY310" s="174"/>
      <c r="CZ310" s="166"/>
      <c r="DA310" s="166"/>
      <c r="DC310" s="19"/>
      <c r="DD310" s="19"/>
      <c r="DE310" s="19"/>
      <c r="DF310" s="19"/>
      <c r="DG310" s="19"/>
      <c r="DH310" s="19"/>
      <c r="DI310" s="19"/>
    </row>
    <row r="311" spans="1:113" s="24" customFormat="1" ht="12" outlineLevel="1">
      <c r="A311" s="1" t="s">
        <v>81</v>
      </c>
      <c r="B311" s="24" t="s">
        <v>166</v>
      </c>
      <c r="C311" s="584"/>
      <c r="D311" s="584"/>
      <c r="E311" s="584"/>
      <c r="F311" s="584"/>
      <c r="G311" s="584"/>
      <c r="H311" s="584"/>
      <c r="I311" s="584"/>
      <c r="J311" s="584"/>
      <c r="K311" s="584"/>
      <c r="L311" s="584"/>
      <c r="M311" s="584"/>
      <c r="N311" s="584"/>
      <c r="O311" s="584"/>
      <c r="P311" s="584"/>
      <c r="Q311" s="584"/>
      <c r="R311" s="584"/>
      <c r="S311" s="584"/>
      <c r="T311" s="584"/>
      <c r="U311" s="584"/>
      <c r="V311" s="584"/>
      <c r="W311" s="584"/>
      <c r="X311" s="584"/>
      <c r="Y311" s="515"/>
      <c r="Z311" s="515"/>
      <c r="AA311" s="515"/>
      <c r="AB311" s="515"/>
      <c r="AC311" s="515"/>
      <c r="AD311" s="515"/>
      <c r="AE311" s="515"/>
      <c r="AF311" s="515"/>
      <c r="AG311" s="515"/>
      <c r="AH311" s="515"/>
      <c r="AI311" s="515"/>
      <c r="AJ311" s="515"/>
      <c r="AK311" s="515"/>
      <c r="AL311" s="515"/>
      <c r="AM311" s="515"/>
      <c r="AN311" s="515"/>
      <c r="AO311" s="515"/>
      <c r="AP311" s="515">
        <v>0</v>
      </c>
      <c r="AQ311" s="515">
        <v>0</v>
      </c>
      <c r="AR311" s="515">
        <v>0</v>
      </c>
      <c r="AS311" s="515">
        <v>0</v>
      </c>
      <c r="AT311" s="515">
        <v>0</v>
      </c>
      <c r="AU311" s="515">
        <v>0</v>
      </c>
      <c r="AV311" s="515">
        <v>0</v>
      </c>
      <c r="AW311" s="582">
        <v>0</v>
      </c>
      <c r="AX311" s="415">
        <v>0</v>
      </c>
      <c r="AY311" s="415">
        <v>0</v>
      </c>
      <c r="AZ311" s="415">
        <v>0</v>
      </c>
      <c r="BA311" s="415">
        <v>0</v>
      </c>
      <c r="BB311" s="415">
        <v>0</v>
      </c>
      <c r="BC311" s="415">
        <v>0</v>
      </c>
      <c r="BD311" s="415">
        <v>0</v>
      </c>
      <c r="BE311" s="415">
        <v>0</v>
      </c>
      <c r="BF311" s="415">
        <v>0</v>
      </c>
      <c r="BG311" s="415">
        <v>0</v>
      </c>
      <c r="BH311" s="415">
        <v>0</v>
      </c>
      <c r="BI311" s="415">
        <v>0</v>
      </c>
      <c r="BJ311" s="415">
        <v>0</v>
      </c>
      <c r="BK311" s="415">
        <v>0</v>
      </c>
      <c r="BL311" s="415">
        <v>0</v>
      </c>
      <c r="BM311" s="415">
        <v>0</v>
      </c>
      <c r="BN311" s="415">
        <v>0</v>
      </c>
      <c r="BO311" s="415">
        <v>0</v>
      </c>
      <c r="BP311" s="415">
        <v>0</v>
      </c>
      <c r="BQ311" s="415">
        <v>0</v>
      </c>
      <c r="BR311" s="415"/>
      <c r="BS311" s="415"/>
      <c r="BT311" s="415"/>
      <c r="BU311" s="415"/>
      <c r="BV311" s="415"/>
      <c r="BW311" s="415"/>
      <c r="BX311" s="415"/>
      <c r="BY311" s="415"/>
      <c r="BZ311" s="415"/>
      <c r="CA311" s="415"/>
      <c r="CB311" s="415"/>
      <c r="CC311" s="415"/>
      <c r="CD311" s="415"/>
      <c r="CE311" s="415"/>
      <c r="CF311" s="415"/>
      <c r="CG311" s="415"/>
      <c r="CH311" s="415"/>
      <c r="CI311" s="415"/>
      <c r="CJ311" s="415"/>
      <c r="CK311" s="415"/>
      <c r="CL311" s="415"/>
      <c r="CM311" s="514"/>
      <c r="CN311" s="514"/>
      <c r="CO311" s="514"/>
      <c r="CP311" s="514"/>
      <c r="CQ311" s="514"/>
      <c r="CR311" s="514"/>
      <c r="CS311" s="514"/>
      <c r="CT311" s="515">
        <v>0</v>
      </c>
      <c r="CU311" s="515">
        <v>0</v>
      </c>
      <c r="CV311" s="514">
        <v>0</v>
      </c>
      <c r="CW311" s="514">
        <v>0</v>
      </c>
      <c r="CX311" s="514">
        <v>0</v>
      </c>
      <c r="CY311" s="581">
        <v>0</v>
      </c>
      <c r="CZ311" s="626">
        <v>0</v>
      </c>
      <c r="DA311" s="626">
        <v>0</v>
      </c>
      <c r="DB311" s="626">
        <v>0</v>
      </c>
      <c r="DC311" s="626">
        <v>0</v>
      </c>
      <c r="DD311" s="626">
        <v>0</v>
      </c>
      <c r="DE311" s="626">
        <v>0</v>
      </c>
      <c r="DF311" s="626">
        <v>0</v>
      </c>
      <c r="DG311" s="626">
        <v>0</v>
      </c>
      <c r="DH311" s="626">
        <v>0</v>
      </c>
      <c r="DI311" s="626">
        <v>0</v>
      </c>
    </row>
    <row r="312" spans="1:113" ht="12" outlineLevel="1">
      <c r="C312" s="601"/>
      <c r="D312" s="601"/>
      <c r="E312" s="601"/>
      <c r="F312" s="601"/>
      <c r="G312" s="601"/>
      <c r="H312" s="601"/>
      <c r="I312" s="601"/>
      <c r="J312" s="601"/>
      <c r="K312" s="601"/>
      <c r="L312" s="601"/>
      <c r="M312" s="601"/>
      <c r="N312" s="601"/>
      <c r="O312" s="601"/>
      <c r="P312" s="601"/>
      <c r="Q312" s="601"/>
      <c r="R312" s="601"/>
      <c r="S312" s="601"/>
      <c r="T312" s="601"/>
      <c r="U312" s="601"/>
      <c r="V312" s="601"/>
      <c r="W312" s="601"/>
      <c r="X312" s="601"/>
      <c r="Y312" s="416"/>
      <c r="Z312" s="416"/>
      <c r="AA312" s="416"/>
      <c r="AB312" s="416"/>
      <c r="AC312" s="416"/>
      <c r="AD312" s="416"/>
      <c r="AE312" s="416"/>
      <c r="AF312" s="416"/>
      <c r="AG312" s="416"/>
      <c r="AH312" s="416"/>
      <c r="AI312" s="416"/>
      <c r="AJ312" s="416"/>
      <c r="AK312" s="416"/>
      <c r="AL312" s="416"/>
      <c r="AM312" s="416"/>
      <c r="AN312" s="416"/>
      <c r="AO312" s="416"/>
      <c r="AP312" s="167"/>
      <c r="AQ312" s="167"/>
      <c r="AR312" s="167"/>
      <c r="AS312" s="167"/>
      <c r="AT312" s="167"/>
      <c r="AU312" s="167"/>
      <c r="AV312" s="167"/>
      <c r="AW312" s="174"/>
      <c r="AX312" s="166"/>
      <c r="AY312" s="166"/>
      <c r="AZ312" s="166"/>
      <c r="BA312" s="166"/>
      <c r="BB312" s="166"/>
      <c r="BC312" s="166"/>
      <c r="BD312" s="166"/>
      <c r="BE312" s="166"/>
      <c r="BF312" s="166"/>
      <c r="BG312" s="166"/>
      <c r="BH312" s="166"/>
      <c r="BI312" s="166"/>
      <c r="BJ312" s="166"/>
      <c r="BK312" s="166"/>
      <c r="BL312" s="166"/>
      <c r="BM312" s="166"/>
      <c r="BN312" s="166"/>
      <c r="BO312" s="166"/>
      <c r="BP312" s="166"/>
      <c r="BQ312" s="166"/>
      <c r="BR312" s="166"/>
      <c r="BS312" s="166"/>
      <c r="BT312" s="166"/>
      <c r="BU312" s="166"/>
      <c r="BV312" s="166"/>
      <c r="BW312" s="166"/>
      <c r="BX312" s="166"/>
      <c r="BY312" s="166"/>
      <c r="BZ312" s="166"/>
      <c r="CA312" s="166"/>
      <c r="CB312" s="166"/>
      <c r="CC312" s="166"/>
      <c r="CD312" s="166"/>
      <c r="CE312" s="166"/>
      <c r="CF312" s="166"/>
      <c r="CG312" s="166"/>
      <c r="CH312" s="166"/>
      <c r="CI312" s="166"/>
      <c r="CJ312" s="166"/>
      <c r="CK312" s="166"/>
      <c r="CL312" s="166"/>
      <c r="CM312" s="167"/>
      <c r="CN312" s="167"/>
      <c r="CO312" s="167"/>
      <c r="CP312" s="167"/>
      <c r="CQ312" s="167"/>
      <c r="CR312" s="167"/>
      <c r="CS312" s="167"/>
      <c r="CT312" s="167"/>
      <c r="CU312" s="167"/>
      <c r="CV312" s="167"/>
      <c r="CW312" s="167"/>
      <c r="CX312" s="167"/>
      <c r="CY312" s="174"/>
      <c r="CZ312" s="166"/>
      <c r="DA312" s="166"/>
      <c r="DC312" s="19"/>
      <c r="DD312" s="19"/>
      <c r="DE312" s="19"/>
      <c r="DF312" s="19"/>
      <c r="DG312" s="19"/>
      <c r="DH312" s="19"/>
      <c r="DI312" s="19"/>
    </row>
    <row r="313" spans="1:113" s="24" customFormat="1" ht="12" outlineLevel="1">
      <c r="A313" s="19"/>
      <c r="B313" s="24" t="s">
        <v>496</v>
      </c>
      <c r="C313" s="584"/>
      <c r="D313" s="584"/>
      <c r="E313" s="584"/>
      <c r="F313" s="584"/>
      <c r="G313" s="584"/>
      <c r="H313" s="584"/>
      <c r="I313" s="584"/>
      <c r="J313" s="584"/>
      <c r="K313" s="584"/>
      <c r="L313" s="584"/>
      <c r="M313" s="584"/>
      <c r="N313" s="584"/>
      <c r="O313" s="584"/>
      <c r="P313" s="584"/>
      <c r="Q313" s="584"/>
      <c r="R313" s="584"/>
      <c r="S313" s="584"/>
      <c r="T313" s="584"/>
      <c r="U313" s="584"/>
      <c r="V313" s="584"/>
      <c r="W313" s="584"/>
      <c r="X313" s="584"/>
      <c r="Y313" s="515"/>
      <c r="Z313" s="515"/>
      <c r="AA313" s="515"/>
      <c r="AB313" s="515"/>
      <c r="AC313" s="515"/>
      <c r="AD313" s="515"/>
      <c r="AE313" s="515"/>
      <c r="AF313" s="515"/>
      <c r="AG313" s="515"/>
      <c r="AH313" s="515"/>
      <c r="AI313" s="515"/>
      <c r="AJ313" s="515"/>
      <c r="AK313" s="515"/>
      <c r="AL313" s="515"/>
      <c r="AM313" s="515"/>
      <c r="AN313" s="515"/>
      <c r="AO313" s="515"/>
      <c r="AP313" s="514"/>
      <c r="AQ313" s="514"/>
      <c r="AR313" s="514"/>
      <c r="AS313" s="514"/>
      <c r="AT313" s="514"/>
      <c r="AU313" s="514"/>
      <c r="AV313" s="514"/>
      <c r="AW313" s="581"/>
      <c r="AX313" s="415"/>
      <c r="AY313" s="415"/>
      <c r="AZ313" s="415"/>
      <c r="BA313" s="415"/>
      <c r="BB313" s="415"/>
      <c r="BC313" s="415"/>
      <c r="BD313" s="415"/>
      <c r="BE313" s="415"/>
      <c r="BF313" s="415"/>
      <c r="BG313" s="415"/>
      <c r="BH313" s="415"/>
      <c r="BI313" s="415"/>
      <c r="BJ313" s="415"/>
      <c r="BK313" s="415"/>
      <c r="BL313" s="415"/>
      <c r="BM313" s="415"/>
      <c r="BN313" s="415"/>
      <c r="BO313" s="415"/>
      <c r="BP313" s="415"/>
      <c r="BQ313" s="415"/>
      <c r="BR313" s="415"/>
      <c r="BS313" s="415"/>
      <c r="BT313" s="415"/>
      <c r="BU313" s="415"/>
      <c r="BV313" s="415"/>
      <c r="BW313" s="415"/>
      <c r="BX313" s="415"/>
      <c r="BY313" s="415"/>
      <c r="BZ313" s="415"/>
      <c r="CA313" s="415"/>
      <c r="CB313" s="415"/>
      <c r="CC313" s="415"/>
      <c r="CD313" s="415"/>
      <c r="CE313" s="415"/>
      <c r="CF313" s="415"/>
      <c r="CG313" s="415"/>
      <c r="CH313" s="415"/>
      <c r="CI313" s="415"/>
      <c r="CJ313" s="415"/>
      <c r="CK313" s="415"/>
      <c r="CL313" s="415"/>
      <c r="CM313" s="514"/>
      <c r="CN313" s="514"/>
      <c r="CO313" s="514"/>
      <c r="CP313" s="514"/>
      <c r="CQ313" s="514"/>
      <c r="CR313" s="514"/>
      <c r="CS313" s="514"/>
      <c r="CT313" s="514"/>
      <c r="CU313" s="514"/>
      <c r="CV313" s="514"/>
      <c r="CW313" s="514"/>
      <c r="CX313" s="514"/>
      <c r="CY313" s="581"/>
      <c r="CZ313" s="415"/>
      <c r="DA313" s="415"/>
      <c r="DB313" s="13"/>
    </row>
    <row r="314" spans="1:113" ht="12" outlineLevel="1">
      <c r="A314" s="1" t="s">
        <v>167</v>
      </c>
      <c r="B314" s="19" t="s">
        <v>589</v>
      </c>
      <c r="C314" s="601"/>
      <c r="D314" s="601"/>
      <c r="E314" s="601"/>
      <c r="F314" s="601"/>
      <c r="G314" s="601"/>
      <c r="H314" s="601"/>
      <c r="I314" s="601"/>
      <c r="J314" s="601"/>
      <c r="K314" s="601"/>
      <c r="L314" s="601"/>
      <c r="M314" s="601"/>
      <c r="N314" s="601"/>
      <c r="O314" s="601"/>
      <c r="P314" s="601"/>
      <c r="Q314" s="601"/>
      <c r="R314" s="601"/>
      <c r="S314" s="601"/>
      <c r="T314" s="601"/>
      <c r="U314" s="601"/>
      <c r="V314" s="601"/>
      <c r="W314" s="601"/>
      <c r="X314" s="601"/>
      <c r="Y314" s="416"/>
      <c r="Z314" s="416"/>
      <c r="AA314" s="416"/>
      <c r="AB314" s="416"/>
      <c r="AC314" s="416"/>
      <c r="AD314" s="416"/>
      <c r="AE314" s="416"/>
      <c r="AF314" s="416"/>
      <c r="AG314" s="416"/>
      <c r="AH314" s="416"/>
      <c r="AI314" s="416"/>
      <c r="AJ314" s="416"/>
      <c r="AK314" s="416"/>
      <c r="AL314" s="416"/>
      <c r="AM314" s="416"/>
      <c r="AN314" s="416"/>
      <c r="AO314" s="416"/>
      <c r="AP314" s="167">
        <v>0</v>
      </c>
      <c r="AQ314" s="167">
        <v>0</v>
      </c>
      <c r="AR314" s="167">
        <v>0</v>
      </c>
      <c r="AS314" s="167">
        <v>0</v>
      </c>
      <c r="AT314" s="167">
        <v>0</v>
      </c>
      <c r="AU314" s="167">
        <v>0</v>
      </c>
      <c r="AV314" s="167">
        <v>0</v>
      </c>
      <c r="AW314" s="174">
        <v>0</v>
      </c>
      <c r="AX314" s="166"/>
      <c r="AY314" s="166"/>
      <c r="AZ314" s="166"/>
      <c r="BA314" s="166"/>
      <c r="BB314" s="166"/>
      <c r="BC314" s="166"/>
      <c r="BD314" s="166"/>
      <c r="BE314" s="166"/>
      <c r="BF314" s="166"/>
      <c r="BG314" s="166"/>
      <c r="BH314" s="166"/>
      <c r="BI314" s="166"/>
      <c r="BJ314" s="166"/>
      <c r="BK314" s="166"/>
      <c r="BL314" s="166"/>
      <c r="BM314" s="166"/>
      <c r="BN314" s="166"/>
      <c r="BO314" s="166"/>
      <c r="BP314" s="166"/>
      <c r="BQ314" s="166"/>
      <c r="BR314" s="166"/>
      <c r="BS314" s="166"/>
      <c r="BT314" s="166"/>
      <c r="BU314" s="166"/>
      <c r="BV314" s="166"/>
      <c r="BW314" s="166"/>
      <c r="BX314" s="166"/>
      <c r="BY314" s="166"/>
      <c r="BZ314" s="166"/>
      <c r="CA314" s="166"/>
      <c r="CB314" s="166"/>
      <c r="CC314" s="166"/>
      <c r="CD314" s="166"/>
      <c r="CE314" s="166"/>
      <c r="CF314" s="166"/>
      <c r="CG314" s="166"/>
      <c r="CH314" s="166"/>
      <c r="CI314" s="166"/>
      <c r="CJ314" s="166"/>
      <c r="CK314" s="166"/>
      <c r="CL314" s="166"/>
      <c r="CM314" s="167"/>
      <c r="CN314" s="167"/>
      <c r="CO314" s="167"/>
      <c r="CP314" s="167"/>
      <c r="CQ314" s="167"/>
      <c r="CR314" s="167"/>
      <c r="CS314" s="167"/>
      <c r="CT314" s="167">
        <v>0</v>
      </c>
      <c r="CU314" s="167">
        <v>0</v>
      </c>
      <c r="CV314" s="167">
        <v>0</v>
      </c>
      <c r="CW314" s="167"/>
      <c r="CX314" s="167"/>
      <c r="CY314" s="174"/>
      <c r="CZ314" s="166"/>
      <c r="DA314" s="166"/>
      <c r="DC314" s="19"/>
      <c r="DD314" s="19"/>
      <c r="DE314" s="19"/>
      <c r="DF314" s="19"/>
      <c r="DG314" s="19"/>
      <c r="DH314" s="19"/>
      <c r="DI314" s="19"/>
    </row>
    <row r="315" spans="1:113" ht="12" outlineLevel="1">
      <c r="A315" s="1" t="s">
        <v>168</v>
      </c>
      <c r="B315" s="19" t="s">
        <v>590</v>
      </c>
      <c r="C315" s="601"/>
      <c r="D315" s="601"/>
      <c r="E315" s="601"/>
      <c r="F315" s="601"/>
      <c r="G315" s="601"/>
      <c r="H315" s="601"/>
      <c r="I315" s="601"/>
      <c r="J315" s="601"/>
      <c r="K315" s="601"/>
      <c r="L315" s="601"/>
      <c r="M315" s="601"/>
      <c r="N315" s="601"/>
      <c r="O315" s="601"/>
      <c r="P315" s="601"/>
      <c r="Q315" s="601"/>
      <c r="R315" s="601"/>
      <c r="S315" s="601"/>
      <c r="T315" s="601"/>
      <c r="U315" s="601"/>
      <c r="V315" s="601"/>
      <c r="W315" s="601"/>
      <c r="X315" s="601"/>
      <c r="Y315" s="416"/>
      <c r="Z315" s="416"/>
      <c r="AA315" s="416"/>
      <c r="AB315" s="416"/>
      <c r="AC315" s="416"/>
      <c r="AD315" s="416"/>
      <c r="AE315" s="416"/>
      <c r="AF315" s="416"/>
      <c r="AG315" s="416"/>
      <c r="AH315" s="416"/>
      <c r="AI315" s="416"/>
      <c r="AJ315" s="416"/>
      <c r="AK315" s="416"/>
      <c r="AL315" s="416"/>
      <c r="AM315" s="416"/>
      <c r="AN315" s="416"/>
      <c r="AO315" s="416"/>
      <c r="AP315" s="167">
        <v>-1.5806208998462003E-2</v>
      </c>
      <c r="AQ315" s="167">
        <v>-1.1913688284719266E-2</v>
      </c>
      <c r="AR315" s="167">
        <v>-1.046789342470061E-2</v>
      </c>
      <c r="AS315" s="167">
        <v>-5.0592261707766836E-3</v>
      </c>
      <c r="AT315" s="167">
        <v>2.4596109968384149E-3</v>
      </c>
      <c r="AU315" s="167">
        <v>-2.3391725881853065E-3</v>
      </c>
      <c r="AV315" s="167">
        <v>-7.0336409450644033E-3</v>
      </c>
      <c r="AW315" s="174">
        <v>-7.7289020743301767E-3</v>
      </c>
      <c r="AX315" s="166"/>
      <c r="AY315" s="166"/>
      <c r="AZ315" s="166"/>
      <c r="BA315" s="166"/>
      <c r="BB315" s="166"/>
      <c r="BC315" s="166"/>
      <c r="BD315" s="166"/>
      <c r="BE315" s="166"/>
      <c r="BF315" s="166"/>
      <c r="BG315" s="166"/>
      <c r="BH315" s="166"/>
      <c r="BI315" s="166"/>
      <c r="BJ315" s="166"/>
      <c r="BK315" s="166"/>
      <c r="BL315" s="166"/>
      <c r="BM315" s="166"/>
      <c r="BN315" s="166"/>
      <c r="BO315" s="166"/>
      <c r="BP315" s="166"/>
      <c r="BQ315" s="166"/>
      <c r="BR315" s="166"/>
      <c r="BS315" s="166"/>
      <c r="BT315" s="166"/>
      <c r="BU315" s="166"/>
      <c r="BV315" s="166"/>
      <c r="BW315" s="166"/>
      <c r="BX315" s="166"/>
      <c r="BY315" s="166"/>
      <c r="BZ315" s="166"/>
      <c r="CA315" s="166"/>
      <c r="CB315" s="166"/>
      <c r="CC315" s="166"/>
      <c r="CD315" s="166"/>
      <c r="CE315" s="166"/>
      <c r="CF315" s="166"/>
      <c r="CG315" s="166"/>
      <c r="CH315" s="166"/>
      <c r="CI315" s="166"/>
      <c r="CJ315" s="166"/>
      <c r="CK315" s="166"/>
      <c r="CL315" s="166"/>
      <c r="CM315" s="167"/>
      <c r="CN315" s="167"/>
      <c r="CO315" s="167"/>
      <c r="CP315" s="167"/>
      <c r="CQ315" s="167"/>
      <c r="CR315" s="167"/>
      <c r="CS315" s="167"/>
      <c r="CT315" s="167">
        <v>-8.4811538461538431E-3</v>
      </c>
      <c r="CU315" s="167">
        <v>-1.5453816793893132E-2</v>
      </c>
      <c r="CV315" s="167">
        <v>-1.3630860608690409E-2</v>
      </c>
      <c r="CW315" s="167"/>
      <c r="CX315" s="167"/>
      <c r="CY315" s="174"/>
      <c r="CZ315" s="166"/>
      <c r="DA315" s="166"/>
      <c r="DC315" s="19"/>
      <c r="DD315" s="19"/>
      <c r="DE315" s="19"/>
      <c r="DF315" s="19"/>
      <c r="DG315" s="19"/>
      <c r="DH315" s="19"/>
      <c r="DI315" s="19"/>
    </row>
    <row r="316" spans="1:113" s="24" customFormat="1" ht="12" outlineLevel="1">
      <c r="A316" s="1" t="s">
        <v>169</v>
      </c>
      <c r="B316" s="24" t="s">
        <v>166</v>
      </c>
      <c r="C316" s="584"/>
      <c r="D316" s="584"/>
      <c r="E316" s="584"/>
      <c r="F316" s="584"/>
      <c r="G316" s="584"/>
      <c r="H316" s="584"/>
      <c r="I316" s="584"/>
      <c r="J316" s="584"/>
      <c r="K316" s="584"/>
      <c r="L316" s="584"/>
      <c r="M316" s="584"/>
      <c r="N316" s="584"/>
      <c r="O316" s="584"/>
      <c r="P316" s="584"/>
      <c r="Q316" s="584"/>
      <c r="R316" s="584"/>
      <c r="S316" s="584"/>
      <c r="T316" s="584"/>
      <c r="U316" s="584"/>
      <c r="V316" s="584"/>
      <c r="W316" s="584"/>
      <c r="X316" s="584"/>
      <c r="Y316" s="515"/>
      <c r="Z316" s="515"/>
      <c r="AA316" s="515"/>
      <c r="AB316" s="515"/>
      <c r="AC316" s="515"/>
      <c r="AD316" s="515"/>
      <c r="AE316" s="515"/>
      <c r="AF316" s="515"/>
      <c r="AG316" s="515"/>
      <c r="AH316" s="515"/>
      <c r="AI316" s="515"/>
      <c r="AJ316" s="515"/>
      <c r="AK316" s="515"/>
      <c r="AL316" s="515"/>
      <c r="AM316" s="515"/>
      <c r="AN316" s="515"/>
      <c r="AO316" s="515"/>
      <c r="AP316" s="514">
        <v>-1.5806208998462003E-2</v>
      </c>
      <c r="AQ316" s="514">
        <v>-1.1913688284719266E-2</v>
      </c>
      <c r="AR316" s="514">
        <v>-1.046789342470061E-2</v>
      </c>
      <c r="AS316" s="514">
        <v>-5.0592261707766836E-3</v>
      </c>
      <c r="AT316" s="514">
        <v>2.4596109968384149E-3</v>
      </c>
      <c r="AU316" s="514">
        <v>-2.3391725881853065E-3</v>
      </c>
      <c r="AV316" s="514">
        <v>-7.0336409450644033E-3</v>
      </c>
      <c r="AW316" s="581">
        <v>-7.7289020743301767E-3</v>
      </c>
      <c r="AX316" s="415">
        <v>-8.4999999999999989E-3</v>
      </c>
      <c r="AY316" s="415">
        <v>-8.5000000000000006E-3</v>
      </c>
      <c r="AZ316" s="415">
        <v>-8.4999999999999989E-3</v>
      </c>
      <c r="BA316" s="415">
        <v>-8.5000000000000006E-3</v>
      </c>
      <c r="BB316" s="415">
        <v>-8.4999999999999989E-3</v>
      </c>
      <c r="BC316" s="415">
        <v>-8.5000000000000006E-3</v>
      </c>
      <c r="BD316" s="415">
        <v>-8.5000000000000006E-3</v>
      </c>
      <c r="BE316" s="415">
        <v>-8.4999999999999989E-3</v>
      </c>
      <c r="BF316" s="415">
        <v>-8.5000000000000006E-3</v>
      </c>
      <c r="BG316" s="415">
        <v>-8.5000000000000006E-3</v>
      </c>
      <c r="BH316" s="415">
        <v>-8.5000000000000006E-3</v>
      </c>
      <c r="BI316" s="415">
        <v>-8.5000000000000006E-3</v>
      </c>
      <c r="BJ316" s="415">
        <v>-8.5000000000000006E-3</v>
      </c>
      <c r="BK316" s="415">
        <v>-8.5000000000000023E-3</v>
      </c>
      <c r="BL316" s="415">
        <v>-8.5000000000000006E-3</v>
      </c>
      <c r="BM316" s="415">
        <v>-8.5000000000000006E-3</v>
      </c>
      <c r="BN316" s="415">
        <v>-8.5000000000000006E-3</v>
      </c>
      <c r="BO316" s="415">
        <v>-8.5000000000000006E-3</v>
      </c>
      <c r="BP316" s="415">
        <v>-8.4999999999999989E-3</v>
      </c>
      <c r="BQ316" s="415">
        <v>-8.5000000000000006E-3</v>
      </c>
      <c r="BR316" s="415"/>
      <c r="BS316" s="415"/>
      <c r="BT316" s="415"/>
      <c r="BU316" s="415"/>
      <c r="BV316" s="415"/>
      <c r="BW316" s="415"/>
      <c r="BX316" s="415"/>
      <c r="BY316" s="415"/>
      <c r="BZ316" s="415"/>
      <c r="CA316" s="415"/>
      <c r="CB316" s="415"/>
      <c r="CC316" s="415"/>
      <c r="CD316" s="415"/>
      <c r="CE316" s="415"/>
      <c r="CF316" s="415"/>
      <c r="CG316" s="415"/>
      <c r="CH316" s="415"/>
      <c r="CI316" s="415"/>
      <c r="CJ316" s="415"/>
      <c r="CK316" s="415"/>
      <c r="CL316" s="415"/>
      <c r="CM316" s="514"/>
      <c r="CN316" s="514"/>
      <c r="CO316" s="514"/>
      <c r="CP316" s="514"/>
      <c r="CQ316" s="514"/>
      <c r="CR316" s="514"/>
      <c r="CS316" s="514"/>
      <c r="CT316" s="514">
        <v>-8.4811538461538431E-3</v>
      </c>
      <c r="CU316" s="514">
        <v>-1.5453816793893132E-2</v>
      </c>
      <c r="CV316" s="514">
        <v>-1.3630860608690409E-2</v>
      </c>
      <c r="CW316" s="514">
        <v>-7.4837681298465146E-3</v>
      </c>
      <c r="CX316" s="514">
        <v>-9.4220146745295524E-5</v>
      </c>
      <c r="CY316" s="581">
        <v>-7.39141342638813E-3</v>
      </c>
      <c r="CZ316" s="415">
        <v>-8.5000000000000006E-3</v>
      </c>
      <c r="DA316" s="415">
        <v>-8.5000000000000006E-3</v>
      </c>
      <c r="DB316" s="415">
        <v>-8.5000000000000006E-3</v>
      </c>
      <c r="DC316" s="415">
        <v>-8.5000000000000006E-3</v>
      </c>
      <c r="DD316" s="415">
        <v>-8.4999999999999989E-3</v>
      </c>
      <c r="DE316" s="415">
        <v>-8.5000000000000006E-3</v>
      </c>
      <c r="DF316" s="415">
        <v>-8.5000000000000023E-3</v>
      </c>
      <c r="DG316" s="415">
        <v>-8.4999999999999989E-3</v>
      </c>
      <c r="DH316" s="415">
        <v>-8.5000000000000006E-3</v>
      </c>
      <c r="DI316" s="415">
        <v>-8.4999999999999989E-3</v>
      </c>
    </row>
    <row r="317" spans="1:113" ht="12" outlineLevel="1">
      <c r="A317" s="1" t="s">
        <v>170</v>
      </c>
      <c r="B317" s="19" t="s">
        <v>275</v>
      </c>
      <c r="C317" s="601"/>
      <c r="D317" s="601"/>
      <c r="E317" s="601"/>
      <c r="F317" s="601"/>
      <c r="G317" s="601"/>
      <c r="H317" s="601"/>
      <c r="I317" s="601"/>
      <c r="J317" s="601"/>
      <c r="K317" s="601"/>
      <c r="L317" s="601"/>
      <c r="M317" s="601"/>
      <c r="N317" s="601"/>
      <c r="O317" s="601"/>
      <c r="P317" s="601"/>
      <c r="Q317" s="601"/>
      <c r="R317" s="601"/>
      <c r="S317" s="601"/>
      <c r="T317" s="601"/>
      <c r="U317" s="601"/>
      <c r="V317" s="601"/>
      <c r="W317" s="601"/>
      <c r="X317" s="601"/>
      <c r="Y317" s="416"/>
      <c r="Z317" s="416"/>
      <c r="AA317" s="416"/>
      <c r="AB317" s="416"/>
      <c r="AC317" s="416"/>
      <c r="AD317" s="416"/>
      <c r="AE317" s="416"/>
      <c r="AF317" s="416"/>
      <c r="AG317" s="416"/>
      <c r="AH317" s="416"/>
      <c r="AI317" s="416"/>
      <c r="AJ317" s="416"/>
      <c r="AK317" s="416"/>
      <c r="AL317" s="416"/>
      <c r="AM317" s="416"/>
      <c r="AN317" s="416"/>
      <c r="AO317" s="416"/>
      <c r="AP317" s="167">
        <v>-1.5025020050930326E-2</v>
      </c>
      <c r="AQ317" s="167">
        <v>-8.4908304256025528E-3</v>
      </c>
      <c r="AR317" s="167">
        <v>-4.7643893084880163E-3</v>
      </c>
      <c r="AS317" s="167">
        <v>1.7399123929745996E-3</v>
      </c>
      <c r="AT317" s="167">
        <v>1.7338670945058858E-2</v>
      </c>
      <c r="AU317" s="167">
        <v>1.7492539851449239E-2</v>
      </c>
      <c r="AV317" s="167">
        <v>1.1649587977649159E-2</v>
      </c>
      <c r="AW317" s="174">
        <v>-1.3982993179234918E-3</v>
      </c>
      <c r="AX317" s="166">
        <v>-2.0898299317923492E-2</v>
      </c>
      <c r="AY317" s="166">
        <v>-2.1088342689095041E-2</v>
      </c>
      <c r="AZ317" s="166">
        <v>-2.127838606026659E-2</v>
      </c>
      <c r="BA317" s="166">
        <v>-2.1468429431438139E-2</v>
      </c>
      <c r="BB317" s="166">
        <v>-2.1468429431438139E-2</v>
      </c>
      <c r="BC317" s="166">
        <v>-2.1468429431438139E-2</v>
      </c>
      <c r="BD317" s="166">
        <v>-2.1468429431438139E-2</v>
      </c>
      <c r="BE317" s="166">
        <v>-2.1468429431438139E-2</v>
      </c>
      <c r="BF317" s="166">
        <v>-2.1468429431438139E-2</v>
      </c>
      <c r="BG317" s="166">
        <v>-2.1468429431438139E-2</v>
      </c>
      <c r="BH317" s="166">
        <v>-2.1468429431438139E-2</v>
      </c>
      <c r="BI317" s="166">
        <v>-2.1468429431438139E-2</v>
      </c>
      <c r="BJ317" s="166">
        <v>-2.1468429431438139E-2</v>
      </c>
      <c r="BK317" s="166">
        <v>-2.1468429431438139E-2</v>
      </c>
      <c r="BL317" s="166">
        <v>-2.1468429431438139E-2</v>
      </c>
      <c r="BM317" s="166">
        <v>-2.1468429431438139E-2</v>
      </c>
      <c r="BN317" s="166">
        <v>-2.1468429431438139E-2</v>
      </c>
      <c r="BO317" s="166">
        <v>-2.1468429431438139E-2</v>
      </c>
      <c r="BP317" s="166">
        <v>-2.1468429431438139E-2</v>
      </c>
      <c r="BQ317" s="166">
        <v>-2.1468429431438139E-2</v>
      </c>
      <c r="BR317" s="166"/>
      <c r="BS317" s="166"/>
      <c r="BT317" s="166"/>
      <c r="BU317" s="166"/>
      <c r="BV317" s="166"/>
      <c r="BW317" s="166"/>
      <c r="BX317" s="166"/>
      <c r="BY317" s="166"/>
      <c r="BZ317" s="166"/>
      <c r="CA317" s="166"/>
      <c r="CB317" s="166"/>
      <c r="CC317" s="166"/>
      <c r="CD317" s="166"/>
      <c r="CE317" s="166"/>
      <c r="CF317" s="166"/>
      <c r="CG317" s="166"/>
      <c r="CH317" s="166"/>
      <c r="CI317" s="166"/>
      <c r="CJ317" s="166"/>
      <c r="CK317" s="166"/>
      <c r="CL317" s="166"/>
      <c r="CM317" s="167"/>
      <c r="CN317" s="167"/>
      <c r="CO317" s="167"/>
      <c r="CP317" s="167"/>
      <c r="CQ317" s="167"/>
      <c r="CR317" s="167"/>
      <c r="CS317" s="167"/>
      <c r="CT317" s="167">
        <v>0.12228552645253896</v>
      </c>
      <c r="CU317" s="167">
        <v>-3.0072306787307972E-2</v>
      </c>
      <c r="CV317" s="167">
        <v>-1.0455576641498534E-2</v>
      </c>
      <c r="CW317" s="167">
        <v>-1.5131575133717173E-3</v>
      </c>
      <c r="CX317" s="167">
        <v>1.7412615621397055E-2</v>
      </c>
      <c r="CY317" s="174">
        <v>5.4913985372458075E-3</v>
      </c>
      <c r="CZ317" s="166">
        <v>-2.0986401704387696E-2</v>
      </c>
      <c r="DA317" s="166">
        <v>-2.137124849541841E-2</v>
      </c>
      <c r="DB317" s="166">
        <v>-2.1468429431438139E-2</v>
      </c>
      <c r="DC317" s="166">
        <v>-2.1468429431438139E-2</v>
      </c>
      <c r="DD317" s="166">
        <v>-2.1468429431438143E-2</v>
      </c>
      <c r="DE317" s="166">
        <v>-2.1468429431438139E-2</v>
      </c>
      <c r="DF317" s="166">
        <v>-2.1468429431438136E-2</v>
      </c>
      <c r="DG317" s="166">
        <v>-2.1468429431438136E-2</v>
      </c>
      <c r="DH317" s="166">
        <v>-2.1468429431438136E-2</v>
      </c>
      <c r="DI317" s="166">
        <v>-2.1468429431438139E-2</v>
      </c>
    </row>
    <row r="318" spans="1:113" ht="12" outlineLevel="1">
      <c r="A318" s="1" t="s">
        <v>171</v>
      </c>
      <c r="B318" s="19" t="s">
        <v>276</v>
      </c>
      <c r="C318" s="601"/>
      <c r="D318" s="601"/>
      <c r="E318" s="601"/>
      <c r="F318" s="601"/>
      <c r="G318" s="601"/>
      <c r="H318" s="601"/>
      <c r="I318" s="601"/>
      <c r="J318" s="601"/>
      <c r="K318" s="601"/>
      <c r="L318" s="601"/>
      <c r="M318" s="601"/>
      <c r="N318" s="601"/>
      <c r="O318" s="601"/>
      <c r="P318" s="601"/>
      <c r="Q318" s="601"/>
      <c r="R318" s="601"/>
      <c r="S318" s="601"/>
      <c r="T318" s="601"/>
      <c r="U318" s="601"/>
      <c r="V318" s="601"/>
      <c r="W318" s="601"/>
      <c r="X318" s="601"/>
      <c r="Y318" s="416"/>
      <c r="Z318" s="416"/>
      <c r="AA318" s="416"/>
      <c r="AB318" s="416"/>
      <c r="AC318" s="416"/>
      <c r="AD318" s="416"/>
      <c r="AE318" s="416"/>
      <c r="AF318" s="416"/>
      <c r="AG318" s="416"/>
      <c r="AH318" s="416"/>
      <c r="AI318" s="416"/>
      <c r="AJ318" s="416"/>
      <c r="AK318" s="416"/>
      <c r="AL318" s="416"/>
      <c r="AM318" s="416"/>
      <c r="AN318" s="416"/>
      <c r="AO318" s="416"/>
      <c r="AP318" s="167">
        <v>6.7689393939393842E-4</v>
      </c>
      <c r="AQ318" s="167">
        <v>3.6350364963503521E-4</v>
      </c>
      <c r="AR318" s="167">
        <v>4.4586466165413526E-4</v>
      </c>
      <c r="AS318" s="167">
        <v>5.7041162790697634E-3</v>
      </c>
      <c r="AT318" s="167">
        <v>2.7344832061068712E-2</v>
      </c>
      <c r="AU318" s="167">
        <v>3.7218838461538457E-2</v>
      </c>
      <c r="AV318" s="167">
        <v>4.2656746153846153E-2</v>
      </c>
      <c r="AW318" s="174">
        <v>4.3675592307692294E-2</v>
      </c>
      <c r="AX318" s="166">
        <v>4.5999999999999999E-2</v>
      </c>
      <c r="AY318" s="166">
        <v>4.2250000000000003E-2</v>
      </c>
      <c r="AZ318" s="166">
        <v>3.6750000000000005E-2</v>
      </c>
      <c r="BA318" s="166">
        <v>3.5000000000000003E-2</v>
      </c>
      <c r="BB318" s="166">
        <v>3.5000000000000003E-2</v>
      </c>
      <c r="BC318" s="166">
        <v>3.5000000000000003E-2</v>
      </c>
      <c r="BD318" s="166">
        <v>3.5000000000000003E-2</v>
      </c>
      <c r="BE318" s="166">
        <v>3.5000000000000003E-2</v>
      </c>
      <c r="BF318" s="166">
        <v>3.5000000000000003E-2</v>
      </c>
      <c r="BG318" s="166">
        <v>3.5000000000000003E-2</v>
      </c>
      <c r="BH318" s="166">
        <v>3.5000000000000003E-2</v>
      </c>
      <c r="BI318" s="166">
        <v>3.5000000000000003E-2</v>
      </c>
      <c r="BJ318" s="166">
        <v>3.5000000000000003E-2</v>
      </c>
      <c r="BK318" s="166">
        <v>3.5000000000000003E-2</v>
      </c>
      <c r="BL318" s="166">
        <v>3.5000000000000003E-2</v>
      </c>
      <c r="BM318" s="166">
        <v>3.5000000000000003E-2</v>
      </c>
      <c r="BN318" s="166">
        <v>3.5000000000000003E-2</v>
      </c>
      <c r="BO318" s="166">
        <v>3.5000000000000003E-2</v>
      </c>
      <c r="BP318" s="166">
        <v>3.5000000000000003E-2</v>
      </c>
      <c r="BQ318" s="166">
        <v>3.5000000000000003E-2</v>
      </c>
      <c r="BR318" s="166"/>
      <c r="BS318" s="166"/>
      <c r="BT318" s="166"/>
      <c r="BU318" s="166"/>
      <c r="BV318" s="166"/>
      <c r="BW318" s="166"/>
      <c r="BX318" s="166"/>
      <c r="BY318" s="166"/>
      <c r="BZ318" s="166"/>
      <c r="CA318" s="166"/>
      <c r="CB318" s="166"/>
      <c r="CC318" s="166"/>
      <c r="CD318" s="166"/>
      <c r="CE318" s="166"/>
      <c r="CF318" s="166"/>
      <c r="CG318" s="166"/>
      <c r="CH318" s="166"/>
      <c r="CI318" s="166"/>
      <c r="CJ318" s="166"/>
      <c r="CK318" s="166"/>
      <c r="CL318" s="166"/>
      <c r="CM318" s="167"/>
      <c r="CN318" s="167"/>
      <c r="CO318" s="167"/>
      <c r="CP318" s="167"/>
      <c r="CQ318" s="167"/>
      <c r="CR318" s="167"/>
      <c r="CS318" s="167"/>
      <c r="CT318" s="167">
        <v>1.851884615384616E-2</v>
      </c>
      <c r="CU318" s="167">
        <v>7.0461832061068722E-3</v>
      </c>
      <c r="CV318" s="167">
        <v>4.53736802487883E-4</v>
      </c>
      <c r="CW318" s="167">
        <v>3.2976803712455732E-3</v>
      </c>
      <c r="CX318" s="167">
        <v>3.243110785068172E-2</v>
      </c>
      <c r="CY318" s="174">
        <v>4.3183001861762861E-2</v>
      </c>
      <c r="CZ318" s="166">
        <v>4.4125608752280783E-2</v>
      </c>
      <c r="DA318" s="166">
        <v>3.5867083818782584E-2</v>
      </c>
      <c r="DB318" s="166">
        <v>3.4999999999999989E-2</v>
      </c>
      <c r="DC318" s="166">
        <v>3.4999999999999989E-2</v>
      </c>
      <c r="DD318" s="166">
        <v>3.4999999999999969E-2</v>
      </c>
      <c r="DE318" s="166">
        <v>3.4999999999999955E-2</v>
      </c>
      <c r="DF318" s="166">
        <v>3.4999999999999927E-2</v>
      </c>
      <c r="DG318" s="166">
        <v>3.5000000000000003E-2</v>
      </c>
      <c r="DH318" s="166">
        <v>3.500000000000001E-2</v>
      </c>
      <c r="DI318" s="166">
        <v>3.5000000000000003E-2</v>
      </c>
    </row>
    <row r="319" spans="1:113" s="24" customFormat="1" ht="12" outlineLevel="1">
      <c r="A319" s="1" t="s">
        <v>172</v>
      </c>
      <c r="B319" s="24" t="s">
        <v>579</v>
      </c>
      <c r="C319" s="584"/>
      <c r="D319" s="584"/>
      <c r="E319" s="584"/>
      <c r="F319" s="584"/>
      <c r="G319" s="584"/>
      <c r="H319" s="584"/>
      <c r="I319" s="584"/>
      <c r="J319" s="584"/>
      <c r="K319" s="584"/>
      <c r="L319" s="584"/>
      <c r="M319" s="584"/>
      <c r="N319" s="584"/>
      <c r="O319" s="584"/>
      <c r="P319" s="584"/>
      <c r="Q319" s="584"/>
      <c r="R319" s="584"/>
      <c r="S319" s="584"/>
      <c r="T319" s="584"/>
      <c r="U319" s="584"/>
      <c r="V319" s="584"/>
      <c r="W319" s="584"/>
      <c r="X319" s="584"/>
      <c r="Y319" s="515"/>
      <c r="Z319" s="515"/>
      <c r="AA319" s="515"/>
      <c r="AB319" s="515"/>
      <c r="AC319" s="515"/>
      <c r="AD319" s="515"/>
      <c r="AE319" s="515"/>
      <c r="AF319" s="515"/>
      <c r="AG319" s="515"/>
      <c r="AH319" s="515"/>
      <c r="AI319" s="515"/>
      <c r="AJ319" s="515"/>
      <c r="AK319" s="515"/>
      <c r="AL319" s="515"/>
      <c r="AM319" s="515"/>
      <c r="AN319" s="515"/>
      <c r="AO319" s="515"/>
      <c r="AP319" s="514">
        <v>-1.2678035738624195E-2</v>
      </c>
      <c r="AQ319" s="514">
        <v>-8.3563783735204917E-3</v>
      </c>
      <c r="AR319" s="514">
        <v>-6.132915300686193E-3</v>
      </c>
      <c r="AS319" s="514">
        <v>-4.6859764243778208E-4</v>
      </c>
      <c r="AT319" s="514">
        <v>1.1717998372044982E-2</v>
      </c>
      <c r="AU319" s="514">
        <v>1.0447103641013346E-2</v>
      </c>
      <c r="AV319" s="514">
        <v>5.9985880633735E-3</v>
      </c>
      <c r="AW319" s="581">
        <v>7.4839542403504211E-4</v>
      </c>
      <c r="AX319" s="415">
        <v>-4.3955474425101939E-3</v>
      </c>
      <c r="AY319" s="415">
        <v>-4.7466276509219038E-3</v>
      </c>
      <c r="AZ319" s="415">
        <v>-5.4662191010828752E-3</v>
      </c>
      <c r="BA319" s="415">
        <v>-5.6926825626631974E-3</v>
      </c>
      <c r="BB319" s="415">
        <v>-5.530971558128958E-3</v>
      </c>
      <c r="BC319" s="415">
        <v>-5.6365913734246096E-3</v>
      </c>
      <c r="BD319" s="415">
        <v>-5.8772869171323057E-3</v>
      </c>
      <c r="BE319" s="415">
        <v>-5.9942302958997913E-3</v>
      </c>
      <c r="BF319" s="415">
        <v>-6.0637637021358753E-3</v>
      </c>
      <c r="BG319" s="415">
        <v>-6.0895400614964E-3</v>
      </c>
      <c r="BH319" s="415">
        <v>-6.0875701604862064E-3</v>
      </c>
      <c r="BI319" s="415">
        <v>-6.0550563350926633E-3</v>
      </c>
      <c r="BJ319" s="415">
        <v>-6.0258473247019589E-3</v>
      </c>
      <c r="BK319" s="415">
        <v>-5.9944087483162559E-3</v>
      </c>
      <c r="BL319" s="415">
        <v>-5.9662270001661867E-3</v>
      </c>
      <c r="BM319" s="415">
        <v>-5.9333411859122439E-3</v>
      </c>
      <c r="BN319" s="415">
        <v>-5.9026047807797704E-3</v>
      </c>
      <c r="BO319" s="415">
        <v>-5.8704159096224506E-3</v>
      </c>
      <c r="BP319" s="415">
        <v>-5.8421254980369208E-3</v>
      </c>
      <c r="BQ319" s="415">
        <v>-5.8107624540705135E-3</v>
      </c>
      <c r="BR319" s="415"/>
      <c r="BS319" s="415"/>
      <c r="BT319" s="415"/>
      <c r="BU319" s="415"/>
      <c r="BV319" s="415"/>
      <c r="BW319" s="415"/>
      <c r="BX319" s="415"/>
      <c r="BY319" s="415"/>
      <c r="BZ319" s="415"/>
      <c r="CA319" s="415"/>
      <c r="CB319" s="415"/>
      <c r="CC319" s="415"/>
      <c r="CD319" s="415"/>
      <c r="CE319" s="415"/>
      <c r="CF319" s="415"/>
      <c r="CG319" s="415"/>
      <c r="CH319" s="415"/>
      <c r="CI319" s="415"/>
      <c r="CJ319" s="415"/>
      <c r="CK319" s="415"/>
      <c r="CL319" s="415"/>
      <c r="CM319" s="514"/>
      <c r="CN319" s="514"/>
      <c r="CO319" s="514"/>
      <c r="CP319" s="514"/>
      <c r="CQ319" s="514"/>
      <c r="CR319" s="514"/>
      <c r="CS319" s="514"/>
      <c r="CT319" s="514">
        <v>-1.4862505827505822E-2</v>
      </c>
      <c r="CU319" s="514">
        <v>-1.0589592655962096E-2</v>
      </c>
      <c r="CV319" s="514">
        <v>-9.9079974755037249E-3</v>
      </c>
      <c r="CW319" s="514">
        <v>-3.1533325148626777E-3</v>
      </c>
      <c r="CX319" s="514">
        <v>1.1062539162734489E-2</v>
      </c>
      <c r="CY319" s="581">
        <v>3.3351483170141498E-3</v>
      </c>
      <c r="CZ319" s="415">
        <v>-4.5759775621758763E-3</v>
      </c>
      <c r="DA319" s="415">
        <v>-5.5829944340521987E-3</v>
      </c>
      <c r="DB319" s="415">
        <v>-5.5845522604439628E-3</v>
      </c>
      <c r="DC319" s="415">
        <v>-5.9367731597774857E-3</v>
      </c>
      <c r="DD319" s="415">
        <v>-6.0767470240644279E-3</v>
      </c>
      <c r="DE319" s="415">
        <v>-6.0712723829886312E-3</v>
      </c>
      <c r="DF319" s="415">
        <v>-6.0100885001329336E-3</v>
      </c>
      <c r="DG319" s="415">
        <v>-5.9496974160850973E-3</v>
      </c>
      <c r="DH319" s="415">
        <v>-5.8864698186256474E-3</v>
      </c>
      <c r="DI319" s="415">
        <v>-5.8264044667034253E-3</v>
      </c>
    </row>
    <row r="320" spans="1:113" ht="12" outlineLevel="1">
      <c r="C320" s="601"/>
      <c r="D320" s="601"/>
      <c r="E320" s="601"/>
      <c r="F320" s="601"/>
      <c r="G320" s="601"/>
      <c r="H320" s="601"/>
      <c r="I320" s="601"/>
      <c r="J320" s="601"/>
      <c r="K320" s="601"/>
      <c r="L320" s="601"/>
      <c r="M320" s="601"/>
      <c r="N320" s="601"/>
      <c r="O320" s="601"/>
      <c r="P320" s="601"/>
      <c r="Q320" s="601"/>
      <c r="R320" s="601"/>
      <c r="S320" s="601"/>
      <c r="T320" s="601"/>
      <c r="U320" s="601"/>
      <c r="V320" s="601"/>
      <c r="W320" s="601"/>
      <c r="X320" s="601"/>
      <c r="Y320" s="416"/>
      <c r="Z320" s="416"/>
      <c r="AA320" s="416"/>
      <c r="AB320" s="416"/>
      <c r="AC320" s="416"/>
      <c r="AD320" s="416"/>
      <c r="AE320" s="416"/>
      <c r="AF320" s="416"/>
      <c r="AG320" s="416"/>
      <c r="AH320" s="416"/>
      <c r="AI320" s="416"/>
      <c r="AJ320" s="416"/>
      <c r="AK320" s="416"/>
      <c r="AL320" s="416"/>
      <c r="AM320" s="416"/>
      <c r="AN320" s="416"/>
      <c r="AO320" s="416"/>
      <c r="AP320" s="167"/>
      <c r="AQ320" s="167"/>
      <c r="AR320" s="167"/>
      <c r="AS320" s="167"/>
      <c r="AT320" s="167"/>
      <c r="AU320" s="167"/>
      <c r="AV320" s="167"/>
      <c r="AW320" s="174"/>
      <c r="AX320" s="166"/>
      <c r="AY320" s="166"/>
      <c r="AZ320" s="166"/>
      <c r="BA320" s="166"/>
      <c r="BB320" s="166"/>
      <c r="BC320" s="166"/>
      <c r="BD320" s="166"/>
      <c r="BE320" s="166"/>
      <c r="BF320" s="166"/>
      <c r="BG320" s="166"/>
      <c r="BH320" s="166"/>
      <c r="BI320" s="166"/>
      <c r="BJ320" s="166"/>
      <c r="BK320" s="166"/>
      <c r="BL320" s="166"/>
      <c r="BM320" s="166"/>
      <c r="BN320" s="166"/>
      <c r="BO320" s="166"/>
      <c r="BP320" s="166"/>
      <c r="BQ320" s="166"/>
      <c r="BR320" s="166"/>
      <c r="BS320" s="166"/>
      <c r="BT320" s="166"/>
      <c r="BU320" s="166"/>
      <c r="BV320" s="166"/>
      <c r="BW320" s="166"/>
      <c r="BX320" s="166"/>
      <c r="BY320" s="166"/>
      <c r="BZ320" s="166"/>
      <c r="CA320" s="166"/>
      <c r="CB320" s="166"/>
      <c r="CC320" s="166"/>
      <c r="CD320" s="166"/>
      <c r="CE320" s="166"/>
      <c r="CF320" s="166"/>
      <c r="CG320" s="166"/>
      <c r="CH320" s="166"/>
      <c r="CI320" s="166"/>
      <c r="CJ320" s="166"/>
      <c r="CK320" s="166"/>
      <c r="CL320" s="166"/>
      <c r="CM320" s="167"/>
      <c r="CN320" s="167"/>
      <c r="CO320" s="167"/>
      <c r="CP320" s="167"/>
      <c r="CQ320" s="167"/>
      <c r="CR320" s="167"/>
      <c r="CS320" s="167"/>
      <c r="CT320" s="167"/>
      <c r="CU320" s="167"/>
      <c r="CV320" s="167"/>
      <c r="CW320" s="167"/>
      <c r="CX320" s="167"/>
      <c r="CY320" s="174"/>
      <c r="CZ320" s="166"/>
      <c r="DA320" s="166"/>
      <c r="DG320" s="21"/>
      <c r="DH320" s="21"/>
      <c r="DI320" s="21"/>
    </row>
    <row r="321" spans="1:113" ht="12" outlineLevel="1">
      <c r="A321" s="1" t="s">
        <v>925</v>
      </c>
      <c r="B321" s="19" t="s">
        <v>582</v>
      </c>
      <c r="C321" s="601"/>
      <c r="D321" s="601"/>
      <c r="E321" s="601"/>
      <c r="F321" s="601"/>
      <c r="G321" s="601"/>
      <c r="H321" s="601"/>
      <c r="I321" s="601"/>
      <c r="J321" s="601"/>
      <c r="K321" s="601"/>
      <c r="L321" s="601"/>
      <c r="M321" s="601"/>
      <c r="N321" s="601"/>
      <c r="O321" s="601"/>
      <c r="P321" s="601"/>
      <c r="Q321" s="601"/>
      <c r="R321" s="601"/>
      <c r="S321" s="601"/>
      <c r="T321" s="601"/>
      <c r="U321" s="601"/>
      <c r="V321" s="601"/>
      <c r="W321" s="601"/>
      <c r="X321" s="601"/>
      <c r="Y321" s="416"/>
      <c r="Z321" s="416"/>
      <c r="AA321" s="416"/>
      <c r="AB321" s="416"/>
      <c r="AC321" s="416"/>
      <c r="AD321" s="416"/>
      <c r="AE321" s="416"/>
      <c r="AF321" s="416"/>
      <c r="AG321" s="416"/>
      <c r="AH321" s="416"/>
      <c r="AI321" s="416"/>
      <c r="AJ321" s="416"/>
      <c r="AK321" s="416"/>
      <c r="AL321" s="416"/>
      <c r="AM321" s="416"/>
      <c r="AN321" s="416"/>
      <c r="AO321" s="416"/>
      <c r="AP321" s="167">
        <v>3.6156029128292994E-2</v>
      </c>
      <c r="AQ321" s="167">
        <v>2.8889702590734895E-2</v>
      </c>
      <c r="AR321" s="167">
        <v>2.5541145736144806E-2</v>
      </c>
      <c r="AS321" s="167">
        <v>2.8519794772679592E-2</v>
      </c>
      <c r="AT321" s="167">
        <v>4.7951375456928139E-2</v>
      </c>
      <c r="AU321" s="167">
        <v>6.0209233114631576E-2</v>
      </c>
      <c r="AV321" s="167">
        <v>6.6850868889039156E-2</v>
      </c>
      <c r="AW321" s="174">
        <v>7.1435756456931884E-2</v>
      </c>
      <c r="AX321" s="166">
        <v>7.8243080263896786E-2</v>
      </c>
      <c r="AY321" s="166">
        <v>7.6531997831913695E-2</v>
      </c>
      <c r="AZ321" s="166">
        <v>7.2027777777777788E-2</v>
      </c>
      <c r="BA321" s="166">
        <v>7.0972222222222228E-2</v>
      </c>
      <c r="BB321" s="166">
        <v>7.166666666666667E-2</v>
      </c>
      <c r="BC321" s="166">
        <v>7.166666666666667E-2</v>
      </c>
      <c r="BD321" s="166">
        <v>7.1666666666666656E-2</v>
      </c>
      <c r="BE321" s="166">
        <v>7.1666666666666656E-2</v>
      </c>
      <c r="BF321" s="166">
        <v>7.166666666666667E-2</v>
      </c>
      <c r="BG321" s="166">
        <v>7.1666666666666656E-2</v>
      </c>
      <c r="BH321" s="166">
        <v>7.166666666666667E-2</v>
      </c>
      <c r="BI321" s="166">
        <v>7.1666666666666656E-2</v>
      </c>
      <c r="BJ321" s="166">
        <v>7.1666666666666656E-2</v>
      </c>
      <c r="BK321" s="166">
        <v>7.1666666666666656E-2</v>
      </c>
      <c r="BL321" s="166">
        <v>7.1666666666666656E-2</v>
      </c>
      <c r="BM321" s="166">
        <v>7.166666666666667E-2</v>
      </c>
      <c r="BN321" s="166">
        <v>7.1666666666666656E-2</v>
      </c>
      <c r="BO321" s="166">
        <v>7.1666666666666656E-2</v>
      </c>
      <c r="BP321" s="166">
        <v>7.166666666666667E-2</v>
      </c>
      <c r="BQ321" s="166">
        <v>7.1666666666666656E-2</v>
      </c>
      <c r="BR321" s="166"/>
      <c r="BS321" s="166"/>
      <c r="BT321" s="166"/>
      <c r="BU321" s="166"/>
      <c r="BV321" s="166"/>
      <c r="BW321" s="166"/>
      <c r="BX321" s="166"/>
      <c r="BY321" s="166"/>
      <c r="BZ321" s="166"/>
      <c r="CA321" s="166"/>
      <c r="CB321" s="166"/>
      <c r="CC321" s="166"/>
      <c r="CD321" s="166"/>
      <c r="CE321" s="166"/>
      <c r="CF321" s="166"/>
      <c r="CG321" s="166"/>
      <c r="CH321" s="166"/>
      <c r="CI321" s="166"/>
      <c r="CJ321" s="166"/>
      <c r="CK321" s="166"/>
      <c r="CL321" s="166"/>
      <c r="CM321" s="167"/>
      <c r="CN321" s="167"/>
      <c r="CO321" s="167"/>
      <c r="CP321" s="167"/>
      <c r="CQ321" s="167"/>
      <c r="CR321" s="167"/>
      <c r="CS321" s="167"/>
      <c r="CT321" s="167">
        <v>3.8681351981351982E-2</v>
      </c>
      <c r="CU321" s="167">
        <v>3.7635775862068968E-2</v>
      </c>
      <c r="CV321" s="167">
        <v>3.1308685195195377E-2</v>
      </c>
      <c r="CW321" s="167">
        <v>2.7211497052876805E-2</v>
      </c>
      <c r="CX321" s="167">
        <v>5.4300828280557364E-2</v>
      </c>
      <c r="CY321" s="174">
        <v>6.9246177992578109E-2</v>
      </c>
      <c r="CZ321" s="166">
        <v>7.7416546833199096E-2</v>
      </c>
      <c r="DA321" s="166">
        <v>7.1502950184727299E-2</v>
      </c>
      <c r="DB321" s="166">
        <v>7.1666666666666656E-2</v>
      </c>
      <c r="DC321" s="166">
        <v>7.1666666666666656E-2</v>
      </c>
      <c r="DD321" s="166">
        <v>7.1666666666666629E-2</v>
      </c>
      <c r="DE321" s="166">
        <v>7.1666666666666629E-2</v>
      </c>
      <c r="DF321" s="166">
        <v>7.1666666666666573E-2</v>
      </c>
      <c r="DG321" s="166">
        <v>7.1666666666666656E-2</v>
      </c>
      <c r="DH321" s="166">
        <v>7.166666666666667E-2</v>
      </c>
      <c r="DI321" s="166">
        <v>7.1666666666666656E-2</v>
      </c>
    </row>
    <row r="322" spans="1:113" ht="12" outlineLevel="1">
      <c r="A322" s="1" t="s">
        <v>926</v>
      </c>
      <c r="B322" s="19" t="s">
        <v>481</v>
      </c>
      <c r="C322" s="601"/>
      <c r="D322" s="601"/>
      <c r="E322" s="601"/>
      <c r="F322" s="601"/>
      <c r="G322" s="601"/>
      <c r="H322" s="601"/>
      <c r="I322" s="601"/>
      <c r="J322" s="601"/>
      <c r="K322" s="601"/>
      <c r="L322" s="601"/>
      <c r="M322" s="601"/>
      <c r="N322" s="601"/>
      <c r="O322" s="601"/>
      <c r="P322" s="601"/>
      <c r="Q322" s="601"/>
      <c r="R322" s="601"/>
      <c r="S322" s="601"/>
      <c r="T322" s="601"/>
      <c r="U322" s="601"/>
      <c r="V322" s="601"/>
      <c r="W322" s="601"/>
      <c r="X322" s="601"/>
      <c r="Y322" s="416"/>
      <c r="Z322" s="416"/>
      <c r="AA322" s="416"/>
      <c r="AB322" s="416"/>
      <c r="AC322" s="416"/>
      <c r="AD322" s="416"/>
      <c r="AE322" s="416"/>
      <c r="AF322" s="416"/>
      <c r="AG322" s="416"/>
      <c r="AH322" s="416"/>
      <c r="AI322" s="416"/>
      <c r="AJ322" s="416"/>
      <c r="AK322" s="416"/>
      <c r="AL322" s="416"/>
      <c r="AM322" s="416"/>
      <c r="AN322" s="416"/>
      <c r="AO322" s="416"/>
      <c r="AP322" s="167">
        <v>-1.3354929678018134E-2</v>
      </c>
      <c r="AQ322" s="167">
        <v>-8.7198820231555261E-3</v>
      </c>
      <c r="AR322" s="167">
        <v>-6.578779962340328E-3</v>
      </c>
      <c r="AS322" s="167">
        <v>-6.1727139215075454E-3</v>
      </c>
      <c r="AT322" s="167">
        <v>-1.562683368902373E-2</v>
      </c>
      <c r="AU322" s="167">
        <v>-2.6771734820525112E-2</v>
      </c>
      <c r="AV322" s="167">
        <v>-3.6658158090472653E-2</v>
      </c>
      <c r="AW322" s="174">
        <v>-4.2927196883657252E-2</v>
      </c>
      <c r="AX322" s="166">
        <v>-5.0395547442510194E-2</v>
      </c>
      <c r="AY322" s="166">
        <v>-4.6996627650921906E-2</v>
      </c>
      <c r="AZ322" s="166">
        <v>-4.2216219101082877E-2</v>
      </c>
      <c r="BA322" s="166">
        <v>-4.0692682562663202E-2</v>
      </c>
      <c r="BB322" s="166">
        <v>-4.0530971558128959E-2</v>
      </c>
      <c r="BC322" s="166">
        <v>-4.063659137342461E-2</v>
      </c>
      <c r="BD322" s="166">
        <v>-4.0877286917132306E-2</v>
      </c>
      <c r="BE322" s="166">
        <v>-4.0994230295899797E-2</v>
      </c>
      <c r="BF322" s="166">
        <v>-4.106376370213588E-2</v>
      </c>
      <c r="BG322" s="166">
        <v>-4.1089540061496406E-2</v>
      </c>
      <c r="BH322" s="166">
        <v>-4.1087570160486211E-2</v>
      </c>
      <c r="BI322" s="166">
        <v>-4.1055056335092668E-2</v>
      </c>
      <c r="BJ322" s="166">
        <v>-4.1025847324701964E-2</v>
      </c>
      <c r="BK322" s="166">
        <v>-4.0994408748316259E-2</v>
      </c>
      <c r="BL322" s="166">
        <v>-4.0966227000166187E-2</v>
      </c>
      <c r="BM322" s="166">
        <v>-4.0933341185912249E-2</v>
      </c>
      <c r="BN322" s="166">
        <v>-4.0902604780779776E-2</v>
      </c>
      <c r="BO322" s="166">
        <v>-4.0870415909622454E-2</v>
      </c>
      <c r="BP322" s="166">
        <v>-4.0842125498036924E-2</v>
      </c>
      <c r="BQ322" s="166">
        <v>-4.0810762454070518E-2</v>
      </c>
      <c r="BR322" s="166"/>
      <c r="BS322" s="166"/>
      <c r="BT322" s="166"/>
      <c r="BU322" s="166"/>
      <c r="BV322" s="166"/>
      <c r="BW322" s="166"/>
      <c r="BX322" s="166"/>
      <c r="BY322" s="166"/>
      <c r="BZ322" s="166"/>
      <c r="CA322" s="166"/>
      <c r="CB322" s="166"/>
      <c r="CC322" s="166"/>
      <c r="CD322" s="166"/>
      <c r="CE322" s="166"/>
      <c r="CF322" s="166"/>
      <c r="CG322" s="166"/>
      <c r="CH322" s="166"/>
      <c r="CI322" s="166"/>
      <c r="CJ322" s="166"/>
      <c r="CK322" s="166"/>
      <c r="CL322" s="166"/>
      <c r="CM322" s="167"/>
      <c r="CN322" s="167"/>
      <c r="CO322" s="167"/>
      <c r="CP322" s="167"/>
      <c r="CQ322" s="167"/>
      <c r="CR322" s="167"/>
      <c r="CS322" s="167"/>
      <c r="CT322" s="167">
        <v>-3.3381351981351982E-2</v>
      </c>
      <c r="CU322" s="167">
        <v>-1.7635775862068968E-2</v>
      </c>
      <c r="CV322" s="167">
        <v>-1.0361734277991608E-2</v>
      </c>
      <c r="CW322" s="167">
        <v>-6.4510128861082509E-3</v>
      </c>
      <c r="CX322" s="167">
        <v>-2.1368568687947231E-2</v>
      </c>
      <c r="CY322" s="174">
        <v>-3.9847853544748714E-2</v>
      </c>
      <c r="CZ322" s="166">
        <v>-4.870158631445666E-2</v>
      </c>
      <c r="DA322" s="166">
        <v>-4.1450078252834782E-2</v>
      </c>
      <c r="DB322" s="166">
        <v>-4.0584552260443954E-2</v>
      </c>
      <c r="DC322" s="166">
        <v>-4.0936773159777479E-2</v>
      </c>
      <c r="DD322" s="166">
        <v>-4.10767470240644E-2</v>
      </c>
      <c r="DE322" s="166">
        <v>-4.1071272382988584E-2</v>
      </c>
      <c r="DF322" s="166">
        <v>-4.1010088500132859E-2</v>
      </c>
      <c r="DG322" s="166">
        <v>-4.0949697416085104E-2</v>
      </c>
      <c r="DH322" s="166">
        <v>-4.0886469818625655E-2</v>
      </c>
      <c r="DI322" s="166">
        <v>-4.082640446670343E-2</v>
      </c>
    </row>
    <row r="323" spans="1:113" s="24" customFormat="1" ht="12" outlineLevel="1">
      <c r="A323" s="1" t="s">
        <v>927</v>
      </c>
      <c r="B323" s="24" t="s">
        <v>482</v>
      </c>
      <c r="C323" s="584"/>
      <c r="D323" s="584"/>
      <c r="E323" s="584"/>
      <c r="F323" s="584"/>
      <c r="G323" s="584"/>
      <c r="H323" s="584"/>
      <c r="I323" s="584"/>
      <c r="J323" s="584"/>
      <c r="K323" s="584"/>
      <c r="L323" s="584"/>
      <c r="M323" s="584"/>
      <c r="N323" s="584"/>
      <c r="O323" s="584"/>
      <c r="P323" s="584"/>
      <c r="Q323" s="584"/>
      <c r="R323" s="584"/>
      <c r="S323" s="584"/>
      <c r="T323" s="584"/>
      <c r="U323" s="584"/>
      <c r="V323" s="584"/>
      <c r="W323" s="584"/>
      <c r="X323" s="584"/>
      <c r="Y323" s="515"/>
      <c r="Z323" s="515"/>
      <c r="AA323" s="515"/>
      <c r="AB323" s="515"/>
      <c r="AC323" s="515"/>
      <c r="AD323" s="515"/>
      <c r="AE323" s="515"/>
      <c r="AF323" s="515"/>
      <c r="AG323" s="515"/>
      <c r="AH323" s="515"/>
      <c r="AI323" s="515"/>
      <c r="AJ323" s="515"/>
      <c r="AK323" s="515"/>
      <c r="AL323" s="515"/>
      <c r="AM323" s="515"/>
      <c r="AN323" s="515"/>
      <c r="AO323" s="515"/>
      <c r="AP323" s="514">
        <v>2.2801099450274857E-2</v>
      </c>
      <c r="AQ323" s="514">
        <v>2.016982056757937E-2</v>
      </c>
      <c r="AR323" s="514">
        <v>1.8962365773804477E-2</v>
      </c>
      <c r="AS323" s="514">
        <v>2.2347080851172048E-2</v>
      </c>
      <c r="AT323" s="514">
        <v>3.2324541767904405E-2</v>
      </c>
      <c r="AU323" s="514">
        <v>3.3437498294106464E-2</v>
      </c>
      <c r="AV323" s="514">
        <v>3.0192710798566502E-2</v>
      </c>
      <c r="AW323" s="581">
        <v>2.8508559573274632E-2</v>
      </c>
      <c r="AX323" s="415">
        <v>2.7847532821386592E-2</v>
      </c>
      <c r="AY323" s="415">
        <v>2.9535370180991789E-2</v>
      </c>
      <c r="AZ323" s="415">
        <v>2.981155867669491E-2</v>
      </c>
      <c r="BA323" s="415">
        <v>3.0279539659559027E-2</v>
      </c>
      <c r="BB323" s="415">
        <v>3.1135695108537711E-2</v>
      </c>
      <c r="BC323" s="415">
        <v>3.103007529324206E-2</v>
      </c>
      <c r="BD323" s="415">
        <v>3.078937974953435E-2</v>
      </c>
      <c r="BE323" s="415">
        <v>3.0672436370766859E-2</v>
      </c>
      <c r="BF323" s="415">
        <v>3.060290296453079E-2</v>
      </c>
      <c r="BG323" s="415">
        <v>3.057712660517025E-2</v>
      </c>
      <c r="BH323" s="415">
        <v>3.0579096506180459E-2</v>
      </c>
      <c r="BI323" s="415">
        <v>3.0611610331573988E-2</v>
      </c>
      <c r="BJ323" s="415">
        <v>3.0640819341964692E-2</v>
      </c>
      <c r="BK323" s="415">
        <v>3.0672257918350397E-2</v>
      </c>
      <c r="BL323" s="415">
        <v>3.0700439666500469E-2</v>
      </c>
      <c r="BM323" s="415">
        <v>3.0733325480754421E-2</v>
      </c>
      <c r="BN323" s="415">
        <v>3.076406188588688E-2</v>
      </c>
      <c r="BO323" s="415">
        <v>3.0796250757044202E-2</v>
      </c>
      <c r="BP323" s="415">
        <v>3.0824541168629746E-2</v>
      </c>
      <c r="BQ323" s="415">
        <v>3.0855904212596139E-2</v>
      </c>
      <c r="BR323" s="415"/>
      <c r="BS323" s="415"/>
      <c r="BT323" s="415"/>
      <c r="BU323" s="415"/>
      <c r="BV323" s="415"/>
      <c r="BW323" s="415"/>
      <c r="BX323" s="415"/>
      <c r="BY323" s="415"/>
      <c r="BZ323" s="415"/>
      <c r="CA323" s="415"/>
      <c r="CB323" s="415"/>
      <c r="CC323" s="415"/>
      <c r="CD323" s="415"/>
      <c r="CE323" s="415"/>
      <c r="CF323" s="415"/>
      <c r="CG323" s="415"/>
      <c r="CH323" s="415"/>
      <c r="CI323" s="415"/>
      <c r="CJ323" s="415"/>
      <c r="CK323" s="415"/>
      <c r="CL323" s="415"/>
      <c r="CM323" s="514"/>
      <c r="CN323" s="514"/>
      <c r="CO323" s="514"/>
      <c r="CP323" s="514"/>
      <c r="CQ323" s="514"/>
      <c r="CR323" s="514"/>
      <c r="CS323" s="514"/>
      <c r="CT323" s="514">
        <v>5.2999999999999992E-3</v>
      </c>
      <c r="CU323" s="514">
        <v>0.02</v>
      </c>
      <c r="CV323" s="514">
        <v>2.094695091720377E-2</v>
      </c>
      <c r="CW323" s="514">
        <v>2.0760484166768553E-2</v>
      </c>
      <c r="CX323" s="514">
        <v>3.2932259592610133E-2</v>
      </c>
      <c r="CY323" s="581">
        <v>2.9398324447829395E-2</v>
      </c>
      <c r="CZ323" s="415">
        <v>2.8714960518742436E-2</v>
      </c>
      <c r="DA323" s="415">
        <v>3.0052871931892516E-2</v>
      </c>
      <c r="DB323" s="415">
        <v>3.1082114406222702E-2</v>
      </c>
      <c r="DC323" s="415">
        <v>3.0729893506889178E-2</v>
      </c>
      <c r="DD323" s="415">
        <v>3.0589919642602229E-2</v>
      </c>
      <c r="DE323" s="415">
        <v>3.0595394283678044E-2</v>
      </c>
      <c r="DF323" s="415">
        <v>3.0656578166533714E-2</v>
      </c>
      <c r="DG323" s="415">
        <v>3.0716969250581552E-2</v>
      </c>
      <c r="DH323" s="415">
        <v>3.0780196848041015E-2</v>
      </c>
      <c r="DI323" s="415">
        <v>3.0840262199963227E-2</v>
      </c>
    </row>
    <row r="324" spans="1:113" ht="12" outlineLevel="1">
      <c r="DG324" s="21"/>
      <c r="DH324" s="21"/>
      <c r="DI324" s="21"/>
    </row>
    <row r="325" spans="1:113" s="5" customFormat="1" ht="12.95" customHeight="1" outlineLevel="1">
      <c r="A325" s="60"/>
      <c r="B325" s="6" t="s">
        <v>483</v>
      </c>
      <c r="C325" s="584"/>
      <c r="D325" s="584"/>
      <c r="E325" s="584"/>
      <c r="F325" s="584"/>
      <c r="G325" s="584"/>
      <c r="H325" s="584"/>
      <c r="I325" s="584"/>
      <c r="J325" s="584"/>
      <c r="K325" s="584"/>
      <c r="L325" s="584"/>
      <c r="M325" s="584"/>
      <c r="N325" s="584"/>
      <c r="O325" s="584"/>
      <c r="P325" s="584"/>
      <c r="Q325" s="584"/>
      <c r="R325" s="584"/>
      <c r="S325" s="584"/>
      <c r="T325" s="584"/>
      <c r="U325" s="584"/>
      <c r="V325" s="584"/>
      <c r="W325" s="584"/>
      <c r="X325" s="584"/>
      <c r="Y325" s="515"/>
      <c r="Z325" s="515"/>
      <c r="AA325" s="515"/>
      <c r="AB325" s="515"/>
      <c r="AC325" s="515"/>
      <c r="AD325" s="515"/>
      <c r="AE325" s="515"/>
      <c r="AF325" s="515"/>
      <c r="AG325" s="515"/>
      <c r="AH325" s="515"/>
      <c r="AI325" s="515"/>
      <c r="AJ325" s="515"/>
      <c r="AK325" s="515"/>
      <c r="AL325" s="515"/>
      <c r="AM325" s="515"/>
      <c r="AN325" s="515"/>
      <c r="AO325" s="515"/>
      <c r="AP325" s="516" t="s">
        <v>797</v>
      </c>
      <c r="AQ325" s="516" t="s">
        <v>797</v>
      </c>
      <c r="AR325" s="516" t="s">
        <v>797</v>
      </c>
      <c r="AS325" s="516" t="s">
        <v>797</v>
      </c>
      <c r="AT325" s="516" t="s">
        <v>797</v>
      </c>
      <c r="AU325" s="516" t="s">
        <v>797</v>
      </c>
      <c r="AV325" s="516" t="s">
        <v>797</v>
      </c>
      <c r="AW325" s="583" t="s">
        <v>797</v>
      </c>
      <c r="AX325" s="418" t="s">
        <v>797</v>
      </c>
      <c r="AY325" s="418" t="s">
        <v>797</v>
      </c>
      <c r="AZ325" s="418" t="s">
        <v>797</v>
      </c>
      <c r="BA325" s="418" t="s">
        <v>797</v>
      </c>
      <c r="BB325" s="418" t="s">
        <v>797</v>
      </c>
      <c r="BC325" s="418" t="s">
        <v>797</v>
      </c>
      <c r="BD325" s="418" t="s">
        <v>797</v>
      </c>
      <c r="BE325" s="418" t="s">
        <v>797</v>
      </c>
      <c r="BF325" s="418" t="s">
        <v>797</v>
      </c>
      <c r="BG325" s="418" t="s">
        <v>797</v>
      </c>
      <c r="BH325" s="418" t="s">
        <v>797</v>
      </c>
      <c r="BI325" s="418" t="s">
        <v>797</v>
      </c>
      <c r="BJ325" s="418" t="s">
        <v>797</v>
      </c>
      <c r="BK325" s="418" t="s">
        <v>797</v>
      </c>
      <c r="BL325" s="418" t="s">
        <v>797</v>
      </c>
      <c r="BM325" s="418" t="s">
        <v>797</v>
      </c>
      <c r="BN325" s="418" t="s">
        <v>797</v>
      </c>
      <c r="BO325" s="418" t="s">
        <v>797</v>
      </c>
      <c r="BP325" s="418" t="s">
        <v>797</v>
      </c>
      <c r="BQ325" s="418" t="s">
        <v>797</v>
      </c>
      <c r="BR325" s="584"/>
      <c r="BS325" s="418"/>
      <c r="BT325" s="418"/>
      <c r="BU325" s="418"/>
      <c r="BV325" s="418"/>
      <c r="BW325" s="418"/>
      <c r="BX325" s="418"/>
      <c r="BY325" s="418"/>
      <c r="BZ325" s="418"/>
      <c r="CA325" s="418"/>
      <c r="CB325" s="418"/>
      <c r="CC325" s="418"/>
      <c r="CD325" s="418"/>
      <c r="CE325" s="418"/>
      <c r="CF325" s="418"/>
      <c r="CG325" s="418"/>
      <c r="CH325" s="418"/>
      <c r="CI325" s="418"/>
      <c r="CJ325" s="418"/>
      <c r="CK325" s="418"/>
      <c r="CL325" s="418"/>
      <c r="CM325" s="516"/>
      <c r="CN325" s="516"/>
      <c r="CO325" s="516"/>
      <c r="CP325" s="516"/>
      <c r="CQ325" s="516"/>
      <c r="CR325" s="516"/>
      <c r="CS325" s="516"/>
      <c r="CT325" s="516" t="s">
        <v>797</v>
      </c>
      <c r="CU325" s="516" t="s">
        <v>797</v>
      </c>
      <c r="CV325" s="516" t="s">
        <v>797</v>
      </c>
      <c r="CW325" s="516" t="s">
        <v>797</v>
      </c>
      <c r="CX325" s="516" t="s">
        <v>797</v>
      </c>
      <c r="CY325" s="583" t="s">
        <v>797</v>
      </c>
      <c r="CZ325" s="418" t="s">
        <v>797</v>
      </c>
      <c r="DA325" s="418" t="s">
        <v>797</v>
      </c>
      <c r="DB325" s="418" t="s">
        <v>797</v>
      </c>
      <c r="DC325" s="418" t="s">
        <v>797</v>
      </c>
      <c r="DD325" s="418" t="s">
        <v>797</v>
      </c>
      <c r="DE325" s="418" t="s">
        <v>797</v>
      </c>
      <c r="DF325" s="418" t="s">
        <v>797</v>
      </c>
      <c r="DG325" s="418" t="s">
        <v>797</v>
      </c>
      <c r="DH325" s="418" t="s">
        <v>797</v>
      </c>
      <c r="DI325" s="418" t="s">
        <v>797</v>
      </c>
    </row>
    <row r="326" spans="1:113" ht="12">
      <c r="H326" s="601"/>
      <c r="AP326" s="44"/>
      <c r="AQ326" s="44"/>
      <c r="AR326" s="44"/>
      <c r="AS326" s="44"/>
      <c r="AT326" s="44"/>
      <c r="AU326" s="44"/>
      <c r="AV326" s="44"/>
      <c r="AW326" s="45"/>
      <c r="CT326" s="44"/>
      <c r="CU326" s="44"/>
      <c r="CV326" s="44"/>
      <c r="CW326" s="44"/>
      <c r="CX326" s="44"/>
      <c r="CY326" s="45"/>
      <c r="DC326" s="19"/>
      <c r="DD326" s="19"/>
      <c r="DE326" s="19"/>
      <c r="DF326" s="19"/>
      <c r="DG326" s="19"/>
      <c r="DH326" s="19"/>
      <c r="DI326" s="19"/>
    </row>
    <row r="327" spans="1:113" s="36" customFormat="1" ht="12" collapsed="1">
      <c r="A327" s="1" t="s">
        <v>239</v>
      </c>
      <c r="B327" s="2" t="s">
        <v>484</v>
      </c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  <c r="AJ327" s="55"/>
      <c r="AK327" s="55"/>
      <c r="AL327" s="55"/>
      <c r="AM327" s="55"/>
      <c r="AN327" s="55"/>
      <c r="AO327" s="55"/>
      <c r="AP327" s="527">
        <v>35</v>
      </c>
      <c r="AQ327" s="527">
        <v>49.5</v>
      </c>
      <c r="AR327" s="527">
        <v>73.5</v>
      </c>
      <c r="AS327" s="527">
        <v>96.3</v>
      </c>
      <c r="AT327" s="527">
        <v>163</v>
      </c>
      <c r="AU327" s="527">
        <v>184.6</v>
      </c>
      <c r="AV327" s="527">
        <v>195.2</v>
      </c>
      <c r="AW327" s="528">
        <v>190.8</v>
      </c>
      <c r="AX327" s="527">
        <v>189.72504186748534</v>
      </c>
      <c r="AY327" s="527">
        <v>212.75651604226863</v>
      </c>
      <c r="AZ327" s="527">
        <v>237.89164061919797</v>
      </c>
      <c r="BA327" s="527">
        <v>257.23807654705348</v>
      </c>
      <c r="BB327" s="527">
        <v>285.9708294239461</v>
      </c>
      <c r="BC327" s="527">
        <v>293.44351426222897</v>
      </c>
      <c r="BD327" s="527">
        <v>308.9669568612037</v>
      </c>
      <c r="BE327" s="527">
        <v>318.66321418440964</v>
      </c>
      <c r="BF327" s="527">
        <v>334.8928946959474</v>
      </c>
      <c r="BG327" s="527">
        <v>339.58784327436592</v>
      </c>
      <c r="BH327" s="527">
        <v>354.42840473859223</v>
      </c>
      <c r="BI327" s="527">
        <v>356.59349196322114</v>
      </c>
      <c r="BJ327" s="527">
        <v>370.72349366489806</v>
      </c>
      <c r="BK327" s="527">
        <v>372.97534045214456</v>
      </c>
      <c r="BL327" s="527">
        <v>386.68249399136721</v>
      </c>
      <c r="BM327" s="527">
        <v>391.19940328393614</v>
      </c>
      <c r="BN327" s="527">
        <v>405.59513433812742</v>
      </c>
      <c r="BO327" s="527">
        <v>408.06942999177716</v>
      </c>
      <c r="BP327" s="527">
        <v>424.22778526364459</v>
      </c>
      <c r="BQ327" s="527">
        <v>426.80467481201038</v>
      </c>
      <c r="BR327" s="527"/>
      <c r="BS327" s="52"/>
      <c r="BT327" s="52"/>
      <c r="BU327" s="52"/>
      <c r="BV327" s="52"/>
      <c r="BW327" s="52"/>
      <c r="BX327" s="52"/>
      <c r="BY327" s="52"/>
      <c r="BZ327" s="52"/>
      <c r="CA327" s="52"/>
      <c r="CB327" s="52"/>
      <c r="CC327" s="52"/>
      <c r="CD327" s="52"/>
      <c r="CE327" s="52"/>
      <c r="CF327" s="52"/>
      <c r="CG327" s="52"/>
      <c r="CH327" s="52"/>
      <c r="CI327" s="52"/>
      <c r="CJ327" s="52"/>
      <c r="CK327" s="52"/>
      <c r="CL327" s="52"/>
      <c r="CM327" s="52"/>
      <c r="CN327" s="52"/>
      <c r="CO327" s="52"/>
      <c r="CP327" s="52"/>
      <c r="CQ327" s="52"/>
      <c r="CR327" s="52"/>
      <c r="CS327" s="52"/>
      <c r="CT327" s="527">
        <v>0.85799999999999998</v>
      </c>
      <c r="CU327" s="527">
        <v>27.84</v>
      </c>
      <c r="CV327" s="527">
        <v>84.5</v>
      </c>
      <c r="CW327" s="527">
        <v>169.8</v>
      </c>
      <c r="CX327" s="527">
        <v>347.6</v>
      </c>
      <c r="CY327" s="528">
        <v>386</v>
      </c>
      <c r="CZ327" s="527">
        <v>402.48155790975397</v>
      </c>
      <c r="DA327" s="527">
        <v>495.12971716625145</v>
      </c>
      <c r="DB327" s="527">
        <v>579.41434368617502</v>
      </c>
      <c r="DC327" s="527">
        <v>627.63017104561334</v>
      </c>
      <c r="DD327" s="527">
        <v>674.48073797031338</v>
      </c>
      <c r="DE327" s="527">
        <v>711.02189670181338</v>
      </c>
      <c r="DF327" s="527">
        <v>743.69883411704268</v>
      </c>
      <c r="DG327" s="527">
        <v>777.88189727530334</v>
      </c>
      <c r="DH327" s="527">
        <v>813.66456432990458</v>
      </c>
      <c r="DI327" s="527">
        <v>851.03246007565497</v>
      </c>
    </row>
    <row r="328" spans="1:113" ht="12" outlineLevel="1">
      <c r="Z328" s="394"/>
      <c r="AP328" s="44"/>
      <c r="AQ328" s="44"/>
      <c r="AR328" s="44"/>
      <c r="AS328" s="44"/>
      <c r="AT328" s="44"/>
      <c r="AU328" s="44"/>
      <c r="AV328" s="44"/>
      <c r="AW328" s="45"/>
      <c r="AX328" s="44"/>
      <c r="AY328" s="44"/>
      <c r="AZ328" s="44"/>
      <c r="BA328" s="44"/>
      <c r="BB328" s="44"/>
      <c r="BC328" s="44"/>
      <c r="BD328" s="44"/>
      <c r="BE328" s="44"/>
      <c r="BF328" s="44"/>
      <c r="BG328" s="44"/>
      <c r="BH328" s="44"/>
      <c r="BI328" s="44"/>
      <c r="BJ328" s="44"/>
      <c r="BK328" s="44"/>
      <c r="BL328" s="44"/>
      <c r="BM328" s="44"/>
      <c r="BN328" s="44"/>
      <c r="BO328" s="44"/>
      <c r="BP328" s="44"/>
      <c r="BQ328" s="44"/>
      <c r="BR328" s="44"/>
      <c r="CT328" s="44"/>
      <c r="CU328" s="44"/>
      <c r="CV328" s="44"/>
      <c r="CW328" s="44"/>
      <c r="CX328" s="44"/>
      <c r="CY328" s="45"/>
      <c r="CZ328" s="44"/>
      <c r="DB328" s="44"/>
      <c r="DC328" s="529"/>
      <c r="DD328" s="529"/>
      <c r="DE328" s="529"/>
      <c r="DF328" s="529"/>
      <c r="DG328" s="529"/>
      <c r="DH328" s="529"/>
      <c r="DI328" s="529"/>
    </row>
    <row r="329" spans="1:113" s="24" customFormat="1" ht="12" outlineLevel="1">
      <c r="A329" s="1"/>
      <c r="B329" s="24" t="s">
        <v>439</v>
      </c>
      <c r="C329" s="55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526"/>
      <c r="AQ329" s="526"/>
      <c r="AR329" s="526"/>
      <c r="AS329" s="526"/>
      <c r="AT329" s="526"/>
      <c r="AU329" s="526"/>
      <c r="AV329" s="526"/>
      <c r="AW329" s="524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13"/>
      <c r="CI329" s="13"/>
      <c r="CJ329" s="13"/>
      <c r="CK329" s="13"/>
      <c r="CL329" s="13"/>
      <c r="CM329" s="13"/>
      <c r="CN329" s="13"/>
      <c r="CO329" s="13"/>
      <c r="CP329" s="13"/>
      <c r="CQ329" s="13"/>
      <c r="CR329" s="13"/>
      <c r="CS329" s="13"/>
      <c r="CT329" s="526"/>
      <c r="CU329" s="526"/>
      <c r="CV329" s="526"/>
      <c r="CW329" s="526"/>
      <c r="CX329" s="526"/>
      <c r="CY329" s="524"/>
      <c r="CZ329" s="526"/>
      <c r="DA329" s="526"/>
      <c r="DB329" s="526"/>
      <c r="DC329" s="541"/>
      <c r="DD329" s="541"/>
      <c r="DE329" s="541"/>
      <c r="DF329" s="541"/>
      <c r="DG329" s="541"/>
      <c r="DH329" s="541"/>
      <c r="DI329" s="541"/>
    </row>
    <row r="330" spans="1:113" ht="12" outlineLevel="1">
      <c r="A330" s="1" t="s">
        <v>225</v>
      </c>
      <c r="B330" s="19" t="s">
        <v>162</v>
      </c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4">
        <v>4.8053593921917299</v>
      </c>
      <c r="AQ330" s="44">
        <v>6.6215519054870748</v>
      </c>
      <c r="AR330" s="44">
        <v>9.5488929781932743</v>
      </c>
      <c r="AS330" s="44">
        <v>10.505564531024465</v>
      </c>
      <c r="AT330" s="44">
        <v>12.636284100938353</v>
      </c>
      <c r="AU330" s="44">
        <v>15.00392705389206</v>
      </c>
      <c r="AV330" s="44">
        <v>18.70282250778148</v>
      </c>
      <c r="AW330" s="45">
        <v>20.900164041662627</v>
      </c>
      <c r="AX330" s="44">
        <v>23.913714195169657</v>
      </c>
      <c r="AY330" s="44">
        <v>26.593599156889827</v>
      </c>
      <c r="AZ330" s="44">
        <v>30.15438074492986</v>
      </c>
      <c r="BA330" s="44">
        <v>32.769166275218723</v>
      </c>
      <c r="BB330" s="44">
        <v>35.990121146480057</v>
      </c>
      <c r="BC330" s="44">
        <v>36.928536367185167</v>
      </c>
      <c r="BD330" s="44">
        <v>39.050909847914106</v>
      </c>
      <c r="BE330" s="44">
        <v>40.290509246212608</v>
      </c>
      <c r="BF330" s="44">
        <v>42.291701540222043</v>
      </c>
      <c r="BG330" s="44">
        <v>42.770393265338669</v>
      </c>
      <c r="BH330" s="44">
        <v>44.479830322712402</v>
      </c>
      <c r="BI330" s="44">
        <v>44.54574290431902</v>
      </c>
      <c r="BJ330" s="44">
        <v>46.102851406884263</v>
      </c>
      <c r="BK330" s="44">
        <v>46.171169067576926</v>
      </c>
      <c r="BL330" s="44">
        <v>47.654534413455302</v>
      </c>
      <c r="BM330" s="44">
        <v>47.988826310509047</v>
      </c>
      <c r="BN330" s="44">
        <v>49.528721404771225</v>
      </c>
      <c r="BO330" s="44">
        <v>49.602115702091574</v>
      </c>
      <c r="BP330" s="44">
        <v>51.335971084655242</v>
      </c>
      <c r="BQ330" s="44">
        <v>51.41204346080692</v>
      </c>
      <c r="BR330" s="44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4">
        <v>4.3520737070999939E-2</v>
      </c>
      <c r="CU330" s="44">
        <v>1.5312236427282722</v>
      </c>
      <c r="CV330" s="44">
        <v>11.426911297678805</v>
      </c>
      <c r="CW330" s="44">
        <v>20.054457509217741</v>
      </c>
      <c r="CX330" s="44">
        <v>27.640211154830411</v>
      </c>
      <c r="CY330" s="45">
        <v>39.602986549444111</v>
      </c>
      <c r="CZ330" s="44">
        <v>50.507313352059484</v>
      </c>
      <c r="DA330" s="44">
        <v>62.923547020148582</v>
      </c>
      <c r="DB330" s="44">
        <v>72.918657513665224</v>
      </c>
      <c r="DC330" s="44">
        <v>79.341419094126707</v>
      </c>
      <c r="DD330" s="44">
        <v>85.062094805560719</v>
      </c>
      <c r="DE330" s="44">
        <v>89.02557322703143</v>
      </c>
      <c r="DF330" s="44">
        <v>92.274020474461196</v>
      </c>
      <c r="DG330" s="44">
        <v>95.643360723964349</v>
      </c>
      <c r="DH330" s="44">
        <v>99.130837106862799</v>
      </c>
      <c r="DI330" s="44">
        <v>102.74801454546215</v>
      </c>
    </row>
    <row r="331" spans="1:113" ht="12" outlineLevel="1">
      <c r="A331" s="1" t="s">
        <v>190</v>
      </c>
      <c r="B331" s="19" t="s">
        <v>163</v>
      </c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4">
        <v>47.143937411461245</v>
      </c>
      <c r="AQ331" s="44">
        <v>60.74506474884749</v>
      </c>
      <c r="AR331" s="44">
        <v>84.214063190310171</v>
      </c>
      <c r="AS331" s="44">
        <v>92.75667802909021</v>
      </c>
      <c r="AT331" s="44">
        <v>110.58904098968171</v>
      </c>
      <c r="AU331" s="44">
        <v>128.02152889025976</v>
      </c>
      <c r="AV331" s="44">
        <v>155.78716087178978</v>
      </c>
      <c r="AW331" s="45">
        <v>174.1505165517801</v>
      </c>
      <c r="AX331" s="44">
        <v>200.28313308008606</v>
      </c>
      <c r="AY331" s="44">
        <v>222.52565914391749</v>
      </c>
      <c r="AZ331" s="44">
        <v>251.35684528551869</v>
      </c>
      <c r="BA331" s="44">
        <v>272.83076548088974</v>
      </c>
      <c r="BB331" s="44">
        <v>300.78081145437164</v>
      </c>
      <c r="BC331" s="44">
        <v>309.81878606975681</v>
      </c>
      <c r="BD331" s="44">
        <v>328.89376816774057</v>
      </c>
      <c r="BE331" s="44">
        <v>340.64818477172929</v>
      </c>
      <c r="BF331" s="44">
        <v>358.9580149681567</v>
      </c>
      <c r="BG331" s="44">
        <v>364.44753843161794</v>
      </c>
      <c r="BH331" s="44">
        <v>380.50683241671049</v>
      </c>
      <c r="BI331" s="44">
        <v>382.58287149046021</v>
      </c>
      <c r="BJ331" s="44">
        <v>397.52741239275633</v>
      </c>
      <c r="BK331" s="44">
        <v>399.69631547334598</v>
      </c>
      <c r="BL331" s="44">
        <v>414.17462070733791</v>
      </c>
      <c r="BM331" s="44">
        <v>418.7350929540483</v>
      </c>
      <c r="BN331" s="44">
        <v>433.886688678658</v>
      </c>
      <c r="BO331" s="44">
        <v>436.25396737784922</v>
      </c>
      <c r="BP331" s="44">
        <v>453.29502108176513</v>
      </c>
      <c r="BQ331" s="44">
        <v>455.7681913261074</v>
      </c>
      <c r="BR331" s="44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4">
        <v>3.8154931844674618</v>
      </c>
      <c r="CU331" s="44">
        <v>40.623845474828975</v>
      </c>
      <c r="CV331" s="44">
        <v>107.88900216030873</v>
      </c>
      <c r="CW331" s="44">
        <v>176.9707412194004</v>
      </c>
      <c r="CX331" s="44">
        <v>238.61056987994147</v>
      </c>
      <c r="CY331" s="45">
        <v>329.93767742356988</v>
      </c>
      <c r="CZ331" s="44">
        <v>422.80879222400358</v>
      </c>
      <c r="DA331" s="44">
        <v>524.1876107664084</v>
      </c>
      <c r="DB331" s="44">
        <v>610.59959752412851</v>
      </c>
      <c r="DC331" s="44">
        <v>669.54195293946987</v>
      </c>
      <c r="DD331" s="44">
        <v>723.40555339977459</v>
      </c>
      <c r="DE331" s="44">
        <v>763.0897039071707</v>
      </c>
      <c r="DF331" s="44">
        <v>797.22372786610231</v>
      </c>
      <c r="DG331" s="44">
        <v>832.90971366138615</v>
      </c>
      <c r="DH331" s="44">
        <v>870.14065605650717</v>
      </c>
      <c r="DI331" s="44">
        <v>909.06321240787247</v>
      </c>
    </row>
    <row r="332" spans="1:113" ht="12" outlineLevel="1">
      <c r="A332" s="1" t="s">
        <v>191</v>
      </c>
      <c r="B332" s="19" t="s">
        <v>164</v>
      </c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4">
        <v>0</v>
      </c>
      <c r="AQ332" s="44">
        <v>0</v>
      </c>
      <c r="AR332" s="44">
        <v>0</v>
      </c>
      <c r="AS332" s="44">
        <v>0</v>
      </c>
      <c r="AT332" s="44">
        <v>0</v>
      </c>
      <c r="AU332" s="44">
        <v>0</v>
      </c>
      <c r="AV332" s="44">
        <v>0</v>
      </c>
      <c r="AW332" s="45">
        <v>0</v>
      </c>
      <c r="AX332" s="44">
        <v>0</v>
      </c>
      <c r="AY332" s="44">
        <v>0</v>
      </c>
      <c r="AZ332" s="44">
        <v>0</v>
      </c>
      <c r="BA332" s="44">
        <v>0</v>
      </c>
      <c r="BB332" s="44">
        <v>0</v>
      </c>
      <c r="BC332" s="44">
        <v>0</v>
      </c>
      <c r="BD332" s="44">
        <v>0</v>
      </c>
      <c r="BE332" s="44">
        <v>0</v>
      </c>
      <c r="BF332" s="44">
        <v>0</v>
      </c>
      <c r="BG332" s="44">
        <v>0</v>
      </c>
      <c r="BH332" s="44">
        <v>0</v>
      </c>
      <c r="BI332" s="44">
        <v>0</v>
      </c>
      <c r="BJ332" s="44">
        <v>0</v>
      </c>
      <c r="BK332" s="44">
        <v>0</v>
      </c>
      <c r="BL332" s="44">
        <v>0</v>
      </c>
      <c r="BM332" s="44">
        <v>0</v>
      </c>
      <c r="BN332" s="44">
        <v>0</v>
      </c>
      <c r="BO332" s="44">
        <v>0</v>
      </c>
      <c r="BP332" s="44">
        <v>0</v>
      </c>
      <c r="BQ332" s="44">
        <v>0</v>
      </c>
      <c r="BR332" s="44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4">
        <v>0</v>
      </c>
      <c r="CU332" s="44">
        <v>0</v>
      </c>
      <c r="CV332" s="44">
        <v>0</v>
      </c>
      <c r="CW332" s="44">
        <v>0</v>
      </c>
      <c r="CX332" s="44">
        <v>0</v>
      </c>
      <c r="CY332" s="45">
        <v>0</v>
      </c>
      <c r="CZ332" s="44">
        <v>0</v>
      </c>
      <c r="DA332" s="44">
        <v>0</v>
      </c>
      <c r="DB332" s="44">
        <v>0</v>
      </c>
      <c r="DC332" s="44">
        <v>0</v>
      </c>
      <c r="DD332" s="44">
        <v>0</v>
      </c>
      <c r="DE332" s="44">
        <v>0</v>
      </c>
      <c r="DF332" s="44">
        <v>0</v>
      </c>
      <c r="DG332" s="44">
        <v>0</v>
      </c>
      <c r="DH332" s="44">
        <v>0</v>
      </c>
      <c r="DI332" s="44">
        <v>0</v>
      </c>
    </row>
    <row r="333" spans="1:113" ht="12" outlineLevel="1">
      <c r="A333" s="1" t="s">
        <v>192</v>
      </c>
      <c r="B333" s="19" t="s">
        <v>165</v>
      </c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4">
        <v>0</v>
      </c>
      <c r="AQ333" s="44">
        <v>0</v>
      </c>
      <c r="AR333" s="44">
        <v>0</v>
      </c>
      <c r="AS333" s="44">
        <v>0</v>
      </c>
      <c r="AT333" s="44">
        <v>0</v>
      </c>
      <c r="AU333" s="44">
        <v>0</v>
      </c>
      <c r="AV333" s="44">
        <v>0</v>
      </c>
      <c r="AW333" s="45">
        <v>0</v>
      </c>
      <c r="AX333" s="44">
        <v>0</v>
      </c>
      <c r="AY333" s="44">
        <v>0</v>
      </c>
      <c r="AZ333" s="44">
        <v>0</v>
      </c>
      <c r="BA333" s="44">
        <v>0</v>
      </c>
      <c r="BB333" s="44">
        <v>0</v>
      </c>
      <c r="BC333" s="44">
        <v>0</v>
      </c>
      <c r="BD333" s="44">
        <v>0</v>
      </c>
      <c r="BE333" s="44">
        <v>0</v>
      </c>
      <c r="BF333" s="44">
        <v>0</v>
      </c>
      <c r="BG333" s="44">
        <v>0</v>
      </c>
      <c r="BH333" s="44">
        <v>0</v>
      </c>
      <c r="BI333" s="44">
        <v>0</v>
      </c>
      <c r="BJ333" s="44">
        <v>0</v>
      </c>
      <c r="BK333" s="44">
        <v>0</v>
      </c>
      <c r="BL333" s="44">
        <v>0</v>
      </c>
      <c r="BM333" s="44">
        <v>0</v>
      </c>
      <c r="BN333" s="44">
        <v>0</v>
      </c>
      <c r="BO333" s="44">
        <v>0</v>
      </c>
      <c r="BP333" s="44">
        <v>0</v>
      </c>
      <c r="BQ333" s="44">
        <v>0</v>
      </c>
      <c r="BR333" s="44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4">
        <v>0</v>
      </c>
      <c r="CU333" s="44">
        <v>0</v>
      </c>
      <c r="CV333" s="44">
        <v>0</v>
      </c>
      <c r="CW333" s="44">
        <v>0</v>
      </c>
      <c r="CX333" s="44">
        <v>0</v>
      </c>
      <c r="CY333" s="45">
        <v>0</v>
      </c>
      <c r="CZ333" s="44">
        <v>0</v>
      </c>
      <c r="DA333" s="44">
        <v>0</v>
      </c>
      <c r="DB333" s="44">
        <v>0</v>
      </c>
      <c r="DC333" s="44">
        <v>0</v>
      </c>
      <c r="DD333" s="44">
        <v>0</v>
      </c>
      <c r="DE333" s="44">
        <v>0</v>
      </c>
      <c r="DF333" s="44">
        <v>0</v>
      </c>
      <c r="DG333" s="44">
        <v>0</v>
      </c>
      <c r="DH333" s="44">
        <v>0</v>
      </c>
      <c r="DI333" s="44">
        <v>0</v>
      </c>
    </row>
    <row r="334" spans="1:113" s="24" customFormat="1" ht="12" outlineLevel="1">
      <c r="A334" s="1" t="s">
        <v>193</v>
      </c>
      <c r="B334" s="24" t="s">
        <v>166</v>
      </c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  <c r="AJ334" s="55"/>
      <c r="AK334" s="55"/>
      <c r="AL334" s="55"/>
      <c r="AM334" s="55"/>
      <c r="AN334" s="55"/>
      <c r="AO334" s="55"/>
      <c r="AP334" s="526">
        <v>51.949296803652977</v>
      </c>
      <c r="AQ334" s="526">
        <v>67.366616654334564</v>
      </c>
      <c r="AR334" s="526">
        <v>93.76295616850345</v>
      </c>
      <c r="AS334" s="526">
        <v>103.26224256011467</v>
      </c>
      <c r="AT334" s="526">
        <v>123.22532509062006</v>
      </c>
      <c r="AU334" s="526">
        <v>143.02545594415182</v>
      </c>
      <c r="AV334" s="526">
        <v>174.48998337957127</v>
      </c>
      <c r="AW334" s="524">
        <v>195.05068059344273</v>
      </c>
      <c r="AX334" s="526">
        <v>224.19684727525572</v>
      </c>
      <c r="AY334" s="526">
        <v>249.11925830080733</v>
      </c>
      <c r="AZ334" s="526">
        <v>281.51122603044854</v>
      </c>
      <c r="BA334" s="526">
        <v>305.59993175610845</v>
      </c>
      <c r="BB334" s="526">
        <v>336.77093260085172</v>
      </c>
      <c r="BC334" s="526">
        <v>346.747322436942</v>
      </c>
      <c r="BD334" s="526">
        <v>367.94467801565469</v>
      </c>
      <c r="BE334" s="526">
        <v>380.93869401794188</v>
      </c>
      <c r="BF334" s="526">
        <v>401.24971650837875</v>
      </c>
      <c r="BG334" s="526">
        <v>407.21793169695661</v>
      </c>
      <c r="BH334" s="526">
        <v>424.98666273942291</v>
      </c>
      <c r="BI334" s="526">
        <v>427.12861439477922</v>
      </c>
      <c r="BJ334" s="526">
        <v>443.6302637996406</v>
      </c>
      <c r="BK334" s="526">
        <v>445.86748454092287</v>
      </c>
      <c r="BL334" s="526">
        <v>461.82915512079319</v>
      </c>
      <c r="BM334" s="526">
        <v>466.72391926455737</v>
      </c>
      <c r="BN334" s="526">
        <v>483.41541008342921</v>
      </c>
      <c r="BO334" s="526">
        <v>485.85608307994079</v>
      </c>
      <c r="BP334" s="526">
        <v>504.63099216642036</v>
      </c>
      <c r="BQ334" s="526">
        <v>507.1802347869143</v>
      </c>
      <c r="BR334" s="526"/>
      <c r="BS334" s="55"/>
      <c r="BT334" s="55"/>
      <c r="BU334" s="55"/>
      <c r="BV334" s="55"/>
      <c r="BW334" s="55"/>
      <c r="BX334" s="55"/>
      <c r="BY334" s="55"/>
      <c r="BZ334" s="55"/>
      <c r="CA334" s="55"/>
      <c r="CB334" s="55"/>
      <c r="CC334" s="55"/>
      <c r="CD334" s="55"/>
      <c r="CE334" s="55"/>
      <c r="CF334" s="55"/>
      <c r="CG334" s="55"/>
      <c r="CH334" s="55"/>
      <c r="CI334" s="55"/>
      <c r="CJ334" s="55"/>
      <c r="CK334" s="55"/>
      <c r="CL334" s="55"/>
      <c r="CM334" s="55"/>
      <c r="CN334" s="55"/>
      <c r="CO334" s="55"/>
      <c r="CP334" s="55"/>
      <c r="CQ334" s="55"/>
      <c r="CR334" s="55"/>
      <c r="CS334" s="55"/>
      <c r="CT334" s="526">
        <v>3.8590139215384616</v>
      </c>
      <c r="CU334" s="526">
        <v>42.155069117557247</v>
      </c>
      <c r="CV334" s="526">
        <v>119.31591345798753</v>
      </c>
      <c r="CW334" s="526">
        <v>197.02519872861814</v>
      </c>
      <c r="CX334" s="526">
        <v>266.25078103477188</v>
      </c>
      <c r="CY334" s="524">
        <v>369.54066397301403</v>
      </c>
      <c r="CZ334" s="526">
        <v>473.31610557606302</v>
      </c>
      <c r="DA334" s="526">
        <v>587.11115778655699</v>
      </c>
      <c r="DB334" s="526">
        <v>683.51825503779378</v>
      </c>
      <c r="DC334" s="526">
        <v>748.88337203359652</v>
      </c>
      <c r="DD334" s="526">
        <v>808.46764820533531</v>
      </c>
      <c r="DE334" s="526">
        <v>852.11527713420219</v>
      </c>
      <c r="DF334" s="526">
        <v>889.49774834056348</v>
      </c>
      <c r="DG334" s="526">
        <v>928.55307438535056</v>
      </c>
      <c r="DH334" s="526">
        <v>969.27149316337</v>
      </c>
      <c r="DI334" s="526">
        <v>1011.8112269533347</v>
      </c>
    </row>
    <row r="335" spans="1:113" ht="12" outlineLevel="1"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4"/>
      <c r="AQ335" s="44"/>
      <c r="AR335" s="44"/>
      <c r="AS335" s="44"/>
      <c r="AT335" s="44"/>
      <c r="AU335" s="44"/>
      <c r="AV335" s="44"/>
      <c r="AW335" s="45"/>
      <c r="AX335" s="44"/>
      <c r="AY335" s="44"/>
      <c r="AZ335" s="44"/>
      <c r="BA335" s="44"/>
      <c r="BB335" s="44"/>
      <c r="BC335" s="44"/>
      <c r="BD335" s="44"/>
      <c r="BE335" s="44"/>
      <c r="BF335" s="44"/>
      <c r="BG335" s="44"/>
      <c r="BH335" s="44"/>
      <c r="BI335" s="44"/>
      <c r="BJ335" s="44"/>
      <c r="BK335" s="44"/>
      <c r="BL335" s="44"/>
      <c r="BM335" s="44"/>
      <c r="BN335" s="44"/>
      <c r="BO335" s="44"/>
      <c r="BP335" s="44"/>
      <c r="BQ335" s="44"/>
      <c r="BR335" s="44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4"/>
      <c r="CU335" s="44"/>
      <c r="CV335" s="44"/>
      <c r="CW335" s="44"/>
      <c r="CX335" s="44"/>
      <c r="CY335" s="45"/>
      <c r="CZ335" s="44"/>
      <c r="DA335" s="44"/>
      <c r="DB335" s="44"/>
      <c r="DC335" s="529"/>
      <c r="DD335" s="529"/>
      <c r="DE335" s="529"/>
      <c r="DF335" s="529"/>
      <c r="DG335" s="529"/>
      <c r="DH335" s="529"/>
      <c r="DI335" s="529"/>
    </row>
    <row r="336" spans="1:113" s="24" customFormat="1" ht="12" outlineLevel="1">
      <c r="A336" s="1"/>
      <c r="B336" s="24" t="s">
        <v>405</v>
      </c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  <c r="AJ336" s="55"/>
      <c r="AK336" s="55"/>
      <c r="AL336" s="55"/>
      <c r="AM336" s="55"/>
      <c r="AN336" s="55"/>
      <c r="AO336" s="55"/>
      <c r="AP336" s="526"/>
      <c r="AQ336" s="526"/>
      <c r="AR336" s="526"/>
      <c r="AS336" s="526"/>
      <c r="AT336" s="526"/>
      <c r="AU336" s="526"/>
      <c r="AV336" s="526"/>
      <c r="AW336" s="524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5"/>
      <c r="BT336" s="55"/>
      <c r="BU336" s="55"/>
      <c r="BV336" s="55"/>
      <c r="BW336" s="55"/>
      <c r="BX336" s="55"/>
      <c r="BY336" s="55"/>
      <c r="BZ336" s="55"/>
      <c r="CA336" s="55"/>
      <c r="CB336" s="55"/>
      <c r="CC336" s="55"/>
      <c r="CD336" s="55"/>
      <c r="CE336" s="55"/>
      <c r="CF336" s="55"/>
      <c r="CG336" s="55"/>
      <c r="CH336" s="55"/>
      <c r="CI336" s="55"/>
      <c r="CJ336" s="55"/>
      <c r="CK336" s="55"/>
      <c r="CL336" s="55"/>
      <c r="CM336" s="55"/>
      <c r="CN336" s="55"/>
      <c r="CO336" s="55"/>
      <c r="CP336" s="55"/>
      <c r="CQ336" s="55"/>
      <c r="CR336" s="55"/>
      <c r="CS336" s="55"/>
      <c r="CT336" s="526"/>
      <c r="CU336" s="526"/>
      <c r="CV336" s="526"/>
      <c r="CW336" s="526"/>
      <c r="CX336" s="526"/>
      <c r="CY336" s="524"/>
      <c r="CZ336" s="526"/>
      <c r="DA336" s="526"/>
      <c r="DB336" s="526"/>
      <c r="DC336" s="541"/>
      <c r="DD336" s="541"/>
      <c r="DE336" s="541"/>
      <c r="DF336" s="541"/>
      <c r="DG336" s="541"/>
      <c r="DH336" s="541"/>
      <c r="DI336" s="541"/>
    </row>
    <row r="337" spans="1:113" ht="12" outlineLevel="1">
      <c r="A337" s="1" t="s">
        <v>194</v>
      </c>
      <c r="B337" s="19" t="s">
        <v>162</v>
      </c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4">
        <v>0</v>
      </c>
      <c r="AQ337" s="44">
        <v>0</v>
      </c>
      <c r="AR337" s="44">
        <v>0</v>
      </c>
      <c r="AS337" s="44">
        <v>0</v>
      </c>
      <c r="AT337" s="44">
        <v>0</v>
      </c>
      <c r="AU337" s="44">
        <v>0</v>
      </c>
      <c r="AV337" s="44">
        <v>0</v>
      </c>
      <c r="AW337" s="45">
        <v>0</v>
      </c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4">
        <v>0</v>
      </c>
      <c r="CU337" s="44">
        <v>0</v>
      </c>
      <c r="CV337" s="44">
        <v>0</v>
      </c>
      <c r="CW337" s="44">
        <v>0</v>
      </c>
      <c r="CX337" s="44">
        <v>0</v>
      </c>
      <c r="CY337" s="45"/>
      <c r="CZ337" s="44"/>
      <c r="DA337" s="44"/>
      <c r="DB337" s="44"/>
      <c r="DC337" s="529"/>
      <c r="DD337" s="529"/>
      <c r="DE337" s="529"/>
      <c r="DF337" s="529"/>
      <c r="DG337" s="529"/>
      <c r="DH337" s="529"/>
      <c r="DI337" s="529"/>
    </row>
    <row r="338" spans="1:113" ht="12" outlineLevel="1">
      <c r="A338" s="1" t="s">
        <v>195</v>
      </c>
      <c r="B338" s="19" t="s">
        <v>341</v>
      </c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4">
        <v>0</v>
      </c>
      <c r="AQ338" s="44">
        <v>0</v>
      </c>
      <c r="AR338" s="44">
        <v>0</v>
      </c>
      <c r="AS338" s="44">
        <v>0</v>
      </c>
      <c r="AT338" s="44">
        <v>0</v>
      </c>
      <c r="AU338" s="44">
        <v>0</v>
      </c>
      <c r="AV338" s="44">
        <v>0</v>
      </c>
      <c r="AW338" s="45">
        <v>0</v>
      </c>
      <c r="AX338" s="44"/>
      <c r="AY338" s="44"/>
      <c r="AZ338" s="44"/>
      <c r="BA338" s="44"/>
      <c r="BB338" s="44"/>
      <c r="BC338" s="44"/>
      <c r="BD338" s="44"/>
      <c r="BE338" s="44"/>
      <c r="BF338" s="44"/>
      <c r="BG338" s="44"/>
      <c r="BH338" s="44"/>
      <c r="BI338" s="44"/>
      <c r="BJ338" s="44"/>
      <c r="BK338" s="44"/>
      <c r="BL338" s="44"/>
      <c r="BM338" s="44"/>
      <c r="BN338" s="44"/>
      <c r="BO338" s="44"/>
      <c r="BP338" s="44"/>
      <c r="BQ338" s="44"/>
      <c r="BR338" s="44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4">
        <v>0</v>
      </c>
      <c r="CU338" s="44">
        <v>0</v>
      </c>
      <c r="CV338" s="44">
        <v>0</v>
      </c>
      <c r="CW338" s="44">
        <v>0</v>
      </c>
      <c r="CX338" s="44">
        <v>0</v>
      </c>
      <c r="CY338" s="45"/>
      <c r="CZ338" s="44"/>
      <c r="DA338" s="44"/>
      <c r="DB338" s="44"/>
      <c r="DC338" s="529"/>
      <c r="DD338" s="529"/>
      <c r="DE338" s="529"/>
      <c r="DF338" s="529"/>
      <c r="DG338" s="529"/>
      <c r="DH338" s="529"/>
      <c r="DI338" s="529"/>
    </row>
    <row r="339" spans="1:113" s="24" customFormat="1" ht="12" outlineLevel="1">
      <c r="A339" s="1" t="s">
        <v>196</v>
      </c>
      <c r="B339" s="24" t="s">
        <v>166</v>
      </c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  <c r="AJ339" s="55"/>
      <c r="AK339" s="55"/>
      <c r="AL339" s="55"/>
      <c r="AM339" s="55"/>
      <c r="AN339" s="55"/>
      <c r="AO339" s="55"/>
      <c r="AP339" s="526">
        <v>0</v>
      </c>
      <c r="AQ339" s="526">
        <v>0</v>
      </c>
      <c r="AR339" s="526">
        <v>0</v>
      </c>
      <c r="AS339" s="526">
        <v>0</v>
      </c>
      <c r="AT339" s="526">
        <v>0</v>
      </c>
      <c r="AU339" s="526">
        <v>0</v>
      </c>
      <c r="AV339" s="526">
        <v>0</v>
      </c>
      <c r="AW339" s="524">
        <v>0</v>
      </c>
      <c r="AX339" s="526">
        <v>0</v>
      </c>
      <c r="AY339" s="526">
        <v>0</v>
      </c>
      <c r="AZ339" s="526">
        <v>0</v>
      </c>
      <c r="BA339" s="526">
        <v>0</v>
      </c>
      <c r="BB339" s="526">
        <v>0</v>
      </c>
      <c r="BC339" s="526">
        <v>0</v>
      </c>
      <c r="BD339" s="526">
        <v>0</v>
      </c>
      <c r="BE339" s="526">
        <v>0</v>
      </c>
      <c r="BF339" s="526">
        <v>0</v>
      </c>
      <c r="BG339" s="526">
        <v>0</v>
      </c>
      <c r="BH339" s="526">
        <v>0</v>
      </c>
      <c r="BI339" s="526">
        <v>0</v>
      </c>
      <c r="BJ339" s="526">
        <v>0</v>
      </c>
      <c r="BK339" s="526">
        <v>0</v>
      </c>
      <c r="BL339" s="526">
        <v>0</v>
      </c>
      <c r="BM339" s="526">
        <v>0</v>
      </c>
      <c r="BN339" s="526">
        <v>0</v>
      </c>
      <c r="BO339" s="526">
        <v>0</v>
      </c>
      <c r="BP339" s="526">
        <v>0</v>
      </c>
      <c r="BQ339" s="526">
        <v>0</v>
      </c>
      <c r="BR339" s="526"/>
      <c r="BS339" s="117"/>
      <c r="BT339" s="117"/>
      <c r="BU339" s="117"/>
      <c r="BV339" s="117"/>
      <c r="BW339" s="117"/>
      <c r="BX339" s="117"/>
      <c r="BY339" s="117"/>
      <c r="BZ339" s="117"/>
      <c r="CA339" s="117"/>
      <c r="CB339" s="117"/>
      <c r="CC339" s="55"/>
      <c r="CD339" s="55"/>
      <c r="CE339" s="55"/>
      <c r="CF339" s="55"/>
      <c r="CG339" s="55"/>
      <c r="CH339" s="55"/>
      <c r="CI339" s="55"/>
      <c r="CJ339" s="55"/>
      <c r="CK339" s="55"/>
      <c r="CL339" s="55"/>
      <c r="CM339" s="55"/>
      <c r="CN339" s="55"/>
      <c r="CO339" s="55"/>
      <c r="CP339" s="55"/>
      <c r="CQ339" s="55"/>
      <c r="CR339" s="55"/>
      <c r="CS339" s="55"/>
      <c r="CT339" s="526">
        <v>0</v>
      </c>
      <c r="CU339" s="526">
        <v>0</v>
      </c>
      <c r="CV339" s="526">
        <v>0</v>
      </c>
      <c r="CW339" s="526">
        <v>0</v>
      </c>
      <c r="CX339" s="526">
        <v>0</v>
      </c>
      <c r="CY339" s="524">
        <v>0</v>
      </c>
      <c r="CZ339" s="526">
        <v>0</v>
      </c>
      <c r="DA339" s="526">
        <v>0</v>
      </c>
      <c r="DB339" s="526">
        <v>0</v>
      </c>
      <c r="DC339" s="526">
        <v>0</v>
      </c>
      <c r="DD339" s="526">
        <v>0</v>
      </c>
      <c r="DE339" s="526">
        <v>0</v>
      </c>
      <c r="DF339" s="526">
        <v>0</v>
      </c>
      <c r="DG339" s="526">
        <v>0</v>
      </c>
      <c r="DH339" s="526">
        <v>0</v>
      </c>
      <c r="DI339" s="526">
        <v>0</v>
      </c>
    </row>
    <row r="340" spans="1:113" ht="12" outlineLevel="1"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4"/>
      <c r="AQ340" s="44"/>
      <c r="AR340" s="44"/>
      <c r="AS340" s="44"/>
      <c r="AT340" s="44"/>
      <c r="AU340" s="44"/>
      <c r="AV340" s="44"/>
      <c r="AW340" s="45"/>
      <c r="AX340" s="44"/>
      <c r="AY340" s="44"/>
      <c r="AZ340" s="44"/>
      <c r="BA340" s="44"/>
      <c r="BB340" s="44"/>
      <c r="BC340" s="44"/>
      <c r="BD340" s="44"/>
      <c r="BE340" s="44"/>
      <c r="BF340" s="44"/>
      <c r="BG340" s="44"/>
      <c r="BH340" s="44"/>
      <c r="BI340" s="44"/>
      <c r="BJ340" s="44"/>
      <c r="BK340" s="44"/>
      <c r="BL340" s="44"/>
      <c r="BM340" s="44"/>
      <c r="BN340" s="44"/>
      <c r="BO340" s="44"/>
      <c r="BP340" s="44"/>
      <c r="BQ340" s="44"/>
      <c r="BR340" s="44"/>
      <c r="BS340" s="42"/>
      <c r="BT340" s="42"/>
      <c r="BU340" s="42"/>
      <c r="BV340" s="42"/>
      <c r="BW340" s="42"/>
      <c r="BX340" s="42"/>
      <c r="BY340" s="42"/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4"/>
      <c r="CU340" s="44"/>
      <c r="CV340" s="44"/>
      <c r="CW340" s="44"/>
      <c r="CX340" s="44"/>
      <c r="CY340" s="45"/>
      <c r="CZ340" s="44"/>
      <c r="DA340" s="44"/>
      <c r="DB340" s="44"/>
      <c r="DC340" s="44"/>
      <c r="DD340" s="44"/>
      <c r="DE340" s="44"/>
      <c r="DF340" s="44"/>
      <c r="DG340" s="44"/>
      <c r="DH340" s="44"/>
      <c r="DI340" s="44"/>
    </row>
    <row r="341" spans="1:113" s="24" customFormat="1" ht="12" outlineLevel="1">
      <c r="A341" s="1"/>
      <c r="B341" s="24" t="s">
        <v>339</v>
      </c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  <c r="AJ341" s="55"/>
      <c r="AK341" s="55"/>
      <c r="AL341" s="55"/>
      <c r="AM341" s="55"/>
      <c r="AN341" s="55"/>
      <c r="AO341" s="55"/>
      <c r="AP341" s="526"/>
      <c r="AQ341" s="526"/>
      <c r="AR341" s="526"/>
      <c r="AS341" s="526"/>
      <c r="AT341" s="526"/>
      <c r="AU341" s="526"/>
      <c r="AV341" s="526"/>
      <c r="AW341" s="524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5"/>
      <c r="BT341" s="55"/>
      <c r="BU341" s="55"/>
      <c r="BV341" s="55"/>
      <c r="BW341" s="55"/>
      <c r="BX341" s="55"/>
      <c r="BY341" s="55"/>
      <c r="BZ341" s="55"/>
      <c r="CA341" s="55"/>
      <c r="CB341" s="55"/>
      <c r="CC341" s="55"/>
      <c r="CD341" s="55"/>
      <c r="CE341" s="55"/>
      <c r="CF341" s="55"/>
      <c r="CG341" s="55"/>
      <c r="CH341" s="55"/>
      <c r="CI341" s="55"/>
      <c r="CJ341" s="55"/>
      <c r="CK341" s="55"/>
      <c r="CL341" s="55"/>
      <c r="CM341" s="55"/>
      <c r="CN341" s="55"/>
      <c r="CO341" s="55"/>
      <c r="CP341" s="55"/>
      <c r="CQ341" s="55"/>
      <c r="CR341" s="55"/>
      <c r="CS341" s="55"/>
      <c r="CT341" s="526"/>
      <c r="CU341" s="526"/>
      <c r="CV341" s="526"/>
      <c r="CW341" s="526"/>
      <c r="CX341" s="526"/>
      <c r="CY341" s="524"/>
      <c r="CZ341" s="526"/>
      <c r="DA341" s="526"/>
      <c r="DB341" s="526"/>
      <c r="DC341" s="526"/>
      <c r="DD341" s="526"/>
      <c r="DE341" s="526"/>
      <c r="DF341" s="526"/>
      <c r="DG341" s="526"/>
      <c r="DH341" s="526"/>
      <c r="DI341" s="526"/>
    </row>
    <row r="342" spans="1:113" ht="12" outlineLevel="1">
      <c r="A342" s="1" t="s">
        <v>197</v>
      </c>
      <c r="B342" s="19" t="s">
        <v>162</v>
      </c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4">
        <v>0</v>
      </c>
      <c r="AQ342" s="44">
        <v>0</v>
      </c>
      <c r="AR342" s="44">
        <v>0</v>
      </c>
      <c r="AS342" s="44">
        <v>0</v>
      </c>
      <c r="AT342" s="44">
        <v>0</v>
      </c>
      <c r="AU342" s="44">
        <v>0</v>
      </c>
      <c r="AV342" s="44">
        <v>0</v>
      </c>
      <c r="AW342" s="45">
        <v>0</v>
      </c>
      <c r="AX342" s="44"/>
      <c r="AY342" s="44"/>
      <c r="AZ342" s="44"/>
      <c r="BA342" s="44"/>
      <c r="BB342" s="44"/>
      <c r="BC342" s="44"/>
      <c r="BD342" s="44"/>
      <c r="BE342" s="44"/>
      <c r="BF342" s="44"/>
      <c r="BG342" s="44"/>
      <c r="BH342" s="44"/>
      <c r="BI342" s="44"/>
      <c r="BJ342" s="44"/>
      <c r="BK342" s="44"/>
      <c r="BL342" s="44"/>
      <c r="BM342" s="44"/>
      <c r="BN342" s="44"/>
      <c r="BO342" s="44"/>
      <c r="BP342" s="44"/>
      <c r="BQ342" s="44"/>
      <c r="BR342" s="44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4">
        <v>0</v>
      </c>
      <c r="CU342" s="44">
        <v>0</v>
      </c>
      <c r="CV342" s="44">
        <v>0</v>
      </c>
      <c r="CW342" s="44">
        <v>0</v>
      </c>
      <c r="CX342" s="44">
        <v>0</v>
      </c>
      <c r="CY342" s="45"/>
      <c r="CZ342" s="44"/>
      <c r="DA342" s="44"/>
      <c r="DB342" s="44"/>
      <c r="DC342" s="44"/>
      <c r="DD342" s="44"/>
      <c r="DE342" s="44"/>
      <c r="DF342" s="44"/>
      <c r="DG342" s="44"/>
      <c r="DH342" s="44"/>
      <c r="DI342" s="44"/>
    </row>
    <row r="343" spans="1:113" ht="12" outlineLevel="1">
      <c r="A343" s="1" t="s">
        <v>119</v>
      </c>
      <c r="B343" s="19" t="s">
        <v>341</v>
      </c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4">
        <v>0</v>
      </c>
      <c r="AQ343" s="44">
        <v>0</v>
      </c>
      <c r="AR343" s="44">
        <v>0</v>
      </c>
      <c r="AS343" s="44">
        <v>0</v>
      </c>
      <c r="AT343" s="44">
        <v>0</v>
      </c>
      <c r="AU343" s="44">
        <v>0</v>
      </c>
      <c r="AV343" s="44">
        <v>0</v>
      </c>
      <c r="AW343" s="45">
        <v>0</v>
      </c>
      <c r="AX343" s="44"/>
      <c r="AY343" s="44"/>
      <c r="AZ343" s="44"/>
      <c r="BA343" s="44"/>
      <c r="BB343" s="44"/>
      <c r="BC343" s="44"/>
      <c r="BD343" s="44"/>
      <c r="BE343" s="44"/>
      <c r="BF343" s="44"/>
      <c r="BG343" s="44"/>
      <c r="BH343" s="44"/>
      <c r="BI343" s="44"/>
      <c r="BJ343" s="44"/>
      <c r="BK343" s="44"/>
      <c r="BL343" s="44"/>
      <c r="BM343" s="44"/>
      <c r="BN343" s="44"/>
      <c r="BO343" s="44"/>
      <c r="BP343" s="44"/>
      <c r="BQ343" s="44"/>
      <c r="BR343" s="44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4">
        <v>0</v>
      </c>
      <c r="CU343" s="44">
        <v>0</v>
      </c>
      <c r="CV343" s="44">
        <v>0</v>
      </c>
      <c r="CW343" s="44">
        <v>0</v>
      </c>
      <c r="CX343" s="44">
        <v>0</v>
      </c>
      <c r="CY343" s="45"/>
      <c r="CZ343" s="44"/>
      <c r="DA343" s="44"/>
      <c r="DB343" s="44"/>
      <c r="DC343" s="44"/>
      <c r="DD343" s="44"/>
      <c r="DE343" s="44"/>
      <c r="DF343" s="44"/>
      <c r="DG343" s="44"/>
      <c r="DH343" s="44"/>
      <c r="DI343" s="44"/>
    </row>
    <row r="344" spans="1:113" s="24" customFormat="1" ht="12" outlineLevel="1">
      <c r="A344" s="1" t="s">
        <v>120</v>
      </c>
      <c r="B344" s="24" t="s">
        <v>166</v>
      </c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  <c r="AJ344" s="55"/>
      <c r="AK344" s="55"/>
      <c r="AL344" s="55"/>
      <c r="AM344" s="55"/>
      <c r="AN344" s="55"/>
      <c r="AO344" s="55"/>
      <c r="AP344" s="526">
        <v>0</v>
      </c>
      <c r="AQ344" s="526">
        <v>0</v>
      </c>
      <c r="AR344" s="526">
        <v>0</v>
      </c>
      <c r="AS344" s="526">
        <v>0</v>
      </c>
      <c r="AT344" s="526">
        <v>0</v>
      </c>
      <c r="AU344" s="526">
        <v>0</v>
      </c>
      <c r="AV344" s="526">
        <v>0</v>
      </c>
      <c r="AW344" s="524">
        <v>0</v>
      </c>
      <c r="AX344" s="526">
        <v>0</v>
      </c>
      <c r="AY344" s="526">
        <v>0</v>
      </c>
      <c r="AZ344" s="526">
        <v>0</v>
      </c>
      <c r="BA344" s="526">
        <v>0</v>
      </c>
      <c r="BB344" s="526">
        <v>0</v>
      </c>
      <c r="BC344" s="526">
        <v>0</v>
      </c>
      <c r="BD344" s="526">
        <v>0</v>
      </c>
      <c r="BE344" s="526">
        <v>0</v>
      </c>
      <c r="BF344" s="526">
        <v>0</v>
      </c>
      <c r="BG344" s="526">
        <v>0</v>
      </c>
      <c r="BH344" s="526">
        <v>0</v>
      </c>
      <c r="BI344" s="526">
        <v>0</v>
      </c>
      <c r="BJ344" s="526">
        <v>0</v>
      </c>
      <c r="BK344" s="526">
        <v>0</v>
      </c>
      <c r="BL344" s="526">
        <v>0</v>
      </c>
      <c r="BM344" s="526">
        <v>0</v>
      </c>
      <c r="BN344" s="526">
        <v>0</v>
      </c>
      <c r="BO344" s="526">
        <v>0</v>
      </c>
      <c r="BP344" s="526">
        <v>0</v>
      </c>
      <c r="BQ344" s="526">
        <v>0</v>
      </c>
      <c r="BR344" s="526"/>
      <c r="BS344" s="117"/>
      <c r="BT344" s="117"/>
      <c r="BU344" s="117"/>
      <c r="BV344" s="117"/>
      <c r="BW344" s="117"/>
      <c r="BX344" s="117"/>
      <c r="BY344" s="117"/>
      <c r="BZ344" s="117"/>
      <c r="CA344" s="117"/>
      <c r="CB344" s="117"/>
      <c r="CC344" s="55"/>
      <c r="CD344" s="55"/>
      <c r="CE344" s="55"/>
      <c r="CF344" s="55"/>
      <c r="CG344" s="55"/>
      <c r="CH344" s="55"/>
      <c r="CI344" s="55"/>
      <c r="CJ344" s="55"/>
      <c r="CK344" s="55"/>
      <c r="CL344" s="55"/>
      <c r="CM344" s="55"/>
      <c r="CN344" s="55"/>
      <c r="CO344" s="55"/>
      <c r="CP344" s="55"/>
      <c r="CQ344" s="55"/>
      <c r="CR344" s="55"/>
      <c r="CS344" s="55"/>
      <c r="CT344" s="526">
        <v>0</v>
      </c>
      <c r="CU344" s="526">
        <v>0</v>
      </c>
      <c r="CV344" s="526">
        <v>0</v>
      </c>
      <c r="CW344" s="526">
        <v>0</v>
      </c>
      <c r="CX344" s="526">
        <v>0</v>
      </c>
      <c r="CY344" s="524">
        <v>0</v>
      </c>
      <c r="CZ344" s="526">
        <v>0</v>
      </c>
      <c r="DA344" s="526">
        <v>0</v>
      </c>
      <c r="DB344" s="526">
        <v>0</v>
      </c>
      <c r="DC344" s="526">
        <v>0</v>
      </c>
      <c r="DD344" s="526">
        <v>0</v>
      </c>
      <c r="DE344" s="526">
        <v>0</v>
      </c>
      <c r="DF344" s="526">
        <v>0</v>
      </c>
      <c r="DG344" s="526">
        <v>0</v>
      </c>
      <c r="DH344" s="526">
        <v>0</v>
      </c>
      <c r="DI344" s="526">
        <v>0</v>
      </c>
    </row>
    <row r="345" spans="1:113" ht="12" outlineLevel="1"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4"/>
      <c r="AQ345" s="44"/>
      <c r="AR345" s="44"/>
      <c r="AS345" s="44"/>
      <c r="AT345" s="44"/>
      <c r="AU345" s="44"/>
      <c r="AV345" s="44"/>
      <c r="AW345" s="45"/>
      <c r="AX345" s="44"/>
      <c r="AY345" s="44"/>
      <c r="AZ345" s="44"/>
      <c r="BA345" s="44"/>
      <c r="BB345" s="44"/>
      <c r="BC345" s="44"/>
      <c r="BD345" s="44"/>
      <c r="BE345" s="44"/>
      <c r="BF345" s="44"/>
      <c r="BG345" s="44"/>
      <c r="BH345" s="44"/>
      <c r="BI345" s="44"/>
      <c r="BJ345" s="44"/>
      <c r="BK345" s="44"/>
      <c r="BL345" s="44"/>
      <c r="BM345" s="44"/>
      <c r="BN345" s="44"/>
      <c r="BO345" s="44"/>
      <c r="BP345" s="44"/>
      <c r="BQ345" s="44"/>
      <c r="BR345" s="44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4"/>
      <c r="CU345" s="44"/>
      <c r="CV345" s="44"/>
      <c r="CW345" s="44"/>
      <c r="CX345" s="44"/>
      <c r="CY345" s="45"/>
      <c r="CZ345" s="44"/>
      <c r="DA345" s="44"/>
      <c r="DB345" s="44"/>
      <c r="DC345" s="44"/>
      <c r="DD345" s="44"/>
      <c r="DE345" s="44"/>
      <c r="DF345" s="44"/>
      <c r="DG345" s="44"/>
      <c r="DH345" s="44"/>
      <c r="DI345" s="44"/>
    </row>
    <row r="346" spans="1:113" s="24" customFormat="1" ht="12" outlineLevel="1">
      <c r="A346" s="1"/>
      <c r="B346" s="24" t="s">
        <v>340</v>
      </c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  <c r="AJ346" s="55"/>
      <c r="AK346" s="55"/>
      <c r="AL346" s="55"/>
      <c r="AM346" s="55"/>
      <c r="AN346" s="55"/>
      <c r="AO346" s="55"/>
      <c r="AP346" s="526"/>
      <c r="AQ346" s="526"/>
      <c r="AR346" s="526"/>
      <c r="AS346" s="526"/>
      <c r="AT346" s="526"/>
      <c r="AU346" s="526"/>
      <c r="AV346" s="526"/>
      <c r="AW346" s="524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5"/>
      <c r="BT346" s="55"/>
      <c r="BU346" s="55"/>
      <c r="BV346" s="55"/>
      <c r="BW346" s="55"/>
      <c r="BX346" s="55"/>
      <c r="BY346" s="55"/>
      <c r="BZ346" s="55"/>
      <c r="CA346" s="55"/>
      <c r="CB346" s="55"/>
      <c r="CC346" s="55"/>
      <c r="CD346" s="55"/>
      <c r="CE346" s="55"/>
      <c r="CF346" s="55"/>
      <c r="CG346" s="55"/>
      <c r="CH346" s="55"/>
      <c r="CI346" s="55"/>
      <c r="CJ346" s="55"/>
      <c r="CK346" s="55"/>
      <c r="CL346" s="55"/>
      <c r="CM346" s="55"/>
      <c r="CN346" s="55"/>
      <c r="CO346" s="55"/>
      <c r="CP346" s="55"/>
      <c r="CQ346" s="55"/>
      <c r="CR346" s="55"/>
      <c r="CS346" s="55"/>
      <c r="CT346" s="526"/>
      <c r="CU346" s="526"/>
      <c r="CV346" s="526"/>
      <c r="CW346" s="526"/>
      <c r="CX346" s="526"/>
      <c r="CY346" s="524"/>
      <c r="CZ346" s="526"/>
      <c r="DA346" s="526"/>
      <c r="DB346" s="526"/>
      <c r="DC346" s="526"/>
      <c r="DD346" s="526"/>
      <c r="DE346" s="526"/>
      <c r="DF346" s="526"/>
      <c r="DG346" s="526"/>
      <c r="DH346" s="526"/>
      <c r="DI346" s="526"/>
    </row>
    <row r="347" spans="1:113" ht="12" outlineLevel="1">
      <c r="A347" s="1" t="s">
        <v>121</v>
      </c>
      <c r="B347" s="19" t="s">
        <v>162</v>
      </c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4">
        <v>4.8053593921917299</v>
      </c>
      <c r="AQ347" s="44">
        <v>6.6215519054870748</v>
      </c>
      <c r="AR347" s="44">
        <v>9.5488929781932743</v>
      </c>
      <c r="AS347" s="44">
        <v>10.505564531024465</v>
      </c>
      <c r="AT347" s="44">
        <v>12.636284100938353</v>
      </c>
      <c r="AU347" s="44">
        <v>15.00392705389206</v>
      </c>
      <c r="AV347" s="44">
        <v>18.70282250778148</v>
      </c>
      <c r="AW347" s="45">
        <v>20.900164041662627</v>
      </c>
      <c r="AX347" s="44"/>
      <c r="AY347" s="44"/>
      <c r="AZ347" s="44"/>
      <c r="BA347" s="44"/>
      <c r="BB347" s="44"/>
      <c r="BC347" s="44"/>
      <c r="BD347" s="44"/>
      <c r="BE347" s="44"/>
      <c r="BF347" s="44"/>
      <c r="BG347" s="44"/>
      <c r="BH347" s="44"/>
      <c r="BI347" s="44"/>
      <c r="BJ347" s="44"/>
      <c r="BK347" s="44"/>
      <c r="BL347" s="44"/>
      <c r="BM347" s="44"/>
      <c r="BN347" s="44"/>
      <c r="BO347" s="44"/>
      <c r="BP347" s="44"/>
      <c r="BQ347" s="44"/>
      <c r="BR347" s="44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4">
        <v>4.3520737070999939E-2</v>
      </c>
      <c r="CU347" s="44">
        <v>1.5312236427282722</v>
      </c>
      <c r="CV347" s="44">
        <v>11.426911297678805</v>
      </c>
      <c r="CW347" s="44">
        <v>20.054457509217741</v>
      </c>
      <c r="CX347" s="44">
        <v>27.640211154830411</v>
      </c>
      <c r="CY347" s="45"/>
      <c r="CZ347" s="44"/>
      <c r="DA347" s="44"/>
      <c r="DB347" s="44"/>
      <c r="DC347" s="44"/>
      <c r="DD347" s="44"/>
      <c r="DE347" s="44"/>
      <c r="DF347" s="44"/>
      <c r="DG347" s="44"/>
      <c r="DH347" s="44"/>
      <c r="DI347" s="44"/>
    </row>
    <row r="348" spans="1:113" ht="12" outlineLevel="1">
      <c r="A348" s="1" t="s">
        <v>122</v>
      </c>
      <c r="B348" s="19" t="s">
        <v>341</v>
      </c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4">
        <v>47.143937411461245</v>
      </c>
      <c r="AQ348" s="44">
        <v>60.74506474884749</v>
      </c>
      <c r="AR348" s="44">
        <v>84.214063190310171</v>
      </c>
      <c r="AS348" s="44">
        <v>92.75667802909021</v>
      </c>
      <c r="AT348" s="44">
        <v>110.58904098968171</v>
      </c>
      <c r="AU348" s="44">
        <v>128.02152889025976</v>
      </c>
      <c r="AV348" s="44">
        <v>155.78716087178978</v>
      </c>
      <c r="AW348" s="45">
        <v>174.1505165517801</v>
      </c>
      <c r="AX348" s="44"/>
      <c r="AY348" s="44"/>
      <c r="AZ348" s="44"/>
      <c r="BA348" s="44"/>
      <c r="BB348" s="44"/>
      <c r="BC348" s="44"/>
      <c r="BD348" s="44"/>
      <c r="BE348" s="44"/>
      <c r="BF348" s="44"/>
      <c r="BG348" s="44"/>
      <c r="BH348" s="44"/>
      <c r="BI348" s="44"/>
      <c r="BJ348" s="44"/>
      <c r="BK348" s="44"/>
      <c r="BL348" s="44"/>
      <c r="BM348" s="44"/>
      <c r="BN348" s="44"/>
      <c r="BO348" s="44"/>
      <c r="BP348" s="44"/>
      <c r="BQ348" s="44"/>
      <c r="BR348" s="44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4">
        <v>3.8154931844674618</v>
      </c>
      <c r="CU348" s="44">
        <v>40.623845474828975</v>
      </c>
      <c r="CV348" s="44">
        <v>107.88900216030873</v>
      </c>
      <c r="CW348" s="44">
        <v>176.9707412194004</v>
      </c>
      <c r="CX348" s="44">
        <v>238.61056987994147</v>
      </c>
      <c r="CY348" s="45"/>
      <c r="CZ348" s="44"/>
      <c r="DA348" s="44"/>
      <c r="DB348" s="44"/>
      <c r="DC348" s="44"/>
      <c r="DD348" s="44"/>
      <c r="DE348" s="44"/>
      <c r="DF348" s="44"/>
      <c r="DG348" s="44"/>
      <c r="DH348" s="44"/>
      <c r="DI348" s="44"/>
    </row>
    <row r="349" spans="1:113" s="24" customFormat="1" ht="12" outlineLevel="1">
      <c r="A349" s="1" t="s">
        <v>123</v>
      </c>
      <c r="B349" s="24" t="s">
        <v>581</v>
      </c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  <c r="AJ349" s="55"/>
      <c r="AK349" s="55"/>
      <c r="AL349" s="55"/>
      <c r="AM349" s="55"/>
      <c r="AN349" s="55"/>
      <c r="AO349" s="55"/>
      <c r="AP349" s="526">
        <v>51.949296803652977</v>
      </c>
      <c r="AQ349" s="526">
        <v>67.366616654334564</v>
      </c>
      <c r="AR349" s="526">
        <v>93.76295616850345</v>
      </c>
      <c r="AS349" s="526">
        <v>103.26224256011467</v>
      </c>
      <c r="AT349" s="526">
        <v>123.22532509062006</v>
      </c>
      <c r="AU349" s="526">
        <v>143.02545594415182</v>
      </c>
      <c r="AV349" s="526">
        <v>174.48998337957127</v>
      </c>
      <c r="AW349" s="524">
        <v>195.05068059344273</v>
      </c>
      <c r="AX349" s="526">
        <v>224.19684727525572</v>
      </c>
      <c r="AY349" s="526">
        <v>249.11925830080733</v>
      </c>
      <c r="AZ349" s="526">
        <v>281.51122603044854</v>
      </c>
      <c r="BA349" s="526">
        <v>305.59993175610845</v>
      </c>
      <c r="BB349" s="526">
        <v>336.77093260085172</v>
      </c>
      <c r="BC349" s="526">
        <v>346.747322436942</v>
      </c>
      <c r="BD349" s="526">
        <v>367.94467801565469</v>
      </c>
      <c r="BE349" s="526">
        <v>380.93869401794188</v>
      </c>
      <c r="BF349" s="526">
        <v>401.24971650837875</v>
      </c>
      <c r="BG349" s="526">
        <v>407.21793169695661</v>
      </c>
      <c r="BH349" s="526">
        <v>424.98666273942291</v>
      </c>
      <c r="BI349" s="526">
        <v>427.12861439477922</v>
      </c>
      <c r="BJ349" s="526">
        <v>443.6302637996406</v>
      </c>
      <c r="BK349" s="526">
        <v>445.86748454092287</v>
      </c>
      <c r="BL349" s="526">
        <v>461.82915512079319</v>
      </c>
      <c r="BM349" s="526">
        <v>466.72391926455737</v>
      </c>
      <c r="BN349" s="526">
        <v>483.41541008342921</v>
      </c>
      <c r="BO349" s="526">
        <v>485.85608307994079</v>
      </c>
      <c r="BP349" s="526">
        <v>504.63099216642036</v>
      </c>
      <c r="BQ349" s="526">
        <v>507.1802347869143</v>
      </c>
      <c r="BR349" s="526"/>
      <c r="BS349" s="55"/>
      <c r="BT349" s="55"/>
      <c r="BU349" s="55"/>
      <c r="BV349" s="55"/>
      <c r="BW349" s="55"/>
      <c r="BX349" s="55"/>
      <c r="BY349" s="55"/>
      <c r="BZ349" s="55"/>
      <c r="CA349" s="55"/>
      <c r="CB349" s="55"/>
      <c r="CC349" s="55"/>
      <c r="CD349" s="55"/>
      <c r="CE349" s="55"/>
      <c r="CF349" s="55"/>
      <c r="CG349" s="55"/>
      <c r="CH349" s="55"/>
      <c r="CI349" s="55"/>
      <c r="CJ349" s="55"/>
      <c r="CK349" s="55"/>
      <c r="CL349" s="55"/>
      <c r="CM349" s="55"/>
      <c r="CN349" s="55"/>
      <c r="CO349" s="55"/>
      <c r="CP349" s="55"/>
      <c r="CQ349" s="55"/>
      <c r="CR349" s="55"/>
      <c r="CS349" s="55"/>
      <c r="CT349" s="526">
        <v>3.8590139215384616</v>
      </c>
      <c r="CU349" s="526">
        <v>42.155069117557247</v>
      </c>
      <c r="CV349" s="526">
        <v>119.31591345798753</v>
      </c>
      <c r="CW349" s="526">
        <v>197.02519872861814</v>
      </c>
      <c r="CX349" s="526">
        <v>266.25078103477188</v>
      </c>
      <c r="CY349" s="524">
        <v>369.54066397301403</v>
      </c>
      <c r="CZ349" s="526">
        <v>473.31610557606302</v>
      </c>
      <c r="DA349" s="526">
        <v>587.11115778655699</v>
      </c>
      <c r="DB349" s="526">
        <v>683.51825503779378</v>
      </c>
      <c r="DC349" s="526">
        <v>748.88337203359652</v>
      </c>
      <c r="DD349" s="526">
        <v>808.46764820533531</v>
      </c>
      <c r="DE349" s="526">
        <v>852.11527713420219</v>
      </c>
      <c r="DF349" s="526">
        <v>889.49774834056348</v>
      </c>
      <c r="DG349" s="526">
        <v>928.55307438535056</v>
      </c>
      <c r="DH349" s="526">
        <v>969.27149316337</v>
      </c>
      <c r="DI349" s="526">
        <v>1011.8112269533347</v>
      </c>
    </row>
    <row r="350" spans="1:113" ht="12" outlineLevel="1">
      <c r="A350" s="1" t="s">
        <v>124</v>
      </c>
      <c r="B350" s="19" t="s">
        <v>342</v>
      </c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4">
        <v>0</v>
      </c>
      <c r="AQ350" s="44">
        <v>0</v>
      </c>
      <c r="AR350" s="44">
        <v>0</v>
      </c>
      <c r="AS350" s="44">
        <v>0</v>
      </c>
      <c r="AT350" s="44">
        <v>0</v>
      </c>
      <c r="AU350" s="44">
        <v>0</v>
      </c>
      <c r="AV350" s="44">
        <v>0</v>
      </c>
      <c r="AW350" s="45">
        <v>0</v>
      </c>
      <c r="AX350" s="44">
        <v>0</v>
      </c>
      <c r="AY350" s="44">
        <v>0</v>
      </c>
      <c r="AZ350" s="44">
        <v>0</v>
      </c>
      <c r="BA350" s="44">
        <v>0</v>
      </c>
      <c r="BB350" s="44">
        <v>0</v>
      </c>
      <c r="BC350" s="44">
        <v>0</v>
      </c>
      <c r="BD350" s="44">
        <v>0</v>
      </c>
      <c r="BE350" s="44">
        <v>0</v>
      </c>
      <c r="BF350" s="44">
        <v>0</v>
      </c>
      <c r="BG350" s="44">
        <v>0</v>
      </c>
      <c r="BH350" s="44">
        <v>0</v>
      </c>
      <c r="BI350" s="44">
        <v>0</v>
      </c>
      <c r="BJ350" s="44">
        <v>0</v>
      </c>
      <c r="BK350" s="44">
        <v>0</v>
      </c>
      <c r="BL350" s="44">
        <v>0</v>
      </c>
      <c r="BM350" s="44">
        <v>0</v>
      </c>
      <c r="BN350" s="44">
        <v>0</v>
      </c>
      <c r="BO350" s="44">
        <v>0</v>
      </c>
      <c r="BP350" s="44">
        <v>0</v>
      </c>
      <c r="BQ350" s="44">
        <v>0</v>
      </c>
      <c r="BR350" s="44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4">
        <v>0</v>
      </c>
      <c r="CU350" s="44">
        <v>0</v>
      </c>
      <c r="CV350" s="44">
        <v>0</v>
      </c>
      <c r="CW350" s="44">
        <v>0</v>
      </c>
      <c r="CX350" s="44">
        <v>0</v>
      </c>
      <c r="CY350" s="45">
        <v>0</v>
      </c>
      <c r="CZ350" s="44">
        <v>0</v>
      </c>
      <c r="DA350" s="44">
        <v>0</v>
      </c>
      <c r="DB350" s="44">
        <v>0</v>
      </c>
      <c r="DC350" s="44">
        <v>0</v>
      </c>
      <c r="DD350" s="44">
        <v>0</v>
      </c>
      <c r="DE350" s="44">
        <v>0</v>
      </c>
      <c r="DF350" s="44">
        <v>0</v>
      </c>
      <c r="DG350" s="44">
        <v>0</v>
      </c>
      <c r="DH350" s="44">
        <v>0</v>
      </c>
      <c r="DI350" s="44">
        <v>0</v>
      </c>
    </row>
    <row r="351" spans="1:113" ht="12" outlineLevel="1">
      <c r="A351" s="1" t="s">
        <v>125</v>
      </c>
      <c r="B351" s="19" t="s">
        <v>586</v>
      </c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4">
        <v>0</v>
      </c>
      <c r="AQ351" s="44">
        <v>0</v>
      </c>
      <c r="AR351" s="44">
        <v>0</v>
      </c>
      <c r="AS351" s="44">
        <v>0</v>
      </c>
      <c r="AT351" s="44">
        <v>0</v>
      </c>
      <c r="AU351" s="44">
        <v>0</v>
      </c>
      <c r="AV351" s="44">
        <v>0</v>
      </c>
      <c r="AW351" s="45">
        <v>0</v>
      </c>
      <c r="AX351" s="44">
        <v>0</v>
      </c>
      <c r="AY351" s="44">
        <v>0</v>
      </c>
      <c r="AZ351" s="44">
        <v>0</v>
      </c>
      <c r="BA351" s="44">
        <v>0</v>
      </c>
      <c r="BB351" s="44">
        <v>0</v>
      </c>
      <c r="BC351" s="44">
        <v>0</v>
      </c>
      <c r="BD351" s="44">
        <v>0</v>
      </c>
      <c r="BE351" s="44">
        <v>0</v>
      </c>
      <c r="BF351" s="44">
        <v>0</v>
      </c>
      <c r="BG351" s="44">
        <v>0</v>
      </c>
      <c r="BH351" s="44">
        <v>0</v>
      </c>
      <c r="BI351" s="44">
        <v>0</v>
      </c>
      <c r="BJ351" s="44">
        <v>0</v>
      </c>
      <c r="BK351" s="44">
        <v>0</v>
      </c>
      <c r="BL351" s="44">
        <v>0</v>
      </c>
      <c r="BM351" s="44">
        <v>0</v>
      </c>
      <c r="BN351" s="44">
        <v>0</v>
      </c>
      <c r="BO351" s="44">
        <v>0</v>
      </c>
      <c r="BP351" s="44">
        <v>0</v>
      </c>
      <c r="BQ351" s="44">
        <v>0</v>
      </c>
      <c r="BR351" s="44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4">
        <v>0</v>
      </c>
      <c r="CU351" s="44">
        <v>0</v>
      </c>
      <c r="CV351" s="44">
        <v>0</v>
      </c>
      <c r="CW351" s="44">
        <v>0</v>
      </c>
      <c r="CX351" s="44">
        <v>0</v>
      </c>
      <c r="CY351" s="45">
        <v>0</v>
      </c>
      <c r="CZ351" s="44">
        <v>0</v>
      </c>
      <c r="DA351" s="44">
        <v>0</v>
      </c>
      <c r="DB351" s="44">
        <v>0</v>
      </c>
      <c r="DC351" s="44">
        <v>0</v>
      </c>
      <c r="DD351" s="44">
        <v>0</v>
      </c>
      <c r="DE351" s="44">
        <v>0</v>
      </c>
      <c r="DF351" s="44">
        <v>0</v>
      </c>
      <c r="DG351" s="44">
        <v>0</v>
      </c>
      <c r="DH351" s="44">
        <v>0</v>
      </c>
      <c r="DI351" s="44">
        <v>0</v>
      </c>
    </row>
    <row r="352" spans="1:113" s="24" customFormat="1" ht="12" outlineLevel="1">
      <c r="A352" s="1" t="s">
        <v>126</v>
      </c>
      <c r="B352" s="24" t="s">
        <v>587</v>
      </c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  <c r="AJ352" s="55"/>
      <c r="AK352" s="55"/>
      <c r="AL352" s="55"/>
      <c r="AM352" s="55"/>
      <c r="AN352" s="55"/>
      <c r="AO352" s="55"/>
      <c r="AP352" s="526">
        <v>51.949296803652977</v>
      </c>
      <c r="AQ352" s="526">
        <v>67.366616654334564</v>
      </c>
      <c r="AR352" s="526">
        <v>93.76295616850345</v>
      </c>
      <c r="AS352" s="526">
        <v>103.26224256011467</v>
      </c>
      <c r="AT352" s="526">
        <v>123.22532509062006</v>
      </c>
      <c r="AU352" s="526">
        <v>143.02545594415182</v>
      </c>
      <c r="AV352" s="526">
        <v>174.48998337957127</v>
      </c>
      <c r="AW352" s="524">
        <v>195.05068059344273</v>
      </c>
      <c r="AX352" s="526">
        <v>224.19684727525572</v>
      </c>
      <c r="AY352" s="526">
        <v>249.11925830080733</v>
      </c>
      <c r="AZ352" s="526">
        <v>281.51122603044854</v>
      </c>
      <c r="BA352" s="526">
        <v>305.59993175610845</v>
      </c>
      <c r="BB352" s="526">
        <v>336.77093260085172</v>
      </c>
      <c r="BC352" s="526">
        <v>346.747322436942</v>
      </c>
      <c r="BD352" s="526">
        <v>367.94467801565469</v>
      </c>
      <c r="BE352" s="526">
        <v>380.93869401794188</v>
      </c>
      <c r="BF352" s="526">
        <v>401.24971650837875</v>
      </c>
      <c r="BG352" s="526">
        <v>407.21793169695661</v>
      </c>
      <c r="BH352" s="526">
        <v>424.98666273942291</v>
      </c>
      <c r="BI352" s="526">
        <v>427.12861439477922</v>
      </c>
      <c r="BJ352" s="526">
        <v>443.6302637996406</v>
      </c>
      <c r="BK352" s="526">
        <v>445.86748454092287</v>
      </c>
      <c r="BL352" s="526">
        <v>461.82915512079319</v>
      </c>
      <c r="BM352" s="526">
        <v>466.72391926455737</v>
      </c>
      <c r="BN352" s="526">
        <v>483.41541008342921</v>
      </c>
      <c r="BO352" s="526">
        <v>485.85608307994079</v>
      </c>
      <c r="BP352" s="526">
        <v>504.63099216642036</v>
      </c>
      <c r="BQ352" s="526">
        <v>507.1802347869143</v>
      </c>
      <c r="BR352" s="526"/>
      <c r="BS352" s="55"/>
      <c r="BT352" s="55"/>
      <c r="BU352" s="55"/>
      <c r="BV352" s="55"/>
      <c r="BW352" s="55"/>
      <c r="BX352" s="55"/>
      <c r="BY352" s="55"/>
      <c r="BZ352" s="55"/>
      <c r="CA352" s="55"/>
      <c r="CB352" s="55"/>
      <c r="CC352" s="55"/>
      <c r="CD352" s="55"/>
      <c r="CE352" s="55"/>
      <c r="CF352" s="55"/>
      <c r="CG352" s="55"/>
      <c r="CH352" s="55"/>
      <c r="CI352" s="55"/>
      <c r="CJ352" s="55"/>
      <c r="CK352" s="55"/>
      <c r="CL352" s="55"/>
      <c r="CM352" s="55"/>
      <c r="CN352" s="55"/>
      <c r="CO352" s="55"/>
      <c r="CP352" s="55"/>
      <c r="CQ352" s="55"/>
      <c r="CR352" s="55"/>
      <c r="CS352" s="55"/>
      <c r="CT352" s="526">
        <v>3.8590139215384616</v>
      </c>
      <c r="CU352" s="526">
        <v>42.155069117557247</v>
      </c>
      <c r="CV352" s="526">
        <v>119.31591345798753</v>
      </c>
      <c r="CW352" s="526">
        <v>197.02519872861814</v>
      </c>
      <c r="CX352" s="526">
        <v>266.25078103477188</v>
      </c>
      <c r="CY352" s="524">
        <v>369.54066397301403</v>
      </c>
      <c r="CZ352" s="526">
        <v>473.31610557606302</v>
      </c>
      <c r="DA352" s="526">
        <v>587.11115778655699</v>
      </c>
      <c r="DB352" s="526">
        <v>683.51825503779378</v>
      </c>
      <c r="DC352" s="526">
        <v>748.88337203359652</v>
      </c>
      <c r="DD352" s="526">
        <v>808.46764820533531</v>
      </c>
      <c r="DE352" s="526">
        <v>852.11527713420219</v>
      </c>
      <c r="DF352" s="526">
        <v>889.49774834056348</v>
      </c>
      <c r="DG352" s="526">
        <v>928.55307438535056</v>
      </c>
      <c r="DH352" s="526">
        <v>969.27149316337</v>
      </c>
      <c r="DI352" s="526">
        <v>1011.8112269533347</v>
      </c>
    </row>
    <row r="353" spans="1:113" ht="12" outlineLevel="1">
      <c r="A353" s="1" t="s">
        <v>51</v>
      </c>
      <c r="B353" s="19" t="s">
        <v>386</v>
      </c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4">
        <v>2.5116617268576062</v>
      </c>
      <c r="AQ353" s="44">
        <v>2.6412866313368939</v>
      </c>
      <c r="AR353" s="44">
        <v>3.5088284272324728</v>
      </c>
      <c r="AS353" s="44">
        <v>-4.9429205167887593</v>
      </c>
      <c r="AT353" s="44">
        <v>-19.314599993809491</v>
      </c>
      <c r="AU353" s="44">
        <v>-16.101281903624947</v>
      </c>
      <c r="AV353" s="44">
        <v>-18.071674688524553</v>
      </c>
      <c r="AW353" s="45">
        <v>-9.2594866868852321</v>
      </c>
      <c r="AX353" s="44">
        <v>-4.5249721313839251</v>
      </c>
      <c r="AY353" s="44">
        <v>-2.1706547454466301</v>
      </c>
      <c r="AZ353" s="44">
        <v>0</v>
      </c>
      <c r="BA353" s="44">
        <v>0</v>
      </c>
      <c r="BB353" s="44">
        <v>0</v>
      </c>
      <c r="BC353" s="44">
        <v>0</v>
      </c>
      <c r="BD353" s="44">
        <v>0</v>
      </c>
      <c r="BE353" s="44">
        <v>0</v>
      </c>
      <c r="BF353" s="44">
        <v>0</v>
      </c>
      <c r="BG353" s="44">
        <v>0</v>
      </c>
      <c r="BH353" s="44">
        <v>0</v>
      </c>
      <c r="BI353" s="44">
        <v>0</v>
      </c>
      <c r="BJ353" s="44">
        <v>0</v>
      </c>
      <c r="BK353" s="44">
        <v>0</v>
      </c>
      <c r="BL353" s="44">
        <v>0</v>
      </c>
      <c r="BM353" s="44">
        <v>0</v>
      </c>
      <c r="BN353" s="44">
        <v>0</v>
      </c>
      <c r="BO353" s="44">
        <v>0</v>
      </c>
      <c r="BP353" s="44">
        <v>0</v>
      </c>
      <c r="BQ353" s="44">
        <v>0</v>
      </c>
      <c r="BR353" s="44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4">
        <v>-0.59497052531204764</v>
      </c>
      <c r="CU353" s="44">
        <v>0.42564385954199219</v>
      </c>
      <c r="CV353" s="44">
        <v>5.1529483581945001</v>
      </c>
      <c r="CW353" s="44">
        <v>-1.4340920895562865</v>
      </c>
      <c r="CX353" s="44">
        <v>-35.415881897434438</v>
      </c>
      <c r="CY353" s="45">
        <v>-27.331161375409785</v>
      </c>
      <c r="CZ353" s="44">
        <v>-6.6956268768305556</v>
      </c>
      <c r="DA353" s="44">
        <v>0</v>
      </c>
      <c r="DB353" s="44">
        <v>0</v>
      </c>
      <c r="DC353" s="44">
        <v>0</v>
      </c>
      <c r="DD353" s="44">
        <v>0</v>
      </c>
      <c r="DE353" s="44">
        <v>0</v>
      </c>
      <c r="DF353" s="44">
        <v>0</v>
      </c>
      <c r="DG353" s="44">
        <v>0</v>
      </c>
      <c r="DH353" s="44">
        <v>0</v>
      </c>
      <c r="DI353" s="44">
        <v>0</v>
      </c>
    </row>
    <row r="354" spans="1:113" s="24" customFormat="1" ht="12" outlineLevel="1">
      <c r="A354" s="1" t="s">
        <v>132</v>
      </c>
      <c r="B354" s="24" t="s">
        <v>469</v>
      </c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  <c r="AJ354" s="55"/>
      <c r="AK354" s="55"/>
      <c r="AL354" s="55"/>
      <c r="AM354" s="55"/>
      <c r="AN354" s="55"/>
      <c r="AO354" s="55"/>
      <c r="AP354" s="526">
        <v>54.460958530510581</v>
      </c>
      <c r="AQ354" s="526">
        <v>70.00790328567146</v>
      </c>
      <c r="AR354" s="526">
        <v>97.271784595735923</v>
      </c>
      <c r="AS354" s="526">
        <v>98.319322043325926</v>
      </c>
      <c r="AT354" s="526">
        <v>103.91072509681058</v>
      </c>
      <c r="AU354" s="526">
        <v>126.92417404052686</v>
      </c>
      <c r="AV354" s="526">
        <v>156.41830869104672</v>
      </c>
      <c r="AW354" s="524">
        <v>185.79119390655751</v>
      </c>
      <c r="AX354" s="526">
        <v>219.6718751438718</v>
      </c>
      <c r="AY354" s="526">
        <v>246.94860355536071</v>
      </c>
      <c r="AZ354" s="526">
        <v>281.51122603044854</v>
      </c>
      <c r="BA354" s="526">
        <v>305.59993175610845</v>
      </c>
      <c r="BB354" s="526">
        <v>336.77093260085172</v>
      </c>
      <c r="BC354" s="526">
        <v>346.747322436942</v>
      </c>
      <c r="BD354" s="526">
        <v>367.94467801565469</v>
      </c>
      <c r="BE354" s="526">
        <v>380.93869401794188</v>
      </c>
      <c r="BF354" s="526">
        <v>401.24971650837875</v>
      </c>
      <c r="BG354" s="526">
        <v>407.21793169695661</v>
      </c>
      <c r="BH354" s="526">
        <v>424.98666273942291</v>
      </c>
      <c r="BI354" s="526">
        <v>427.12861439477922</v>
      </c>
      <c r="BJ354" s="526">
        <v>443.6302637996406</v>
      </c>
      <c r="BK354" s="526">
        <v>445.86748454092287</v>
      </c>
      <c r="BL354" s="526">
        <v>461.82915512079319</v>
      </c>
      <c r="BM354" s="526">
        <v>466.72391926455737</v>
      </c>
      <c r="BN354" s="526">
        <v>483.41541008342921</v>
      </c>
      <c r="BO354" s="526">
        <v>485.85608307994079</v>
      </c>
      <c r="BP354" s="526">
        <v>504.63099216642036</v>
      </c>
      <c r="BQ354" s="526">
        <v>507.1802347869143</v>
      </c>
      <c r="BR354" s="526"/>
      <c r="BS354" s="55"/>
      <c r="BT354" s="55"/>
      <c r="BU354" s="55"/>
      <c r="BV354" s="55"/>
      <c r="BW354" s="55"/>
      <c r="BX354" s="55"/>
      <c r="BY354" s="55"/>
      <c r="BZ354" s="55"/>
      <c r="CA354" s="55"/>
      <c r="CB354" s="55"/>
      <c r="CC354" s="55"/>
      <c r="CD354" s="55"/>
      <c r="CE354" s="55"/>
      <c r="CF354" s="55"/>
      <c r="CG354" s="55"/>
      <c r="CH354" s="55"/>
      <c r="CI354" s="55"/>
      <c r="CJ354" s="55"/>
      <c r="CK354" s="55"/>
      <c r="CL354" s="55"/>
      <c r="CM354" s="55"/>
      <c r="CN354" s="55"/>
      <c r="CO354" s="55"/>
      <c r="CP354" s="55"/>
      <c r="CQ354" s="55"/>
      <c r="CR354" s="55"/>
      <c r="CS354" s="55"/>
      <c r="CT354" s="526">
        <v>3.2640433962264139</v>
      </c>
      <c r="CU354" s="526">
        <v>42.580712977099239</v>
      </c>
      <c r="CV354" s="526">
        <v>124.46886181618204</v>
      </c>
      <c r="CW354" s="526">
        <v>195.59110663906185</v>
      </c>
      <c r="CX354" s="526">
        <v>230.83489913733746</v>
      </c>
      <c r="CY354" s="524">
        <v>342.20950259760423</v>
      </c>
      <c r="CZ354" s="526">
        <v>466.62047869923254</v>
      </c>
      <c r="DA354" s="526">
        <v>587.11115778655699</v>
      </c>
      <c r="DB354" s="526">
        <v>683.51825503779378</v>
      </c>
      <c r="DC354" s="526">
        <v>748.88337203359652</v>
      </c>
      <c r="DD354" s="526">
        <v>808.46764820533531</v>
      </c>
      <c r="DE354" s="526">
        <v>852.11527713420219</v>
      </c>
      <c r="DF354" s="526">
        <v>889.49774834056348</v>
      </c>
      <c r="DG354" s="526">
        <v>928.55307438535056</v>
      </c>
      <c r="DH354" s="526">
        <v>969.27149316337</v>
      </c>
      <c r="DI354" s="526">
        <v>1011.8112269533347</v>
      </c>
    </row>
    <row r="355" spans="1:113" ht="12" outlineLevel="1"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4"/>
      <c r="AQ355" s="44"/>
      <c r="AR355" s="44"/>
      <c r="AS355" s="44"/>
      <c r="AT355" s="44"/>
      <c r="AU355" s="44"/>
      <c r="AV355" s="44"/>
      <c r="AW355" s="45"/>
      <c r="AX355" s="44"/>
      <c r="AY355" s="44"/>
      <c r="AZ355" s="44"/>
      <c r="BA355" s="44"/>
      <c r="BB355" s="44"/>
      <c r="BC355" s="44"/>
      <c r="BD355" s="44"/>
      <c r="BE355" s="44"/>
      <c r="BF355" s="44"/>
      <c r="BG355" s="44"/>
      <c r="BH355" s="44"/>
      <c r="BI355" s="44"/>
      <c r="BJ355" s="44"/>
      <c r="BK355" s="44"/>
      <c r="BL355" s="44"/>
      <c r="BM355" s="44"/>
      <c r="BN355" s="44"/>
      <c r="BO355" s="44"/>
      <c r="BP355" s="44"/>
      <c r="BQ355" s="44"/>
      <c r="BR355" s="44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4"/>
      <c r="CU355" s="44"/>
      <c r="CV355" s="44"/>
      <c r="CW355" s="44"/>
      <c r="CX355" s="44"/>
      <c r="CY355" s="45"/>
      <c r="CZ355" s="44"/>
      <c r="DA355" s="44"/>
      <c r="DB355" s="44"/>
      <c r="DC355" s="529"/>
      <c r="DD355" s="529"/>
      <c r="DE355" s="529"/>
      <c r="DF355" s="529"/>
      <c r="DG355" s="529"/>
      <c r="DH355" s="529"/>
      <c r="DI355" s="529"/>
    </row>
    <row r="356" spans="1:113" s="24" customFormat="1" ht="12" outlineLevel="1">
      <c r="A356" s="19"/>
      <c r="B356" s="24" t="s">
        <v>588</v>
      </c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  <c r="AJ356" s="55"/>
      <c r="AK356" s="55"/>
      <c r="AL356" s="55"/>
      <c r="AM356" s="55"/>
      <c r="AN356" s="55"/>
      <c r="AO356" s="55"/>
      <c r="AP356" s="526"/>
      <c r="AQ356" s="526"/>
      <c r="AR356" s="526"/>
      <c r="AS356" s="526"/>
      <c r="AT356" s="526"/>
      <c r="AU356" s="526"/>
      <c r="AV356" s="526"/>
      <c r="AW356" s="524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5"/>
      <c r="BT356" s="55"/>
      <c r="BU356" s="55"/>
      <c r="BV356" s="55"/>
      <c r="BW356" s="55"/>
      <c r="BX356" s="55"/>
      <c r="BY356" s="55"/>
      <c r="BZ356" s="55"/>
      <c r="CA356" s="55"/>
      <c r="CB356" s="55"/>
      <c r="CC356" s="55"/>
      <c r="CD356" s="55"/>
      <c r="CE356" s="55"/>
      <c r="CF356" s="55"/>
      <c r="CG356" s="55"/>
      <c r="CH356" s="55"/>
      <c r="CI356" s="55"/>
      <c r="CJ356" s="55"/>
      <c r="CK356" s="55"/>
      <c r="CL356" s="55"/>
      <c r="CM356" s="55"/>
      <c r="CN356" s="55"/>
      <c r="CO356" s="55"/>
      <c r="CP356" s="55"/>
      <c r="CQ356" s="55"/>
      <c r="CR356" s="55"/>
      <c r="CS356" s="55"/>
      <c r="CT356" s="526"/>
      <c r="CU356" s="526"/>
      <c r="CV356" s="526"/>
      <c r="CW356" s="526"/>
      <c r="CX356" s="526"/>
      <c r="CY356" s="524"/>
      <c r="CZ356" s="526"/>
      <c r="DA356" s="526"/>
      <c r="DB356" s="526"/>
      <c r="DC356" s="541"/>
      <c r="DD356" s="541"/>
      <c r="DE356" s="541"/>
      <c r="DF356" s="541"/>
      <c r="DG356" s="541"/>
      <c r="DH356" s="541"/>
      <c r="DI356" s="541"/>
    </row>
    <row r="357" spans="1:113" ht="12" outlineLevel="1">
      <c r="A357" s="1" t="s">
        <v>133</v>
      </c>
      <c r="B357" s="19" t="s">
        <v>589</v>
      </c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4">
        <v>0</v>
      </c>
      <c r="AQ357" s="44">
        <v>0</v>
      </c>
      <c r="AR357" s="44">
        <v>0</v>
      </c>
      <c r="AS357" s="44">
        <v>0</v>
      </c>
      <c r="AT357" s="44">
        <v>0</v>
      </c>
      <c r="AU357" s="44">
        <v>0</v>
      </c>
      <c r="AV357" s="44">
        <v>0</v>
      </c>
      <c r="AW357" s="45">
        <v>0</v>
      </c>
      <c r="AX357" s="44">
        <v>0</v>
      </c>
      <c r="AY357" s="44">
        <v>0</v>
      </c>
      <c r="AZ357" s="44">
        <v>0</v>
      </c>
      <c r="BA357" s="44">
        <v>0</v>
      </c>
      <c r="BB357" s="44">
        <v>0</v>
      </c>
      <c r="BC357" s="44">
        <v>0</v>
      </c>
      <c r="BD357" s="44">
        <v>0</v>
      </c>
      <c r="BE357" s="44">
        <v>0</v>
      </c>
      <c r="BF357" s="44">
        <v>0</v>
      </c>
      <c r="BG357" s="44">
        <v>0</v>
      </c>
      <c r="BH357" s="44">
        <v>0</v>
      </c>
      <c r="BI357" s="44">
        <v>0</v>
      </c>
      <c r="BJ357" s="44">
        <v>0</v>
      </c>
      <c r="BK357" s="44">
        <v>0</v>
      </c>
      <c r="BL357" s="44">
        <v>0</v>
      </c>
      <c r="BM357" s="44">
        <v>0</v>
      </c>
      <c r="BN357" s="44">
        <v>0</v>
      </c>
      <c r="BO357" s="44">
        <v>0</v>
      </c>
      <c r="BP357" s="44">
        <v>0</v>
      </c>
      <c r="BQ357" s="44">
        <v>0</v>
      </c>
      <c r="BR357" s="44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4">
        <v>0</v>
      </c>
      <c r="CU357" s="44">
        <v>0</v>
      </c>
      <c r="CV357" s="44">
        <v>0</v>
      </c>
      <c r="CW357" s="44">
        <v>0</v>
      </c>
      <c r="CX357" s="44">
        <v>0</v>
      </c>
      <c r="CY357" s="45">
        <v>0</v>
      </c>
      <c r="CZ357" s="44">
        <v>0</v>
      </c>
      <c r="DA357" s="44">
        <v>0</v>
      </c>
      <c r="DB357" s="44">
        <v>0</v>
      </c>
      <c r="DC357" s="44">
        <v>0</v>
      </c>
      <c r="DD357" s="44">
        <v>0</v>
      </c>
      <c r="DE357" s="44">
        <v>0</v>
      </c>
      <c r="DF357" s="44">
        <v>0</v>
      </c>
      <c r="DG357" s="44">
        <v>0</v>
      </c>
      <c r="DH357" s="44">
        <v>0</v>
      </c>
      <c r="DI357" s="44">
        <v>0</v>
      </c>
    </row>
    <row r="358" spans="1:113" ht="12" outlineLevel="1">
      <c r="A358" s="1" t="s">
        <v>134</v>
      </c>
      <c r="B358" s="19" t="s">
        <v>470</v>
      </c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4">
        <v>-13.808650618513905</v>
      </c>
      <c r="AQ358" s="44">
        <v>-13.003252198780126</v>
      </c>
      <c r="AR358" s="44">
        <v>-15.250430157585745</v>
      </c>
      <c r="AS358" s="44">
        <v>-9.0718162644154283</v>
      </c>
      <c r="AT358" s="44">
        <v>5.8709903695493164</v>
      </c>
      <c r="AU358" s="44">
        <v>-6.3508535769231065</v>
      </c>
      <c r="AV358" s="44">
        <v>-23.214089934426219</v>
      </c>
      <c r="AW358" s="45">
        <v>-28.732763626229556</v>
      </c>
      <c r="AX358" s="44">
        <v>-37.466719053135876</v>
      </c>
      <c r="AY358" s="44">
        <v>-42.568948799302774</v>
      </c>
      <c r="AZ358" s="44">
        <v>-49.077228158885589</v>
      </c>
      <c r="BA358" s="44">
        <v>-53.811844851039915</v>
      </c>
      <c r="BB358" s="44">
        <v>-59.957635157334707</v>
      </c>
      <c r="BC358" s="44">
        <v>-61.909100723460043</v>
      </c>
      <c r="BD358" s="44">
        <v>-64.929147318103148</v>
      </c>
      <c r="BE358" s="44">
        <v>-67.222128925600146</v>
      </c>
      <c r="BF358" s="44">
        <v>-70.806301901209167</v>
      </c>
      <c r="BG358" s="44">
        <v>-71.859479583504211</v>
      </c>
      <c r="BH358" s="44">
        <v>-74.995028551718818</v>
      </c>
      <c r="BI358" s="44">
        <v>-75.373006826411995</v>
      </c>
      <c r="BJ358" s="44">
        <v>-78.284960957609826</v>
      </c>
      <c r="BK358" s="44">
        <v>-78.679750837102659</v>
      </c>
      <c r="BL358" s="44">
        <v>-81.496417913557366</v>
      </c>
      <c r="BM358" s="44">
        <v>-82.360169670728624</v>
      </c>
      <c r="BN358" s="44">
        <v>-85.305624058551544</v>
      </c>
      <c r="BO358" s="44">
        <v>-85.736316023986262</v>
      </c>
      <c r="BP358" s="44">
        <v>-89.049419625686298</v>
      </c>
      <c r="BQ358" s="44">
        <v>-89.499270267767344</v>
      </c>
      <c r="BR358" s="44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4">
        <v>-0.88543246153846122</v>
      </c>
      <c r="CU358" s="44">
        <v>-11.518502347328246</v>
      </c>
      <c r="CV358" s="44">
        <v>-26.811902817294033</v>
      </c>
      <c r="CW358" s="44">
        <v>-24.322246422001172</v>
      </c>
      <c r="CX358" s="44">
        <v>-0.47986320737379007</v>
      </c>
      <c r="CY358" s="45">
        <v>-51.946853560655775</v>
      </c>
      <c r="CZ358" s="44">
        <v>-80.03566785243865</v>
      </c>
      <c r="DA358" s="44">
        <v>-102.88907300992551</v>
      </c>
      <c r="DB358" s="44">
        <v>-121.86673588079475</v>
      </c>
      <c r="DC358" s="44">
        <v>-132.15127624370331</v>
      </c>
      <c r="DD358" s="44">
        <v>-142.66578148471336</v>
      </c>
      <c r="DE358" s="44">
        <v>-150.3680353781308</v>
      </c>
      <c r="DF358" s="44">
        <v>-156.96471179471249</v>
      </c>
      <c r="DG358" s="44">
        <v>-163.85658758428599</v>
      </c>
      <c r="DH358" s="44">
        <v>-171.04194008253779</v>
      </c>
      <c r="DI358" s="44">
        <v>-178.54868989345363</v>
      </c>
    </row>
    <row r="359" spans="1:113" s="24" customFormat="1" ht="12" outlineLevel="1">
      <c r="A359" s="1" t="s">
        <v>135</v>
      </c>
      <c r="B359" s="24" t="s">
        <v>166</v>
      </c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  <c r="AJ359" s="55"/>
      <c r="AK359" s="55"/>
      <c r="AL359" s="55"/>
      <c r="AM359" s="55"/>
      <c r="AN359" s="55"/>
      <c r="AO359" s="55"/>
      <c r="AP359" s="526">
        <v>-13.808650618513905</v>
      </c>
      <c r="AQ359" s="526">
        <v>-13.003252198780126</v>
      </c>
      <c r="AR359" s="526">
        <v>-15.250430157585745</v>
      </c>
      <c r="AS359" s="526">
        <v>-9.0718162644154283</v>
      </c>
      <c r="AT359" s="526">
        <v>5.8709903695493164</v>
      </c>
      <c r="AU359" s="526">
        <v>-6.3508535769231065</v>
      </c>
      <c r="AV359" s="526">
        <v>-23.214089934426219</v>
      </c>
      <c r="AW359" s="524">
        <v>-28.732763626229556</v>
      </c>
      <c r="AX359" s="526">
        <v>-37.466719053135876</v>
      </c>
      <c r="AY359" s="526">
        <v>-42.568948799302774</v>
      </c>
      <c r="AZ359" s="526">
        <v>-49.077228158885589</v>
      </c>
      <c r="BA359" s="526">
        <v>-53.811844851039915</v>
      </c>
      <c r="BB359" s="526">
        <v>-59.957635157334707</v>
      </c>
      <c r="BC359" s="526">
        <v>-61.909100723460043</v>
      </c>
      <c r="BD359" s="526">
        <v>-64.929147318103148</v>
      </c>
      <c r="BE359" s="526">
        <v>-67.222128925600146</v>
      </c>
      <c r="BF359" s="526">
        <v>-70.806301901209167</v>
      </c>
      <c r="BG359" s="526">
        <v>-71.859479583504211</v>
      </c>
      <c r="BH359" s="526">
        <v>-74.995028551718818</v>
      </c>
      <c r="BI359" s="526">
        <v>-75.373006826411995</v>
      </c>
      <c r="BJ359" s="526">
        <v>-78.284960957609826</v>
      </c>
      <c r="BK359" s="526">
        <v>-78.679750837102659</v>
      </c>
      <c r="BL359" s="526">
        <v>-81.496417913557366</v>
      </c>
      <c r="BM359" s="526">
        <v>-82.360169670728624</v>
      </c>
      <c r="BN359" s="526">
        <v>-85.305624058551544</v>
      </c>
      <c r="BO359" s="526">
        <v>-85.736316023986262</v>
      </c>
      <c r="BP359" s="526">
        <v>-89.049419625686298</v>
      </c>
      <c r="BQ359" s="526">
        <v>-89.499270267767344</v>
      </c>
      <c r="BR359" s="526"/>
      <c r="BS359" s="55"/>
      <c r="BT359" s="55"/>
      <c r="BU359" s="55"/>
      <c r="BV359" s="55"/>
      <c r="BW359" s="55"/>
      <c r="BX359" s="55"/>
      <c r="BY359" s="55"/>
      <c r="BZ359" s="55"/>
      <c r="CA359" s="55"/>
      <c r="CB359" s="55"/>
      <c r="CC359" s="55"/>
      <c r="CD359" s="55"/>
      <c r="CE359" s="55"/>
      <c r="CF359" s="55"/>
      <c r="CG359" s="55"/>
      <c r="CH359" s="55"/>
      <c r="CI359" s="55"/>
      <c r="CJ359" s="55"/>
      <c r="CK359" s="55"/>
      <c r="CL359" s="55"/>
      <c r="CM359" s="55"/>
      <c r="CN359" s="55"/>
      <c r="CO359" s="55"/>
      <c r="CP359" s="55"/>
      <c r="CQ359" s="55"/>
      <c r="CR359" s="55"/>
      <c r="CS359" s="55"/>
      <c r="CT359" s="526">
        <v>-0.88543246153846122</v>
      </c>
      <c r="CU359" s="526">
        <v>-11.518502347328246</v>
      </c>
      <c r="CV359" s="526">
        <v>-26.811902817294033</v>
      </c>
      <c r="CW359" s="526">
        <v>-24.322246422001172</v>
      </c>
      <c r="CX359" s="526">
        <v>-0.47986320737379007</v>
      </c>
      <c r="CY359" s="524">
        <v>-51.946853560655775</v>
      </c>
      <c r="CZ359" s="526">
        <v>-80.03566785243865</v>
      </c>
      <c r="DA359" s="526">
        <v>-102.88907300992551</v>
      </c>
      <c r="DB359" s="526">
        <v>-121.86673588079475</v>
      </c>
      <c r="DC359" s="526">
        <v>-132.15127624370331</v>
      </c>
      <c r="DD359" s="526">
        <v>-142.66578148471336</v>
      </c>
      <c r="DE359" s="526">
        <v>-150.3680353781308</v>
      </c>
      <c r="DF359" s="526">
        <v>-156.96471179471249</v>
      </c>
      <c r="DG359" s="526">
        <v>-163.85658758428599</v>
      </c>
      <c r="DH359" s="526">
        <v>-171.04194008253779</v>
      </c>
      <c r="DI359" s="526">
        <v>-178.54868989345363</v>
      </c>
    </row>
    <row r="360" spans="1:113" ht="12" outlineLevel="1"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4"/>
      <c r="AQ360" s="44"/>
      <c r="AR360" s="44"/>
      <c r="AS360" s="44"/>
      <c r="AT360" s="44"/>
      <c r="AU360" s="44"/>
      <c r="AV360" s="44"/>
      <c r="AW360" s="45"/>
      <c r="AX360" s="44"/>
      <c r="AY360" s="44"/>
      <c r="AZ360" s="44"/>
      <c r="BA360" s="44"/>
      <c r="BB360" s="44"/>
      <c r="BC360" s="44"/>
      <c r="BD360" s="44"/>
      <c r="BE360" s="44"/>
      <c r="BF360" s="44"/>
      <c r="BG360" s="44"/>
      <c r="BH360" s="44"/>
      <c r="BI360" s="44"/>
      <c r="BJ360" s="44"/>
      <c r="BK360" s="44"/>
      <c r="BL360" s="44"/>
      <c r="BM360" s="44"/>
      <c r="BN360" s="44"/>
      <c r="BO360" s="44"/>
      <c r="BP360" s="44"/>
      <c r="BQ360" s="44"/>
      <c r="BR360" s="44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4"/>
      <c r="CU360" s="44"/>
      <c r="CV360" s="44"/>
      <c r="CW360" s="44"/>
      <c r="CX360" s="44"/>
      <c r="CY360" s="45"/>
      <c r="CZ360" s="44"/>
      <c r="DA360" s="44"/>
      <c r="DB360" s="44"/>
      <c r="DC360" s="44"/>
      <c r="DD360" s="44"/>
      <c r="DE360" s="44"/>
      <c r="DF360" s="44"/>
      <c r="DG360" s="44"/>
      <c r="DH360" s="44"/>
      <c r="DI360" s="44"/>
    </row>
    <row r="361" spans="1:113" s="24" customFormat="1" ht="12" outlineLevel="1">
      <c r="A361" s="19"/>
      <c r="B361" s="24" t="s">
        <v>591</v>
      </c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  <c r="AJ361" s="55"/>
      <c r="AK361" s="55"/>
      <c r="AL361" s="55"/>
      <c r="AM361" s="55"/>
      <c r="AN361" s="55"/>
      <c r="AO361" s="55"/>
      <c r="AP361" s="526"/>
      <c r="AQ361" s="526"/>
      <c r="AR361" s="526"/>
      <c r="AS361" s="526"/>
      <c r="AT361" s="526"/>
      <c r="AU361" s="526"/>
      <c r="AV361" s="526"/>
      <c r="AW361" s="524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5"/>
      <c r="BT361" s="55"/>
      <c r="BU361" s="55"/>
      <c r="BV361" s="55"/>
      <c r="BW361" s="55"/>
      <c r="BX361" s="55"/>
      <c r="BY361" s="55"/>
      <c r="BZ361" s="55"/>
      <c r="CA361" s="55"/>
      <c r="CB361" s="55"/>
      <c r="CC361" s="55"/>
      <c r="CD361" s="55"/>
      <c r="CE361" s="55"/>
      <c r="CF361" s="55"/>
      <c r="CG361" s="55"/>
      <c r="CH361" s="55"/>
      <c r="CI361" s="55"/>
      <c r="CJ361" s="55"/>
      <c r="CK361" s="55"/>
      <c r="CL361" s="55"/>
      <c r="CM361" s="55"/>
      <c r="CN361" s="55"/>
      <c r="CO361" s="55"/>
      <c r="CP361" s="55"/>
      <c r="CQ361" s="55"/>
      <c r="CR361" s="55"/>
      <c r="CS361" s="55"/>
      <c r="CT361" s="526"/>
      <c r="CU361" s="526"/>
      <c r="CV361" s="526"/>
      <c r="CW361" s="526"/>
      <c r="CX361" s="526"/>
      <c r="CY361" s="524"/>
      <c r="CZ361" s="526"/>
      <c r="DA361" s="526"/>
      <c r="DB361" s="526"/>
      <c r="DC361" s="526"/>
      <c r="DD361" s="526"/>
      <c r="DE361" s="526"/>
      <c r="DF361" s="526"/>
      <c r="DG361" s="526"/>
      <c r="DH361" s="526"/>
      <c r="DI361" s="526"/>
    </row>
    <row r="362" spans="1:113" ht="12" outlineLevel="1">
      <c r="A362" s="1" t="s">
        <v>136</v>
      </c>
      <c r="B362" s="19" t="s">
        <v>589</v>
      </c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4">
        <v>0</v>
      </c>
      <c r="AQ362" s="44">
        <v>0</v>
      </c>
      <c r="AR362" s="44">
        <v>0</v>
      </c>
      <c r="AS362" s="44">
        <v>0</v>
      </c>
      <c r="AT362" s="44">
        <v>0</v>
      </c>
      <c r="AU362" s="44">
        <v>0</v>
      </c>
      <c r="AV362" s="44">
        <v>0</v>
      </c>
      <c r="AW362" s="45">
        <v>0</v>
      </c>
      <c r="AX362" s="44"/>
      <c r="AY362" s="44"/>
      <c r="AZ362" s="44"/>
      <c r="BA362" s="44"/>
      <c r="BB362" s="44"/>
      <c r="BC362" s="44"/>
      <c r="BD362" s="44"/>
      <c r="BE362" s="44"/>
      <c r="BF362" s="44"/>
      <c r="BG362" s="44"/>
      <c r="BH362" s="44"/>
      <c r="BI362" s="44"/>
      <c r="BJ362" s="44"/>
      <c r="BK362" s="44"/>
      <c r="BL362" s="44"/>
      <c r="BM362" s="44"/>
      <c r="BN362" s="44"/>
      <c r="BO362" s="44"/>
      <c r="BP362" s="44"/>
      <c r="BQ362" s="44"/>
      <c r="BR362" s="44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4">
        <v>0</v>
      </c>
      <c r="CU362" s="44">
        <v>0</v>
      </c>
      <c r="CV362" s="44">
        <v>0</v>
      </c>
      <c r="CW362" s="44">
        <v>0</v>
      </c>
      <c r="CX362" s="44">
        <v>0</v>
      </c>
      <c r="CY362" s="45">
        <v>0</v>
      </c>
      <c r="CZ362" s="44">
        <v>0</v>
      </c>
      <c r="DA362" s="44">
        <v>0</v>
      </c>
      <c r="DB362" s="44">
        <v>0</v>
      </c>
      <c r="DC362" s="44">
        <v>0</v>
      </c>
      <c r="DD362" s="44">
        <v>0</v>
      </c>
      <c r="DE362" s="44">
        <v>0</v>
      </c>
      <c r="DF362" s="44">
        <v>0</v>
      </c>
      <c r="DG362" s="44">
        <v>0</v>
      </c>
      <c r="DH362" s="44">
        <v>0</v>
      </c>
      <c r="DI362" s="44">
        <v>0</v>
      </c>
    </row>
    <row r="363" spans="1:113" ht="12" outlineLevel="1">
      <c r="A363" s="1" t="s">
        <v>137</v>
      </c>
      <c r="B363" s="19" t="s">
        <v>470</v>
      </c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4">
        <v>0</v>
      </c>
      <c r="AQ363" s="44">
        <v>0</v>
      </c>
      <c r="AR363" s="44">
        <v>0</v>
      </c>
      <c r="AS363" s="44">
        <v>0</v>
      </c>
      <c r="AT363" s="44">
        <v>0</v>
      </c>
      <c r="AU363" s="44">
        <v>0</v>
      </c>
      <c r="AV363" s="44">
        <v>0</v>
      </c>
      <c r="AW363" s="45">
        <v>0</v>
      </c>
      <c r="AX363" s="44"/>
      <c r="AY363" s="44"/>
      <c r="AZ363" s="44"/>
      <c r="BA363" s="44"/>
      <c r="BB363" s="44"/>
      <c r="BC363" s="44"/>
      <c r="BD363" s="44"/>
      <c r="BE363" s="44"/>
      <c r="BF363" s="44"/>
      <c r="BG363" s="44"/>
      <c r="BH363" s="44"/>
      <c r="BI363" s="44"/>
      <c r="BJ363" s="44"/>
      <c r="BK363" s="44"/>
      <c r="BL363" s="44"/>
      <c r="BM363" s="44"/>
      <c r="BN363" s="44"/>
      <c r="BO363" s="44"/>
      <c r="BP363" s="44"/>
      <c r="BQ363" s="44"/>
      <c r="BR363" s="44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4">
        <v>0</v>
      </c>
      <c r="CU363" s="44">
        <v>0</v>
      </c>
      <c r="CV363" s="44">
        <v>0</v>
      </c>
      <c r="CW363" s="44">
        <v>0</v>
      </c>
      <c r="CX363" s="44">
        <v>0</v>
      </c>
      <c r="CY363" s="45">
        <v>0</v>
      </c>
      <c r="CZ363" s="44">
        <v>0</v>
      </c>
      <c r="DA363" s="44">
        <v>0</v>
      </c>
      <c r="DB363" s="44">
        <v>0</v>
      </c>
      <c r="DC363" s="44">
        <v>0</v>
      </c>
      <c r="DD363" s="44">
        <v>0</v>
      </c>
      <c r="DE363" s="44">
        <v>0</v>
      </c>
      <c r="DF363" s="44">
        <v>0</v>
      </c>
      <c r="DG363" s="44">
        <v>0</v>
      </c>
      <c r="DH363" s="44">
        <v>0</v>
      </c>
      <c r="DI363" s="44">
        <v>0</v>
      </c>
    </row>
    <row r="364" spans="1:113" s="24" customFormat="1" ht="12" outlineLevel="1">
      <c r="A364" s="1" t="s">
        <v>138</v>
      </c>
      <c r="B364" s="24" t="s">
        <v>166</v>
      </c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  <c r="AJ364" s="55"/>
      <c r="AK364" s="55"/>
      <c r="AL364" s="55"/>
      <c r="AM364" s="55"/>
      <c r="AN364" s="55"/>
      <c r="AO364" s="55"/>
      <c r="AP364" s="526">
        <v>0</v>
      </c>
      <c r="AQ364" s="526">
        <v>0</v>
      </c>
      <c r="AR364" s="526">
        <v>0</v>
      </c>
      <c r="AS364" s="526">
        <v>0</v>
      </c>
      <c r="AT364" s="526">
        <v>0</v>
      </c>
      <c r="AU364" s="526">
        <v>0</v>
      </c>
      <c r="AV364" s="526">
        <v>0</v>
      </c>
      <c r="AW364" s="524">
        <v>0</v>
      </c>
      <c r="AX364" s="526">
        <v>0</v>
      </c>
      <c r="AY364" s="526">
        <v>0</v>
      </c>
      <c r="AZ364" s="526">
        <v>0</v>
      </c>
      <c r="BA364" s="526">
        <v>0</v>
      </c>
      <c r="BB364" s="526">
        <v>0</v>
      </c>
      <c r="BC364" s="526">
        <v>0</v>
      </c>
      <c r="BD364" s="526">
        <v>0</v>
      </c>
      <c r="BE364" s="526">
        <v>0</v>
      </c>
      <c r="BF364" s="526">
        <v>0</v>
      </c>
      <c r="BG364" s="526">
        <v>0</v>
      </c>
      <c r="BH364" s="526">
        <v>0</v>
      </c>
      <c r="BI364" s="526">
        <v>0</v>
      </c>
      <c r="BJ364" s="526">
        <v>0</v>
      </c>
      <c r="BK364" s="526">
        <v>0</v>
      </c>
      <c r="BL364" s="526">
        <v>0</v>
      </c>
      <c r="BM364" s="526">
        <v>0</v>
      </c>
      <c r="BN364" s="526">
        <v>0</v>
      </c>
      <c r="BO364" s="526">
        <v>0</v>
      </c>
      <c r="BP364" s="526">
        <v>0</v>
      </c>
      <c r="BQ364" s="526">
        <v>0</v>
      </c>
      <c r="BR364" s="526"/>
      <c r="BS364" s="117"/>
      <c r="BT364" s="117"/>
      <c r="BU364" s="117"/>
      <c r="BV364" s="117"/>
      <c r="BW364" s="117"/>
      <c r="BX364" s="117"/>
      <c r="BY364" s="117"/>
      <c r="BZ364" s="117"/>
      <c r="CA364" s="117"/>
      <c r="CB364" s="117"/>
      <c r="CC364" s="55"/>
      <c r="CD364" s="55"/>
      <c r="CE364" s="55"/>
      <c r="CF364" s="55"/>
      <c r="CG364" s="55"/>
      <c r="CH364" s="55"/>
      <c r="CI364" s="55"/>
      <c r="CJ364" s="55"/>
      <c r="CK364" s="55"/>
      <c r="CL364" s="55"/>
      <c r="CM364" s="55"/>
      <c r="CN364" s="55"/>
      <c r="CO364" s="55"/>
      <c r="CP364" s="55"/>
      <c r="CQ364" s="55"/>
      <c r="CR364" s="55"/>
      <c r="CS364" s="55"/>
      <c r="CT364" s="526">
        <v>0</v>
      </c>
      <c r="CU364" s="526">
        <v>0</v>
      </c>
      <c r="CV364" s="526">
        <v>0</v>
      </c>
      <c r="CW364" s="526">
        <v>0</v>
      </c>
      <c r="CX364" s="526">
        <v>0</v>
      </c>
      <c r="CY364" s="524">
        <v>0</v>
      </c>
      <c r="CZ364" s="526">
        <v>0</v>
      </c>
      <c r="DA364" s="526">
        <v>0</v>
      </c>
      <c r="DB364" s="526">
        <v>0</v>
      </c>
      <c r="DC364" s="526">
        <v>0</v>
      </c>
      <c r="DD364" s="526">
        <v>0</v>
      </c>
      <c r="DE364" s="526">
        <v>0</v>
      </c>
      <c r="DF364" s="526">
        <v>0</v>
      </c>
      <c r="DG364" s="526">
        <v>0</v>
      </c>
      <c r="DH364" s="526">
        <v>0</v>
      </c>
      <c r="DI364" s="526">
        <v>0</v>
      </c>
    </row>
    <row r="365" spans="1:113" ht="12" outlineLevel="1"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4"/>
      <c r="AQ365" s="44"/>
      <c r="AR365" s="44"/>
      <c r="AS365" s="44"/>
      <c r="AT365" s="44"/>
      <c r="AU365" s="44"/>
      <c r="AV365" s="44"/>
      <c r="AW365" s="45"/>
      <c r="AX365" s="44"/>
      <c r="AY365" s="44"/>
      <c r="AZ365" s="44"/>
      <c r="BA365" s="44"/>
      <c r="BB365" s="44"/>
      <c r="BC365" s="44"/>
      <c r="BD365" s="44"/>
      <c r="BE365" s="44"/>
      <c r="BF365" s="44"/>
      <c r="BG365" s="44"/>
      <c r="BH365" s="44"/>
      <c r="BI365" s="44"/>
      <c r="BJ365" s="44"/>
      <c r="BK365" s="44"/>
      <c r="BL365" s="44"/>
      <c r="BM365" s="44"/>
      <c r="BN365" s="44"/>
      <c r="BO365" s="44"/>
      <c r="BP365" s="44"/>
      <c r="BQ365" s="44"/>
      <c r="BR365" s="44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4"/>
      <c r="CU365" s="44"/>
      <c r="CV365" s="44"/>
      <c r="CW365" s="44"/>
      <c r="CX365" s="44"/>
      <c r="CY365" s="45"/>
      <c r="CZ365" s="44"/>
      <c r="DA365" s="44"/>
      <c r="DB365" s="44"/>
      <c r="DC365" s="44"/>
      <c r="DD365" s="44"/>
      <c r="DE365" s="44"/>
      <c r="DF365" s="44"/>
      <c r="DG365" s="44"/>
      <c r="DH365" s="44"/>
      <c r="DI365" s="44"/>
    </row>
    <row r="366" spans="1:113" s="24" customFormat="1" ht="12" outlineLevel="1">
      <c r="A366" s="1"/>
      <c r="B366" s="24" t="s">
        <v>491</v>
      </c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  <c r="AJ366" s="55"/>
      <c r="AK366" s="55"/>
      <c r="AL366" s="55"/>
      <c r="AM366" s="55"/>
      <c r="AN366" s="55"/>
      <c r="AO366" s="55"/>
      <c r="AP366" s="526"/>
      <c r="AQ366" s="526"/>
      <c r="AR366" s="526"/>
      <c r="AS366" s="526"/>
      <c r="AT366" s="526"/>
      <c r="AU366" s="526"/>
      <c r="AV366" s="526"/>
      <c r="AW366" s="524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5"/>
      <c r="BT366" s="55"/>
      <c r="BU366" s="55"/>
      <c r="BV366" s="55"/>
      <c r="BW366" s="55"/>
      <c r="BX366" s="55"/>
      <c r="BY366" s="55"/>
      <c r="BZ366" s="55"/>
      <c r="CA366" s="55"/>
      <c r="CB366" s="55"/>
      <c r="CC366" s="55"/>
      <c r="CD366" s="55"/>
      <c r="CE366" s="55"/>
      <c r="CF366" s="55"/>
      <c r="CG366" s="55"/>
      <c r="CH366" s="55"/>
      <c r="CI366" s="55"/>
      <c r="CJ366" s="55"/>
      <c r="CK366" s="55"/>
      <c r="CL366" s="55"/>
      <c r="CM366" s="55"/>
      <c r="CN366" s="55"/>
      <c r="CO366" s="55"/>
      <c r="CP366" s="55"/>
      <c r="CQ366" s="55"/>
      <c r="CR366" s="55"/>
      <c r="CS366" s="55"/>
      <c r="CT366" s="526"/>
      <c r="CU366" s="526"/>
      <c r="CV366" s="526"/>
      <c r="CW366" s="526"/>
      <c r="CX366" s="526"/>
      <c r="CY366" s="524"/>
      <c r="CZ366" s="526"/>
      <c r="DA366" s="526"/>
      <c r="DB366" s="526"/>
      <c r="DC366" s="526"/>
      <c r="DD366" s="526"/>
      <c r="DE366" s="526"/>
      <c r="DF366" s="526"/>
      <c r="DG366" s="526"/>
      <c r="DH366" s="526"/>
      <c r="DI366" s="526"/>
    </row>
    <row r="367" spans="1:113" ht="12" outlineLevel="1">
      <c r="A367" s="1" t="s">
        <v>220</v>
      </c>
      <c r="B367" s="19" t="s">
        <v>589</v>
      </c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4">
        <v>0</v>
      </c>
      <c r="AQ367" s="44">
        <v>0</v>
      </c>
      <c r="AR367" s="44">
        <v>0</v>
      </c>
      <c r="AS367" s="44">
        <v>0</v>
      </c>
      <c r="AT367" s="44">
        <v>0</v>
      </c>
      <c r="AU367" s="44">
        <v>0</v>
      </c>
      <c r="AV367" s="44">
        <v>0</v>
      </c>
      <c r="AW367" s="45">
        <v>0</v>
      </c>
      <c r="AX367" s="44"/>
      <c r="AY367" s="44"/>
      <c r="AZ367" s="44"/>
      <c r="BA367" s="44"/>
      <c r="BB367" s="44"/>
      <c r="BC367" s="44"/>
      <c r="BD367" s="44"/>
      <c r="BE367" s="44"/>
      <c r="BF367" s="44"/>
      <c r="BG367" s="44"/>
      <c r="BH367" s="44"/>
      <c r="BI367" s="44"/>
      <c r="BJ367" s="44"/>
      <c r="BK367" s="44"/>
      <c r="BL367" s="44"/>
      <c r="BM367" s="44"/>
      <c r="BN367" s="44"/>
      <c r="BO367" s="44"/>
      <c r="BP367" s="44"/>
      <c r="BQ367" s="44"/>
      <c r="BR367" s="44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4">
        <v>0</v>
      </c>
      <c r="CU367" s="44">
        <v>0</v>
      </c>
      <c r="CV367" s="44">
        <v>0</v>
      </c>
      <c r="CW367" s="44">
        <v>0</v>
      </c>
      <c r="CX367" s="44">
        <v>0</v>
      </c>
      <c r="CY367" s="45">
        <v>0</v>
      </c>
      <c r="CZ367" s="44">
        <v>0</v>
      </c>
      <c r="DA367" s="44">
        <v>0</v>
      </c>
      <c r="DB367" s="44">
        <v>0</v>
      </c>
      <c r="DC367" s="44">
        <v>0</v>
      </c>
      <c r="DD367" s="44">
        <v>0</v>
      </c>
      <c r="DE367" s="44">
        <v>0</v>
      </c>
      <c r="DF367" s="44">
        <v>0</v>
      </c>
      <c r="DG367" s="44">
        <v>0</v>
      </c>
      <c r="DH367" s="44">
        <v>0</v>
      </c>
      <c r="DI367" s="44">
        <v>0</v>
      </c>
    </row>
    <row r="368" spans="1:113" ht="12" outlineLevel="1">
      <c r="A368" s="1" t="s">
        <v>221</v>
      </c>
      <c r="B368" s="19" t="s">
        <v>470</v>
      </c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4">
        <v>0</v>
      </c>
      <c r="AQ368" s="44">
        <v>0</v>
      </c>
      <c r="AR368" s="44">
        <v>0</v>
      </c>
      <c r="AS368" s="44">
        <v>0</v>
      </c>
      <c r="AT368" s="44">
        <v>0</v>
      </c>
      <c r="AU368" s="44">
        <v>0</v>
      </c>
      <c r="AV368" s="44">
        <v>0</v>
      </c>
      <c r="AW368" s="45">
        <v>0</v>
      </c>
      <c r="AX368" s="44"/>
      <c r="AY368" s="44"/>
      <c r="AZ368" s="44"/>
      <c r="BA368" s="44"/>
      <c r="BB368" s="44"/>
      <c r="BC368" s="44"/>
      <c r="BD368" s="44"/>
      <c r="BE368" s="44"/>
      <c r="BF368" s="44"/>
      <c r="BG368" s="44"/>
      <c r="BH368" s="44"/>
      <c r="BI368" s="44"/>
      <c r="BJ368" s="44"/>
      <c r="BK368" s="44"/>
      <c r="BL368" s="44"/>
      <c r="BM368" s="44"/>
      <c r="BN368" s="44"/>
      <c r="BO368" s="44"/>
      <c r="BP368" s="44"/>
      <c r="BQ368" s="44"/>
      <c r="BR368" s="44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4">
        <v>0</v>
      </c>
      <c r="CU368" s="44">
        <v>0</v>
      </c>
      <c r="CV368" s="44">
        <v>0</v>
      </c>
      <c r="CW368" s="44">
        <v>0</v>
      </c>
      <c r="CX368" s="44">
        <v>0</v>
      </c>
      <c r="CY368" s="45">
        <v>0</v>
      </c>
      <c r="CZ368" s="44">
        <v>0</v>
      </c>
      <c r="DA368" s="44">
        <v>0</v>
      </c>
      <c r="DB368" s="44">
        <v>0</v>
      </c>
      <c r="DC368" s="44">
        <v>0</v>
      </c>
      <c r="DD368" s="44">
        <v>0</v>
      </c>
      <c r="DE368" s="44">
        <v>0</v>
      </c>
      <c r="DF368" s="44">
        <v>0</v>
      </c>
      <c r="DG368" s="44">
        <v>0</v>
      </c>
      <c r="DH368" s="44">
        <v>0</v>
      </c>
      <c r="DI368" s="44">
        <v>0</v>
      </c>
    </row>
    <row r="369" spans="1:113" s="24" customFormat="1" ht="12" outlineLevel="1">
      <c r="A369" s="1" t="s">
        <v>222</v>
      </c>
      <c r="B369" s="24" t="s">
        <v>166</v>
      </c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  <c r="AJ369" s="55"/>
      <c r="AK369" s="55"/>
      <c r="AL369" s="55"/>
      <c r="AM369" s="55"/>
      <c r="AN369" s="55"/>
      <c r="AO369" s="55"/>
      <c r="AP369" s="526">
        <v>0</v>
      </c>
      <c r="AQ369" s="526">
        <v>0</v>
      </c>
      <c r="AR369" s="526">
        <v>0</v>
      </c>
      <c r="AS369" s="526">
        <v>0</v>
      </c>
      <c r="AT369" s="526">
        <v>0</v>
      </c>
      <c r="AU369" s="526">
        <v>0</v>
      </c>
      <c r="AV369" s="526">
        <v>0</v>
      </c>
      <c r="AW369" s="524">
        <v>0</v>
      </c>
      <c r="AX369" s="526">
        <v>0</v>
      </c>
      <c r="AY369" s="526">
        <v>0</v>
      </c>
      <c r="AZ369" s="526">
        <v>0</v>
      </c>
      <c r="BA369" s="526">
        <v>0</v>
      </c>
      <c r="BB369" s="526">
        <v>0</v>
      </c>
      <c r="BC369" s="526">
        <v>0</v>
      </c>
      <c r="BD369" s="526">
        <v>0</v>
      </c>
      <c r="BE369" s="526">
        <v>0</v>
      </c>
      <c r="BF369" s="526">
        <v>0</v>
      </c>
      <c r="BG369" s="526">
        <v>0</v>
      </c>
      <c r="BH369" s="526">
        <v>0</v>
      </c>
      <c r="BI369" s="526">
        <v>0</v>
      </c>
      <c r="BJ369" s="526">
        <v>0</v>
      </c>
      <c r="BK369" s="526">
        <v>0</v>
      </c>
      <c r="BL369" s="526">
        <v>0</v>
      </c>
      <c r="BM369" s="526">
        <v>0</v>
      </c>
      <c r="BN369" s="526">
        <v>0</v>
      </c>
      <c r="BO369" s="526">
        <v>0</v>
      </c>
      <c r="BP369" s="526">
        <v>0</v>
      </c>
      <c r="BQ369" s="526">
        <v>0</v>
      </c>
      <c r="BR369" s="526"/>
      <c r="BS369" s="117"/>
      <c r="BT369" s="117"/>
      <c r="BU369" s="117"/>
      <c r="BV369" s="117"/>
      <c r="BW369" s="117"/>
      <c r="BX369" s="117"/>
      <c r="BY369" s="117"/>
      <c r="BZ369" s="117"/>
      <c r="CA369" s="117"/>
      <c r="CB369" s="117"/>
      <c r="CC369" s="55"/>
      <c r="CD369" s="55"/>
      <c r="CE369" s="55"/>
      <c r="CF369" s="55"/>
      <c r="CG369" s="55"/>
      <c r="CH369" s="55"/>
      <c r="CI369" s="55"/>
      <c r="CJ369" s="55"/>
      <c r="CK369" s="55"/>
      <c r="CL369" s="55"/>
      <c r="CM369" s="55"/>
      <c r="CN369" s="55"/>
      <c r="CO369" s="55"/>
      <c r="CP369" s="55"/>
      <c r="CQ369" s="55"/>
      <c r="CR369" s="55"/>
      <c r="CS369" s="55"/>
      <c r="CT369" s="526">
        <v>0</v>
      </c>
      <c r="CU369" s="526">
        <v>0</v>
      </c>
      <c r="CV369" s="526">
        <v>0</v>
      </c>
      <c r="CW369" s="526">
        <v>0</v>
      </c>
      <c r="CX369" s="526">
        <v>0</v>
      </c>
      <c r="CY369" s="524">
        <v>0</v>
      </c>
      <c r="CZ369" s="526">
        <v>0</v>
      </c>
      <c r="DA369" s="526">
        <v>0</v>
      </c>
      <c r="DB369" s="526">
        <v>0</v>
      </c>
      <c r="DC369" s="526">
        <v>0</v>
      </c>
      <c r="DD369" s="526">
        <v>0</v>
      </c>
      <c r="DE369" s="526">
        <v>0</v>
      </c>
      <c r="DF369" s="526">
        <v>0</v>
      </c>
      <c r="DG369" s="526">
        <v>0</v>
      </c>
      <c r="DH369" s="526">
        <v>0</v>
      </c>
      <c r="DI369" s="526">
        <v>0</v>
      </c>
    </row>
    <row r="370" spans="1:113" ht="12" outlineLevel="1"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4"/>
      <c r="AQ370" s="44"/>
      <c r="AR370" s="44"/>
      <c r="AS370" s="44"/>
      <c r="AT370" s="44"/>
      <c r="AU370" s="44"/>
      <c r="AV370" s="44"/>
      <c r="AW370" s="45"/>
      <c r="AX370" s="44"/>
      <c r="AY370" s="44"/>
      <c r="AZ370" s="44"/>
      <c r="BA370" s="44"/>
      <c r="BB370" s="44"/>
      <c r="BC370" s="44"/>
      <c r="BD370" s="44"/>
      <c r="BE370" s="44"/>
      <c r="BF370" s="44"/>
      <c r="BG370" s="44"/>
      <c r="BH370" s="44"/>
      <c r="BI370" s="44"/>
      <c r="BJ370" s="44"/>
      <c r="BK370" s="44"/>
      <c r="BL370" s="44"/>
      <c r="BM370" s="44"/>
      <c r="BN370" s="44"/>
      <c r="BO370" s="44"/>
      <c r="BP370" s="44"/>
      <c r="BQ370" s="44"/>
      <c r="BR370" s="44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4"/>
      <c r="CU370" s="44"/>
      <c r="CV370" s="44"/>
      <c r="CW370" s="44"/>
      <c r="CX370" s="44"/>
      <c r="CY370" s="45"/>
      <c r="CZ370" s="44"/>
      <c r="DA370" s="44"/>
      <c r="DB370" s="44"/>
      <c r="DC370" s="529"/>
      <c r="DD370" s="529"/>
      <c r="DE370" s="529"/>
      <c r="DF370" s="529"/>
      <c r="DG370" s="529"/>
      <c r="DH370" s="529"/>
      <c r="DI370" s="529"/>
    </row>
    <row r="371" spans="1:113" s="24" customFormat="1" ht="12" outlineLevel="1">
      <c r="A371" s="19"/>
      <c r="B371" s="24" t="s">
        <v>496</v>
      </c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  <c r="AJ371" s="55"/>
      <c r="AK371" s="55"/>
      <c r="AL371" s="55"/>
      <c r="AM371" s="55"/>
      <c r="AN371" s="55"/>
      <c r="AO371" s="55"/>
      <c r="AP371" s="526"/>
      <c r="AQ371" s="526"/>
      <c r="AR371" s="526"/>
      <c r="AS371" s="526"/>
      <c r="AT371" s="526"/>
      <c r="AU371" s="526"/>
      <c r="AV371" s="526"/>
      <c r="AW371" s="524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5"/>
      <c r="BT371" s="55"/>
      <c r="BU371" s="55"/>
      <c r="BV371" s="55"/>
      <c r="BW371" s="55"/>
      <c r="BX371" s="55"/>
      <c r="BY371" s="55"/>
      <c r="BZ371" s="55"/>
      <c r="CA371" s="55"/>
      <c r="CB371" s="55"/>
      <c r="CC371" s="55"/>
      <c r="CD371" s="55"/>
      <c r="CE371" s="55"/>
      <c r="CF371" s="55"/>
      <c r="CG371" s="55"/>
      <c r="CH371" s="55"/>
      <c r="CI371" s="55"/>
      <c r="CJ371" s="55"/>
      <c r="CK371" s="55"/>
      <c r="CL371" s="55"/>
      <c r="CM371" s="55"/>
      <c r="CN371" s="55"/>
      <c r="CO371" s="55"/>
      <c r="CP371" s="55"/>
      <c r="CQ371" s="55"/>
      <c r="CR371" s="55"/>
      <c r="CS371" s="55"/>
      <c r="CT371" s="526"/>
      <c r="CU371" s="526"/>
      <c r="CV371" s="526"/>
      <c r="CW371" s="526"/>
      <c r="CX371" s="526"/>
      <c r="CY371" s="524"/>
      <c r="CZ371" s="526"/>
      <c r="DA371" s="526"/>
      <c r="DB371" s="526"/>
      <c r="DC371" s="541"/>
      <c r="DD371" s="541"/>
      <c r="DE371" s="541"/>
      <c r="DF371" s="541"/>
      <c r="DG371" s="541"/>
      <c r="DH371" s="541"/>
      <c r="DI371" s="541"/>
    </row>
    <row r="372" spans="1:113" ht="12" outlineLevel="1">
      <c r="A372" s="1" t="s">
        <v>311</v>
      </c>
      <c r="B372" s="19" t="s">
        <v>589</v>
      </c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4">
        <v>0</v>
      </c>
      <c r="AQ372" s="44">
        <v>0</v>
      </c>
      <c r="AR372" s="44">
        <v>0</v>
      </c>
      <c r="AS372" s="44">
        <v>0</v>
      </c>
      <c r="AT372" s="44">
        <v>0</v>
      </c>
      <c r="AU372" s="44">
        <v>0</v>
      </c>
      <c r="AV372" s="44">
        <v>0</v>
      </c>
      <c r="AW372" s="45">
        <v>0</v>
      </c>
      <c r="AX372" s="44"/>
      <c r="AY372" s="44"/>
      <c r="AZ372" s="44"/>
      <c r="BA372" s="44"/>
      <c r="BB372" s="44"/>
      <c r="BC372" s="44"/>
      <c r="BD372" s="44"/>
      <c r="BE372" s="44"/>
      <c r="BF372" s="44"/>
      <c r="BG372" s="44"/>
      <c r="BH372" s="44"/>
      <c r="BI372" s="44"/>
      <c r="BJ372" s="44"/>
      <c r="BK372" s="44"/>
      <c r="BL372" s="44"/>
      <c r="BM372" s="44"/>
      <c r="BN372" s="44"/>
      <c r="BO372" s="44"/>
      <c r="BP372" s="44"/>
      <c r="BQ372" s="44"/>
      <c r="BR372" s="44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4">
        <v>0</v>
      </c>
      <c r="CU372" s="44">
        <v>0</v>
      </c>
      <c r="CV372" s="44">
        <v>0</v>
      </c>
      <c r="CW372" s="44">
        <v>0</v>
      </c>
      <c r="CX372" s="44">
        <v>0</v>
      </c>
      <c r="CY372" s="45">
        <v>0</v>
      </c>
      <c r="CZ372" s="44">
        <v>0</v>
      </c>
      <c r="DA372" s="44">
        <v>0</v>
      </c>
      <c r="DB372" s="44">
        <v>0</v>
      </c>
      <c r="DC372" s="44">
        <v>0</v>
      </c>
      <c r="DD372" s="44">
        <v>0</v>
      </c>
      <c r="DE372" s="44">
        <v>0</v>
      </c>
      <c r="DF372" s="44">
        <v>0</v>
      </c>
      <c r="DG372" s="44">
        <v>0</v>
      </c>
      <c r="DH372" s="44">
        <v>0</v>
      </c>
      <c r="DI372" s="44">
        <v>0</v>
      </c>
    </row>
    <row r="373" spans="1:113" ht="12" outlineLevel="1">
      <c r="A373" s="1" t="s">
        <v>312</v>
      </c>
      <c r="B373" s="19" t="s">
        <v>590</v>
      </c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4">
        <v>-13.808650618513905</v>
      </c>
      <c r="AQ373" s="44">
        <v>-13.003252198780126</v>
      </c>
      <c r="AR373" s="44">
        <v>-15.250430157585745</v>
      </c>
      <c r="AS373" s="44">
        <v>-9.0718162644154283</v>
      </c>
      <c r="AT373" s="44">
        <v>5.8709903695493164</v>
      </c>
      <c r="AU373" s="44">
        <v>-6.3508535769231065</v>
      </c>
      <c r="AV373" s="44">
        <v>-23.214089934426219</v>
      </c>
      <c r="AW373" s="45">
        <v>-28.732763626229556</v>
      </c>
      <c r="AX373" s="44"/>
      <c r="AY373" s="44"/>
      <c r="AZ373" s="44"/>
      <c r="BA373" s="44"/>
      <c r="BB373" s="44"/>
      <c r="BC373" s="44"/>
      <c r="BD373" s="44"/>
      <c r="BE373" s="44"/>
      <c r="BF373" s="44"/>
      <c r="BG373" s="44"/>
      <c r="BH373" s="44"/>
      <c r="BI373" s="44"/>
      <c r="BJ373" s="44"/>
      <c r="BK373" s="44"/>
      <c r="BL373" s="44"/>
      <c r="BM373" s="44"/>
      <c r="BN373" s="44"/>
      <c r="BO373" s="44"/>
      <c r="BP373" s="44"/>
      <c r="BQ373" s="44"/>
      <c r="BR373" s="44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4">
        <v>-0.88543246153846122</v>
      </c>
      <c r="CU373" s="44">
        <v>-11.518502347328246</v>
      </c>
      <c r="CV373" s="44">
        <v>-26.811902817294033</v>
      </c>
      <c r="CW373" s="44">
        <v>-24.322246422001172</v>
      </c>
      <c r="CX373" s="44">
        <v>-0.47986320737379007</v>
      </c>
      <c r="CY373" s="45">
        <v>-51.946853560655775</v>
      </c>
      <c r="CZ373" s="44">
        <v>0</v>
      </c>
      <c r="DA373" s="44">
        <v>0</v>
      </c>
      <c r="DB373" s="44">
        <v>0</v>
      </c>
      <c r="DC373" s="44">
        <v>0</v>
      </c>
      <c r="DD373" s="44">
        <v>0</v>
      </c>
      <c r="DE373" s="44">
        <v>0</v>
      </c>
      <c r="DF373" s="44">
        <v>0</v>
      </c>
      <c r="DG373" s="44">
        <v>0</v>
      </c>
      <c r="DH373" s="44">
        <v>0</v>
      </c>
      <c r="DI373" s="44">
        <v>0</v>
      </c>
    </row>
    <row r="374" spans="1:113" s="24" customFormat="1" ht="12" outlineLevel="1">
      <c r="A374" s="1" t="s">
        <v>313</v>
      </c>
      <c r="B374" s="24" t="s">
        <v>166</v>
      </c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  <c r="AJ374" s="55"/>
      <c r="AK374" s="55"/>
      <c r="AL374" s="55"/>
      <c r="AM374" s="55"/>
      <c r="AN374" s="55"/>
      <c r="AO374" s="55"/>
      <c r="AP374" s="526">
        <v>-13.808650618513905</v>
      </c>
      <c r="AQ374" s="526">
        <v>-13.003252198780126</v>
      </c>
      <c r="AR374" s="526">
        <v>-15.250430157585745</v>
      </c>
      <c r="AS374" s="526">
        <v>-9.0718162644154283</v>
      </c>
      <c r="AT374" s="526">
        <v>5.8709903695493164</v>
      </c>
      <c r="AU374" s="526">
        <v>-6.3508535769231065</v>
      </c>
      <c r="AV374" s="526">
        <v>-23.214089934426219</v>
      </c>
      <c r="AW374" s="524">
        <v>-28.732763626229556</v>
      </c>
      <c r="AX374" s="526">
        <v>-37.466719053135876</v>
      </c>
      <c r="AY374" s="526">
        <v>-42.568948799302774</v>
      </c>
      <c r="AZ374" s="526">
        <v>-49.077228158885589</v>
      </c>
      <c r="BA374" s="526">
        <v>-53.811844851039915</v>
      </c>
      <c r="BB374" s="526">
        <v>-59.957635157334707</v>
      </c>
      <c r="BC374" s="526">
        <v>-61.909100723460043</v>
      </c>
      <c r="BD374" s="526">
        <v>-64.929147318103148</v>
      </c>
      <c r="BE374" s="526">
        <v>-67.222128925600146</v>
      </c>
      <c r="BF374" s="526">
        <v>-70.806301901209167</v>
      </c>
      <c r="BG374" s="526">
        <v>-71.859479583504211</v>
      </c>
      <c r="BH374" s="526">
        <v>-74.995028551718818</v>
      </c>
      <c r="BI374" s="526">
        <v>-75.373006826411995</v>
      </c>
      <c r="BJ374" s="526">
        <v>-78.284960957609826</v>
      </c>
      <c r="BK374" s="526">
        <v>-78.679750837102659</v>
      </c>
      <c r="BL374" s="526">
        <v>-81.496417913557366</v>
      </c>
      <c r="BM374" s="526">
        <v>-82.360169670728624</v>
      </c>
      <c r="BN374" s="526">
        <v>-85.305624058551544</v>
      </c>
      <c r="BO374" s="526">
        <v>-85.736316023986262</v>
      </c>
      <c r="BP374" s="526">
        <v>-89.049419625686298</v>
      </c>
      <c r="BQ374" s="526">
        <v>-89.499270267767344</v>
      </c>
      <c r="BR374" s="526"/>
      <c r="BS374" s="55"/>
      <c r="BT374" s="55"/>
      <c r="BU374" s="55"/>
      <c r="BV374" s="55"/>
      <c r="BW374" s="55"/>
      <c r="BX374" s="55"/>
      <c r="BY374" s="55"/>
      <c r="BZ374" s="55"/>
      <c r="CA374" s="55"/>
      <c r="CB374" s="55"/>
      <c r="CC374" s="55"/>
      <c r="CD374" s="55"/>
      <c r="CE374" s="55"/>
      <c r="CF374" s="55"/>
      <c r="CG374" s="55"/>
      <c r="CH374" s="55"/>
      <c r="CI374" s="55"/>
      <c r="CJ374" s="55"/>
      <c r="CK374" s="55"/>
      <c r="CL374" s="55"/>
      <c r="CM374" s="55"/>
      <c r="CN374" s="55"/>
      <c r="CO374" s="55"/>
      <c r="CP374" s="55"/>
      <c r="CQ374" s="55"/>
      <c r="CR374" s="55"/>
      <c r="CS374" s="55"/>
      <c r="CT374" s="526">
        <v>-0.88543246153846122</v>
      </c>
      <c r="CU374" s="526">
        <v>-11.518502347328246</v>
      </c>
      <c r="CV374" s="526">
        <v>-26.811902817294033</v>
      </c>
      <c r="CW374" s="526">
        <v>-24.322246422001172</v>
      </c>
      <c r="CX374" s="526">
        <v>-0.47986320737379007</v>
      </c>
      <c r="CY374" s="524">
        <v>-51.946853560655775</v>
      </c>
      <c r="CZ374" s="526">
        <v>-80.03566785243865</v>
      </c>
      <c r="DA374" s="526">
        <v>-102.88907300992551</v>
      </c>
      <c r="DB374" s="526">
        <v>-121.86673588079475</v>
      </c>
      <c r="DC374" s="526">
        <v>-132.15127624370331</v>
      </c>
      <c r="DD374" s="526">
        <v>-142.66578148471336</v>
      </c>
      <c r="DE374" s="526">
        <v>-150.3680353781308</v>
      </c>
      <c r="DF374" s="526">
        <v>-156.96471179471249</v>
      </c>
      <c r="DG374" s="526">
        <v>-163.85658758428599</v>
      </c>
      <c r="DH374" s="526">
        <v>-171.04194008253779</v>
      </c>
      <c r="DI374" s="526">
        <v>-178.54868989345363</v>
      </c>
    </row>
    <row r="375" spans="1:113" ht="12" outlineLevel="1">
      <c r="A375" s="1" t="s">
        <v>314</v>
      </c>
      <c r="B375" s="19" t="s">
        <v>275</v>
      </c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4">
        <v>-5.8370350498132009</v>
      </c>
      <c r="AQ375" s="44">
        <v>-7.6715699710029064</v>
      </c>
      <c r="AR375" s="44">
        <v>-8.7784851992996185</v>
      </c>
      <c r="AS375" s="44">
        <v>3.2040129200382119</v>
      </c>
      <c r="AT375" s="44">
        <v>33.61631023469625</v>
      </c>
      <c r="AU375" s="44">
        <v>35.825200863435207</v>
      </c>
      <c r="AV375" s="44">
        <v>27.426567682723789</v>
      </c>
      <c r="AW375" s="45">
        <v>-2.9843527934426994</v>
      </c>
      <c r="AX375" s="44">
        <v>-32.21253820272441</v>
      </c>
      <c r="AY375" s="44">
        <v>-28.092817632705263</v>
      </c>
      <c r="AZ375" s="44">
        <v>-27.72715360724278</v>
      </c>
      <c r="BA375" s="44">
        <v>-26.731656290262976</v>
      </c>
      <c r="BB375" s="44">
        <v>-24.872154624148237</v>
      </c>
      <c r="BC375" s="44">
        <v>-25.64762124371812</v>
      </c>
      <c r="BD375" s="44">
        <v>-29.621394658978769</v>
      </c>
      <c r="BE375" s="44">
        <v>-31.129384485703721</v>
      </c>
      <c r="BF375" s="44">
        <v>-33.07844053148407</v>
      </c>
      <c r="BG375" s="44">
        <v>-33.679287231956373</v>
      </c>
      <c r="BH375" s="44">
        <v>-35.140183991291615</v>
      </c>
      <c r="BI375" s="44">
        <v>-35.173296264168521</v>
      </c>
      <c r="BJ375" s="44">
        <v>-36.397821043856588</v>
      </c>
      <c r="BK375" s="44">
        <v>-36.436032480992239</v>
      </c>
      <c r="BL375" s="44">
        <v>-37.605461100548801</v>
      </c>
      <c r="BM375" s="44">
        <v>-37.844883546129005</v>
      </c>
      <c r="BN375" s="44">
        <v>-39.044271213459893</v>
      </c>
      <c r="BO375" s="44">
        <v>-39.079241047998849</v>
      </c>
      <c r="BP375" s="44">
        <v>-40.441352519203235</v>
      </c>
      <c r="BQ375" s="44">
        <v>-40.48071843827919</v>
      </c>
      <c r="BR375" s="44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4">
        <v>-3.0465708460087084</v>
      </c>
      <c r="CU375" s="44">
        <v>-6.3020127549618321</v>
      </c>
      <c r="CV375" s="44">
        <v>-13.508605020816107</v>
      </c>
      <c r="CW375" s="44">
        <v>-5.574472279261407</v>
      </c>
      <c r="CX375" s="44">
        <v>69.441511098131457</v>
      </c>
      <c r="CY375" s="45">
        <v>24.44221488928109</v>
      </c>
      <c r="CZ375" s="44">
        <v>-60.305355835429673</v>
      </c>
      <c r="DA375" s="44">
        <v>-54.458809897505759</v>
      </c>
      <c r="DB375" s="44">
        <v>-50.519775867866358</v>
      </c>
      <c r="DC375" s="44">
        <v>-60.75077914468249</v>
      </c>
      <c r="DD375" s="44">
        <v>-66.757727763440442</v>
      </c>
      <c r="DE375" s="44">
        <v>-70.313480255460135</v>
      </c>
      <c r="DF375" s="44">
        <v>-72.83385352484882</v>
      </c>
      <c r="DG375" s="44">
        <v>-75.450344646677806</v>
      </c>
      <c r="DH375" s="44">
        <v>-78.123512261458743</v>
      </c>
      <c r="DI375" s="44">
        <v>-80.922070957482418</v>
      </c>
    </row>
    <row r="376" spans="1:113" ht="12" outlineLevel="1">
      <c r="A376" s="1" t="s">
        <v>223</v>
      </c>
      <c r="B376" s="19" t="s">
        <v>276</v>
      </c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4">
        <v>0.18472713781652111</v>
      </c>
      <c r="AQ376" s="44">
        <v>0.16691888411158823</v>
      </c>
      <c r="AR376" s="44">
        <v>0.25713076114944894</v>
      </c>
      <c r="AS376" s="44">
        <v>3.8484813010512897</v>
      </c>
      <c r="AT376" s="44">
        <v>19.601974298943851</v>
      </c>
      <c r="AU376" s="44">
        <v>28.201478672961009</v>
      </c>
      <c r="AV376" s="44">
        <v>34.56921356065574</v>
      </c>
      <c r="AW376" s="45">
        <v>36.725922513114739</v>
      </c>
      <c r="AX376" s="44">
        <v>39.732423979473793</v>
      </c>
      <c r="AY376" s="44">
        <v>36.469678918915953</v>
      </c>
      <c r="AZ376" s="44">
        <v>33.184796354877768</v>
      </c>
      <c r="BA376" s="44">
        <v>32.181645932247903</v>
      </c>
      <c r="BB376" s="44">
        <v>34.029686604577265</v>
      </c>
      <c r="BC376" s="44">
        <v>34.252913792465009</v>
      </c>
      <c r="BD376" s="44">
        <v>35.572820822631023</v>
      </c>
      <c r="BE376" s="44">
        <v>36.076033577771646</v>
      </c>
      <c r="BF376" s="44">
        <v>37.527920620261852</v>
      </c>
      <c r="BG376" s="44">
        <v>37.908678392869959</v>
      </c>
      <c r="BH376" s="44">
        <v>39.576954542179713</v>
      </c>
      <c r="BI376" s="44">
        <v>40.011180659022536</v>
      </c>
      <c r="BJ376" s="44">
        <v>41.776011866723998</v>
      </c>
      <c r="BK376" s="44">
        <v>42.223639229316554</v>
      </c>
      <c r="BL376" s="44">
        <v>43.955217884680309</v>
      </c>
      <c r="BM376" s="44">
        <v>44.680537236236376</v>
      </c>
      <c r="BN376" s="44">
        <v>46.529619526709723</v>
      </c>
      <c r="BO376" s="44">
        <v>47.028903983821507</v>
      </c>
      <c r="BP376" s="44">
        <v>49.087565242113719</v>
      </c>
      <c r="BQ376" s="44">
        <v>49.604428731142811</v>
      </c>
      <c r="BR376" s="44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4">
        <v>1.5259599113207551</v>
      </c>
      <c r="CU376" s="44">
        <v>3.0798021251908407</v>
      </c>
      <c r="CV376" s="44">
        <v>0.35164602192810934</v>
      </c>
      <c r="CW376" s="44">
        <v>4.1056120622007386</v>
      </c>
      <c r="CX376" s="44">
        <v>47.803452971904861</v>
      </c>
      <c r="CY376" s="45">
        <v>71.295136073770479</v>
      </c>
      <c r="CZ376" s="44">
        <v>76.202102898389739</v>
      </c>
      <c r="DA376" s="44">
        <v>65.366442287125665</v>
      </c>
      <c r="DB376" s="44">
        <v>68.282600397042273</v>
      </c>
      <c r="DC376" s="44">
        <v>71.648854400402669</v>
      </c>
      <c r="DD376" s="44">
        <v>75.436599013131811</v>
      </c>
      <c r="DE376" s="44">
        <v>79.588135201202249</v>
      </c>
      <c r="DF376" s="44">
        <v>83.999651096040552</v>
      </c>
      <c r="DG376" s="44">
        <v>88.635755120916684</v>
      </c>
      <c r="DH376" s="44">
        <v>93.558523510531231</v>
      </c>
      <c r="DI376" s="44">
        <v>98.69199397325653</v>
      </c>
    </row>
    <row r="377" spans="1:113" s="24" customFormat="1" ht="12" outlineLevel="1">
      <c r="A377" s="1" t="s">
        <v>224</v>
      </c>
      <c r="B377" s="24" t="s">
        <v>579</v>
      </c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  <c r="AJ377" s="55"/>
      <c r="AK377" s="55"/>
      <c r="AL377" s="55"/>
      <c r="AM377" s="55"/>
      <c r="AN377" s="55"/>
      <c r="AO377" s="55"/>
      <c r="AP377" s="526">
        <v>-19.460958530510585</v>
      </c>
      <c r="AQ377" s="526">
        <v>-20.507903285671446</v>
      </c>
      <c r="AR377" s="526">
        <v>-23.771784595735916</v>
      </c>
      <c r="AS377" s="526">
        <v>-2.0193220433259258</v>
      </c>
      <c r="AT377" s="526">
        <v>59.089274903189413</v>
      </c>
      <c r="AU377" s="526">
        <v>57.675825959473109</v>
      </c>
      <c r="AV377" s="526">
        <v>38.781691308953306</v>
      </c>
      <c r="AW377" s="524">
        <v>5.0088060934424838</v>
      </c>
      <c r="AX377" s="526">
        <v>-29.946833276386485</v>
      </c>
      <c r="AY377" s="526">
        <v>-34.192087513092083</v>
      </c>
      <c r="AZ377" s="526">
        <v>-43.619585411250604</v>
      </c>
      <c r="BA377" s="526">
        <v>-48.361855209054994</v>
      </c>
      <c r="BB377" s="526">
        <v>-50.800103176905679</v>
      </c>
      <c r="BC377" s="526">
        <v>-53.303808174713154</v>
      </c>
      <c r="BD377" s="526">
        <v>-58.977721154450897</v>
      </c>
      <c r="BE377" s="526">
        <v>-62.275479833532223</v>
      </c>
      <c r="BF377" s="526">
        <v>-66.356821812431377</v>
      </c>
      <c r="BG377" s="526">
        <v>-67.630088422590617</v>
      </c>
      <c r="BH377" s="526">
        <v>-70.558258000830705</v>
      </c>
      <c r="BI377" s="526">
        <v>-70.535122431557994</v>
      </c>
      <c r="BJ377" s="526">
        <v>-72.90677013474243</v>
      </c>
      <c r="BK377" s="526">
        <v>-72.892144088778338</v>
      </c>
      <c r="BL377" s="526">
        <v>-75.146661129425866</v>
      </c>
      <c r="BM377" s="526">
        <v>-75.52451598062126</v>
      </c>
      <c r="BN377" s="526">
        <v>-77.820275745301714</v>
      </c>
      <c r="BO377" s="526">
        <v>-77.786653088163604</v>
      </c>
      <c r="BP377" s="526">
        <v>-80.403206902775821</v>
      </c>
      <c r="BQ377" s="526">
        <v>-80.375559974903723</v>
      </c>
      <c r="BR377" s="526"/>
      <c r="BS377" s="55"/>
      <c r="BT377" s="55"/>
      <c r="BU377" s="55"/>
      <c r="BV377" s="55"/>
      <c r="BW377" s="55"/>
      <c r="BX377" s="55"/>
      <c r="BY377" s="55"/>
      <c r="BZ377" s="55"/>
      <c r="CA377" s="55"/>
      <c r="CB377" s="55"/>
      <c r="CC377" s="55"/>
      <c r="CD377" s="55"/>
      <c r="CE377" s="55"/>
      <c r="CF377" s="55"/>
      <c r="CG377" s="55"/>
      <c r="CH377" s="55"/>
      <c r="CI377" s="55"/>
      <c r="CJ377" s="55"/>
      <c r="CK377" s="55"/>
      <c r="CL377" s="55"/>
      <c r="CM377" s="55"/>
      <c r="CN377" s="55"/>
      <c r="CO377" s="55"/>
      <c r="CP377" s="55"/>
      <c r="CQ377" s="55"/>
      <c r="CR377" s="55"/>
      <c r="CS377" s="55"/>
      <c r="CT377" s="526">
        <v>-2.4060433962264143</v>
      </c>
      <c r="CU377" s="526">
        <v>-14.740712977099237</v>
      </c>
      <c r="CV377" s="526">
        <v>-39.968861816182027</v>
      </c>
      <c r="CW377" s="526">
        <v>-25.791106639061841</v>
      </c>
      <c r="CX377" s="526">
        <v>116.76510086266252</v>
      </c>
      <c r="CY377" s="524">
        <v>43.790497402395786</v>
      </c>
      <c r="CZ377" s="526">
        <v>-64.138920789478561</v>
      </c>
      <c r="DA377" s="526">
        <v>-91.981440620305591</v>
      </c>
      <c r="DB377" s="526">
        <v>-104.10391135161883</v>
      </c>
      <c r="DC377" s="526">
        <v>-121.25320098798312</v>
      </c>
      <c r="DD377" s="526">
        <v>-133.98691023502198</v>
      </c>
      <c r="DE377" s="526">
        <v>-141.0933804323887</v>
      </c>
      <c r="DF377" s="526">
        <v>-145.79891422352077</v>
      </c>
      <c r="DG377" s="526">
        <v>-150.67117711004713</v>
      </c>
      <c r="DH377" s="526">
        <v>-155.6069288334653</v>
      </c>
      <c r="DI377" s="526">
        <v>-160.77876687767954</v>
      </c>
    </row>
    <row r="378" spans="1:113" ht="12" outlineLevel="1"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4"/>
      <c r="AQ378" s="44"/>
      <c r="AR378" s="44"/>
      <c r="AS378" s="44"/>
      <c r="AT378" s="44"/>
      <c r="AU378" s="44"/>
      <c r="AV378" s="44"/>
      <c r="AW378" s="45"/>
      <c r="AX378" s="44"/>
      <c r="AY378" s="44"/>
      <c r="AZ378" s="44"/>
      <c r="BA378" s="44"/>
      <c r="BB378" s="44"/>
      <c r="BC378" s="44"/>
      <c r="BD378" s="44"/>
      <c r="BE378" s="44"/>
      <c r="BF378" s="44"/>
      <c r="BG378" s="44"/>
      <c r="BH378" s="44"/>
      <c r="BI378" s="44"/>
      <c r="BJ378" s="44"/>
      <c r="BK378" s="44"/>
      <c r="BL378" s="44"/>
      <c r="BM378" s="44"/>
      <c r="BN378" s="44"/>
      <c r="BO378" s="44"/>
      <c r="BP378" s="44"/>
      <c r="BQ378" s="44"/>
      <c r="BR378" s="44"/>
      <c r="BS378" s="42"/>
      <c r="BT378" s="42"/>
      <c r="BU378" s="42"/>
      <c r="BV378" s="42"/>
      <c r="BW378" s="42"/>
      <c r="BX378" s="42"/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4"/>
      <c r="CK378" s="44"/>
      <c r="CL378" s="167"/>
      <c r="CM378" s="167"/>
      <c r="CN378" s="42"/>
      <c r="CO378" s="42"/>
      <c r="CP378" s="42"/>
      <c r="CQ378" s="42"/>
      <c r="CR378" s="42"/>
      <c r="CS378" s="42"/>
      <c r="CT378" s="44"/>
      <c r="CU378" s="44"/>
      <c r="CV378" s="44"/>
      <c r="CW378" s="44"/>
      <c r="CX378" s="44"/>
      <c r="CY378" s="45"/>
      <c r="CZ378" s="44"/>
      <c r="DA378" s="44"/>
      <c r="DB378" s="44"/>
      <c r="DC378" s="44"/>
      <c r="DD378" s="44"/>
      <c r="DE378" s="44"/>
      <c r="DF378" s="44"/>
      <c r="DG378" s="44"/>
      <c r="DH378" s="44"/>
      <c r="DI378" s="44"/>
    </row>
    <row r="379" spans="1:113" ht="12" outlineLevel="1">
      <c r="A379" s="1" t="s">
        <v>236</v>
      </c>
      <c r="B379" s="19" t="s">
        <v>582</v>
      </c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4">
        <v>55.5</v>
      </c>
      <c r="AQ379" s="44">
        <v>70.900000000000006</v>
      </c>
      <c r="AR379" s="44">
        <v>99</v>
      </c>
      <c r="AS379" s="44">
        <v>122.9</v>
      </c>
      <c r="AT379" s="44">
        <v>241.8</v>
      </c>
      <c r="AU379" s="44">
        <v>332.4</v>
      </c>
      <c r="AV379" s="44">
        <v>432.20000000000005</v>
      </c>
      <c r="AW379" s="45">
        <v>478.10000000000008</v>
      </c>
      <c r="AX379" s="44">
        <v>533.0695460212653</v>
      </c>
      <c r="AY379" s="44">
        <v>551.29429984092531</v>
      </c>
      <c r="AZ379" s="44">
        <v>574.77055834405758</v>
      </c>
      <c r="BA379" s="44">
        <v>602.94040589718702</v>
      </c>
      <c r="BB379" s="44">
        <v>658.23409553802844</v>
      </c>
      <c r="BC379" s="44">
        <v>677.73340294493221</v>
      </c>
      <c r="BD379" s="44">
        <v>719.16459793968863</v>
      </c>
      <c r="BE379" s="44">
        <v>744.5619928532501</v>
      </c>
      <c r="BF379" s="44">
        <v>784.260809539104</v>
      </c>
      <c r="BG379" s="44">
        <v>795.92595740768797</v>
      </c>
      <c r="BH379" s="44">
        <v>830.6557498997812</v>
      </c>
      <c r="BI379" s="44">
        <v>834.84229177161399</v>
      </c>
      <c r="BJ379" s="44">
        <v>867.0955156083885</v>
      </c>
      <c r="BK379" s="44">
        <v>871.4682652390768</v>
      </c>
      <c r="BL379" s="44">
        <v>902.66607591791399</v>
      </c>
      <c r="BM379" s="44">
        <v>912.23311492618041</v>
      </c>
      <c r="BN379" s="44">
        <v>944.85739243579349</v>
      </c>
      <c r="BO379" s="44">
        <v>949.62779874715704</v>
      </c>
      <c r="BP379" s="44">
        <v>986.32421196163978</v>
      </c>
      <c r="BQ379" s="44">
        <v>991.30682253805981</v>
      </c>
      <c r="BR379" s="44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4">
        <v>6.2619999999999996</v>
      </c>
      <c r="CU379" s="44">
        <v>52.389000000000003</v>
      </c>
      <c r="CV379" s="44">
        <v>126.29923607741814</v>
      </c>
      <c r="CW379" s="44">
        <v>221.9</v>
      </c>
      <c r="CX379" s="44">
        <v>574.20000000000005</v>
      </c>
      <c r="CY379" s="45">
        <v>910.30000000000018</v>
      </c>
      <c r="CZ379" s="44">
        <v>1084.3638458621906</v>
      </c>
      <c r="DA379" s="44">
        <v>1177.7109642412447</v>
      </c>
      <c r="DB379" s="44">
        <v>1335.9674984829608</v>
      </c>
      <c r="DC379" s="44">
        <v>1463.7265907929386</v>
      </c>
      <c r="DD379" s="44">
        <v>1580.186766946792</v>
      </c>
      <c r="DE379" s="44">
        <v>1665.4980416713952</v>
      </c>
      <c r="DF379" s="44">
        <v>1738.5637808474653</v>
      </c>
      <c r="DG379" s="44">
        <v>1814.8991908440944</v>
      </c>
      <c r="DH379" s="44">
        <v>1894.4851911829505</v>
      </c>
      <c r="DI379" s="44">
        <v>1977.6310344996996</v>
      </c>
    </row>
    <row r="380" spans="1:113" ht="12" outlineLevel="1">
      <c r="A380" s="1" t="s">
        <v>237</v>
      </c>
      <c r="B380" s="19" t="s">
        <v>481</v>
      </c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4">
        <v>-20.5</v>
      </c>
      <c r="AQ380" s="44">
        <v>-21.400000000000006</v>
      </c>
      <c r="AR380" s="44">
        <v>-25.499999999999996</v>
      </c>
      <c r="AS380" s="44">
        <v>-26.600000000000009</v>
      </c>
      <c r="AT380" s="44">
        <v>-78.800000000000011</v>
      </c>
      <c r="AU380" s="44">
        <v>-147.79999999999998</v>
      </c>
      <c r="AV380" s="44">
        <v>-237.00000000000006</v>
      </c>
      <c r="AW380" s="45">
        <v>-287.3</v>
      </c>
      <c r="AX380" s="44">
        <v>-343.34450415377995</v>
      </c>
      <c r="AY380" s="44">
        <v>-338.53778379865668</v>
      </c>
      <c r="AZ380" s="44">
        <v>-336.8789177248596</v>
      </c>
      <c r="BA380" s="44">
        <v>-345.70232935013354</v>
      </c>
      <c r="BB380" s="44">
        <v>-372.26326611408234</v>
      </c>
      <c r="BC380" s="44">
        <v>-384.28988868270324</v>
      </c>
      <c r="BD380" s="44">
        <v>-410.19764107848493</v>
      </c>
      <c r="BE380" s="44">
        <v>-425.89877866884046</v>
      </c>
      <c r="BF380" s="44">
        <v>-449.3679148431566</v>
      </c>
      <c r="BG380" s="44">
        <v>-456.33811413332205</v>
      </c>
      <c r="BH380" s="44">
        <v>-476.22734516118896</v>
      </c>
      <c r="BI380" s="44">
        <v>-478.24879980839285</v>
      </c>
      <c r="BJ380" s="44">
        <v>-496.37202194349044</v>
      </c>
      <c r="BK380" s="44">
        <v>-498.49292478693224</v>
      </c>
      <c r="BL380" s="44">
        <v>-515.98358192654678</v>
      </c>
      <c r="BM380" s="44">
        <v>-521.03371164224427</v>
      </c>
      <c r="BN380" s="44">
        <v>-539.26225809766606</v>
      </c>
      <c r="BO380" s="44">
        <v>-541.55836875537989</v>
      </c>
      <c r="BP380" s="44">
        <v>-562.09642669799518</v>
      </c>
      <c r="BQ380" s="44">
        <v>-564.50214772604943</v>
      </c>
      <c r="BR380" s="44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4">
        <v>-5.4039999999999999</v>
      </c>
      <c r="CU380" s="44">
        <v>-24.549000000000003</v>
      </c>
      <c r="CV380" s="44">
        <v>-41.799236077418151</v>
      </c>
      <c r="CW380" s="44">
        <v>-52.100000000000009</v>
      </c>
      <c r="CX380" s="44">
        <v>-226.6</v>
      </c>
      <c r="CY380" s="45">
        <v>-524.30000000000007</v>
      </c>
      <c r="CZ380" s="44">
        <v>-681.88228795243663</v>
      </c>
      <c r="DA380" s="44">
        <v>-682.58124707499314</v>
      </c>
      <c r="DB380" s="44">
        <v>-756.55315479678552</v>
      </c>
      <c r="DC380" s="44">
        <v>-836.0964197473254</v>
      </c>
      <c r="DD380" s="44">
        <v>-905.70602897647859</v>
      </c>
      <c r="DE380" s="44">
        <v>-954.47614496958181</v>
      </c>
      <c r="DF380" s="44">
        <v>-994.86494673042262</v>
      </c>
      <c r="DG380" s="44">
        <v>-1037.017293568791</v>
      </c>
      <c r="DH380" s="44">
        <v>-1080.820626853046</v>
      </c>
      <c r="DI380" s="44">
        <v>-1126.5985744240447</v>
      </c>
    </row>
    <row r="381" spans="1:113" s="24" customFormat="1" ht="12" outlineLevel="1">
      <c r="A381" s="1" t="s">
        <v>238</v>
      </c>
      <c r="B381" s="24" t="s">
        <v>482</v>
      </c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  <c r="AJ381" s="55"/>
      <c r="AK381" s="55"/>
      <c r="AL381" s="55"/>
      <c r="AM381" s="55"/>
      <c r="AN381" s="55"/>
      <c r="AO381" s="55"/>
      <c r="AP381" s="526">
        <v>35</v>
      </c>
      <c r="AQ381" s="526">
        <v>49.5</v>
      </c>
      <c r="AR381" s="526">
        <v>73.5</v>
      </c>
      <c r="AS381" s="526">
        <v>96.3</v>
      </c>
      <c r="AT381" s="526">
        <v>163</v>
      </c>
      <c r="AU381" s="526">
        <v>184.6</v>
      </c>
      <c r="AV381" s="526">
        <v>195.2</v>
      </c>
      <c r="AW381" s="524">
        <v>190.8</v>
      </c>
      <c r="AX381" s="526">
        <v>189.72504186748534</v>
      </c>
      <c r="AY381" s="526">
        <v>212.75651604226863</v>
      </c>
      <c r="AZ381" s="526">
        <v>237.89164061919797</v>
      </c>
      <c r="BA381" s="526">
        <v>257.23807654705348</v>
      </c>
      <c r="BB381" s="526">
        <v>285.9708294239461</v>
      </c>
      <c r="BC381" s="526">
        <v>293.44351426222897</v>
      </c>
      <c r="BD381" s="526">
        <v>308.9669568612037</v>
      </c>
      <c r="BE381" s="526">
        <v>318.66321418440964</v>
      </c>
      <c r="BF381" s="526">
        <v>334.8928946959474</v>
      </c>
      <c r="BG381" s="526">
        <v>339.58784327436592</v>
      </c>
      <c r="BH381" s="526">
        <v>354.42840473859223</v>
      </c>
      <c r="BI381" s="526">
        <v>356.59349196322114</v>
      </c>
      <c r="BJ381" s="526">
        <v>370.72349366489806</v>
      </c>
      <c r="BK381" s="526">
        <v>372.97534045214456</v>
      </c>
      <c r="BL381" s="526">
        <v>386.68249399136721</v>
      </c>
      <c r="BM381" s="526">
        <v>391.19940328393614</v>
      </c>
      <c r="BN381" s="526">
        <v>405.59513433812742</v>
      </c>
      <c r="BO381" s="526">
        <v>408.06942999177716</v>
      </c>
      <c r="BP381" s="526">
        <v>424.22778526364459</v>
      </c>
      <c r="BQ381" s="526">
        <v>426.80467481201038</v>
      </c>
      <c r="BR381" s="526"/>
      <c r="BS381" s="55"/>
      <c r="BT381" s="55"/>
      <c r="BU381" s="55"/>
      <c r="BV381" s="55"/>
      <c r="BW381" s="55"/>
      <c r="BX381" s="55"/>
      <c r="BY381" s="55"/>
      <c r="BZ381" s="55"/>
      <c r="CA381" s="55"/>
      <c r="CB381" s="55"/>
      <c r="CC381" s="55"/>
      <c r="CD381" s="55"/>
      <c r="CE381" s="55"/>
      <c r="CF381" s="55"/>
      <c r="CG381" s="55"/>
      <c r="CH381" s="55"/>
      <c r="CI381" s="55"/>
      <c r="CJ381" s="55"/>
      <c r="CK381" s="55"/>
      <c r="CL381" s="55"/>
      <c r="CM381" s="55"/>
      <c r="CN381" s="55"/>
      <c r="CO381" s="55"/>
      <c r="CP381" s="55"/>
      <c r="CQ381" s="55"/>
      <c r="CR381" s="55"/>
      <c r="CS381" s="55"/>
      <c r="CT381" s="526">
        <v>0.85799999999999998</v>
      </c>
      <c r="CU381" s="526">
        <v>27.84</v>
      </c>
      <c r="CV381" s="526">
        <v>84.5</v>
      </c>
      <c r="CW381" s="526">
        <v>169.8</v>
      </c>
      <c r="CX381" s="526">
        <v>347.6</v>
      </c>
      <c r="CY381" s="524">
        <v>386</v>
      </c>
      <c r="CZ381" s="526">
        <v>402.48155790975397</v>
      </c>
      <c r="DA381" s="526">
        <v>495.12971716625145</v>
      </c>
      <c r="DB381" s="526">
        <v>579.41434368617502</v>
      </c>
      <c r="DC381" s="526">
        <v>627.63017104561334</v>
      </c>
      <c r="DD381" s="526">
        <v>674.48073797031338</v>
      </c>
      <c r="DE381" s="526">
        <v>711.02189670181338</v>
      </c>
      <c r="DF381" s="526">
        <v>743.69883411704268</v>
      </c>
      <c r="DG381" s="526">
        <v>777.88189727530334</v>
      </c>
      <c r="DH381" s="526">
        <v>813.66456432990458</v>
      </c>
      <c r="DI381" s="526">
        <v>851.03246007565497</v>
      </c>
    </row>
    <row r="382" spans="1:113" ht="12" hidden="1" outlineLevel="2">
      <c r="A382" s="1" t="s">
        <v>928</v>
      </c>
      <c r="B382" s="19" t="s">
        <v>444</v>
      </c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525">
        <v>0</v>
      </c>
      <c r="AQ382" s="525">
        <v>0</v>
      </c>
      <c r="AR382" s="525">
        <v>0</v>
      </c>
      <c r="AS382" s="525">
        <v>0</v>
      </c>
      <c r="AT382" s="525">
        <v>0</v>
      </c>
      <c r="AU382" s="525">
        <v>0</v>
      </c>
      <c r="AV382" s="525">
        <v>0</v>
      </c>
      <c r="AW382" s="523">
        <v>0</v>
      </c>
      <c r="AX382" s="46">
        <v>0</v>
      </c>
      <c r="AY382" s="46">
        <v>0</v>
      </c>
      <c r="AZ382" s="46">
        <v>0</v>
      </c>
      <c r="BA382" s="46">
        <v>0</v>
      </c>
      <c r="BB382" s="46">
        <v>0</v>
      </c>
      <c r="BC382" s="46">
        <v>0</v>
      </c>
      <c r="BD382" s="46">
        <v>0</v>
      </c>
      <c r="BE382" s="46">
        <v>0</v>
      </c>
      <c r="BF382" s="46">
        <v>0</v>
      </c>
      <c r="BG382" s="46">
        <v>0</v>
      </c>
      <c r="BH382" s="46">
        <v>0</v>
      </c>
      <c r="BI382" s="46">
        <v>0</v>
      </c>
      <c r="BJ382" s="46">
        <v>0</v>
      </c>
      <c r="BK382" s="46">
        <v>0</v>
      </c>
      <c r="BL382" s="46">
        <v>0</v>
      </c>
      <c r="BM382" s="46">
        <v>0</v>
      </c>
      <c r="BN382" s="46">
        <v>0</v>
      </c>
      <c r="BO382" s="46">
        <v>0</v>
      </c>
      <c r="BP382" s="46">
        <v>0</v>
      </c>
      <c r="BQ382" s="46">
        <v>0</v>
      </c>
      <c r="BR382" s="44"/>
      <c r="BS382" s="40"/>
      <c r="BT382" s="40"/>
      <c r="BU382" s="40"/>
      <c r="BV382" s="40"/>
      <c r="BW382" s="40"/>
      <c r="BX382" s="40"/>
      <c r="BY382" s="40"/>
      <c r="BZ382" s="40"/>
      <c r="CA382" s="40"/>
      <c r="CB382" s="40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525">
        <v>0</v>
      </c>
      <c r="CU382" s="525">
        <v>0</v>
      </c>
      <c r="CV382" s="44">
        <v>0</v>
      </c>
      <c r="CW382" s="44">
        <v>0</v>
      </c>
      <c r="CX382" s="44">
        <v>0</v>
      </c>
      <c r="CY382" s="45">
        <v>0</v>
      </c>
      <c r="CZ382" s="44">
        <v>0</v>
      </c>
      <c r="DA382" s="44">
        <v>0</v>
      </c>
      <c r="DB382" s="44">
        <v>0</v>
      </c>
      <c r="DC382" s="44">
        <v>0</v>
      </c>
      <c r="DD382" s="44">
        <v>0</v>
      </c>
      <c r="DE382" s="44">
        <v>0</v>
      </c>
      <c r="DF382" s="44">
        <v>0</v>
      </c>
      <c r="DG382" s="44">
        <v>0</v>
      </c>
      <c r="DH382" s="44">
        <v>0</v>
      </c>
      <c r="DI382" s="44">
        <v>0</v>
      </c>
    </row>
    <row r="383" spans="1:113" ht="12" hidden="1" outlineLevel="2">
      <c r="A383" s="1" t="s">
        <v>929</v>
      </c>
      <c r="B383" s="19" t="s">
        <v>367</v>
      </c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525">
        <v>0</v>
      </c>
      <c r="AQ383" s="525">
        <v>0</v>
      </c>
      <c r="AR383" s="525">
        <v>0</v>
      </c>
      <c r="AS383" s="525">
        <v>0</v>
      </c>
      <c r="AT383" s="525">
        <v>0</v>
      </c>
      <c r="AU383" s="525">
        <v>0</v>
      </c>
      <c r="AV383" s="525">
        <v>0</v>
      </c>
      <c r="AW383" s="523">
        <v>0</v>
      </c>
      <c r="AX383" s="46">
        <v>0</v>
      </c>
      <c r="AY383" s="46">
        <v>0</v>
      </c>
      <c r="AZ383" s="46">
        <v>0</v>
      </c>
      <c r="BA383" s="46">
        <v>0</v>
      </c>
      <c r="BB383" s="46">
        <v>0</v>
      </c>
      <c r="BC383" s="46">
        <v>0</v>
      </c>
      <c r="BD383" s="46">
        <v>0</v>
      </c>
      <c r="BE383" s="46">
        <v>0</v>
      </c>
      <c r="BF383" s="46">
        <v>0</v>
      </c>
      <c r="BG383" s="46">
        <v>0</v>
      </c>
      <c r="BH383" s="46">
        <v>0</v>
      </c>
      <c r="BI383" s="46">
        <v>0</v>
      </c>
      <c r="BJ383" s="46">
        <v>0</v>
      </c>
      <c r="BK383" s="46">
        <v>0</v>
      </c>
      <c r="BL383" s="46">
        <v>0</v>
      </c>
      <c r="BM383" s="46">
        <v>0</v>
      </c>
      <c r="BN383" s="46">
        <v>0</v>
      </c>
      <c r="BO383" s="46">
        <v>0</v>
      </c>
      <c r="BP383" s="46">
        <v>0</v>
      </c>
      <c r="BQ383" s="46">
        <v>0</v>
      </c>
      <c r="BR383" s="44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525">
        <v>0</v>
      </c>
      <c r="CU383" s="525">
        <v>0</v>
      </c>
      <c r="CV383" s="44">
        <v>0</v>
      </c>
      <c r="CW383" s="44">
        <v>0</v>
      </c>
      <c r="CX383" s="44">
        <v>0</v>
      </c>
      <c r="CY383" s="45">
        <v>0</v>
      </c>
      <c r="CZ383" s="44">
        <v>0</v>
      </c>
      <c r="DA383" s="44">
        <v>0</v>
      </c>
      <c r="DB383" s="44">
        <v>0</v>
      </c>
      <c r="DC383" s="44">
        <v>0</v>
      </c>
      <c r="DD383" s="44">
        <v>0</v>
      </c>
      <c r="DE383" s="44">
        <v>0</v>
      </c>
      <c r="DF383" s="44">
        <v>0</v>
      </c>
      <c r="DG383" s="44">
        <v>0</v>
      </c>
      <c r="DH383" s="44">
        <v>0</v>
      </c>
      <c r="DI383" s="44">
        <v>0</v>
      </c>
    </row>
    <row r="384" spans="1:113" ht="12" hidden="1" outlineLevel="2">
      <c r="A384" s="1" t="s">
        <v>930</v>
      </c>
      <c r="B384" s="19" t="s">
        <v>368</v>
      </c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525">
        <v>0</v>
      </c>
      <c r="AQ384" s="525">
        <v>0</v>
      </c>
      <c r="AR384" s="525">
        <v>0</v>
      </c>
      <c r="AS384" s="525">
        <v>0</v>
      </c>
      <c r="AT384" s="525">
        <v>0</v>
      </c>
      <c r="AU384" s="525">
        <v>0</v>
      </c>
      <c r="AV384" s="525">
        <v>0</v>
      </c>
      <c r="AW384" s="523">
        <v>0</v>
      </c>
      <c r="AX384" s="46">
        <v>0</v>
      </c>
      <c r="AY384" s="46">
        <v>0</v>
      </c>
      <c r="AZ384" s="46">
        <v>0</v>
      </c>
      <c r="BA384" s="46">
        <v>0</v>
      </c>
      <c r="BB384" s="46">
        <v>0</v>
      </c>
      <c r="BC384" s="46">
        <v>0</v>
      </c>
      <c r="BD384" s="46">
        <v>0</v>
      </c>
      <c r="BE384" s="46">
        <v>0</v>
      </c>
      <c r="BF384" s="46">
        <v>0</v>
      </c>
      <c r="BG384" s="46">
        <v>0</v>
      </c>
      <c r="BH384" s="46">
        <v>0</v>
      </c>
      <c r="BI384" s="46">
        <v>0</v>
      </c>
      <c r="BJ384" s="46">
        <v>0</v>
      </c>
      <c r="BK384" s="46">
        <v>0</v>
      </c>
      <c r="BL384" s="46">
        <v>0</v>
      </c>
      <c r="BM384" s="46">
        <v>0</v>
      </c>
      <c r="BN384" s="46">
        <v>0</v>
      </c>
      <c r="BO384" s="46">
        <v>0</v>
      </c>
      <c r="BP384" s="46">
        <v>0</v>
      </c>
      <c r="BQ384" s="46">
        <v>0</v>
      </c>
      <c r="BR384" s="44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525">
        <v>0</v>
      </c>
      <c r="CU384" s="525">
        <v>0</v>
      </c>
      <c r="CV384" s="44">
        <v>0</v>
      </c>
      <c r="CW384" s="44">
        <v>0</v>
      </c>
      <c r="CX384" s="44">
        <v>0</v>
      </c>
      <c r="CY384" s="45">
        <v>0</v>
      </c>
      <c r="CZ384" s="44">
        <v>0</v>
      </c>
      <c r="DA384" s="44">
        <v>0</v>
      </c>
      <c r="DB384" s="44">
        <v>0</v>
      </c>
      <c r="DC384" s="44">
        <v>0</v>
      </c>
      <c r="DD384" s="44">
        <v>0</v>
      </c>
      <c r="DE384" s="44">
        <v>0</v>
      </c>
      <c r="DF384" s="44">
        <v>0</v>
      </c>
      <c r="DG384" s="44">
        <v>0</v>
      </c>
      <c r="DH384" s="44">
        <v>0</v>
      </c>
      <c r="DI384" s="44">
        <v>0</v>
      </c>
    </row>
    <row r="385" spans="1:116" ht="12" hidden="1" outlineLevel="2">
      <c r="A385" s="1" t="s">
        <v>987</v>
      </c>
      <c r="B385" s="19" t="s">
        <v>358</v>
      </c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525">
        <v>0</v>
      </c>
      <c r="AQ385" s="525">
        <v>0</v>
      </c>
      <c r="AR385" s="525">
        <v>0</v>
      </c>
      <c r="AS385" s="525">
        <v>0</v>
      </c>
      <c r="AT385" s="525">
        <v>0</v>
      </c>
      <c r="AU385" s="525">
        <v>0</v>
      </c>
      <c r="AV385" s="525">
        <v>0</v>
      </c>
      <c r="AW385" s="523">
        <v>0</v>
      </c>
      <c r="AX385" s="46">
        <v>0</v>
      </c>
      <c r="AY385" s="46">
        <v>0</v>
      </c>
      <c r="AZ385" s="46">
        <v>0</v>
      </c>
      <c r="BA385" s="46">
        <v>0</v>
      </c>
      <c r="BB385" s="46">
        <v>0</v>
      </c>
      <c r="BC385" s="46">
        <v>0</v>
      </c>
      <c r="BD385" s="46">
        <v>0</v>
      </c>
      <c r="BE385" s="46">
        <v>0</v>
      </c>
      <c r="BF385" s="46">
        <v>0</v>
      </c>
      <c r="BG385" s="46">
        <v>0</v>
      </c>
      <c r="BH385" s="46">
        <v>0</v>
      </c>
      <c r="BI385" s="46">
        <v>0</v>
      </c>
      <c r="BJ385" s="46">
        <v>0</v>
      </c>
      <c r="BK385" s="46">
        <v>0</v>
      </c>
      <c r="BL385" s="46">
        <v>0</v>
      </c>
      <c r="BM385" s="46">
        <v>0</v>
      </c>
      <c r="BN385" s="46">
        <v>0</v>
      </c>
      <c r="BO385" s="46">
        <v>0</v>
      </c>
      <c r="BP385" s="46">
        <v>0</v>
      </c>
      <c r="BQ385" s="46">
        <v>0</v>
      </c>
      <c r="BR385" s="44"/>
      <c r="BS385" s="40"/>
      <c r="BT385" s="40"/>
      <c r="BU385" s="40"/>
      <c r="BV385" s="40"/>
      <c r="BW385" s="40"/>
      <c r="BX385" s="40"/>
      <c r="BY385" s="40"/>
      <c r="BZ385" s="40"/>
      <c r="CA385" s="40"/>
      <c r="CB385" s="40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525">
        <v>0</v>
      </c>
      <c r="CU385" s="525">
        <v>0</v>
      </c>
      <c r="CV385" s="44">
        <v>0</v>
      </c>
      <c r="CW385" s="44">
        <v>0</v>
      </c>
      <c r="CX385" s="44">
        <v>0</v>
      </c>
      <c r="CY385" s="45">
        <v>0</v>
      </c>
      <c r="CZ385" s="44">
        <v>0</v>
      </c>
      <c r="DA385" s="44">
        <v>0</v>
      </c>
      <c r="DB385" s="44">
        <v>0</v>
      </c>
      <c r="DC385" s="44">
        <v>0</v>
      </c>
      <c r="DD385" s="44">
        <v>0</v>
      </c>
      <c r="DE385" s="44">
        <v>0</v>
      </c>
      <c r="DF385" s="44">
        <v>0</v>
      </c>
      <c r="DG385" s="44">
        <v>0</v>
      </c>
      <c r="DH385" s="44">
        <v>0</v>
      </c>
      <c r="DI385" s="44">
        <v>0</v>
      </c>
    </row>
    <row r="386" spans="1:116" ht="12" hidden="1" outlineLevel="2">
      <c r="A386" s="1" t="s">
        <v>988</v>
      </c>
      <c r="B386" s="19" t="s">
        <v>422</v>
      </c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525">
        <v>0</v>
      </c>
      <c r="AQ386" s="525">
        <v>0</v>
      </c>
      <c r="AR386" s="525">
        <v>0</v>
      </c>
      <c r="AS386" s="525">
        <v>0</v>
      </c>
      <c r="AT386" s="525">
        <v>0</v>
      </c>
      <c r="AU386" s="525">
        <v>0</v>
      </c>
      <c r="AV386" s="525">
        <v>0</v>
      </c>
      <c r="AW386" s="523">
        <v>0</v>
      </c>
      <c r="AX386" s="46">
        <v>0</v>
      </c>
      <c r="AY386" s="46">
        <v>0</v>
      </c>
      <c r="AZ386" s="46">
        <v>0</v>
      </c>
      <c r="BA386" s="46">
        <v>0</v>
      </c>
      <c r="BB386" s="46">
        <v>0</v>
      </c>
      <c r="BC386" s="46">
        <v>0</v>
      </c>
      <c r="BD386" s="46">
        <v>0</v>
      </c>
      <c r="BE386" s="46">
        <v>0</v>
      </c>
      <c r="BF386" s="46">
        <v>0</v>
      </c>
      <c r="BG386" s="46">
        <v>0</v>
      </c>
      <c r="BH386" s="46">
        <v>0</v>
      </c>
      <c r="BI386" s="46">
        <v>0</v>
      </c>
      <c r="BJ386" s="46">
        <v>0</v>
      </c>
      <c r="BK386" s="46">
        <v>0</v>
      </c>
      <c r="BL386" s="46">
        <v>0</v>
      </c>
      <c r="BM386" s="46">
        <v>0</v>
      </c>
      <c r="BN386" s="46">
        <v>0</v>
      </c>
      <c r="BO386" s="46">
        <v>0</v>
      </c>
      <c r="BP386" s="46">
        <v>0</v>
      </c>
      <c r="BQ386" s="46">
        <v>0</v>
      </c>
      <c r="BR386" s="44"/>
      <c r="BS386" s="40"/>
      <c r="BT386" s="40"/>
      <c r="BU386" s="40"/>
      <c r="BV386" s="40"/>
      <c r="BW386" s="40"/>
      <c r="BX386" s="40"/>
      <c r="BY386" s="40"/>
      <c r="BZ386" s="40"/>
      <c r="CA386" s="40"/>
      <c r="CB386" s="40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525">
        <v>0</v>
      </c>
      <c r="CU386" s="525">
        <v>0</v>
      </c>
      <c r="CV386" s="44">
        <v>0</v>
      </c>
      <c r="CW386" s="44">
        <v>0</v>
      </c>
      <c r="CX386" s="44">
        <v>0</v>
      </c>
      <c r="CY386" s="45">
        <v>0</v>
      </c>
      <c r="CZ386" s="44">
        <v>0</v>
      </c>
      <c r="DA386" s="44">
        <v>0</v>
      </c>
      <c r="DB386" s="44">
        <v>0</v>
      </c>
      <c r="DC386" s="44">
        <v>0</v>
      </c>
      <c r="DD386" s="44">
        <v>0</v>
      </c>
      <c r="DE386" s="44">
        <v>0</v>
      </c>
      <c r="DF386" s="44">
        <v>0</v>
      </c>
      <c r="DG386" s="44">
        <v>0</v>
      </c>
      <c r="DH386" s="44">
        <v>0</v>
      </c>
      <c r="DI386" s="44">
        <v>0</v>
      </c>
    </row>
    <row r="387" spans="1:116" s="24" customFormat="1" ht="12" hidden="1" outlineLevel="2">
      <c r="A387" s="1" t="s">
        <v>989</v>
      </c>
      <c r="B387" s="24" t="s">
        <v>423</v>
      </c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  <c r="AJ387" s="55"/>
      <c r="AK387" s="55"/>
      <c r="AL387" s="55"/>
      <c r="AM387" s="55"/>
      <c r="AN387" s="55"/>
      <c r="AO387" s="55"/>
      <c r="AP387" s="521">
        <v>35</v>
      </c>
      <c r="AQ387" s="521">
        <v>49.5</v>
      </c>
      <c r="AR387" s="521">
        <v>73.5</v>
      </c>
      <c r="AS387" s="521">
        <v>96.3</v>
      </c>
      <c r="AT387" s="521">
        <v>163</v>
      </c>
      <c r="AU387" s="521">
        <v>184.6</v>
      </c>
      <c r="AV387" s="521">
        <v>195.2</v>
      </c>
      <c r="AW387" s="522">
        <v>190.8</v>
      </c>
      <c r="AX387" s="526">
        <v>189.72504186748534</v>
      </c>
      <c r="AY387" s="526">
        <v>212.75651604226863</v>
      </c>
      <c r="AZ387" s="526">
        <v>237.89164061919797</v>
      </c>
      <c r="BA387" s="526">
        <v>257.23807654705348</v>
      </c>
      <c r="BB387" s="526">
        <v>285.9708294239461</v>
      </c>
      <c r="BC387" s="526">
        <v>293.44351426222897</v>
      </c>
      <c r="BD387" s="526">
        <v>308.9669568612037</v>
      </c>
      <c r="BE387" s="526">
        <v>318.66321418440964</v>
      </c>
      <c r="BF387" s="526">
        <v>334.8928946959474</v>
      </c>
      <c r="BG387" s="526">
        <v>339.58784327436592</v>
      </c>
      <c r="BH387" s="526">
        <v>354.42840473859223</v>
      </c>
      <c r="BI387" s="526">
        <v>356.59349196322114</v>
      </c>
      <c r="BJ387" s="526">
        <v>370.72349366489806</v>
      </c>
      <c r="BK387" s="526">
        <v>372.97534045214456</v>
      </c>
      <c r="BL387" s="526">
        <v>386.68249399136721</v>
      </c>
      <c r="BM387" s="526">
        <v>391.19940328393614</v>
      </c>
      <c r="BN387" s="526">
        <v>405.59513433812742</v>
      </c>
      <c r="BO387" s="526">
        <v>408.06942999177716</v>
      </c>
      <c r="BP387" s="526">
        <v>424.22778526364459</v>
      </c>
      <c r="BQ387" s="526">
        <v>426.80467481201038</v>
      </c>
      <c r="BR387" s="526"/>
      <c r="BS387" s="54"/>
      <c r="BT387" s="54"/>
      <c r="BU387" s="54"/>
      <c r="BV387" s="54"/>
      <c r="BW387" s="54"/>
      <c r="BX387" s="54"/>
      <c r="BY387" s="54"/>
      <c r="BZ387" s="54"/>
      <c r="CA387" s="54"/>
      <c r="CB387" s="54"/>
      <c r="CC387" s="55"/>
      <c r="CD387" s="55"/>
      <c r="CE387" s="55"/>
      <c r="CF387" s="55"/>
      <c r="CG387" s="55"/>
      <c r="CH387" s="55"/>
      <c r="CI387" s="55"/>
      <c r="CJ387" s="55"/>
      <c r="CK387" s="55"/>
      <c r="CL387" s="55"/>
      <c r="CM387" s="55"/>
      <c r="CN387" s="55"/>
      <c r="CO387" s="55"/>
      <c r="CP387" s="55"/>
      <c r="CQ387" s="55"/>
      <c r="CR387" s="55"/>
      <c r="CS387" s="55"/>
      <c r="CT387" s="521">
        <v>0.85799999999999998</v>
      </c>
      <c r="CU387" s="521">
        <v>27.84</v>
      </c>
      <c r="CV387" s="526">
        <v>84.5</v>
      </c>
      <c r="CW387" s="526">
        <v>169.8</v>
      </c>
      <c r="CX387" s="526">
        <v>347.6</v>
      </c>
      <c r="CY387" s="524">
        <v>386</v>
      </c>
      <c r="CZ387" s="526">
        <v>402.48155790975397</v>
      </c>
      <c r="DA387" s="526">
        <v>495.12971716625145</v>
      </c>
      <c r="DB387" s="526">
        <v>579.41434368617502</v>
      </c>
      <c r="DC387" s="526">
        <v>627.63017104561334</v>
      </c>
      <c r="DD387" s="526">
        <v>674.48073797031338</v>
      </c>
      <c r="DE387" s="526">
        <v>711.02189670181338</v>
      </c>
      <c r="DF387" s="526">
        <v>743.69883411704268</v>
      </c>
      <c r="DG387" s="526">
        <v>777.88189727530334</v>
      </c>
      <c r="DH387" s="526">
        <v>813.66456432990458</v>
      </c>
      <c r="DI387" s="526">
        <v>851.03246007565497</v>
      </c>
    </row>
    <row r="388" spans="1:116" ht="12" hidden="1" outlineLevel="2">
      <c r="A388" s="1" t="s">
        <v>990</v>
      </c>
      <c r="B388" s="19" t="s">
        <v>526</v>
      </c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4">
        <v>0</v>
      </c>
      <c r="AQ388" s="44">
        <v>0</v>
      </c>
      <c r="AR388" s="44">
        <v>0</v>
      </c>
      <c r="AS388" s="44">
        <v>0</v>
      </c>
      <c r="AT388" s="44">
        <v>0</v>
      </c>
      <c r="AU388" s="44">
        <v>0</v>
      </c>
      <c r="AV388" s="44">
        <v>0</v>
      </c>
      <c r="AW388" s="45">
        <v>0</v>
      </c>
      <c r="AX388" s="46">
        <v>0</v>
      </c>
      <c r="AY388" s="46">
        <v>0</v>
      </c>
      <c r="AZ388" s="46">
        <v>0</v>
      </c>
      <c r="BA388" s="46">
        <v>0</v>
      </c>
      <c r="BB388" s="46">
        <v>0</v>
      </c>
      <c r="BC388" s="46">
        <v>0</v>
      </c>
      <c r="BD388" s="46">
        <v>0</v>
      </c>
      <c r="BE388" s="46">
        <v>0</v>
      </c>
      <c r="BF388" s="46">
        <v>0</v>
      </c>
      <c r="BG388" s="46">
        <v>0</v>
      </c>
      <c r="BH388" s="46">
        <v>0</v>
      </c>
      <c r="BI388" s="46">
        <v>0</v>
      </c>
      <c r="BJ388" s="46">
        <v>0</v>
      </c>
      <c r="BK388" s="46">
        <v>0</v>
      </c>
      <c r="BL388" s="46">
        <v>0</v>
      </c>
      <c r="BM388" s="46">
        <v>0</v>
      </c>
      <c r="BN388" s="46">
        <v>0</v>
      </c>
      <c r="BO388" s="46">
        <v>0</v>
      </c>
      <c r="BP388" s="46">
        <v>0</v>
      </c>
      <c r="BQ388" s="46">
        <v>0</v>
      </c>
      <c r="BR388" s="44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4">
        <v>0</v>
      </c>
      <c r="CU388" s="44">
        <v>0</v>
      </c>
      <c r="CV388" s="44">
        <v>0</v>
      </c>
      <c r="CW388" s="44">
        <v>0</v>
      </c>
      <c r="CX388" s="44">
        <v>0</v>
      </c>
      <c r="CY388" s="45">
        <v>0</v>
      </c>
      <c r="CZ388" s="44">
        <v>0</v>
      </c>
      <c r="DA388" s="44">
        <v>0</v>
      </c>
      <c r="DB388" s="44">
        <v>0</v>
      </c>
      <c r="DC388" s="44">
        <v>0</v>
      </c>
      <c r="DD388" s="44">
        <v>0</v>
      </c>
      <c r="DE388" s="44">
        <v>0</v>
      </c>
      <c r="DF388" s="44">
        <v>0</v>
      </c>
      <c r="DG388" s="44">
        <v>0</v>
      </c>
      <c r="DH388" s="44">
        <v>0</v>
      </c>
      <c r="DI388" s="44">
        <v>0</v>
      </c>
    </row>
    <row r="389" spans="1:116" s="24" customFormat="1" ht="12" hidden="1" outlineLevel="2">
      <c r="A389" s="1" t="s">
        <v>991</v>
      </c>
      <c r="B389" s="24" t="s">
        <v>527</v>
      </c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21">
        <v>35</v>
      </c>
      <c r="AQ389" s="521">
        <v>49.500000000000007</v>
      </c>
      <c r="AR389" s="521">
        <v>73.5</v>
      </c>
      <c r="AS389" s="521">
        <v>96.300000000000011</v>
      </c>
      <c r="AT389" s="521">
        <v>163</v>
      </c>
      <c r="AU389" s="521">
        <v>184.59999999999997</v>
      </c>
      <c r="AV389" s="521">
        <v>195.2</v>
      </c>
      <c r="AW389" s="522">
        <v>190.8</v>
      </c>
      <c r="AX389" s="526">
        <v>189.72504186748534</v>
      </c>
      <c r="AY389" s="526">
        <v>212.75651604226863</v>
      </c>
      <c r="AZ389" s="526">
        <v>237.89164061919797</v>
      </c>
      <c r="BA389" s="526">
        <v>257.23807654705348</v>
      </c>
      <c r="BB389" s="526">
        <v>285.9708294239461</v>
      </c>
      <c r="BC389" s="526">
        <v>293.44351426222897</v>
      </c>
      <c r="BD389" s="526">
        <v>308.9669568612037</v>
      </c>
      <c r="BE389" s="526">
        <v>318.66321418440964</v>
      </c>
      <c r="BF389" s="526">
        <v>334.8928946959474</v>
      </c>
      <c r="BG389" s="526">
        <v>339.58784327436592</v>
      </c>
      <c r="BH389" s="526">
        <v>354.42840473859223</v>
      </c>
      <c r="BI389" s="526">
        <v>356.59349196322114</v>
      </c>
      <c r="BJ389" s="526">
        <v>370.72349366489806</v>
      </c>
      <c r="BK389" s="526">
        <v>372.97534045214456</v>
      </c>
      <c r="BL389" s="526">
        <v>386.68249399136721</v>
      </c>
      <c r="BM389" s="526">
        <v>391.19940328393614</v>
      </c>
      <c r="BN389" s="526">
        <v>405.59513433812742</v>
      </c>
      <c r="BO389" s="526">
        <v>408.06942999177716</v>
      </c>
      <c r="BP389" s="526">
        <v>424.22778526364459</v>
      </c>
      <c r="BQ389" s="526">
        <v>426.80467481201038</v>
      </c>
      <c r="BR389" s="526"/>
      <c r="BS389" s="54"/>
      <c r="BT389" s="54"/>
      <c r="BU389" s="54"/>
      <c r="BV389" s="54"/>
      <c r="BW389" s="54"/>
      <c r="BX389" s="54"/>
      <c r="BY389" s="54"/>
      <c r="BZ389" s="54"/>
      <c r="CA389" s="54"/>
      <c r="CB389" s="54"/>
      <c r="CC389" s="55"/>
      <c r="CD389" s="55"/>
      <c r="CE389" s="55"/>
      <c r="CF389" s="55"/>
      <c r="CG389" s="55"/>
      <c r="CH389" s="55"/>
      <c r="CI389" s="55"/>
      <c r="CJ389" s="55"/>
      <c r="CK389" s="55"/>
      <c r="CL389" s="55"/>
      <c r="CM389" s="55"/>
      <c r="CN389" s="55"/>
      <c r="CO389" s="55"/>
      <c r="CP389" s="55"/>
      <c r="CQ389" s="55"/>
      <c r="CR389" s="55"/>
      <c r="CS389" s="55"/>
      <c r="CT389" s="521">
        <v>0.85799999999999998</v>
      </c>
      <c r="CU389" s="521">
        <v>27.84</v>
      </c>
      <c r="CV389" s="526">
        <v>84.5</v>
      </c>
      <c r="CW389" s="526">
        <v>169.8</v>
      </c>
      <c r="CX389" s="526">
        <v>347.6</v>
      </c>
      <c r="CY389" s="524">
        <v>386</v>
      </c>
      <c r="CZ389" s="526">
        <v>402.48155790975397</v>
      </c>
      <c r="DA389" s="526">
        <v>495.12971716625145</v>
      </c>
      <c r="DB389" s="526">
        <v>579.41434368617502</v>
      </c>
      <c r="DC389" s="526">
        <v>627.63017104561334</v>
      </c>
      <c r="DD389" s="526">
        <v>674.48073797031338</v>
      </c>
      <c r="DE389" s="526">
        <v>711.02189670181338</v>
      </c>
      <c r="DF389" s="526">
        <v>743.69883411704268</v>
      </c>
      <c r="DG389" s="526">
        <v>777.88189727530334</v>
      </c>
      <c r="DH389" s="526">
        <v>813.66456432990458</v>
      </c>
      <c r="DI389" s="526">
        <v>851.03246007565497</v>
      </c>
    </row>
    <row r="390" spans="1:116" ht="12" outlineLevel="1" collapsed="1"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3"/>
      <c r="AX390" s="44"/>
      <c r="AY390" s="44"/>
      <c r="AZ390" s="44"/>
      <c r="BA390" s="44"/>
      <c r="BB390" s="44"/>
      <c r="BC390" s="44"/>
      <c r="BD390" s="44"/>
      <c r="BE390" s="44"/>
      <c r="BF390" s="44"/>
      <c r="BG390" s="44"/>
      <c r="BH390" s="44"/>
      <c r="BI390" s="44"/>
      <c r="BJ390" s="44"/>
      <c r="BK390" s="44"/>
      <c r="BL390" s="44"/>
      <c r="BM390" s="44"/>
      <c r="BN390" s="44"/>
      <c r="BO390" s="44"/>
      <c r="BP390" s="44"/>
      <c r="BQ390" s="44"/>
      <c r="BR390" s="44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3"/>
      <c r="CZ390" s="44"/>
      <c r="DA390" s="44"/>
      <c r="DB390" s="44"/>
      <c r="DC390" s="529"/>
      <c r="DD390" s="529"/>
      <c r="DE390" s="529"/>
      <c r="DF390" s="529"/>
      <c r="DG390" s="529"/>
      <c r="DH390" s="529"/>
      <c r="DI390" s="529"/>
    </row>
    <row r="391" spans="1:116" s="5" customFormat="1" ht="12.95" customHeight="1" outlineLevel="1">
      <c r="A391" s="60"/>
      <c r="B391" s="6" t="s">
        <v>640</v>
      </c>
      <c r="C391" s="584"/>
      <c r="D391" s="584"/>
      <c r="E391" s="584"/>
      <c r="F391" s="584"/>
      <c r="G391" s="584"/>
      <c r="H391" s="584"/>
      <c r="I391" s="584"/>
      <c r="J391" s="584"/>
      <c r="K391" s="584"/>
      <c r="L391" s="584"/>
      <c r="M391" s="584"/>
      <c r="N391" s="584"/>
      <c r="O391" s="584"/>
      <c r="P391" s="584"/>
      <c r="Q391" s="584"/>
      <c r="R391" s="584"/>
      <c r="S391" s="584"/>
      <c r="T391" s="515"/>
      <c r="U391" s="584"/>
      <c r="V391" s="584"/>
      <c r="W391" s="584"/>
      <c r="X391" s="584"/>
      <c r="Y391" s="515"/>
      <c r="Z391" s="515"/>
      <c r="AA391" s="515"/>
      <c r="AB391" s="515"/>
      <c r="AC391" s="515"/>
      <c r="AD391" s="515"/>
      <c r="AE391" s="515"/>
      <c r="AF391" s="515"/>
      <c r="AG391" s="515"/>
      <c r="AH391" s="515"/>
      <c r="AI391" s="515"/>
      <c r="AJ391" s="515"/>
      <c r="AK391" s="515"/>
      <c r="AL391" s="515"/>
      <c r="AM391" s="515"/>
      <c r="AN391" s="515"/>
      <c r="AO391" s="515"/>
      <c r="AP391" s="516" t="s">
        <v>797</v>
      </c>
      <c r="AQ391" s="516" t="s">
        <v>797</v>
      </c>
      <c r="AR391" s="516" t="s">
        <v>797</v>
      </c>
      <c r="AS391" s="516" t="s">
        <v>797</v>
      </c>
      <c r="AT391" s="516" t="s">
        <v>797</v>
      </c>
      <c r="AU391" s="516" t="s">
        <v>797</v>
      </c>
      <c r="AV391" s="516" t="s">
        <v>797</v>
      </c>
      <c r="AW391" s="583" t="s">
        <v>797</v>
      </c>
      <c r="AX391" s="590" t="s">
        <v>797</v>
      </c>
      <c r="AY391" s="590" t="s">
        <v>797</v>
      </c>
      <c r="AZ391" s="590" t="s">
        <v>797</v>
      </c>
      <c r="BA391" s="590" t="s">
        <v>797</v>
      </c>
      <c r="BB391" s="590" t="s">
        <v>797</v>
      </c>
      <c r="BC391" s="590" t="s">
        <v>797</v>
      </c>
      <c r="BD391" s="590" t="s">
        <v>797</v>
      </c>
      <c r="BE391" s="590" t="s">
        <v>797</v>
      </c>
      <c r="BF391" s="590" t="s">
        <v>797</v>
      </c>
      <c r="BG391" s="590" t="s">
        <v>797</v>
      </c>
      <c r="BH391" s="590" t="s">
        <v>797</v>
      </c>
      <c r="BI391" s="590" t="s">
        <v>797</v>
      </c>
      <c r="BJ391" s="590" t="s">
        <v>797</v>
      </c>
      <c r="BK391" s="590" t="s">
        <v>797</v>
      </c>
      <c r="BL391" s="590" t="s">
        <v>797</v>
      </c>
      <c r="BM391" s="590" t="s">
        <v>797</v>
      </c>
      <c r="BN391" s="590" t="s">
        <v>797</v>
      </c>
      <c r="BO391" s="590" t="s">
        <v>797</v>
      </c>
      <c r="BP391" s="590" t="s">
        <v>797</v>
      </c>
      <c r="BQ391" s="590" t="s">
        <v>797</v>
      </c>
      <c r="BR391" s="599"/>
      <c r="BS391" s="418"/>
      <c r="BT391" s="418"/>
      <c r="BU391" s="418"/>
      <c r="BV391" s="418"/>
      <c r="BW391" s="418"/>
      <c r="BX391" s="418"/>
      <c r="BY391" s="418"/>
      <c r="BZ391" s="418"/>
      <c r="CA391" s="418"/>
      <c r="CB391" s="418"/>
      <c r="CC391" s="418"/>
      <c r="CD391" s="418"/>
      <c r="CE391" s="418"/>
      <c r="CF391" s="418"/>
      <c r="CG391" s="418"/>
      <c r="CH391" s="418"/>
      <c r="CI391" s="418"/>
      <c r="CJ391" s="418"/>
      <c r="CK391" s="418"/>
      <c r="CL391" s="418"/>
      <c r="CM391" s="516"/>
      <c r="CN391" s="516"/>
      <c r="CO391" s="516"/>
      <c r="CP391" s="516"/>
      <c r="CQ391" s="516"/>
      <c r="CR391" s="516"/>
      <c r="CS391" s="516"/>
      <c r="CT391" s="516" t="s">
        <v>797</v>
      </c>
      <c r="CU391" s="516" t="s">
        <v>797</v>
      </c>
      <c r="CV391" s="516" t="s">
        <v>797</v>
      </c>
      <c r="CW391" s="516" t="s">
        <v>797</v>
      </c>
      <c r="CX391" s="516" t="s">
        <v>797</v>
      </c>
      <c r="CY391" s="583" t="s">
        <v>797</v>
      </c>
      <c r="CZ391" s="590" t="s">
        <v>797</v>
      </c>
      <c r="DA391" s="590" t="s">
        <v>797</v>
      </c>
      <c r="DB391" s="590" t="s">
        <v>797</v>
      </c>
      <c r="DC391" s="590" t="s">
        <v>797</v>
      </c>
      <c r="DD391" s="590" t="s">
        <v>797</v>
      </c>
      <c r="DE391" s="590" t="s">
        <v>797</v>
      </c>
      <c r="DF391" s="590" t="s">
        <v>797</v>
      </c>
      <c r="DG391" s="590" t="s">
        <v>797</v>
      </c>
      <c r="DH391" s="590" t="s">
        <v>797</v>
      </c>
      <c r="DI391" s="590" t="s">
        <v>797</v>
      </c>
    </row>
    <row r="392" spans="1:116" ht="12"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3"/>
      <c r="AX392" s="44"/>
      <c r="AY392" s="44"/>
      <c r="AZ392" s="44"/>
      <c r="BA392" s="44"/>
      <c r="BB392" s="44"/>
      <c r="BC392" s="44"/>
      <c r="BD392" s="44"/>
      <c r="BE392" s="44"/>
      <c r="BF392" s="44"/>
      <c r="BG392" s="44"/>
      <c r="BH392" s="44"/>
      <c r="BI392" s="44"/>
      <c r="BJ392" s="44"/>
      <c r="BK392" s="44"/>
      <c r="BL392" s="44"/>
      <c r="BM392" s="44"/>
      <c r="BN392" s="44"/>
      <c r="BO392" s="44"/>
      <c r="BP392" s="44"/>
      <c r="BQ392" s="44"/>
      <c r="BR392" s="44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3"/>
      <c r="CZ392" s="44"/>
      <c r="DA392" s="44"/>
      <c r="DB392" s="44"/>
      <c r="DC392" s="529"/>
      <c r="DD392" s="529"/>
      <c r="DE392" s="529"/>
      <c r="DF392" s="529"/>
      <c r="DG392" s="529"/>
      <c r="DH392" s="529"/>
      <c r="DI392" s="529"/>
    </row>
    <row r="393" spans="1:116" s="36" customFormat="1" ht="12" collapsed="1">
      <c r="A393" s="1" t="s">
        <v>992</v>
      </c>
      <c r="B393" s="2" t="s">
        <v>641</v>
      </c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27">
        <v>4.7</v>
      </c>
      <c r="AQ393" s="527">
        <v>0.6</v>
      </c>
      <c r="AR393" s="527">
        <v>0.4</v>
      </c>
      <c r="AS393" s="527">
        <v>2.8</v>
      </c>
      <c r="AT393" s="527">
        <v>2.2000000000000002</v>
      </c>
      <c r="AU393" s="527">
        <v>3.2</v>
      </c>
      <c r="AV393" s="527">
        <v>4.8</v>
      </c>
      <c r="AW393" s="528">
        <v>5.9</v>
      </c>
      <c r="AX393" s="527">
        <v>6.995506337655339</v>
      </c>
      <c r="AY393" s="527">
        <v>7.9481566210939345</v>
      </c>
      <c r="AZ393" s="527">
        <v>9.1633340013877245</v>
      </c>
      <c r="BA393" s="527">
        <v>10.047346317207573</v>
      </c>
      <c r="BB393" s="527">
        <v>11.194842445080761</v>
      </c>
      <c r="BC393" s="527">
        <v>11.559205540663941</v>
      </c>
      <c r="BD393" s="527">
        <v>12.123086115925361</v>
      </c>
      <c r="BE393" s="527">
        <v>12.551214539570449</v>
      </c>
      <c r="BF393" s="527">
        <v>13.220424585172969</v>
      </c>
      <c r="BG393" s="527">
        <v>13.41706606692971</v>
      </c>
      <c r="BH393" s="527">
        <v>14.00251238391481</v>
      </c>
      <c r="BI393" s="527">
        <v>14.073085668230476</v>
      </c>
      <c r="BJ393" s="527">
        <v>14.616784024920483</v>
      </c>
      <c r="BK393" s="527">
        <v>14.690496246695693</v>
      </c>
      <c r="BL393" s="527">
        <v>15.216403315218546</v>
      </c>
      <c r="BM393" s="527">
        <v>15.377676601061459</v>
      </c>
      <c r="BN393" s="527">
        <v>15.927629875808245</v>
      </c>
      <c r="BO393" s="527">
        <v>16.008045467296334</v>
      </c>
      <c r="BP393" s="527">
        <v>16.626643461162079</v>
      </c>
      <c r="BQ393" s="527">
        <v>16.710636217859381</v>
      </c>
      <c r="BR393" s="527"/>
      <c r="BS393" s="52"/>
      <c r="BT393" s="52"/>
      <c r="BU393" s="52"/>
      <c r="BV393" s="52"/>
      <c r="BW393" s="52"/>
      <c r="BX393" s="52"/>
      <c r="BY393" s="52"/>
      <c r="BZ393" s="52"/>
      <c r="CA393" s="52"/>
      <c r="CB393" s="52"/>
      <c r="CC393" s="52"/>
      <c r="CD393" s="52"/>
      <c r="CE393" s="52"/>
      <c r="CF393" s="52"/>
      <c r="CG393" s="52"/>
      <c r="CH393" s="52"/>
      <c r="CI393" s="52"/>
      <c r="CJ393" s="52"/>
      <c r="CK393" s="52"/>
      <c r="CL393" s="52"/>
      <c r="CM393" s="52"/>
      <c r="CN393" s="52"/>
      <c r="CO393" s="52"/>
      <c r="CP393" s="52"/>
      <c r="CQ393" s="52"/>
      <c r="CR393" s="52"/>
      <c r="CS393" s="52"/>
      <c r="CT393" s="527">
        <v>0.498</v>
      </c>
      <c r="CU393" s="527">
        <v>0.41599999999999998</v>
      </c>
      <c r="CV393" s="527">
        <v>5.3</v>
      </c>
      <c r="CW393" s="527">
        <v>3.1999999999999997</v>
      </c>
      <c r="CX393" s="527">
        <v>5.4</v>
      </c>
      <c r="CY393" s="528">
        <v>10.7</v>
      </c>
      <c r="CZ393" s="527">
        <v>14.943662958749274</v>
      </c>
      <c r="DA393" s="527">
        <v>19.210680318595298</v>
      </c>
      <c r="DB393" s="527">
        <v>22.754047985744702</v>
      </c>
      <c r="DC393" s="527">
        <v>24.674300655495809</v>
      </c>
      <c r="DD393" s="527">
        <v>26.637490652102677</v>
      </c>
      <c r="DE393" s="527">
        <v>28.075598052145288</v>
      </c>
      <c r="DF393" s="527">
        <v>29.307280271616175</v>
      </c>
      <c r="DG393" s="527">
        <v>30.594079916280005</v>
      </c>
      <c r="DH393" s="527">
        <v>31.935675343104577</v>
      </c>
      <c r="DI393" s="527">
        <v>33.337279679021464</v>
      </c>
    </row>
    <row r="394" spans="1:116" ht="12" outlineLevel="1"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388"/>
      <c r="AA394" s="42"/>
      <c r="AB394" s="95"/>
      <c r="AC394" s="95"/>
      <c r="AD394" s="42"/>
      <c r="AE394" s="388"/>
      <c r="AF394" s="388"/>
      <c r="AG394" s="42"/>
      <c r="AH394" s="42"/>
      <c r="AI394" s="42"/>
      <c r="AJ394" s="42"/>
      <c r="AK394" s="42"/>
      <c r="AL394" s="42"/>
      <c r="AM394" s="42"/>
      <c r="AN394" s="42"/>
      <c r="AO394" s="42"/>
      <c r="AP394" s="172"/>
      <c r="AQ394" s="172"/>
      <c r="AR394" s="172"/>
      <c r="AS394" s="172"/>
      <c r="AT394" s="172"/>
      <c r="AU394" s="172"/>
      <c r="AV394" s="172"/>
      <c r="AW394" s="161"/>
      <c r="AX394" s="44"/>
      <c r="AY394" s="44"/>
      <c r="AZ394" s="44"/>
      <c r="BA394" s="44"/>
      <c r="BB394" s="44"/>
      <c r="BC394" s="44"/>
      <c r="BD394" s="44"/>
      <c r="BE394" s="44"/>
      <c r="BF394" s="44"/>
      <c r="BG394" s="44"/>
      <c r="BH394" s="44"/>
      <c r="BI394" s="44"/>
      <c r="BJ394" s="44"/>
      <c r="BK394" s="44"/>
      <c r="BL394" s="44"/>
      <c r="BM394" s="44"/>
      <c r="BN394" s="44"/>
      <c r="BO394" s="44"/>
      <c r="BP394" s="44"/>
      <c r="BQ394" s="44"/>
      <c r="BR394" s="44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172"/>
      <c r="CR394" s="172"/>
      <c r="CS394" s="172"/>
      <c r="CT394" s="172"/>
      <c r="CU394" s="42"/>
      <c r="CV394" s="172"/>
      <c r="CW394" s="172"/>
      <c r="CX394" s="172"/>
      <c r="CY394" s="161"/>
      <c r="CZ394" s="574"/>
      <c r="DA394" s="574"/>
      <c r="DB394" s="44"/>
      <c r="DC394" s="529"/>
      <c r="DD394" s="529"/>
      <c r="DE394" s="529"/>
      <c r="DF394" s="529"/>
      <c r="DG394" s="529"/>
      <c r="DH394" s="529"/>
      <c r="DI394" s="529"/>
    </row>
    <row r="395" spans="1:116" ht="12" outlineLevel="1">
      <c r="A395" s="1" t="s">
        <v>993</v>
      </c>
      <c r="B395" s="19" t="s">
        <v>533</v>
      </c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525">
        <v>0</v>
      </c>
      <c r="AQ395" s="525">
        <v>0</v>
      </c>
      <c r="AR395" s="525">
        <v>0</v>
      </c>
      <c r="AS395" s="525">
        <v>0</v>
      </c>
      <c r="AT395" s="525">
        <v>0</v>
      </c>
      <c r="AU395" s="525">
        <v>0</v>
      </c>
      <c r="AV395" s="525">
        <v>0</v>
      </c>
      <c r="AW395" s="523">
        <v>0</v>
      </c>
      <c r="AX395" s="44">
        <v>0</v>
      </c>
      <c r="AY395" s="44">
        <v>0</v>
      </c>
      <c r="AZ395" s="44">
        <v>0</v>
      </c>
      <c r="BA395" s="44">
        <v>0</v>
      </c>
      <c r="BB395" s="44">
        <v>0</v>
      </c>
      <c r="BC395" s="44">
        <v>0</v>
      </c>
      <c r="BD395" s="44">
        <v>0</v>
      </c>
      <c r="BE395" s="44">
        <v>0</v>
      </c>
      <c r="BF395" s="44">
        <v>0</v>
      </c>
      <c r="BG395" s="44">
        <v>0</v>
      </c>
      <c r="BH395" s="44">
        <v>0</v>
      </c>
      <c r="BI395" s="44">
        <v>0</v>
      </c>
      <c r="BJ395" s="44">
        <v>0</v>
      </c>
      <c r="BK395" s="44">
        <v>0</v>
      </c>
      <c r="BL395" s="44">
        <v>0</v>
      </c>
      <c r="BM395" s="44">
        <v>0</v>
      </c>
      <c r="BN395" s="44">
        <v>0</v>
      </c>
      <c r="BO395" s="44">
        <v>0</v>
      </c>
      <c r="BP395" s="44">
        <v>0</v>
      </c>
      <c r="BQ395" s="44">
        <v>0</v>
      </c>
      <c r="BR395" s="44"/>
      <c r="BS395" s="40"/>
      <c r="BT395" s="40"/>
      <c r="BU395" s="40"/>
      <c r="BV395" s="40"/>
      <c r="BW395" s="40"/>
      <c r="BX395" s="40"/>
      <c r="BY395" s="40"/>
      <c r="BZ395" s="40"/>
      <c r="CA395" s="40"/>
      <c r="CB395" s="40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525">
        <v>0</v>
      </c>
      <c r="CU395" s="525">
        <v>0</v>
      </c>
      <c r="CV395" s="44">
        <v>0</v>
      </c>
      <c r="CW395" s="44">
        <v>0</v>
      </c>
      <c r="CX395" s="44">
        <v>0</v>
      </c>
      <c r="CY395" s="45">
        <v>0</v>
      </c>
      <c r="CZ395" s="44">
        <v>0</v>
      </c>
      <c r="DA395" s="44">
        <v>0</v>
      </c>
      <c r="DB395" s="44">
        <v>0</v>
      </c>
      <c r="DC395" s="44">
        <v>0</v>
      </c>
      <c r="DD395" s="44">
        <v>0</v>
      </c>
      <c r="DE395" s="44">
        <v>0</v>
      </c>
      <c r="DF395" s="44">
        <v>0</v>
      </c>
      <c r="DG395" s="44">
        <v>0</v>
      </c>
      <c r="DH395" s="44">
        <v>0</v>
      </c>
      <c r="DI395" s="44">
        <v>0</v>
      </c>
    </row>
    <row r="396" spans="1:116" ht="12" outlineLevel="1">
      <c r="A396" s="1" t="s">
        <v>994</v>
      </c>
      <c r="B396" s="19" t="s">
        <v>534</v>
      </c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525">
        <v>0.4</v>
      </c>
      <c r="AQ396" s="525">
        <v>0.60000000000000009</v>
      </c>
      <c r="AR396" s="525">
        <v>0.4</v>
      </c>
      <c r="AS396" s="525">
        <v>2.8</v>
      </c>
      <c r="AT396" s="525">
        <v>2.2000000000000002</v>
      </c>
      <c r="AU396" s="525">
        <v>3.2</v>
      </c>
      <c r="AV396" s="525">
        <v>4.8</v>
      </c>
      <c r="AW396" s="523">
        <v>5.9</v>
      </c>
      <c r="AX396" s="44">
        <v>6.995506337655339</v>
      </c>
      <c r="AY396" s="44">
        <v>7.9481566210939345</v>
      </c>
      <c r="AZ396" s="44">
        <v>9.1633340013877245</v>
      </c>
      <c r="BA396" s="44">
        <v>10.047346317207573</v>
      </c>
      <c r="BB396" s="44">
        <v>11.194842445080761</v>
      </c>
      <c r="BC396" s="44">
        <v>11.559205540663941</v>
      </c>
      <c r="BD396" s="44">
        <v>12.123086115925361</v>
      </c>
      <c r="BE396" s="44">
        <v>12.551214539570449</v>
      </c>
      <c r="BF396" s="44">
        <v>13.220424585172969</v>
      </c>
      <c r="BG396" s="44">
        <v>13.41706606692971</v>
      </c>
      <c r="BH396" s="44">
        <v>14.00251238391481</v>
      </c>
      <c r="BI396" s="44">
        <v>14.073085668230476</v>
      </c>
      <c r="BJ396" s="44">
        <v>14.616784024920483</v>
      </c>
      <c r="BK396" s="44">
        <v>14.690496246695693</v>
      </c>
      <c r="BL396" s="44">
        <v>15.216403315218546</v>
      </c>
      <c r="BM396" s="44">
        <v>15.377676601061459</v>
      </c>
      <c r="BN396" s="44">
        <v>15.927629875808245</v>
      </c>
      <c r="BO396" s="44">
        <v>16.008045467296334</v>
      </c>
      <c r="BP396" s="44">
        <v>16.626643461162079</v>
      </c>
      <c r="BQ396" s="44">
        <v>16.710636217859381</v>
      </c>
      <c r="BR396" s="44"/>
      <c r="BS396" s="40"/>
      <c r="BT396" s="40"/>
      <c r="BU396" s="40"/>
      <c r="BV396" s="40"/>
      <c r="BW396" s="40"/>
      <c r="BX396" s="40"/>
      <c r="BY396" s="40"/>
      <c r="BZ396" s="40"/>
      <c r="CA396" s="40"/>
      <c r="CB396" s="40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525">
        <v>0.498</v>
      </c>
      <c r="CU396" s="525">
        <v>0.41599999999999998</v>
      </c>
      <c r="CV396" s="44">
        <v>1</v>
      </c>
      <c r="CW396" s="44">
        <v>3.1999999999999997</v>
      </c>
      <c r="CX396" s="44">
        <v>5.4</v>
      </c>
      <c r="CY396" s="45">
        <v>10.7</v>
      </c>
      <c r="CZ396" s="44">
        <v>14.943662958749274</v>
      </c>
      <c r="DA396" s="44">
        <v>19.210680318595298</v>
      </c>
      <c r="DB396" s="44">
        <v>22.754047985744702</v>
      </c>
      <c r="DC396" s="44">
        <v>24.674300655495809</v>
      </c>
      <c r="DD396" s="44">
        <v>26.637490652102677</v>
      </c>
      <c r="DE396" s="44">
        <v>28.075598052145288</v>
      </c>
      <c r="DF396" s="44">
        <v>29.307280271616175</v>
      </c>
      <c r="DG396" s="44">
        <v>30.594079916280005</v>
      </c>
      <c r="DH396" s="44">
        <v>31.935675343104577</v>
      </c>
      <c r="DI396" s="44">
        <v>33.337279679021464</v>
      </c>
    </row>
    <row r="397" spans="1:116" ht="12" outlineLevel="1">
      <c r="A397" s="1" t="s">
        <v>995</v>
      </c>
      <c r="B397" s="19" t="s">
        <v>535</v>
      </c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525">
        <v>0</v>
      </c>
      <c r="AQ397" s="525">
        <v>0</v>
      </c>
      <c r="AR397" s="525">
        <v>0</v>
      </c>
      <c r="AS397" s="525">
        <v>0</v>
      </c>
      <c r="AT397" s="525">
        <v>0</v>
      </c>
      <c r="AU397" s="525">
        <v>0</v>
      </c>
      <c r="AV397" s="525">
        <v>0</v>
      </c>
      <c r="AW397" s="523">
        <v>0</v>
      </c>
      <c r="AX397" s="44">
        <v>0</v>
      </c>
      <c r="AY397" s="44">
        <v>0</v>
      </c>
      <c r="AZ397" s="44">
        <v>0</v>
      </c>
      <c r="BA397" s="44">
        <v>0</v>
      </c>
      <c r="BB397" s="44">
        <v>0</v>
      </c>
      <c r="BC397" s="44">
        <v>0</v>
      </c>
      <c r="BD397" s="44">
        <v>0</v>
      </c>
      <c r="BE397" s="44">
        <v>0</v>
      </c>
      <c r="BF397" s="44">
        <v>0</v>
      </c>
      <c r="BG397" s="44">
        <v>0</v>
      </c>
      <c r="BH397" s="44">
        <v>0</v>
      </c>
      <c r="BI397" s="44">
        <v>0</v>
      </c>
      <c r="BJ397" s="44">
        <v>0</v>
      </c>
      <c r="BK397" s="44">
        <v>0</v>
      </c>
      <c r="BL397" s="44">
        <v>0</v>
      </c>
      <c r="BM397" s="44">
        <v>0</v>
      </c>
      <c r="BN397" s="44">
        <v>0</v>
      </c>
      <c r="BO397" s="44">
        <v>0</v>
      </c>
      <c r="BP397" s="44">
        <v>0</v>
      </c>
      <c r="BQ397" s="44">
        <v>0</v>
      </c>
      <c r="BR397" s="44"/>
      <c r="BS397" s="40"/>
      <c r="BT397" s="40"/>
      <c r="BU397" s="40"/>
      <c r="BV397" s="40"/>
      <c r="BW397" s="40"/>
      <c r="BX397" s="40"/>
      <c r="BY397" s="40"/>
      <c r="BZ397" s="40"/>
      <c r="CA397" s="40"/>
      <c r="CB397" s="40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525">
        <v>0</v>
      </c>
      <c r="CU397" s="525">
        <v>0</v>
      </c>
      <c r="CV397" s="44">
        <v>0</v>
      </c>
      <c r="CW397" s="44">
        <v>0</v>
      </c>
      <c r="CX397" s="44">
        <v>0</v>
      </c>
      <c r="CY397" s="45">
        <v>0</v>
      </c>
      <c r="CZ397" s="44">
        <v>0</v>
      </c>
      <c r="DA397" s="44">
        <v>0</v>
      </c>
      <c r="DB397" s="44">
        <v>0</v>
      </c>
      <c r="DC397" s="44">
        <v>0</v>
      </c>
      <c r="DD397" s="44">
        <v>0</v>
      </c>
      <c r="DE397" s="44">
        <v>0</v>
      </c>
      <c r="DF397" s="44">
        <v>0</v>
      </c>
      <c r="DG397" s="44">
        <v>0</v>
      </c>
      <c r="DH397" s="44">
        <v>0</v>
      </c>
      <c r="DI397" s="44">
        <v>0</v>
      </c>
    </row>
    <row r="398" spans="1:116" ht="12" outlineLevel="1">
      <c r="A398" s="1" t="s">
        <v>996</v>
      </c>
      <c r="B398" s="19" t="s">
        <v>431</v>
      </c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511"/>
      <c r="AB398" s="511"/>
      <c r="AC398" s="511"/>
      <c r="AD398" s="511"/>
      <c r="AE398" s="511"/>
      <c r="AF398" s="511"/>
      <c r="AG398" s="511"/>
      <c r="AH398" s="511"/>
      <c r="AI398" s="511"/>
      <c r="AJ398" s="511"/>
      <c r="AK398" s="511"/>
      <c r="AL398" s="511"/>
      <c r="AM398" s="511"/>
      <c r="AN398" s="511"/>
      <c r="AO398" s="511"/>
      <c r="AP398" s="585">
        <v>0</v>
      </c>
      <c r="AQ398" s="585">
        <v>0</v>
      </c>
      <c r="AR398" s="585">
        <v>0</v>
      </c>
      <c r="AS398" s="585">
        <v>0</v>
      </c>
      <c r="AT398" s="585">
        <v>0</v>
      </c>
      <c r="AU398" s="585">
        <v>0</v>
      </c>
      <c r="AV398" s="585">
        <v>0</v>
      </c>
      <c r="AW398" s="586">
        <v>0</v>
      </c>
      <c r="AX398" s="46">
        <v>0</v>
      </c>
      <c r="AY398" s="46">
        <v>0</v>
      </c>
      <c r="AZ398" s="46">
        <v>0</v>
      </c>
      <c r="BA398" s="46">
        <v>0</v>
      </c>
      <c r="BB398" s="46">
        <v>0</v>
      </c>
      <c r="BC398" s="46">
        <v>0</v>
      </c>
      <c r="BD398" s="46">
        <v>0</v>
      </c>
      <c r="BE398" s="46">
        <v>0</v>
      </c>
      <c r="BF398" s="46">
        <v>0</v>
      </c>
      <c r="BG398" s="46">
        <v>0</v>
      </c>
      <c r="BH398" s="46">
        <v>0</v>
      </c>
      <c r="BI398" s="46">
        <v>0</v>
      </c>
      <c r="BJ398" s="46">
        <v>0</v>
      </c>
      <c r="BK398" s="46">
        <v>0</v>
      </c>
      <c r="BL398" s="46">
        <v>0</v>
      </c>
      <c r="BM398" s="46">
        <v>0</v>
      </c>
      <c r="BN398" s="46">
        <v>0</v>
      </c>
      <c r="BO398" s="46">
        <v>0</v>
      </c>
      <c r="BP398" s="46">
        <v>0</v>
      </c>
      <c r="BQ398" s="46">
        <v>0</v>
      </c>
      <c r="BR398" s="44"/>
      <c r="BS398" s="40"/>
      <c r="BT398" s="40"/>
      <c r="BU398" s="40"/>
      <c r="BV398" s="40"/>
      <c r="BW398" s="40"/>
      <c r="BX398" s="40"/>
      <c r="BY398" s="40"/>
      <c r="BZ398" s="40"/>
      <c r="CA398" s="114"/>
      <c r="CB398" s="114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585">
        <v>0</v>
      </c>
      <c r="CU398" s="585">
        <v>0</v>
      </c>
      <c r="CV398" s="44">
        <v>0</v>
      </c>
      <c r="CW398" s="44">
        <v>0</v>
      </c>
      <c r="CX398" s="44">
        <v>0</v>
      </c>
      <c r="CY398" s="45">
        <v>0</v>
      </c>
      <c r="CZ398" s="44">
        <v>0</v>
      </c>
      <c r="DA398" s="44">
        <v>0</v>
      </c>
      <c r="DB398" s="44">
        <v>0</v>
      </c>
      <c r="DC398" s="44">
        <v>0</v>
      </c>
      <c r="DD398" s="44">
        <v>0</v>
      </c>
      <c r="DE398" s="44">
        <v>0</v>
      </c>
      <c r="DF398" s="44">
        <v>0</v>
      </c>
      <c r="DG398" s="44">
        <v>0</v>
      </c>
      <c r="DH398" s="44">
        <v>0</v>
      </c>
      <c r="DI398" s="44">
        <v>0</v>
      </c>
      <c r="DJ398" s="548"/>
      <c r="DK398" s="548"/>
      <c r="DL398" s="68"/>
    </row>
    <row r="399" spans="1:116" ht="12" outlineLevel="1">
      <c r="A399" s="1" t="s">
        <v>997</v>
      </c>
      <c r="B399" s="19" t="s">
        <v>780</v>
      </c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511"/>
      <c r="AB399" s="511"/>
      <c r="AC399" s="511"/>
      <c r="AD399" s="511"/>
      <c r="AE399" s="511"/>
      <c r="AF399" s="511"/>
      <c r="AG399" s="511"/>
      <c r="AH399" s="511"/>
      <c r="AI399" s="511"/>
      <c r="AJ399" s="511"/>
      <c r="AK399" s="511"/>
      <c r="AL399" s="511"/>
      <c r="AM399" s="511"/>
      <c r="AN399" s="511"/>
      <c r="AO399" s="511"/>
      <c r="AP399" s="585">
        <v>0</v>
      </c>
      <c r="AQ399" s="585">
        <v>0</v>
      </c>
      <c r="AR399" s="585">
        <v>0</v>
      </c>
      <c r="AS399" s="585">
        <v>0</v>
      </c>
      <c r="AT399" s="585">
        <v>0</v>
      </c>
      <c r="AU399" s="585">
        <v>0</v>
      </c>
      <c r="AV399" s="585">
        <v>0</v>
      </c>
      <c r="AW399" s="586">
        <v>0</v>
      </c>
      <c r="AX399" s="46">
        <v>0</v>
      </c>
      <c r="AY399" s="46">
        <v>0</v>
      </c>
      <c r="AZ399" s="46">
        <v>0</v>
      </c>
      <c r="BA399" s="46">
        <v>0</v>
      </c>
      <c r="BB399" s="46">
        <v>0</v>
      </c>
      <c r="BC399" s="46">
        <v>0</v>
      </c>
      <c r="BD399" s="46">
        <v>0</v>
      </c>
      <c r="BE399" s="46">
        <v>0</v>
      </c>
      <c r="BF399" s="46">
        <v>0</v>
      </c>
      <c r="BG399" s="46">
        <v>0</v>
      </c>
      <c r="BH399" s="46">
        <v>0</v>
      </c>
      <c r="BI399" s="46">
        <v>0</v>
      </c>
      <c r="BJ399" s="46">
        <v>0</v>
      </c>
      <c r="BK399" s="46">
        <v>0</v>
      </c>
      <c r="BL399" s="46">
        <v>0</v>
      </c>
      <c r="BM399" s="46">
        <v>0</v>
      </c>
      <c r="BN399" s="46">
        <v>0</v>
      </c>
      <c r="BO399" s="46">
        <v>0</v>
      </c>
      <c r="BP399" s="46">
        <v>0</v>
      </c>
      <c r="BQ399" s="46">
        <v>0</v>
      </c>
      <c r="BR399" s="44"/>
      <c r="BS399" s="40"/>
      <c r="BT399" s="40"/>
      <c r="BU399" s="40"/>
      <c r="BV399" s="40"/>
      <c r="BW399" s="40"/>
      <c r="BX399" s="40"/>
      <c r="BY399" s="40"/>
      <c r="BZ399" s="40"/>
      <c r="CA399" s="114"/>
      <c r="CB399" s="114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585">
        <v>0</v>
      </c>
      <c r="CU399" s="585">
        <v>0</v>
      </c>
      <c r="CV399" s="44">
        <v>0</v>
      </c>
      <c r="CW399" s="44">
        <v>0</v>
      </c>
      <c r="CX399" s="44">
        <v>0</v>
      </c>
      <c r="CY399" s="45">
        <v>0</v>
      </c>
      <c r="CZ399" s="44">
        <v>0</v>
      </c>
      <c r="DA399" s="44">
        <v>0</v>
      </c>
      <c r="DB399" s="44">
        <v>0</v>
      </c>
      <c r="DC399" s="44">
        <v>0</v>
      </c>
      <c r="DD399" s="44">
        <v>0</v>
      </c>
      <c r="DE399" s="44">
        <v>0</v>
      </c>
      <c r="DF399" s="44">
        <v>0</v>
      </c>
      <c r="DG399" s="44">
        <v>0</v>
      </c>
      <c r="DH399" s="44">
        <v>0</v>
      </c>
      <c r="DI399" s="44">
        <v>0</v>
      </c>
    </row>
    <row r="400" spans="1:116" ht="12" outlineLevel="1">
      <c r="A400" s="1" t="s">
        <v>804</v>
      </c>
      <c r="B400" s="19" t="s">
        <v>800</v>
      </c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511"/>
      <c r="AB400" s="511"/>
      <c r="AC400" s="511"/>
      <c r="AD400" s="511"/>
      <c r="AE400" s="511"/>
      <c r="AF400" s="511"/>
      <c r="AG400" s="511"/>
      <c r="AH400" s="511"/>
      <c r="AI400" s="511"/>
      <c r="AJ400" s="511"/>
      <c r="AK400" s="511"/>
      <c r="AL400" s="511"/>
      <c r="AM400" s="511"/>
      <c r="AN400" s="511"/>
      <c r="AO400" s="511"/>
      <c r="AP400" s="585">
        <v>0</v>
      </c>
      <c r="AQ400" s="585">
        <v>0</v>
      </c>
      <c r="AR400" s="585">
        <v>0</v>
      </c>
      <c r="AS400" s="585">
        <v>0</v>
      </c>
      <c r="AT400" s="585">
        <v>0</v>
      </c>
      <c r="AU400" s="585">
        <v>0</v>
      </c>
      <c r="AV400" s="585">
        <v>0</v>
      </c>
      <c r="AW400" s="586">
        <v>0</v>
      </c>
      <c r="AX400" s="46">
        <v>0</v>
      </c>
      <c r="AY400" s="46">
        <v>0</v>
      </c>
      <c r="AZ400" s="46">
        <v>0</v>
      </c>
      <c r="BA400" s="46">
        <v>0</v>
      </c>
      <c r="BB400" s="46">
        <v>0</v>
      </c>
      <c r="BC400" s="46">
        <v>0</v>
      </c>
      <c r="BD400" s="46">
        <v>0</v>
      </c>
      <c r="BE400" s="46">
        <v>0</v>
      </c>
      <c r="BF400" s="46">
        <v>0</v>
      </c>
      <c r="BG400" s="46">
        <v>0</v>
      </c>
      <c r="BH400" s="46">
        <v>0</v>
      </c>
      <c r="BI400" s="46">
        <v>0</v>
      </c>
      <c r="BJ400" s="46">
        <v>0</v>
      </c>
      <c r="BK400" s="46">
        <v>0</v>
      </c>
      <c r="BL400" s="46">
        <v>0</v>
      </c>
      <c r="BM400" s="46">
        <v>0</v>
      </c>
      <c r="BN400" s="46">
        <v>0</v>
      </c>
      <c r="BO400" s="46">
        <v>0</v>
      </c>
      <c r="BP400" s="46">
        <v>0</v>
      </c>
      <c r="BQ400" s="46">
        <v>0</v>
      </c>
      <c r="BR400" s="44"/>
      <c r="BS400" s="40"/>
      <c r="BT400" s="40"/>
      <c r="BU400" s="40"/>
      <c r="BV400" s="40"/>
      <c r="BW400" s="40"/>
      <c r="BX400" s="40"/>
      <c r="BY400" s="40"/>
      <c r="BZ400" s="40"/>
      <c r="CA400" s="40"/>
      <c r="CB400" s="40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585">
        <v>0</v>
      </c>
      <c r="CU400" s="585">
        <v>0</v>
      </c>
      <c r="CV400" s="44">
        <v>0</v>
      </c>
      <c r="CW400" s="44">
        <v>0</v>
      </c>
      <c r="CX400" s="44">
        <v>0</v>
      </c>
      <c r="CY400" s="45">
        <v>0</v>
      </c>
      <c r="CZ400" s="44">
        <v>0</v>
      </c>
      <c r="DA400" s="44">
        <v>0</v>
      </c>
      <c r="DB400" s="44">
        <v>0</v>
      </c>
      <c r="DC400" s="44">
        <v>0</v>
      </c>
      <c r="DD400" s="44">
        <v>0</v>
      </c>
      <c r="DE400" s="44">
        <v>0</v>
      </c>
      <c r="DF400" s="44">
        <v>0</v>
      </c>
      <c r="DG400" s="44">
        <v>0</v>
      </c>
      <c r="DH400" s="44">
        <v>0</v>
      </c>
      <c r="DI400" s="44">
        <v>0</v>
      </c>
    </row>
    <row r="401" spans="1:113" ht="12" hidden="1" outlineLevel="2">
      <c r="A401" s="1" t="s">
        <v>805</v>
      </c>
      <c r="B401" s="19" t="s">
        <v>801</v>
      </c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4"/>
      <c r="AQ401" s="44"/>
      <c r="AR401" s="44"/>
      <c r="AS401" s="44"/>
      <c r="AT401" s="44"/>
      <c r="AU401" s="44"/>
      <c r="AV401" s="44"/>
      <c r="AW401" s="45"/>
      <c r="AX401" s="44"/>
      <c r="AY401" s="44"/>
      <c r="AZ401" s="44"/>
      <c r="BA401" s="44"/>
      <c r="BB401" s="44"/>
      <c r="BC401" s="44"/>
      <c r="BD401" s="44"/>
      <c r="BE401" s="44"/>
      <c r="BF401" s="44"/>
      <c r="BG401" s="44"/>
      <c r="BH401" s="44"/>
      <c r="BI401" s="44"/>
      <c r="BJ401" s="44"/>
      <c r="BK401" s="44"/>
      <c r="BL401" s="44"/>
      <c r="BM401" s="44"/>
      <c r="BN401" s="44"/>
      <c r="BO401" s="44"/>
      <c r="BP401" s="44"/>
      <c r="BQ401" s="44"/>
      <c r="BR401" s="44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4"/>
      <c r="CU401" s="44"/>
      <c r="CV401" s="44">
        <v>0</v>
      </c>
      <c r="CW401" s="44">
        <v>0</v>
      </c>
      <c r="CX401" s="44">
        <v>0</v>
      </c>
      <c r="CY401" s="45">
        <v>0</v>
      </c>
      <c r="CZ401" s="44">
        <v>0</v>
      </c>
      <c r="DA401" s="44">
        <v>0</v>
      </c>
      <c r="DB401" s="44">
        <v>0</v>
      </c>
      <c r="DC401" s="44">
        <v>0</v>
      </c>
      <c r="DD401" s="44">
        <v>0</v>
      </c>
      <c r="DE401" s="44">
        <v>0</v>
      </c>
      <c r="DF401" s="44">
        <v>0</v>
      </c>
      <c r="DG401" s="44">
        <v>0</v>
      </c>
      <c r="DH401" s="44">
        <v>0</v>
      </c>
      <c r="DI401" s="44">
        <v>0</v>
      </c>
    </row>
    <row r="402" spans="1:113" ht="12" hidden="1" outlineLevel="2">
      <c r="A402" s="1" t="s">
        <v>108</v>
      </c>
      <c r="B402" s="19" t="s">
        <v>801</v>
      </c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4"/>
      <c r="AQ402" s="44"/>
      <c r="AR402" s="44"/>
      <c r="AS402" s="44"/>
      <c r="AT402" s="44"/>
      <c r="AU402" s="44"/>
      <c r="AV402" s="44"/>
      <c r="AW402" s="45"/>
      <c r="AX402" s="44"/>
      <c r="AY402" s="44"/>
      <c r="AZ402" s="44"/>
      <c r="BA402" s="44"/>
      <c r="BB402" s="44"/>
      <c r="BC402" s="44"/>
      <c r="BD402" s="44"/>
      <c r="BE402" s="44"/>
      <c r="BF402" s="44"/>
      <c r="BG402" s="44"/>
      <c r="BH402" s="44"/>
      <c r="BI402" s="44"/>
      <c r="BJ402" s="44"/>
      <c r="BK402" s="44"/>
      <c r="BL402" s="44"/>
      <c r="BM402" s="44"/>
      <c r="BN402" s="44"/>
      <c r="BO402" s="44"/>
      <c r="BP402" s="44"/>
      <c r="BQ402" s="44"/>
      <c r="BR402" s="44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4"/>
      <c r="CU402" s="44"/>
      <c r="CV402" s="44">
        <v>0</v>
      </c>
      <c r="CW402" s="44"/>
      <c r="CX402" s="44"/>
      <c r="CY402" s="45"/>
      <c r="CZ402" s="44"/>
      <c r="DA402" s="44"/>
      <c r="DB402" s="44"/>
      <c r="DC402" s="44"/>
      <c r="DD402" s="44"/>
      <c r="DE402" s="44"/>
      <c r="DF402" s="44"/>
      <c r="DG402" s="44"/>
      <c r="DH402" s="44"/>
      <c r="DI402" s="44"/>
    </row>
    <row r="403" spans="1:113" ht="12" hidden="1" outlineLevel="2">
      <c r="A403" s="1" t="s">
        <v>109</v>
      </c>
      <c r="B403" s="19" t="s">
        <v>801</v>
      </c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4"/>
      <c r="AQ403" s="44"/>
      <c r="AR403" s="44"/>
      <c r="AS403" s="44"/>
      <c r="AT403" s="44"/>
      <c r="AU403" s="44"/>
      <c r="AV403" s="44"/>
      <c r="AW403" s="45"/>
      <c r="AX403" s="44"/>
      <c r="AY403" s="44"/>
      <c r="AZ403" s="44"/>
      <c r="BA403" s="44"/>
      <c r="BB403" s="44"/>
      <c r="BC403" s="44"/>
      <c r="BD403" s="44"/>
      <c r="BE403" s="44"/>
      <c r="BF403" s="44"/>
      <c r="BG403" s="44"/>
      <c r="BH403" s="44"/>
      <c r="BI403" s="44"/>
      <c r="BJ403" s="44"/>
      <c r="BK403" s="44"/>
      <c r="BL403" s="44"/>
      <c r="BM403" s="44"/>
      <c r="BN403" s="44"/>
      <c r="BO403" s="44"/>
      <c r="BP403" s="44"/>
      <c r="BQ403" s="44"/>
      <c r="BR403" s="44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4"/>
      <c r="CU403" s="44"/>
      <c r="CV403" s="44">
        <v>0</v>
      </c>
      <c r="CW403" s="44"/>
      <c r="CX403" s="44"/>
      <c r="CY403" s="45"/>
      <c r="CZ403" s="44"/>
      <c r="DA403" s="44"/>
      <c r="DB403" s="44"/>
      <c r="DC403" s="44"/>
      <c r="DD403" s="44"/>
      <c r="DE403" s="44"/>
      <c r="DF403" s="44"/>
      <c r="DG403" s="44"/>
      <c r="DH403" s="44"/>
      <c r="DI403" s="44"/>
    </row>
    <row r="404" spans="1:113" ht="12" hidden="1" outlineLevel="2">
      <c r="A404" s="1" t="s">
        <v>110</v>
      </c>
      <c r="B404" s="19" t="s">
        <v>801</v>
      </c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4"/>
      <c r="AQ404" s="44"/>
      <c r="AR404" s="44"/>
      <c r="AS404" s="44"/>
      <c r="AT404" s="44"/>
      <c r="AU404" s="44"/>
      <c r="AV404" s="44"/>
      <c r="AW404" s="45"/>
      <c r="AX404" s="44"/>
      <c r="AY404" s="44"/>
      <c r="AZ404" s="44"/>
      <c r="BA404" s="44"/>
      <c r="BB404" s="44"/>
      <c r="BC404" s="44"/>
      <c r="BD404" s="44"/>
      <c r="BE404" s="44"/>
      <c r="BF404" s="44"/>
      <c r="BG404" s="44"/>
      <c r="BH404" s="44"/>
      <c r="BI404" s="44"/>
      <c r="BJ404" s="44"/>
      <c r="BK404" s="44"/>
      <c r="BL404" s="44"/>
      <c r="BM404" s="44"/>
      <c r="BN404" s="44"/>
      <c r="BO404" s="44"/>
      <c r="BP404" s="44"/>
      <c r="BQ404" s="44"/>
      <c r="BR404" s="44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4"/>
      <c r="CU404" s="44"/>
      <c r="CV404" s="44">
        <v>0</v>
      </c>
      <c r="CW404" s="44"/>
      <c r="CX404" s="44"/>
      <c r="CY404" s="45"/>
      <c r="CZ404" s="44"/>
      <c r="DA404" s="44"/>
      <c r="DB404" s="44"/>
      <c r="DC404" s="44"/>
      <c r="DD404" s="44"/>
      <c r="DE404" s="44"/>
      <c r="DF404" s="44"/>
      <c r="DG404" s="44"/>
      <c r="DH404" s="44"/>
      <c r="DI404" s="44"/>
    </row>
    <row r="405" spans="1:113" ht="12" outlineLevel="1" collapsed="1">
      <c r="A405" s="1" t="s">
        <v>806</v>
      </c>
      <c r="B405" s="19" t="s">
        <v>655</v>
      </c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4">
        <v>0</v>
      </c>
      <c r="AQ405" s="44">
        <v>0</v>
      </c>
      <c r="AR405" s="44">
        <v>0</v>
      </c>
      <c r="AS405" s="44">
        <v>0</v>
      </c>
      <c r="AT405" s="44">
        <v>0</v>
      </c>
      <c r="AU405" s="44">
        <v>0</v>
      </c>
      <c r="AV405" s="44">
        <v>0</v>
      </c>
      <c r="AW405" s="45">
        <v>0</v>
      </c>
      <c r="AX405" s="44">
        <v>0</v>
      </c>
      <c r="AY405" s="44">
        <v>0</v>
      </c>
      <c r="AZ405" s="44">
        <v>0</v>
      </c>
      <c r="BA405" s="44">
        <v>0</v>
      </c>
      <c r="BB405" s="44">
        <v>0</v>
      </c>
      <c r="BC405" s="44">
        <v>0</v>
      </c>
      <c r="BD405" s="44">
        <v>0</v>
      </c>
      <c r="BE405" s="44">
        <v>0</v>
      </c>
      <c r="BF405" s="44">
        <v>0</v>
      </c>
      <c r="BG405" s="44">
        <v>0</v>
      </c>
      <c r="BH405" s="44">
        <v>0</v>
      </c>
      <c r="BI405" s="44">
        <v>0</v>
      </c>
      <c r="BJ405" s="44">
        <v>0</v>
      </c>
      <c r="BK405" s="44">
        <v>0</v>
      </c>
      <c r="BL405" s="44">
        <v>0</v>
      </c>
      <c r="BM405" s="44">
        <v>0</v>
      </c>
      <c r="BN405" s="44">
        <v>0</v>
      </c>
      <c r="BO405" s="44">
        <v>0</v>
      </c>
      <c r="BP405" s="44">
        <v>0</v>
      </c>
      <c r="BQ405" s="44">
        <v>0</v>
      </c>
      <c r="BR405" s="44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4">
        <v>0</v>
      </c>
      <c r="CU405" s="44">
        <v>0</v>
      </c>
      <c r="CV405" s="44">
        <v>0</v>
      </c>
      <c r="CW405" s="44">
        <v>0</v>
      </c>
      <c r="CX405" s="44">
        <v>0</v>
      </c>
      <c r="CY405" s="45">
        <v>0</v>
      </c>
      <c r="CZ405" s="44">
        <v>0</v>
      </c>
      <c r="DA405" s="44">
        <v>0</v>
      </c>
      <c r="DB405" s="44">
        <v>0</v>
      </c>
      <c r="DC405" s="44">
        <v>0</v>
      </c>
      <c r="DD405" s="44">
        <v>0</v>
      </c>
      <c r="DE405" s="44">
        <v>0</v>
      </c>
      <c r="DF405" s="44">
        <v>0</v>
      </c>
      <c r="DG405" s="44">
        <v>0</v>
      </c>
      <c r="DH405" s="44">
        <v>0</v>
      </c>
      <c r="DI405" s="44">
        <v>0</v>
      </c>
    </row>
    <row r="406" spans="1:113" s="24" customFormat="1" ht="12" outlineLevel="1">
      <c r="A406" s="1" t="s">
        <v>807</v>
      </c>
      <c r="B406" s="24" t="s">
        <v>571</v>
      </c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  <c r="AJ406" s="55"/>
      <c r="AK406" s="55"/>
      <c r="AL406" s="55"/>
      <c r="AM406" s="55"/>
      <c r="AN406" s="55"/>
      <c r="AO406" s="55"/>
      <c r="AP406" s="526">
        <v>0.40000000000000036</v>
      </c>
      <c r="AQ406" s="526">
        <v>0.6</v>
      </c>
      <c r="AR406" s="526">
        <v>0.4</v>
      </c>
      <c r="AS406" s="526">
        <v>2.8</v>
      </c>
      <c r="AT406" s="526">
        <v>2.2000000000000002</v>
      </c>
      <c r="AU406" s="526">
        <v>3.2</v>
      </c>
      <c r="AV406" s="526">
        <v>4.8</v>
      </c>
      <c r="AW406" s="524">
        <v>5.9</v>
      </c>
      <c r="AX406" s="526">
        <v>6.995506337655339</v>
      </c>
      <c r="AY406" s="526">
        <v>7.9481566210939345</v>
      </c>
      <c r="AZ406" s="526">
        <v>9.1633340013877245</v>
      </c>
      <c r="BA406" s="526">
        <v>10.047346317207573</v>
      </c>
      <c r="BB406" s="526">
        <v>11.194842445080761</v>
      </c>
      <c r="BC406" s="526">
        <v>11.559205540663941</v>
      </c>
      <c r="BD406" s="526">
        <v>12.123086115925361</v>
      </c>
      <c r="BE406" s="526">
        <v>12.551214539570449</v>
      </c>
      <c r="BF406" s="526">
        <v>13.220424585172969</v>
      </c>
      <c r="BG406" s="526">
        <v>13.41706606692971</v>
      </c>
      <c r="BH406" s="526">
        <v>14.00251238391481</v>
      </c>
      <c r="BI406" s="526">
        <v>14.073085668230476</v>
      </c>
      <c r="BJ406" s="526">
        <v>14.616784024920483</v>
      </c>
      <c r="BK406" s="526">
        <v>14.690496246695693</v>
      </c>
      <c r="BL406" s="526">
        <v>15.216403315218546</v>
      </c>
      <c r="BM406" s="526">
        <v>15.377676601061459</v>
      </c>
      <c r="BN406" s="526">
        <v>15.927629875808245</v>
      </c>
      <c r="BO406" s="526">
        <v>16.008045467296334</v>
      </c>
      <c r="BP406" s="526">
        <v>16.626643461162079</v>
      </c>
      <c r="BQ406" s="526">
        <v>16.710636217859381</v>
      </c>
      <c r="BR406" s="526"/>
      <c r="BS406" s="55"/>
      <c r="BT406" s="55"/>
      <c r="BU406" s="55"/>
      <c r="BV406" s="55"/>
      <c r="BW406" s="55"/>
      <c r="BX406" s="55"/>
      <c r="BY406" s="55"/>
      <c r="BZ406" s="55"/>
      <c r="CA406" s="55"/>
      <c r="CB406" s="55"/>
      <c r="CC406" s="55"/>
      <c r="CD406" s="55"/>
      <c r="CE406" s="55"/>
      <c r="CF406" s="55"/>
      <c r="CG406" s="55"/>
      <c r="CH406" s="55"/>
      <c r="CI406" s="55"/>
      <c r="CJ406" s="55"/>
      <c r="CK406" s="55"/>
      <c r="CL406" s="55"/>
      <c r="CM406" s="55"/>
      <c r="CN406" s="55"/>
      <c r="CO406" s="55"/>
      <c r="CP406" s="55"/>
      <c r="CQ406" s="55"/>
      <c r="CR406" s="55"/>
      <c r="CS406" s="55"/>
      <c r="CT406" s="526">
        <v>0.498</v>
      </c>
      <c r="CU406" s="526">
        <v>0.41599999999999998</v>
      </c>
      <c r="CV406" s="526">
        <v>1.0000000000000004</v>
      </c>
      <c r="CW406" s="526">
        <v>3.1999999999999997</v>
      </c>
      <c r="CX406" s="526">
        <v>5.4</v>
      </c>
      <c r="CY406" s="524">
        <v>10.7</v>
      </c>
      <c r="CZ406" s="526">
        <v>14.943662958749274</v>
      </c>
      <c r="DA406" s="526">
        <v>19.210680318595298</v>
      </c>
      <c r="DB406" s="526">
        <v>22.754047985744702</v>
      </c>
      <c r="DC406" s="526">
        <v>24.674300655495809</v>
      </c>
      <c r="DD406" s="526">
        <v>26.637490652102677</v>
      </c>
      <c r="DE406" s="526">
        <v>28.075598052145288</v>
      </c>
      <c r="DF406" s="526">
        <v>29.307280271616175</v>
      </c>
      <c r="DG406" s="526">
        <v>30.594079916280005</v>
      </c>
      <c r="DH406" s="526">
        <v>31.935675343104577</v>
      </c>
      <c r="DI406" s="526">
        <v>33.337279679021464</v>
      </c>
    </row>
    <row r="407" spans="1:113" ht="12" outlineLevel="1">
      <c r="A407" s="1" t="s">
        <v>808</v>
      </c>
      <c r="B407" s="19" t="s">
        <v>712</v>
      </c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525">
        <v>4.3</v>
      </c>
      <c r="AQ407" s="525">
        <v>0</v>
      </c>
      <c r="AR407" s="525">
        <v>0</v>
      </c>
      <c r="AS407" s="525">
        <v>0</v>
      </c>
      <c r="AT407" s="525">
        <v>0</v>
      </c>
      <c r="AU407" s="525">
        <v>0</v>
      </c>
      <c r="AV407" s="525">
        <v>0</v>
      </c>
      <c r="AW407" s="523">
        <v>0</v>
      </c>
      <c r="AX407" s="46">
        <v>0</v>
      </c>
      <c r="AY407" s="46">
        <v>0</v>
      </c>
      <c r="AZ407" s="46">
        <v>0</v>
      </c>
      <c r="BA407" s="46">
        <v>0</v>
      </c>
      <c r="BB407" s="46">
        <v>0</v>
      </c>
      <c r="BC407" s="46">
        <v>0</v>
      </c>
      <c r="BD407" s="46">
        <v>0</v>
      </c>
      <c r="BE407" s="46">
        <v>0</v>
      </c>
      <c r="BF407" s="46">
        <v>0</v>
      </c>
      <c r="BG407" s="46">
        <v>0</v>
      </c>
      <c r="BH407" s="46">
        <v>0</v>
      </c>
      <c r="BI407" s="46">
        <v>0</v>
      </c>
      <c r="BJ407" s="46">
        <v>0</v>
      </c>
      <c r="BK407" s="46">
        <v>0</v>
      </c>
      <c r="BL407" s="46">
        <v>0</v>
      </c>
      <c r="BM407" s="46">
        <v>0</v>
      </c>
      <c r="BN407" s="46">
        <v>0</v>
      </c>
      <c r="BO407" s="46">
        <v>0</v>
      </c>
      <c r="BP407" s="46">
        <v>0</v>
      </c>
      <c r="BQ407" s="46">
        <v>0</v>
      </c>
      <c r="BR407" s="44"/>
      <c r="BS407" s="40"/>
      <c r="BT407" s="40"/>
      <c r="BU407" s="40"/>
      <c r="BV407" s="40"/>
      <c r="BW407" s="40"/>
      <c r="BX407" s="40"/>
      <c r="BY407" s="40"/>
      <c r="BZ407" s="40"/>
      <c r="CA407" s="40"/>
      <c r="CB407" s="40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525">
        <v>0</v>
      </c>
      <c r="CU407" s="525">
        <v>0</v>
      </c>
      <c r="CV407" s="44">
        <v>4.3</v>
      </c>
      <c r="CW407" s="44">
        <v>0</v>
      </c>
      <c r="CX407" s="44">
        <v>0</v>
      </c>
      <c r="CY407" s="45">
        <v>0</v>
      </c>
      <c r="CZ407" s="44">
        <v>0</v>
      </c>
      <c r="DA407" s="44">
        <v>0</v>
      </c>
      <c r="DB407" s="44">
        <v>0</v>
      </c>
      <c r="DC407" s="44">
        <v>0</v>
      </c>
      <c r="DD407" s="44">
        <v>0</v>
      </c>
      <c r="DE407" s="44">
        <v>0</v>
      </c>
      <c r="DF407" s="44">
        <v>0</v>
      </c>
      <c r="DG407" s="44">
        <v>0</v>
      </c>
      <c r="DH407" s="44">
        <v>0</v>
      </c>
      <c r="DI407" s="44">
        <v>0</v>
      </c>
    </row>
    <row r="408" spans="1:113" s="24" customFormat="1" ht="12" outlineLevel="1">
      <c r="A408" s="1" t="s">
        <v>118</v>
      </c>
      <c r="B408" s="24" t="s">
        <v>166</v>
      </c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  <c r="AJ408" s="55"/>
      <c r="AK408" s="55"/>
      <c r="AL408" s="55"/>
      <c r="AM408" s="55"/>
      <c r="AN408" s="55"/>
      <c r="AO408" s="55"/>
      <c r="AP408" s="526">
        <v>4.7</v>
      </c>
      <c r="AQ408" s="526">
        <v>0.6</v>
      </c>
      <c r="AR408" s="526">
        <v>0.4</v>
      </c>
      <c r="AS408" s="526">
        <v>2.8</v>
      </c>
      <c r="AT408" s="526">
        <v>2.2000000000000002</v>
      </c>
      <c r="AU408" s="526">
        <v>3.2</v>
      </c>
      <c r="AV408" s="526">
        <v>4.8</v>
      </c>
      <c r="AW408" s="524">
        <v>5.9</v>
      </c>
      <c r="AX408" s="526">
        <v>6.995506337655339</v>
      </c>
      <c r="AY408" s="526">
        <v>7.9481566210939345</v>
      </c>
      <c r="AZ408" s="526">
        <v>9.1633340013877245</v>
      </c>
      <c r="BA408" s="526">
        <v>10.047346317207573</v>
      </c>
      <c r="BB408" s="526">
        <v>11.194842445080761</v>
      </c>
      <c r="BC408" s="526">
        <v>11.559205540663941</v>
      </c>
      <c r="BD408" s="526">
        <v>12.123086115925361</v>
      </c>
      <c r="BE408" s="526">
        <v>12.551214539570449</v>
      </c>
      <c r="BF408" s="526">
        <v>13.220424585172969</v>
      </c>
      <c r="BG408" s="526">
        <v>13.41706606692971</v>
      </c>
      <c r="BH408" s="526">
        <v>14.00251238391481</v>
      </c>
      <c r="BI408" s="526">
        <v>14.073085668230476</v>
      </c>
      <c r="BJ408" s="526">
        <v>14.616784024920483</v>
      </c>
      <c r="BK408" s="526">
        <v>14.690496246695693</v>
      </c>
      <c r="BL408" s="526">
        <v>15.216403315218546</v>
      </c>
      <c r="BM408" s="526">
        <v>15.377676601061459</v>
      </c>
      <c r="BN408" s="526">
        <v>15.927629875808245</v>
      </c>
      <c r="BO408" s="526">
        <v>16.008045467296334</v>
      </c>
      <c r="BP408" s="526">
        <v>16.626643461162079</v>
      </c>
      <c r="BQ408" s="526">
        <v>16.710636217859381</v>
      </c>
      <c r="BR408" s="526"/>
      <c r="BS408" s="55"/>
      <c r="BT408" s="55"/>
      <c r="BU408" s="55"/>
      <c r="BV408" s="55"/>
      <c r="BW408" s="55"/>
      <c r="BX408" s="55"/>
      <c r="BY408" s="55"/>
      <c r="BZ408" s="55"/>
      <c r="CA408" s="55"/>
      <c r="CB408" s="55"/>
      <c r="CC408" s="55"/>
      <c r="CD408" s="55"/>
      <c r="CE408" s="55"/>
      <c r="CF408" s="55"/>
      <c r="CG408" s="55"/>
      <c r="CH408" s="55"/>
      <c r="CI408" s="55"/>
      <c r="CJ408" s="55"/>
      <c r="CK408" s="55"/>
      <c r="CL408" s="55"/>
      <c r="CM408" s="55"/>
      <c r="CN408" s="55"/>
      <c r="CO408" s="55"/>
      <c r="CP408" s="55"/>
      <c r="CQ408" s="55"/>
      <c r="CR408" s="55"/>
      <c r="CS408" s="55"/>
      <c r="CT408" s="526">
        <v>0.498</v>
      </c>
      <c r="CU408" s="526">
        <v>0.41599999999999998</v>
      </c>
      <c r="CV408" s="526">
        <v>5.3</v>
      </c>
      <c r="CW408" s="526">
        <v>3.1999999999999997</v>
      </c>
      <c r="CX408" s="526">
        <v>5.4</v>
      </c>
      <c r="CY408" s="524">
        <v>10.7</v>
      </c>
      <c r="CZ408" s="526">
        <v>14.943662958749274</v>
      </c>
      <c r="DA408" s="526">
        <v>19.210680318595298</v>
      </c>
      <c r="DB408" s="526">
        <v>22.754047985744702</v>
      </c>
      <c r="DC408" s="526">
        <v>24.674300655495809</v>
      </c>
      <c r="DD408" s="526">
        <v>26.637490652102677</v>
      </c>
      <c r="DE408" s="526">
        <v>28.075598052145288</v>
      </c>
      <c r="DF408" s="526">
        <v>29.307280271616175</v>
      </c>
      <c r="DG408" s="526">
        <v>30.594079916280005</v>
      </c>
      <c r="DH408" s="526">
        <v>31.935675343104577</v>
      </c>
      <c r="DI408" s="526">
        <v>33.337279679021464</v>
      </c>
    </row>
    <row r="409" spans="1:113" ht="12" hidden="1" outlineLevel="2">
      <c r="A409" s="1" t="s">
        <v>809</v>
      </c>
      <c r="B409" s="19" t="s">
        <v>854</v>
      </c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4">
        <v>0</v>
      </c>
      <c r="AQ409" s="44">
        <v>0</v>
      </c>
      <c r="AR409" s="44">
        <v>0</v>
      </c>
      <c r="AS409" s="44">
        <v>0</v>
      </c>
      <c r="AT409" s="44">
        <v>0</v>
      </c>
      <c r="AU409" s="44">
        <v>0</v>
      </c>
      <c r="AV409" s="44">
        <v>0</v>
      </c>
      <c r="AW409" s="45">
        <v>0</v>
      </c>
      <c r="AX409" s="44">
        <v>0</v>
      </c>
      <c r="AY409" s="44">
        <v>0</v>
      </c>
      <c r="AZ409" s="44">
        <v>0</v>
      </c>
      <c r="BA409" s="44">
        <v>0</v>
      </c>
      <c r="BB409" s="44">
        <v>0</v>
      </c>
      <c r="BC409" s="44">
        <v>0</v>
      </c>
      <c r="BD409" s="44">
        <v>0</v>
      </c>
      <c r="BE409" s="44">
        <v>0</v>
      </c>
      <c r="BF409" s="44">
        <v>0</v>
      </c>
      <c r="BG409" s="44">
        <v>0</v>
      </c>
      <c r="BH409" s="44">
        <v>0</v>
      </c>
      <c r="BI409" s="44">
        <v>0</v>
      </c>
      <c r="BJ409" s="44">
        <v>0</v>
      </c>
      <c r="BK409" s="44">
        <v>0</v>
      </c>
      <c r="BL409" s="44">
        <v>0</v>
      </c>
      <c r="BM409" s="44">
        <v>0</v>
      </c>
      <c r="BN409" s="44">
        <v>0</v>
      </c>
      <c r="BO409" s="44">
        <v>0</v>
      </c>
      <c r="BP409" s="44">
        <v>0</v>
      </c>
      <c r="BQ409" s="44">
        <v>0</v>
      </c>
      <c r="BR409" s="44"/>
      <c r="BS409" s="42"/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4">
        <v>0</v>
      </c>
      <c r="CU409" s="44">
        <v>0</v>
      </c>
      <c r="CV409" s="44">
        <v>0</v>
      </c>
      <c r="CW409" s="44">
        <v>0</v>
      </c>
      <c r="CX409" s="44">
        <v>0</v>
      </c>
      <c r="CY409" s="45">
        <v>0</v>
      </c>
      <c r="CZ409" s="44">
        <v>0</v>
      </c>
      <c r="DA409" s="44">
        <v>0</v>
      </c>
      <c r="DB409" s="44">
        <v>0</v>
      </c>
      <c r="DC409" s="44">
        <v>0</v>
      </c>
      <c r="DD409" s="44">
        <v>0</v>
      </c>
      <c r="DE409" s="44">
        <v>0</v>
      </c>
      <c r="DF409" s="44">
        <v>0</v>
      </c>
      <c r="DG409" s="44">
        <v>0</v>
      </c>
      <c r="DH409" s="44">
        <v>0</v>
      </c>
      <c r="DI409" s="44">
        <v>0</v>
      </c>
    </row>
    <row r="410" spans="1:113" ht="12" hidden="1" outlineLevel="2">
      <c r="A410" s="1" t="s">
        <v>111</v>
      </c>
      <c r="B410" s="19" t="s">
        <v>367</v>
      </c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525">
        <v>0</v>
      </c>
      <c r="AQ410" s="525">
        <v>0</v>
      </c>
      <c r="AR410" s="525">
        <v>0</v>
      </c>
      <c r="AS410" s="525">
        <v>0</v>
      </c>
      <c r="AT410" s="525">
        <v>0</v>
      </c>
      <c r="AU410" s="525">
        <v>0</v>
      </c>
      <c r="AV410" s="525">
        <v>0</v>
      </c>
      <c r="AW410" s="523">
        <v>0</v>
      </c>
      <c r="AX410" s="46">
        <v>0</v>
      </c>
      <c r="AY410" s="46">
        <v>0</v>
      </c>
      <c r="AZ410" s="46">
        <v>0</v>
      </c>
      <c r="BA410" s="46">
        <v>0</v>
      </c>
      <c r="BB410" s="46">
        <v>0</v>
      </c>
      <c r="BC410" s="46">
        <v>0</v>
      </c>
      <c r="BD410" s="46">
        <v>0</v>
      </c>
      <c r="BE410" s="46">
        <v>0</v>
      </c>
      <c r="BF410" s="46">
        <v>0</v>
      </c>
      <c r="BG410" s="46">
        <v>0</v>
      </c>
      <c r="BH410" s="46">
        <v>0</v>
      </c>
      <c r="BI410" s="46">
        <v>0</v>
      </c>
      <c r="BJ410" s="46">
        <v>0</v>
      </c>
      <c r="BK410" s="46">
        <v>0</v>
      </c>
      <c r="BL410" s="46">
        <v>0</v>
      </c>
      <c r="BM410" s="46">
        <v>0</v>
      </c>
      <c r="BN410" s="46">
        <v>0</v>
      </c>
      <c r="BO410" s="46">
        <v>0</v>
      </c>
      <c r="BP410" s="46">
        <v>0</v>
      </c>
      <c r="BQ410" s="46">
        <v>0</v>
      </c>
      <c r="BR410" s="44"/>
      <c r="BS410" s="40"/>
      <c r="BT410" s="40"/>
      <c r="BU410" s="40"/>
      <c r="BV410" s="40"/>
      <c r="BW410" s="40"/>
      <c r="BX410" s="40"/>
      <c r="BY410" s="40"/>
      <c r="BZ410" s="40"/>
      <c r="CA410" s="40"/>
      <c r="CB410" s="40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525">
        <v>0</v>
      </c>
      <c r="CU410" s="525">
        <v>0</v>
      </c>
      <c r="CV410" s="44">
        <v>0</v>
      </c>
      <c r="CW410" s="44">
        <v>0</v>
      </c>
      <c r="CX410" s="44">
        <v>0</v>
      </c>
      <c r="CY410" s="45">
        <v>0</v>
      </c>
      <c r="CZ410" s="44">
        <v>0</v>
      </c>
      <c r="DA410" s="44">
        <v>0</v>
      </c>
      <c r="DB410" s="44">
        <v>0</v>
      </c>
      <c r="DC410" s="44">
        <v>0</v>
      </c>
      <c r="DD410" s="44">
        <v>0</v>
      </c>
      <c r="DE410" s="44">
        <v>0</v>
      </c>
      <c r="DF410" s="44">
        <v>0</v>
      </c>
      <c r="DG410" s="44">
        <v>0</v>
      </c>
      <c r="DH410" s="44">
        <v>0</v>
      </c>
      <c r="DI410" s="44">
        <v>0</v>
      </c>
    </row>
    <row r="411" spans="1:113" ht="12" hidden="1" outlineLevel="2">
      <c r="A411" s="1" t="s">
        <v>112</v>
      </c>
      <c r="B411" s="19" t="s">
        <v>368</v>
      </c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525">
        <v>0</v>
      </c>
      <c r="AQ411" s="525">
        <v>0</v>
      </c>
      <c r="AR411" s="525">
        <v>0</v>
      </c>
      <c r="AS411" s="525">
        <v>0</v>
      </c>
      <c r="AT411" s="525">
        <v>0</v>
      </c>
      <c r="AU411" s="525">
        <v>0</v>
      </c>
      <c r="AV411" s="525">
        <v>0</v>
      </c>
      <c r="AW411" s="523">
        <v>0</v>
      </c>
      <c r="AX411" s="46">
        <v>0</v>
      </c>
      <c r="AY411" s="46">
        <v>0</v>
      </c>
      <c r="AZ411" s="46">
        <v>0</v>
      </c>
      <c r="BA411" s="46">
        <v>0</v>
      </c>
      <c r="BB411" s="46">
        <v>0</v>
      </c>
      <c r="BC411" s="46">
        <v>0</v>
      </c>
      <c r="BD411" s="46">
        <v>0</v>
      </c>
      <c r="BE411" s="46">
        <v>0</v>
      </c>
      <c r="BF411" s="46">
        <v>0</v>
      </c>
      <c r="BG411" s="46">
        <v>0</v>
      </c>
      <c r="BH411" s="46">
        <v>0</v>
      </c>
      <c r="BI411" s="46">
        <v>0</v>
      </c>
      <c r="BJ411" s="46">
        <v>0</v>
      </c>
      <c r="BK411" s="46">
        <v>0</v>
      </c>
      <c r="BL411" s="46">
        <v>0</v>
      </c>
      <c r="BM411" s="46">
        <v>0</v>
      </c>
      <c r="BN411" s="46">
        <v>0</v>
      </c>
      <c r="BO411" s="46">
        <v>0</v>
      </c>
      <c r="BP411" s="46">
        <v>0</v>
      </c>
      <c r="BQ411" s="46">
        <v>0</v>
      </c>
      <c r="BR411" s="44"/>
      <c r="BS411" s="40"/>
      <c r="BT411" s="40"/>
      <c r="BU411" s="40"/>
      <c r="BV411" s="40"/>
      <c r="BW411" s="40"/>
      <c r="BX411" s="40"/>
      <c r="BY411" s="40"/>
      <c r="BZ411" s="40"/>
      <c r="CA411" s="40"/>
      <c r="CB411" s="40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525">
        <v>0</v>
      </c>
      <c r="CU411" s="525">
        <v>0</v>
      </c>
      <c r="CV411" s="44">
        <v>0</v>
      </c>
      <c r="CW411" s="44">
        <v>0</v>
      </c>
      <c r="CX411" s="44">
        <v>0</v>
      </c>
      <c r="CY411" s="45">
        <v>0</v>
      </c>
      <c r="CZ411" s="44">
        <v>0</v>
      </c>
      <c r="DA411" s="44">
        <v>0</v>
      </c>
      <c r="DB411" s="44">
        <v>0</v>
      </c>
      <c r="DC411" s="44">
        <v>0</v>
      </c>
      <c r="DD411" s="44">
        <v>0</v>
      </c>
      <c r="DE411" s="44">
        <v>0</v>
      </c>
      <c r="DF411" s="44">
        <v>0</v>
      </c>
      <c r="DG411" s="44">
        <v>0</v>
      </c>
      <c r="DH411" s="44">
        <v>0</v>
      </c>
      <c r="DI411" s="44">
        <v>0</v>
      </c>
    </row>
    <row r="412" spans="1:113" ht="12" hidden="1" outlineLevel="2">
      <c r="A412" s="1" t="s">
        <v>113</v>
      </c>
      <c r="B412" s="19" t="s">
        <v>358</v>
      </c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525">
        <v>0</v>
      </c>
      <c r="AQ412" s="525">
        <v>0</v>
      </c>
      <c r="AR412" s="525">
        <v>0</v>
      </c>
      <c r="AS412" s="525">
        <v>0</v>
      </c>
      <c r="AT412" s="525">
        <v>0</v>
      </c>
      <c r="AU412" s="525">
        <v>0</v>
      </c>
      <c r="AV412" s="525">
        <v>0</v>
      </c>
      <c r="AW412" s="523">
        <v>0</v>
      </c>
      <c r="AX412" s="46">
        <v>0</v>
      </c>
      <c r="AY412" s="46">
        <v>0</v>
      </c>
      <c r="AZ412" s="46">
        <v>0</v>
      </c>
      <c r="BA412" s="46">
        <v>0</v>
      </c>
      <c r="BB412" s="46">
        <v>0</v>
      </c>
      <c r="BC412" s="46">
        <v>0</v>
      </c>
      <c r="BD412" s="46">
        <v>0</v>
      </c>
      <c r="BE412" s="46">
        <v>0</v>
      </c>
      <c r="BF412" s="46">
        <v>0</v>
      </c>
      <c r="BG412" s="46">
        <v>0</v>
      </c>
      <c r="BH412" s="46">
        <v>0</v>
      </c>
      <c r="BI412" s="46">
        <v>0</v>
      </c>
      <c r="BJ412" s="46">
        <v>0</v>
      </c>
      <c r="BK412" s="46">
        <v>0</v>
      </c>
      <c r="BL412" s="46">
        <v>0</v>
      </c>
      <c r="BM412" s="46">
        <v>0</v>
      </c>
      <c r="BN412" s="46">
        <v>0</v>
      </c>
      <c r="BO412" s="46">
        <v>0</v>
      </c>
      <c r="BP412" s="46">
        <v>0</v>
      </c>
      <c r="BQ412" s="46">
        <v>0</v>
      </c>
      <c r="BR412" s="44"/>
      <c r="BS412" s="40"/>
      <c r="BT412" s="40"/>
      <c r="BU412" s="40"/>
      <c r="BV412" s="40"/>
      <c r="BW412" s="40"/>
      <c r="BX412" s="40"/>
      <c r="BY412" s="40"/>
      <c r="BZ412" s="40"/>
      <c r="CA412" s="40"/>
      <c r="CB412" s="40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525">
        <v>0</v>
      </c>
      <c r="CU412" s="525">
        <v>0</v>
      </c>
      <c r="CV412" s="44">
        <v>0</v>
      </c>
      <c r="CW412" s="44">
        <v>0</v>
      </c>
      <c r="CX412" s="44">
        <v>0</v>
      </c>
      <c r="CY412" s="45">
        <v>0</v>
      </c>
      <c r="CZ412" s="44">
        <v>0</v>
      </c>
      <c r="DA412" s="44">
        <v>0</v>
      </c>
      <c r="DB412" s="44">
        <v>0</v>
      </c>
      <c r="DC412" s="44">
        <v>0</v>
      </c>
      <c r="DD412" s="44">
        <v>0</v>
      </c>
      <c r="DE412" s="44">
        <v>0</v>
      </c>
      <c r="DF412" s="44">
        <v>0</v>
      </c>
      <c r="DG412" s="44">
        <v>0</v>
      </c>
      <c r="DH412" s="44">
        <v>0</v>
      </c>
      <c r="DI412" s="44">
        <v>0</v>
      </c>
    </row>
    <row r="413" spans="1:113" ht="12" hidden="1" outlineLevel="2">
      <c r="A413" s="1" t="s">
        <v>114</v>
      </c>
      <c r="B413" s="19" t="s">
        <v>422</v>
      </c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525">
        <v>0</v>
      </c>
      <c r="AQ413" s="525">
        <v>0</v>
      </c>
      <c r="AR413" s="525">
        <v>0</v>
      </c>
      <c r="AS413" s="525">
        <v>0</v>
      </c>
      <c r="AT413" s="525">
        <v>0</v>
      </c>
      <c r="AU413" s="525">
        <v>0</v>
      </c>
      <c r="AV413" s="525">
        <v>0</v>
      </c>
      <c r="AW413" s="523">
        <v>0</v>
      </c>
      <c r="AX413" s="46">
        <v>0</v>
      </c>
      <c r="AY413" s="46">
        <v>0</v>
      </c>
      <c r="AZ413" s="46">
        <v>0</v>
      </c>
      <c r="BA413" s="46">
        <v>0</v>
      </c>
      <c r="BB413" s="46">
        <v>0</v>
      </c>
      <c r="BC413" s="46">
        <v>0</v>
      </c>
      <c r="BD413" s="46">
        <v>0</v>
      </c>
      <c r="BE413" s="46">
        <v>0</v>
      </c>
      <c r="BF413" s="46">
        <v>0</v>
      </c>
      <c r="BG413" s="46">
        <v>0</v>
      </c>
      <c r="BH413" s="46">
        <v>0</v>
      </c>
      <c r="BI413" s="46">
        <v>0</v>
      </c>
      <c r="BJ413" s="46">
        <v>0</v>
      </c>
      <c r="BK413" s="46">
        <v>0</v>
      </c>
      <c r="BL413" s="46">
        <v>0</v>
      </c>
      <c r="BM413" s="46">
        <v>0</v>
      </c>
      <c r="BN413" s="46">
        <v>0</v>
      </c>
      <c r="BO413" s="46">
        <v>0</v>
      </c>
      <c r="BP413" s="46">
        <v>0</v>
      </c>
      <c r="BQ413" s="46">
        <v>0</v>
      </c>
      <c r="BR413" s="44"/>
      <c r="BS413" s="40"/>
      <c r="BT413" s="40"/>
      <c r="BU413" s="40"/>
      <c r="BV413" s="40"/>
      <c r="BW413" s="40"/>
      <c r="BX413" s="40"/>
      <c r="BY413" s="40"/>
      <c r="BZ413" s="40"/>
      <c r="CA413" s="40"/>
      <c r="CB413" s="40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525">
        <v>0</v>
      </c>
      <c r="CU413" s="525">
        <v>0</v>
      </c>
      <c r="CV413" s="44">
        <v>0</v>
      </c>
      <c r="CW413" s="44">
        <v>0</v>
      </c>
      <c r="CX413" s="44">
        <v>0</v>
      </c>
      <c r="CY413" s="45">
        <v>0</v>
      </c>
      <c r="CZ413" s="44">
        <v>0</v>
      </c>
      <c r="DA413" s="44">
        <v>0</v>
      </c>
      <c r="DB413" s="44">
        <v>0</v>
      </c>
      <c r="DC413" s="44">
        <v>0</v>
      </c>
      <c r="DD413" s="44">
        <v>0</v>
      </c>
      <c r="DE413" s="44">
        <v>0</v>
      </c>
      <c r="DF413" s="44">
        <v>0</v>
      </c>
      <c r="DG413" s="44">
        <v>0</v>
      </c>
      <c r="DH413" s="44">
        <v>0</v>
      </c>
      <c r="DI413" s="44">
        <v>0</v>
      </c>
    </row>
    <row r="414" spans="1:113" s="24" customFormat="1" ht="12" hidden="1" outlineLevel="2">
      <c r="A414" s="1" t="s">
        <v>115</v>
      </c>
      <c r="B414" s="24" t="s">
        <v>578</v>
      </c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  <c r="AJ414" s="55"/>
      <c r="AK414" s="55"/>
      <c r="AL414" s="55"/>
      <c r="AM414" s="55"/>
      <c r="AN414" s="55"/>
      <c r="AO414" s="55"/>
      <c r="AP414" s="521">
        <v>4.7</v>
      </c>
      <c r="AQ414" s="521">
        <v>0.6</v>
      </c>
      <c r="AR414" s="521">
        <v>0.4</v>
      </c>
      <c r="AS414" s="521">
        <v>2.8</v>
      </c>
      <c r="AT414" s="521">
        <v>2.2000000000000002</v>
      </c>
      <c r="AU414" s="521">
        <v>3.2</v>
      </c>
      <c r="AV414" s="521">
        <v>4.8</v>
      </c>
      <c r="AW414" s="522">
        <v>5.9</v>
      </c>
      <c r="AX414" s="526">
        <v>6.995506337655339</v>
      </c>
      <c r="AY414" s="526">
        <v>7.9481566210939345</v>
      </c>
      <c r="AZ414" s="526">
        <v>9.1633340013877245</v>
      </c>
      <c r="BA414" s="526">
        <v>10.047346317207573</v>
      </c>
      <c r="BB414" s="526">
        <v>11.194842445080761</v>
      </c>
      <c r="BC414" s="526">
        <v>11.559205540663941</v>
      </c>
      <c r="BD414" s="526">
        <v>12.123086115925361</v>
      </c>
      <c r="BE414" s="526">
        <v>12.551214539570449</v>
      </c>
      <c r="BF414" s="526">
        <v>13.220424585172969</v>
      </c>
      <c r="BG414" s="526">
        <v>13.41706606692971</v>
      </c>
      <c r="BH414" s="526">
        <v>14.00251238391481</v>
      </c>
      <c r="BI414" s="526">
        <v>14.073085668230476</v>
      </c>
      <c r="BJ414" s="526">
        <v>14.616784024920483</v>
      </c>
      <c r="BK414" s="526">
        <v>14.690496246695693</v>
      </c>
      <c r="BL414" s="526">
        <v>15.216403315218546</v>
      </c>
      <c r="BM414" s="526">
        <v>15.377676601061459</v>
      </c>
      <c r="BN414" s="526">
        <v>15.927629875808245</v>
      </c>
      <c r="BO414" s="526">
        <v>16.008045467296334</v>
      </c>
      <c r="BP414" s="526">
        <v>16.626643461162079</v>
      </c>
      <c r="BQ414" s="526">
        <v>16.710636217859381</v>
      </c>
      <c r="BR414" s="526"/>
      <c r="BS414" s="54"/>
      <c r="BT414" s="54"/>
      <c r="BU414" s="54"/>
      <c r="BV414" s="54"/>
      <c r="BW414" s="54"/>
      <c r="BX414" s="54"/>
      <c r="BY414" s="54"/>
      <c r="BZ414" s="54"/>
      <c r="CA414" s="54"/>
      <c r="CB414" s="54"/>
      <c r="CC414" s="55"/>
      <c r="CD414" s="55"/>
      <c r="CE414" s="55"/>
      <c r="CF414" s="55"/>
      <c r="CG414" s="55"/>
      <c r="CH414" s="55"/>
      <c r="CI414" s="55"/>
      <c r="CJ414" s="55"/>
      <c r="CK414" s="55"/>
      <c r="CL414" s="55"/>
      <c r="CM414" s="55"/>
      <c r="CN414" s="55"/>
      <c r="CO414" s="55"/>
      <c r="CP414" s="55"/>
      <c r="CQ414" s="55"/>
      <c r="CR414" s="55"/>
      <c r="CS414" s="55"/>
      <c r="CT414" s="521">
        <v>0.498</v>
      </c>
      <c r="CU414" s="521">
        <v>0.41599999999999998</v>
      </c>
      <c r="CV414" s="526">
        <v>5.3</v>
      </c>
      <c r="CW414" s="526">
        <v>3.1999999999999997</v>
      </c>
      <c r="CX414" s="526">
        <v>5.4</v>
      </c>
      <c r="CY414" s="524">
        <v>10.7</v>
      </c>
      <c r="CZ414" s="526">
        <v>14.943662958749274</v>
      </c>
      <c r="DA414" s="526">
        <v>19.210680318595298</v>
      </c>
      <c r="DB414" s="526">
        <v>22.754047985744702</v>
      </c>
      <c r="DC414" s="526">
        <v>24.674300655495809</v>
      </c>
      <c r="DD414" s="526">
        <v>26.637490652102677</v>
      </c>
      <c r="DE414" s="526">
        <v>28.075598052145288</v>
      </c>
      <c r="DF414" s="526">
        <v>29.307280271616175</v>
      </c>
      <c r="DG414" s="526">
        <v>30.594079916280005</v>
      </c>
      <c r="DH414" s="526">
        <v>31.935675343104577</v>
      </c>
      <c r="DI414" s="526">
        <v>33.337279679021464</v>
      </c>
    </row>
    <row r="415" spans="1:113" ht="12" hidden="1" outlineLevel="2">
      <c r="A415" s="1" t="s">
        <v>116</v>
      </c>
      <c r="B415" s="19" t="s">
        <v>526</v>
      </c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4">
        <v>0</v>
      </c>
      <c r="AQ415" s="44">
        <v>0</v>
      </c>
      <c r="AR415" s="44">
        <v>0</v>
      </c>
      <c r="AS415" s="44">
        <v>0</v>
      </c>
      <c r="AT415" s="44">
        <v>0</v>
      </c>
      <c r="AU415" s="44">
        <v>0</v>
      </c>
      <c r="AV415" s="44">
        <v>0</v>
      </c>
      <c r="AW415" s="45">
        <v>0</v>
      </c>
      <c r="AX415" s="46">
        <v>0</v>
      </c>
      <c r="AY415" s="46">
        <v>0</v>
      </c>
      <c r="AZ415" s="46">
        <v>0</v>
      </c>
      <c r="BA415" s="46">
        <v>0</v>
      </c>
      <c r="BB415" s="46">
        <v>0</v>
      </c>
      <c r="BC415" s="46">
        <v>0</v>
      </c>
      <c r="BD415" s="46">
        <v>0</v>
      </c>
      <c r="BE415" s="46">
        <v>0</v>
      </c>
      <c r="BF415" s="46">
        <v>0</v>
      </c>
      <c r="BG415" s="46">
        <v>0</v>
      </c>
      <c r="BH415" s="46">
        <v>0</v>
      </c>
      <c r="BI415" s="46">
        <v>0</v>
      </c>
      <c r="BJ415" s="46">
        <v>0</v>
      </c>
      <c r="BK415" s="46">
        <v>0</v>
      </c>
      <c r="BL415" s="46">
        <v>0</v>
      </c>
      <c r="BM415" s="46">
        <v>0</v>
      </c>
      <c r="BN415" s="46">
        <v>0</v>
      </c>
      <c r="BO415" s="46">
        <v>0</v>
      </c>
      <c r="BP415" s="46">
        <v>0</v>
      </c>
      <c r="BQ415" s="46">
        <v>0</v>
      </c>
      <c r="BR415" s="46"/>
      <c r="BS415" s="42"/>
      <c r="BT415" s="42"/>
      <c r="BU415" s="42"/>
      <c r="BV415" s="42"/>
      <c r="BW415" s="42"/>
      <c r="BX415" s="42"/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4">
        <v>0</v>
      </c>
      <c r="CU415" s="44">
        <v>0</v>
      </c>
      <c r="CV415" s="44">
        <v>0</v>
      </c>
      <c r="CW415" s="44">
        <v>0</v>
      </c>
      <c r="CX415" s="44">
        <v>0</v>
      </c>
      <c r="CY415" s="45">
        <v>0</v>
      </c>
      <c r="CZ415" s="44">
        <v>0</v>
      </c>
      <c r="DA415" s="44">
        <v>0</v>
      </c>
      <c r="DB415" s="44">
        <v>0</v>
      </c>
      <c r="DC415" s="44">
        <v>0</v>
      </c>
      <c r="DD415" s="44">
        <v>0</v>
      </c>
      <c r="DE415" s="44">
        <v>0</v>
      </c>
      <c r="DF415" s="44">
        <v>0</v>
      </c>
      <c r="DG415" s="44">
        <v>0</v>
      </c>
      <c r="DH415" s="44">
        <v>0</v>
      </c>
      <c r="DI415" s="44">
        <v>0</v>
      </c>
    </row>
    <row r="416" spans="1:113" s="24" customFormat="1" ht="12" hidden="1" outlineLevel="2">
      <c r="A416" s="1" t="s">
        <v>117</v>
      </c>
      <c r="B416" s="24" t="s">
        <v>713</v>
      </c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  <c r="AJ416" s="55"/>
      <c r="AK416" s="55"/>
      <c r="AL416" s="55"/>
      <c r="AM416" s="55"/>
      <c r="AN416" s="55"/>
      <c r="AO416" s="55"/>
      <c r="AP416" s="521">
        <v>4.7</v>
      </c>
      <c r="AQ416" s="521">
        <v>0.6</v>
      </c>
      <c r="AR416" s="521">
        <v>0.4</v>
      </c>
      <c r="AS416" s="521">
        <v>2.8</v>
      </c>
      <c r="AT416" s="521">
        <v>2.2000000000000002</v>
      </c>
      <c r="AU416" s="521">
        <v>3.2</v>
      </c>
      <c r="AV416" s="521">
        <v>4.8</v>
      </c>
      <c r="AW416" s="522">
        <v>5.9</v>
      </c>
      <c r="AX416" s="526">
        <v>6.995506337655339</v>
      </c>
      <c r="AY416" s="526">
        <v>7.9481566210939345</v>
      </c>
      <c r="AZ416" s="526">
        <v>9.1633340013877245</v>
      </c>
      <c r="BA416" s="526">
        <v>10.047346317207573</v>
      </c>
      <c r="BB416" s="526">
        <v>11.194842445080761</v>
      </c>
      <c r="BC416" s="526">
        <v>11.559205540663941</v>
      </c>
      <c r="BD416" s="526">
        <v>12.123086115925361</v>
      </c>
      <c r="BE416" s="526">
        <v>12.551214539570449</v>
      </c>
      <c r="BF416" s="526">
        <v>13.220424585172969</v>
      </c>
      <c r="BG416" s="526">
        <v>13.41706606692971</v>
      </c>
      <c r="BH416" s="526">
        <v>14.00251238391481</v>
      </c>
      <c r="BI416" s="526">
        <v>14.073085668230476</v>
      </c>
      <c r="BJ416" s="526">
        <v>14.616784024920483</v>
      </c>
      <c r="BK416" s="526">
        <v>14.690496246695693</v>
      </c>
      <c r="BL416" s="526">
        <v>15.216403315218546</v>
      </c>
      <c r="BM416" s="526">
        <v>15.377676601061459</v>
      </c>
      <c r="BN416" s="526">
        <v>15.927629875808245</v>
      </c>
      <c r="BO416" s="526">
        <v>16.008045467296334</v>
      </c>
      <c r="BP416" s="526">
        <v>16.626643461162079</v>
      </c>
      <c r="BQ416" s="526">
        <v>16.710636217859381</v>
      </c>
      <c r="BR416" s="526"/>
      <c r="BS416" s="54"/>
      <c r="BT416" s="54"/>
      <c r="BU416" s="54"/>
      <c r="BV416" s="54"/>
      <c r="BW416" s="54"/>
      <c r="BX416" s="54"/>
      <c r="BY416" s="54"/>
      <c r="BZ416" s="54"/>
      <c r="CA416" s="54"/>
      <c r="CB416" s="54"/>
      <c r="CC416" s="55"/>
      <c r="CD416" s="55"/>
      <c r="CE416" s="55"/>
      <c r="CF416" s="55"/>
      <c r="CG416" s="55"/>
      <c r="CH416" s="55"/>
      <c r="CI416" s="55"/>
      <c r="CJ416" s="55"/>
      <c r="CK416" s="55"/>
      <c r="CL416" s="55"/>
      <c r="CM416" s="55"/>
      <c r="CN416" s="55"/>
      <c r="CO416" s="55"/>
      <c r="CP416" s="55"/>
      <c r="CQ416" s="55"/>
      <c r="CR416" s="55"/>
      <c r="CS416" s="55"/>
      <c r="CT416" s="521">
        <v>0.498</v>
      </c>
      <c r="CU416" s="521">
        <v>0.41599999999999998</v>
      </c>
      <c r="CV416" s="526">
        <v>5.3</v>
      </c>
      <c r="CW416" s="526">
        <v>3.1999999999999997</v>
      </c>
      <c r="CX416" s="526">
        <v>5.4</v>
      </c>
      <c r="CY416" s="524">
        <v>10.7</v>
      </c>
      <c r="CZ416" s="526">
        <v>14.943662958749274</v>
      </c>
      <c r="DA416" s="526">
        <v>19.210680318595298</v>
      </c>
      <c r="DB416" s="526">
        <v>22.754047985744702</v>
      </c>
      <c r="DC416" s="526">
        <v>24.674300655495809</v>
      </c>
      <c r="DD416" s="526">
        <v>26.637490652102677</v>
      </c>
      <c r="DE416" s="526">
        <v>28.075598052145288</v>
      </c>
      <c r="DF416" s="526">
        <v>29.307280271616175</v>
      </c>
      <c r="DG416" s="526">
        <v>30.594079916280005</v>
      </c>
      <c r="DH416" s="526">
        <v>31.935675343104577</v>
      </c>
      <c r="DI416" s="526">
        <v>33.337279679021464</v>
      </c>
    </row>
    <row r="417" spans="1:113" ht="12" outlineLevel="1" collapsed="1">
      <c r="A417" s="60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388"/>
      <c r="AB417" s="388"/>
      <c r="AC417" s="55"/>
      <c r="AD417" s="388"/>
      <c r="AE417" s="388"/>
      <c r="AF417" s="388"/>
      <c r="AG417" s="511"/>
      <c r="AH417" s="511"/>
      <c r="AI417" s="511"/>
      <c r="AJ417" s="511"/>
      <c r="AK417" s="42"/>
      <c r="AL417" s="42"/>
      <c r="AM417" s="42"/>
      <c r="AN417" s="42"/>
      <c r="AO417" s="42"/>
      <c r="AP417" s="572"/>
      <c r="AQ417" s="572"/>
      <c r="AR417" s="572"/>
      <c r="AS417" s="572"/>
      <c r="AT417" s="572"/>
      <c r="AU417" s="572"/>
      <c r="AV417" s="572"/>
      <c r="AW417" s="573"/>
      <c r="AX417" s="44"/>
      <c r="AY417" s="44"/>
      <c r="AZ417" s="44"/>
      <c r="BA417" s="44"/>
      <c r="BB417" s="44"/>
      <c r="BC417" s="44"/>
      <c r="BD417" s="44"/>
      <c r="BE417" s="44"/>
      <c r="BF417" s="44"/>
      <c r="BG417" s="44"/>
      <c r="BH417" s="44"/>
      <c r="BI417" s="44"/>
      <c r="BJ417" s="44"/>
      <c r="BK417" s="44"/>
      <c r="BL417" s="44"/>
      <c r="BM417" s="44"/>
      <c r="BN417" s="44"/>
      <c r="BO417" s="44"/>
      <c r="BP417" s="44"/>
      <c r="BQ417" s="44"/>
      <c r="BR417" s="44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172"/>
      <c r="CQ417" s="172"/>
      <c r="CR417" s="172"/>
      <c r="CS417" s="172"/>
      <c r="CT417" s="572"/>
      <c r="CU417" s="46"/>
      <c r="CV417" s="572"/>
      <c r="CW417" s="572"/>
      <c r="CX417" s="572"/>
      <c r="CY417" s="573"/>
      <c r="CZ417" s="44"/>
      <c r="DA417" s="44"/>
      <c r="DB417" s="44"/>
      <c r="DC417" s="529"/>
      <c r="DD417" s="529"/>
      <c r="DE417" s="529"/>
      <c r="DF417" s="529"/>
      <c r="DG417" s="529"/>
      <c r="DH417" s="529"/>
      <c r="DI417" s="529"/>
    </row>
    <row r="418" spans="1:113" ht="12"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394"/>
      <c r="AB418" s="394"/>
      <c r="AC418" s="42"/>
      <c r="AD418" s="42"/>
      <c r="AE418" s="394"/>
      <c r="AF418" s="394"/>
      <c r="AG418" s="394"/>
      <c r="AH418" s="394"/>
      <c r="AI418" s="394"/>
      <c r="AJ418" s="394"/>
      <c r="AK418" s="42"/>
      <c r="AL418" s="416"/>
      <c r="AM418" s="416"/>
      <c r="AN418" s="416"/>
      <c r="AO418" s="416"/>
      <c r="AP418" s="44"/>
      <c r="AQ418" s="44"/>
      <c r="AR418" s="44"/>
      <c r="AS418" s="44"/>
      <c r="AT418" s="44"/>
      <c r="AU418" s="44"/>
      <c r="AV418" s="44"/>
      <c r="AW418" s="45"/>
      <c r="AX418" s="44"/>
      <c r="AY418" s="44"/>
      <c r="AZ418" s="44"/>
      <c r="BA418" s="44"/>
      <c r="BB418" s="44"/>
      <c r="BC418" s="44"/>
      <c r="BD418" s="44"/>
      <c r="BE418" s="44"/>
      <c r="BF418" s="44"/>
      <c r="BG418" s="44"/>
      <c r="BH418" s="44"/>
      <c r="BI418" s="44"/>
      <c r="BJ418" s="44"/>
      <c r="BK418" s="44"/>
      <c r="BL418" s="44"/>
      <c r="BM418" s="44"/>
      <c r="BN418" s="44"/>
      <c r="BO418" s="44"/>
      <c r="BP418" s="44"/>
      <c r="BQ418" s="44"/>
      <c r="BR418" s="44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172"/>
      <c r="CQ418" s="172"/>
      <c r="CR418" s="172"/>
      <c r="CS418" s="42"/>
      <c r="CT418" s="44"/>
      <c r="CU418" s="587"/>
      <c r="CV418" s="44"/>
      <c r="CW418" s="44"/>
      <c r="CX418" s="44"/>
      <c r="CY418" s="45"/>
      <c r="CZ418" s="44"/>
      <c r="DA418" s="44"/>
      <c r="DB418" s="44"/>
      <c r="DC418" s="529"/>
      <c r="DD418" s="529"/>
      <c r="DE418" s="529"/>
      <c r="DF418" s="529"/>
      <c r="DG418" s="529"/>
      <c r="DH418" s="529"/>
      <c r="DI418" s="529"/>
    </row>
    <row r="419" spans="1:113" s="36" customFormat="1" ht="12" collapsed="1">
      <c r="A419" s="1" t="s">
        <v>810</v>
      </c>
      <c r="B419" s="2" t="s">
        <v>501</v>
      </c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  <c r="AJ419" s="55"/>
      <c r="AK419" s="55"/>
      <c r="AL419" s="55"/>
      <c r="AM419" s="55"/>
      <c r="AN419" s="55"/>
      <c r="AO419" s="55"/>
      <c r="AP419" s="527">
        <v>39.700000000000003</v>
      </c>
      <c r="AQ419" s="527">
        <v>50.1</v>
      </c>
      <c r="AR419" s="527">
        <v>73.900000000000006</v>
      </c>
      <c r="AS419" s="527">
        <v>99.1</v>
      </c>
      <c r="AT419" s="527">
        <v>165.2</v>
      </c>
      <c r="AU419" s="527">
        <v>187.79999999999998</v>
      </c>
      <c r="AV419" s="527">
        <v>200</v>
      </c>
      <c r="AW419" s="528">
        <v>196.70000000000002</v>
      </c>
      <c r="AX419" s="527">
        <v>196.72054820514069</v>
      </c>
      <c r="AY419" s="527">
        <v>220.70467266336257</v>
      </c>
      <c r="AZ419" s="527">
        <v>247.05497462058571</v>
      </c>
      <c r="BA419" s="527">
        <v>267.28542286426108</v>
      </c>
      <c r="BB419" s="527">
        <v>297.16567186902688</v>
      </c>
      <c r="BC419" s="527">
        <v>305.0027198028929</v>
      </c>
      <c r="BD419" s="527">
        <v>321.09004297712909</v>
      </c>
      <c r="BE419" s="527">
        <v>331.21442872398006</v>
      </c>
      <c r="BF419" s="527">
        <v>348.11331928112037</v>
      </c>
      <c r="BG419" s="527">
        <v>353.00490934129562</v>
      </c>
      <c r="BH419" s="527">
        <v>368.43091712250703</v>
      </c>
      <c r="BI419" s="527">
        <v>370.66657763145162</v>
      </c>
      <c r="BJ419" s="527">
        <v>385.34027768981855</v>
      </c>
      <c r="BK419" s="527">
        <v>387.66583669884028</v>
      </c>
      <c r="BL419" s="527">
        <v>401.89889730658575</v>
      </c>
      <c r="BM419" s="527">
        <v>406.5770798849976</v>
      </c>
      <c r="BN419" s="527">
        <v>421.52276421393566</v>
      </c>
      <c r="BO419" s="527">
        <v>424.07747545907347</v>
      </c>
      <c r="BP419" s="527">
        <v>440.85442872480667</v>
      </c>
      <c r="BQ419" s="527">
        <v>443.51531102986974</v>
      </c>
      <c r="BR419" s="527"/>
      <c r="BS419" s="52"/>
      <c r="BT419" s="52"/>
      <c r="BU419" s="52"/>
      <c r="BV419" s="52"/>
      <c r="BW419" s="52"/>
      <c r="BX419" s="52"/>
      <c r="BY419" s="52"/>
      <c r="BZ419" s="52"/>
      <c r="CA419" s="52"/>
      <c r="CB419" s="52"/>
      <c r="CC419" s="52"/>
      <c r="CD419" s="52"/>
      <c r="CE419" s="52"/>
      <c r="CF419" s="52"/>
      <c r="CG419" s="52"/>
      <c r="CH419" s="52"/>
      <c r="CI419" s="52"/>
      <c r="CJ419" s="52"/>
      <c r="CK419" s="52"/>
      <c r="CL419" s="52"/>
      <c r="CM419" s="52"/>
      <c r="CN419" s="52"/>
      <c r="CO419" s="52"/>
      <c r="CP419" s="52"/>
      <c r="CQ419" s="52"/>
      <c r="CR419" s="52"/>
      <c r="CS419" s="52"/>
      <c r="CT419" s="527">
        <v>1.3559999999999999</v>
      </c>
      <c r="CU419" s="527">
        <v>28.256</v>
      </c>
      <c r="CV419" s="527">
        <v>89.8</v>
      </c>
      <c r="CW419" s="527">
        <v>173</v>
      </c>
      <c r="CX419" s="527">
        <v>353</v>
      </c>
      <c r="CY419" s="528">
        <v>396.7</v>
      </c>
      <c r="CZ419" s="527">
        <v>417.42522086850323</v>
      </c>
      <c r="DA419" s="527">
        <v>514.34039748484679</v>
      </c>
      <c r="DB419" s="527">
        <v>602.16839167191972</v>
      </c>
      <c r="DC419" s="527">
        <v>652.30447170110915</v>
      </c>
      <c r="DD419" s="527">
        <v>701.11822862241604</v>
      </c>
      <c r="DE419" s="527">
        <v>739.0974947539587</v>
      </c>
      <c r="DF419" s="527">
        <v>773.00611438865883</v>
      </c>
      <c r="DG419" s="527">
        <v>808.4759771915833</v>
      </c>
      <c r="DH419" s="527">
        <v>845.60023967300913</v>
      </c>
      <c r="DI419" s="527">
        <v>884.3697397546764</v>
      </c>
    </row>
    <row r="420" spans="1:113" ht="12" hidden="1" outlineLevel="2">
      <c r="A420" s="1" t="s">
        <v>92</v>
      </c>
      <c r="B420" s="19" t="s">
        <v>854</v>
      </c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4">
        <v>0</v>
      </c>
      <c r="AQ420" s="44">
        <v>0</v>
      </c>
      <c r="AR420" s="44">
        <v>0</v>
      </c>
      <c r="AS420" s="44">
        <v>0</v>
      </c>
      <c r="AT420" s="44">
        <v>0</v>
      </c>
      <c r="AU420" s="44">
        <v>0</v>
      </c>
      <c r="AV420" s="44">
        <v>0</v>
      </c>
      <c r="AW420" s="45">
        <v>0</v>
      </c>
      <c r="AX420" s="44">
        <v>0</v>
      </c>
      <c r="AY420" s="44">
        <v>0</v>
      </c>
      <c r="AZ420" s="44">
        <v>0</v>
      </c>
      <c r="BA420" s="44">
        <v>0</v>
      </c>
      <c r="BB420" s="44">
        <v>0</v>
      </c>
      <c r="BC420" s="44">
        <v>0</v>
      </c>
      <c r="BD420" s="44">
        <v>0</v>
      </c>
      <c r="BE420" s="44">
        <v>0</v>
      </c>
      <c r="BF420" s="44">
        <v>0</v>
      </c>
      <c r="BG420" s="44">
        <v>0</v>
      </c>
      <c r="BH420" s="44">
        <v>0</v>
      </c>
      <c r="BI420" s="44">
        <v>0</v>
      </c>
      <c r="BJ420" s="44">
        <v>0</v>
      </c>
      <c r="BK420" s="44">
        <v>0</v>
      </c>
      <c r="BL420" s="44">
        <v>0</v>
      </c>
      <c r="BM420" s="44">
        <v>0</v>
      </c>
      <c r="BN420" s="44">
        <v>0</v>
      </c>
      <c r="BO420" s="44">
        <v>0</v>
      </c>
      <c r="BP420" s="44">
        <v>0</v>
      </c>
      <c r="BQ420" s="44">
        <v>0</v>
      </c>
      <c r="BR420" s="44"/>
      <c r="BS420" s="42"/>
      <c r="BT420" s="42"/>
      <c r="BU420" s="42"/>
      <c r="BV420" s="42"/>
      <c r="BW420" s="42"/>
      <c r="BX420" s="42"/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4">
        <v>0</v>
      </c>
      <c r="CU420" s="44">
        <v>0</v>
      </c>
      <c r="CV420" s="44">
        <v>0</v>
      </c>
      <c r="CW420" s="44">
        <v>0</v>
      </c>
      <c r="CX420" s="44">
        <v>0</v>
      </c>
      <c r="CY420" s="45">
        <v>0</v>
      </c>
      <c r="CZ420" s="44">
        <v>0</v>
      </c>
      <c r="DA420" s="44">
        <v>0</v>
      </c>
      <c r="DB420" s="44">
        <v>0</v>
      </c>
      <c r="DC420" s="44">
        <v>0</v>
      </c>
      <c r="DD420" s="44">
        <v>0</v>
      </c>
      <c r="DE420" s="44">
        <v>0</v>
      </c>
      <c r="DF420" s="44">
        <v>0</v>
      </c>
      <c r="DG420" s="44">
        <v>0</v>
      </c>
      <c r="DH420" s="44">
        <v>0</v>
      </c>
      <c r="DI420" s="44">
        <v>0</v>
      </c>
    </row>
    <row r="421" spans="1:113" ht="12" hidden="1" outlineLevel="2">
      <c r="A421" s="1" t="s">
        <v>666</v>
      </c>
      <c r="B421" s="19" t="s">
        <v>444</v>
      </c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4">
        <v>0</v>
      </c>
      <c r="AQ421" s="44">
        <v>0</v>
      </c>
      <c r="AR421" s="44">
        <v>0</v>
      </c>
      <c r="AS421" s="44">
        <v>0</v>
      </c>
      <c r="AT421" s="44">
        <v>0</v>
      </c>
      <c r="AU421" s="44">
        <v>0</v>
      </c>
      <c r="AV421" s="44">
        <v>0</v>
      </c>
      <c r="AW421" s="45">
        <v>0</v>
      </c>
      <c r="AX421" s="44">
        <v>0</v>
      </c>
      <c r="AY421" s="44">
        <v>0</v>
      </c>
      <c r="AZ421" s="44">
        <v>0</v>
      </c>
      <c r="BA421" s="44">
        <v>0</v>
      </c>
      <c r="BB421" s="44">
        <v>0</v>
      </c>
      <c r="BC421" s="44">
        <v>0</v>
      </c>
      <c r="BD421" s="44">
        <v>0</v>
      </c>
      <c r="BE421" s="44">
        <v>0</v>
      </c>
      <c r="BF421" s="44">
        <v>0</v>
      </c>
      <c r="BG421" s="44">
        <v>0</v>
      </c>
      <c r="BH421" s="44">
        <v>0</v>
      </c>
      <c r="BI421" s="44">
        <v>0</v>
      </c>
      <c r="BJ421" s="44">
        <v>0</v>
      </c>
      <c r="BK421" s="44">
        <v>0</v>
      </c>
      <c r="BL421" s="44">
        <v>0</v>
      </c>
      <c r="BM421" s="44">
        <v>0</v>
      </c>
      <c r="BN421" s="44">
        <v>0</v>
      </c>
      <c r="BO421" s="44">
        <v>0</v>
      </c>
      <c r="BP421" s="44">
        <v>0</v>
      </c>
      <c r="BQ421" s="44">
        <v>0</v>
      </c>
      <c r="BR421" s="44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4">
        <v>0</v>
      </c>
      <c r="CU421" s="44">
        <v>0</v>
      </c>
      <c r="CV421" s="44">
        <v>0</v>
      </c>
      <c r="CW421" s="44">
        <v>0</v>
      </c>
      <c r="CX421" s="44">
        <v>0</v>
      </c>
      <c r="CY421" s="45">
        <v>0</v>
      </c>
      <c r="CZ421" s="44">
        <v>0</v>
      </c>
      <c r="DA421" s="44">
        <v>0</v>
      </c>
      <c r="DB421" s="44">
        <v>0</v>
      </c>
      <c r="DC421" s="44">
        <v>0</v>
      </c>
      <c r="DD421" s="44">
        <v>0</v>
      </c>
      <c r="DE421" s="44">
        <v>0</v>
      </c>
      <c r="DF421" s="44">
        <v>0</v>
      </c>
      <c r="DG421" s="44">
        <v>0</v>
      </c>
      <c r="DH421" s="44">
        <v>0</v>
      </c>
      <c r="DI421" s="44">
        <v>0</v>
      </c>
    </row>
    <row r="422" spans="1:113" ht="12" hidden="1" outlineLevel="2">
      <c r="A422" s="1" t="s">
        <v>667</v>
      </c>
      <c r="B422" s="19" t="s">
        <v>367</v>
      </c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4">
        <v>0</v>
      </c>
      <c r="AQ422" s="44">
        <v>0</v>
      </c>
      <c r="AR422" s="44">
        <v>0</v>
      </c>
      <c r="AS422" s="44">
        <v>0</v>
      </c>
      <c r="AT422" s="44">
        <v>0</v>
      </c>
      <c r="AU422" s="44">
        <v>0</v>
      </c>
      <c r="AV422" s="44">
        <v>0</v>
      </c>
      <c r="AW422" s="45">
        <v>0</v>
      </c>
      <c r="AX422" s="44">
        <v>0</v>
      </c>
      <c r="AY422" s="44">
        <v>0</v>
      </c>
      <c r="AZ422" s="44">
        <v>0</v>
      </c>
      <c r="BA422" s="44">
        <v>0</v>
      </c>
      <c r="BB422" s="44">
        <v>0</v>
      </c>
      <c r="BC422" s="44">
        <v>0</v>
      </c>
      <c r="BD422" s="44">
        <v>0</v>
      </c>
      <c r="BE422" s="44">
        <v>0</v>
      </c>
      <c r="BF422" s="44">
        <v>0</v>
      </c>
      <c r="BG422" s="44">
        <v>0</v>
      </c>
      <c r="BH422" s="44">
        <v>0</v>
      </c>
      <c r="BI422" s="44">
        <v>0</v>
      </c>
      <c r="BJ422" s="44">
        <v>0</v>
      </c>
      <c r="BK422" s="44">
        <v>0</v>
      </c>
      <c r="BL422" s="44">
        <v>0</v>
      </c>
      <c r="BM422" s="44">
        <v>0</v>
      </c>
      <c r="BN422" s="44">
        <v>0</v>
      </c>
      <c r="BO422" s="44">
        <v>0</v>
      </c>
      <c r="BP422" s="44">
        <v>0</v>
      </c>
      <c r="BQ422" s="44">
        <v>0</v>
      </c>
      <c r="BR422" s="44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4">
        <v>0</v>
      </c>
      <c r="CU422" s="44">
        <v>0</v>
      </c>
      <c r="CV422" s="44">
        <v>0</v>
      </c>
      <c r="CW422" s="44">
        <v>0</v>
      </c>
      <c r="CX422" s="44">
        <v>0</v>
      </c>
      <c r="CY422" s="45">
        <v>0</v>
      </c>
      <c r="CZ422" s="44">
        <v>0</v>
      </c>
      <c r="DA422" s="44">
        <v>0</v>
      </c>
      <c r="DB422" s="44">
        <v>0</v>
      </c>
      <c r="DC422" s="44">
        <v>0</v>
      </c>
      <c r="DD422" s="44">
        <v>0</v>
      </c>
      <c r="DE422" s="44">
        <v>0</v>
      </c>
      <c r="DF422" s="44">
        <v>0</v>
      </c>
      <c r="DG422" s="44">
        <v>0</v>
      </c>
      <c r="DH422" s="44">
        <v>0</v>
      </c>
      <c r="DI422" s="44">
        <v>0</v>
      </c>
    </row>
    <row r="423" spans="1:113" ht="12" hidden="1" outlineLevel="2">
      <c r="A423" s="1" t="s">
        <v>86</v>
      </c>
      <c r="B423" s="19" t="s">
        <v>368</v>
      </c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4">
        <v>0</v>
      </c>
      <c r="AQ423" s="44">
        <v>0</v>
      </c>
      <c r="AR423" s="44">
        <v>0</v>
      </c>
      <c r="AS423" s="44">
        <v>0</v>
      </c>
      <c r="AT423" s="44">
        <v>0</v>
      </c>
      <c r="AU423" s="44">
        <v>0</v>
      </c>
      <c r="AV423" s="44">
        <v>0</v>
      </c>
      <c r="AW423" s="45">
        <v>0</v>
      </c>
      <c r="AX423" s="44">
        <v>0</v>
      </c>
      <c r="AY423" s="44">
        <v>0</v>
      </c>
      <c r="AZ423" s="44">
        <v>0</v>
      </c>
      <c r="BA423" s="44">
        <v>0</v>
      </c>
      <c r="BB423" s="44">
        <v>0</v>
      </c>
      <c r="BC423" s="44">
        <v>0</v>
      </c>
      <c r="BD423" s="44">
        <v>0</v>
      </c>
      <c r="BE423" s="44">
        <v>0</v>
      </c>
      <c r="BF423" s="44">
        <v>0</v>
      </c>
      <c r="BG423" s="44">
        <v>0</v>
      </c>
      <c r="BH423" s="44">
        <v>0</v>
      </c>
      <c r="BI423" s="44">
        <v>0</v>
      </c>
      <c r="BJ423" s="44">
        <v>0</v>
      </c>
      <c r="BK423" s="44">
        <v>0</v>
      </c>
      <c r="BL423" s="44">
        <v>0</v>
      </c>
      <c r="BM423" s="44">
        <v>0</v>
      </c>
      <c r="BN423" s="44">
        <v>0</v>
      </c>
      <c r="BO423" s="44">
        <v>0</v>
      </c>
      <c r="BP423" s="44">
        <v>0</v>
      </c>
      <c r="BQ423" s="44">
        <v>0</v>
      </c>
      <c r="BR423" s="44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4">
        <v>0</v>
      </c>
      <c r="CU423" s="44">
        <v>0</v>
      </c>
      <c r="CV423" s="44">
        <v>0</v>
      </c>
      <c r="CW423" s="44">
        <v>0</v>
      </c>
      <c r="CX423" s="44">
        <v>0</v>
      </c>
      <c r="CY423" s="45">
        <v>0</v>
      </c>
      <c r="CZ423" s="44">
        <v>0</v>
      </c>
      <c r="DA423" s="44">
        <v>0</v>
      </c>
      <c r="DB423" s="44">
        <v>0</v>
      </c>
      <c r="DC423" s="44">
        <v>0</v>
      </c>
      <c r="DD423" s="44">
        <v>0</v>
      </c>
      <c r="DE423" s="44">
        <v>0</v>
      </c>
      <c r="DF423" s="44">
        <v>0</v>
      </c>
      <c r="DG423" s="44">
        <v>0</v>
      </c>
      <c r="DH423" s="44">
        <v>0</v>
      </c>
      <c r="DI423" s="44">
        <v>0</v>
      </c>
    </row>
    <row r="424" spans="1:113" ht="12" hidden="1" outlineLevel="2">
      <c r="A424" s="1" t="s">
        <v>87</v>
      </c>
      <c r="B424" s="19" t="s">
        <v>358</v>
      </c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4">
        <v>0</v>
      </c>
      <c r="AQ424" s="44">
        <v>0</v>
      </c>
      <c r="AR424" s="44">
        <v>0</v>
      </c>
      <c r="AS424" s="44">
        <v>0</v>
      </c>
      <c r="AT424" s="44">
        <v>0</v>
      </c>
      <c r="AU424" s="44">
        <v>0</v>
      </c>
      <c r="AV424" s="44">
        <v>0</v>
      </c>
      <c r="AW424" s="45">
        <v>0</v>
      </c>
      <c r="AX424" s="44">
        <v>0</v>
      </c>
      <c r="AY424" s="44">
        <v>0</v>
      </c>
      <c r="AZ424" s="44">
        <v>0</v>
      </c>
      <c r="BA424" s="44">
        <v>0</v>
      </c>
      <c r="BB424" s="44">
        <v>0</v>
      </c>
      <c r="BC424" s="44">
        <v>0</v>
      </c>
      <c r="BD424" s="44">
        <v>0</v>
      </c>
      <c r="BE424" s="44">
        <v>0</v>
      </c>
      <c r="BF424" s="44">
        <v>0</v>
      </c>
      <c r="BG424" s="44">
        <v>0</v>
      </c>
      <c r="BH424" s="44">
        <v>0</v>
      </c>
      <c r="BI424" s="44">
        <v>0</v>
      </c>
      <c r="BJ424" s="44">
        <v>0</v>
      </c>
      <c r="BK424" s="44">
        <v>0</v>
      </c>
      <c r="BL424" s="44">
        <v>0</v>
      </c>
      <c r="BM424" s="44">
        <v>0</v>
      </c>
      <c r="BN424" s="44">
        <v>0</v>
      </c>
      <c r="BO424" s="44">
        <v>0</v>
      </c>
      <c r="BP424" s="44">
        <v>0</v>
      </c>
      <c r="BQ424" s="44">
        <v>0</v>
      </c>
      <c r="BR424" s="44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4">
        <v>0</v>
      </c>
      <c r="CU424" s="44">
        <v>0</v>
      </c>
      <c r="CV424" s="44">
        <v>0</v>
      </c>
      <c r="CW424" s="44">
        <v>0</v>
      </c>
      <c r="CX424" s="44">
        <v>0</v>
      </c>
      <c r="CY424" s="45">
        <v>0</v>
      </c>
      <c r="CZ424" s="44">
        <v>0</v>
      </c>
      <c r="DA424" s="44">
        <v>0</v>
      </c>
      <c r="DB424" s="44">
        <v>0</v>
      </c>
      <c r="DC424" s="44">
        <v>0</v>
      </c>
      <c r="DD424" s="44">
        <v>0</v>
      </c>
      <c r="DE424" s="44">
        <v>0</v>
      </c>
      <c r="DF424" s="44">
        <v>0</v>
      </c>
      <c r="DG424" s="44">
        <v>0</v>
      </c>
      <c r="DH424" s="44">
        <v>0</v>
      </c>
      <c r="DI424" s="44">
        <v>0</v>
      </c>
    </row>
    <row r="425" spans="1:113" ht="12" hidden="1" outlineLevel="2">
      <c r="A425" s="1" t="s">
        <v>88</v>
      </c>
      <c r="B425" s="19" t="s">
        <v>422</v>
      </c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4">
        <v>0</v>
      </c>
      <c r="AQ425" s="44">
        <v>0</v>
      </c>
      <c r="AR425" s="44">
        <v>0</v>
      </c>
      <c r="AS425" s="44">
        <v>0</v>
      </c>
      <c r="AT425" s="44">
        <v>0</v>
      </c>
      <c r="AU425" s="44">
        <v>0</v>
      </c>
      <c r="AV425" s="44">
        <v>0</v>
      </c>
      <c r="AW425" s="45">
        <v>0</v>
      </c>
      <c r="AX425" s="44">
        <v>0</v>
      </c>
      <c r="AY425" s="44">
        <v>0</v>
      </c>
      <c r="AZ425" s="44">
        <v>0</v>
      </c>
      <c r="BA425" s="44">
        <v>0</v>
      </c>
      <c r="BB425" s="44">
        <v>0</v>
      </c>
      <c r="BC425" s="44">
        <v>0</v>
      </c>
      <c r="BD425" s="44">
        <v>0</v>
      </c>
      <c r="BE425" s="44">
        <v>0</v>
      </c>
      <c r="BF425" s="44">
        <v>0</v>
      </c>
      <c r="BG425" s="44">
        <v>0</v>
      </c>
      <c r="BH425" s="44">
        <v>0</v>
      </c>
      <c r="BI425" s="44">
        <v>0</v>
      </c>
      <c r="BJ425" s="44">
        <v>0</v>
      </c>
      <c r="BK425" s="44">
        <v>0</v>
      </c>
      <c r="BL425" s="44">
        <v>0</v>
      </c>
      <c r="BM425" s="44">
        <v>0</v>
      </c>
      <c r="BN425" s="44">
        <v>0</v>
      </c>
      <c r="BO425" s="44">
        <v>0</v>
      </c>
      <c r="BP425" s="44">
        <v>0</v>
      </c>
      <c r="BQ425" s="44">
        <v>0</v>
      </c>
      <c r="BR425" s="44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4">
        <v>0</v>
      </c>
      <c r="CU425" s="44">
        <v>0</v>
      </c>
      <c r="CV425" s="44">
        <v>0</v>
      </c>
      <c r="CW425" s="44">
        <v>0</v>
      </c>
      <c r="CX425" s="44">
        <v>0</v>
      </c>
      <c r="CY425" s="45">
        <v>0</v>
      </c>
      <c r="CZ425" s="44">
        <v>0</v>
      </c>
      <c r="DA425" s="44">
        <v>0</v>
      </c>
      <c r="DB425" s="44">
        <v>0</v>
      </c>
      <c r="DC425" s="44">
        <v>0</v>
      </c>
      <c r="DD425" s="44">
        <v>0</v>
      </c>
      <c r="DE425" s="44">
        <v>0</v>
      </c>
      <c r="DF425" s="44">
        <v>0</v>
      </c>
      <c r="DG425" s="44">
        <v>0</v>
      </c>
      <c r="DH425" s="44">
        <v>0</v>
      </c>
      <c r="DI425" s="44">
        <v>0</v>
      </c>
    </row>
    <row r="426" spans="1:113" s="24" customFormat="1" ht="12" hidden="1" outlineLevel="2">
      <c r="A426" s="1" t="s">
        <v>89</v>
      </c>
      <c r="B426" s="24" t="s">
        <v>502</v>
      </c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  <c r="AJ426" s="55"/>
      <c r="AK426" s="55"/>
      <c r="AL426" s="55"/>
      <c r="AM426" s="55"/>
      <c r="AN426" s="55"/>
      <c r="AO426" s="55"/>
      <c r="AP426" s="526">
        <v>39.700000000000003</v>
      </c>
      <c r="AQ426" s="526">
        <v>50.1</v>
      </c>
      <c r="AR426" s="526">
        <v>73.900000000000006</v>
      </c>
      <c r="AS426" s="526">
        <v>99.1</v>
      </c>
      <c r="AT426" s="526">
        <v>165.2</v>
      </c>
      <c r="AU426" s="526">
        <v>187.79999999999998</v>
      </c>
      <c r="AV426" s="526">
        <v>200</v>
      </c>
      <c r="AW426" s="524">
        <v>196.70000000000002</v>
      </c>
      <c r="AX426" s="526">
        <v>196.72054820514069</v>
      </c>
      <c r="AY426" s="526">
        <v>220.70467266336257</v>
      </c>
      <c r="AZ426" s="526">
        <v>247.05497462058571</v>
      </c>
      <c r="BA426" s="526">
        <v>267.28542286426108</v>
      </c>
      <c r="BB426" s="526">
        <v>297.16567186902688</v>
      </c>
      <c r="BC426" s="526">
        <v>305.0027198028929</v>
      </c>
      <c r="BD426" s="526">
        <v>321.09004297712909</v>
      </c>
      <c r="BE426" s="526">
        <v>331.21442872398006</v>
      </c>
      <c r="BF426" s="526">
        <v>348.11331928112037</v>
      </c>
      <c r="BG426" s="526">
        <v>353.00490934129562</v>
      </c>
      <c r="BH426" s="526">
        <v>368.43091712250703</v>
      </c>
      <c r="BI426" s="526">
        <v>370.66657763145162</v>
      </c>
      <c r="BJ426" s="526">
        <v>385.34027768981855</v>
      </c>
      <c r="BK426" s="526">
        <v>387.66583669884028</v>
      </c>
      <c r="BL426" s="526">
        <v>401.89889730658575</v>
      </c>
      <c r="BM426" s="526">
        <v>406.5770798849976</v>
      </c>
      <c r="BN426" s="526">
        <v>421.52276421393566</v>
      </c>
      <c r="BO426" s="526">
        <v>424.07747545907347</v>
      </c>
      <c r="BP426" s="526">
        <v>440.85442872480667</v>
      </c>
      <c r="BQ426" s="526">
        <v>443.51531102986974</v>
      </c>
      <c r="BR426" s="526"/>
      <c r="BS426" s="55"/>
      <c r="BT426" s="55"/>
      <c r="BU426" s="55"/>
      <c r="BV426" s="55"/>
      <c r="BW426" s="55"/>
      <c r="BX426" s="55"/>
      <c r="BY426" s="55"/>
      <c r="BZ426" s="55"/>
      <c r="CA426" s="55"/>
      <c r="CB426" s="55"/>
      <c r="CC426" s="55"/>
      <c r="CD426" s="55"/>
      <c r="CE426" s="55"/>
      <c r="CF426" s="55"/>
      <c r="CG426" s="55"/>
      <c r="CH426" s="55"/>
      <c r="CI426" s="55"/>
      <c r="CJ426" s="55"/>
      <c r="CK426" s="55"/>
      <c r="CL426" s="55"/>
      <c r="CM426" s="55"/>
      <c r="CN426" s="55"/>
      <c r="CO426" s="55"/>
      <c r="CP426" s="55"/>
      <c r="CQ426" s="55"/>
      <c r="CR426" s="55"/>
      <c r="CS426" s="55"/>
      <c r="CT426" s="526">
        <v>1.3559999999999999</v>
      </c>
      <c r="CU426" s="526">
        <v>28.256</v>
      </c>
      <c r="CV426" s="526">
        <v>89.8</v>
      </c>
      <c r="CW426" s="526">
        <v>173</v>
      </c>
      <c r="CX426" s="526">
        <v>353</v>
      </c>
      <c r="CY426" s="524">
        <v>396.7</v>
      </c>
      <c r="CZ426" s="526">
        <v>417.42522086850323</v>
      </c>
      <c r="DA426" s="526">
        <v>514.34039748484679</v>
      </c>
      <c r="DB426" s="526">
        <v>602.16839167191972</v>
      </c>
      <c r="DC426" s="526">
        <v>652.30447170110915</v>
      </c>
      <c r="DD426" s="526">
        <v>701.11822862241604</v>
      </c>
      <c r="DE426" s="526">
        <v>739.0974947539587</v>
      </c>
      <c r="DF426" s="526">
        <v>773.00611438865883</v>
      </c>
      <c r="DG426" s="526">
        <v>808.4759771915833</v>
      </c>
      <c r="DH426" s="526">
        <v>845.60023967300913</v>
      </c>
      <c r="DI426" s="526">
        <v>884.3697397546764</v>
      </c>
    </row>
    <row r="427" spans="1:113" ht="12" hidden="1" outlineLevel="2">
      <c r="A427" s="1" t="s">
        <v>90</v>
      </c>
      <c r="B427" s="19" t="s">
        <v>526</v>
      </c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4">
        <v>0</v>
      </c>
      <c r="AQ427" s="44">
        <v>0</v>
      </c>
      <c r="AR427" s="44">
        <v>0</v>
      </c>
      <c r="AS427" s="44">
        <v>0</v>
      </c>
      <c r="AT427" s="44">
        <v>0</v>
      </c>
      <c r="AU427" s="44">
        <v>0</v>
      </c>
      <c r="AV427" s="44">
        <v>0</v>
      </c>
      <c r="AW427" s="45">
        <v>0</v>
      </c>
      <c r="AX427" s="44">
        <v>0</v>
      </c>
      <c r="AY427" s="44">
        <v>0</v>
      </c>
      <c r="AZ427" s="44">
        <v>0</v>
      </c>
      <c r="BA427" s="44">
        <v>0</v>
      </c>
      <c r="BB427" s="44">
        <v>0</v>
      </c>
      <c r="BC427" s="44">
        <v>0</v>
      </c>
      <c r="BD427" s="44">
        <v>0</v>
      </c>
      <c r="BE427" s="44">
        <v>0</v>
      </c>
      <c r="BF427" s="44">
        <v>0</v>
      </c>
      <c r="BG427" s="44">
        <v>0</v>
      </c>
      <c r="BH427" s="44">
        <v>0</v>
      </c>
      <c r="BI427" s="44">
        <v>0</v>
      </c>
      <c r="BJ427" s="44">
        <v>0</v>
      </c>
      <c r="BK427" s="44">
        <v>0</v>
      </c>
      <c r="BL427" s="44">
        <v>0</v>
      </c>
      <c r="BM427" s="44">
        <v>0</v>
      </c>
      <c r="BN427" s="44">
        <v>0</v>
      </c>
      <c r="BO427" s="44">
        <v>0</v>
      </c>
      <c r="BP427" s="44">
        <v>0</v>
      </c>
      <c r="BQ427" s="44">
        <v>0</v>
      </c>
      <c r="BR427" s="44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4">
        <v>0</v>
      </c>
      <c r="CU427" s="44">
        <v>0</v>
      </c>
      <c r="CV427" s="44">
        <v>0</v>
      </c>
      <c r="CW427" s="44">
        <v>0</v>
      </c>
      <c r="CX427" s="44">
        <v>0</v>
      </c>
      <c r="CY427" s="45">
        <v>0</v>
      </c>
      <c r="CZ427" s="44">
        <v>0</v>
      </c>
      <c r="DA427" s="44">
        <v>0</v>
      </c>
      <c r="DB427" s="44">
        <v>0</v>
      </c>
      <c r="DC427" s="44">
        <v>0</v>
      </c>
      <c r="DD427" s="44">
        <v>0</v>
      </c>
      <c r="DE427" s="44">
        <v>0</v>
      </c>
      <c r="DF427" s="44">
        <v>0</v>
      </c>
      <c r="DG427" s="44">
        <v>0</v>
      </c>
      <c r="DH427" s="44">
        <v>0</v>
      </c>
      <c r="DI427" s="44">
        <v>0</v>
      </c>
    </row>
    <row r="428" spans="1:113" s="24" customFormat="1" ht="12" hidden="1" outlineLevel="2">
      <c r="A428" s="1" t="s">
        <v>91</v>
      </c>
      <c r="B428" s="24" t="s">
        <v>549</v>
      </c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  <c r="AJ428" s="55"/>
      <c r="AK428" s="55"/>
      <c r="AL428" s="55"/>
      <c r="AM428" s="55"/>
      <c r="AN428" s="55"/>
      <c r="AO428" s="55"/>
      <c r="AP428" s="526">
        <v>39.700000000000003</v>
      </c>
      <c r="AQ428" s="526">
        <v>50.1</v>
      </c>
      <c r="AR428" s="526">
        <v>73.900000000000006</v>
      </c>
      <c r="AS428" s="526">
        <v>99.1</v>
      </c>
      <c r="AT428" s="526">
        <v>165.2</v>
      </c>
      <c r="AU428" s="526">
        <v>187.79999999999998</v>
      </c>
      <c r="AV428" s="526">
        <v>200</v>
      </c>
      <c r="AW428" s="524">
        <v>196.70000000000002</v>
      </c>
      <c r="AX428" s="526">
        <v>196.72054820514069</v>
      </c>
      <c r="AY428" s="526">
        <v>220.70467266336257</v>
      </c>
      <c r="AZ428" s="526">
        <v>247.05497462058571</v>
      </c>
      <c r="BA428" s="526">
        <v>267.28542286426108</v>
      </c>
      <c r="BB428" s="526">
        <v>297.16567186902688</v>
      </c>
      <c r="BC428" s="526">
        <v>305.0027198028929</v>
      </c>
      <c r="BD428" s="526">
        <v>321.09004297712909</v>
      </c>
      <c r="BE428" s="526">
        <v>331.21442872398006</v>
      </c>
      <c r="BF428" s="526">
        <v>348.11331928112037</v>
      </c>
      <c r="BG428" s="526">
        <v>353.00490934129562</v>
      </c>
      <c r="BH428" s="526">
        <v>368.43091712250703</v>
      </c>
      <c r="BI428" s="526">
        <v>370.66657763145162</v>
      </c>
      <c r="BJ428" s="526">
        <v>385.34027768981855</v>
      </c>
      <c r="BK428" s="526">
        <v>387.66583669884028</v>
      </c>
      <c r="BL428" s="526">
        <v>401.89889730658575</v>
      </c>
      <c r="BM428" s="526">
        <v>406.5770798849976</v>
      </c>
      <c r="BN428" s="526">
        <v>421.52276421393566</v>
      </c>
      <c r="BO428" s="526">
        <v>424.07747545907347</v>
      </c>
      <c r="BP428" s="526">
        <v>440.85442872480667</v>
      </c>
      <c r="BQ428" s="526">
        <v>443.51531102986974</v>
      </c>
      <c r="BR428" s="526"/>
      <c r="BS428" s="55"/>
      <c r="BT428" s="55"/>
      <c r="BU428" s="55"/>
      <c r="BV428" s="55"/>
      <c r="BW428" s="55"/>
      <c r="BX428" s="55"/>
      <c r="BY428" s="55"/>
      <c r="BZ428" s="55"/>
      <c r="CA428" s="55"/>
      <c r="CB428" s="55"/>
      <c r="CC428" s="55"/>
      <c r="CD428" s="55"/>
      <c r="CE428" s="55"/>
      <c r="CF428" s="55"/>
      <c r="CG428" s="55"/>
      <c r="CH428" s="55"/>
      <c r="CI428" s="55"/>
      <c r="CJ428" s="55"/>
      <c r="CK428" s="55"/>
      <c r="CL428" s="55"/>
      <c r="CM428" s="55"/>
      <c r="CN428" s="55"/>
      <c r="CO428" s="55"/>
      <c r="CP428" s="55"/>
      <c r="CQ428" s="55"/>
      <c r="CR428" s="55"/>
      <c r="CS428" s="55"/>
      <c r="CT428" s="526">
        <v>1.3559999999999999</v>
      </c>
      <c r="CU428" s="526">
        <v>28.256</v>
      </c>
      <c r="CV428" s="526">
        <v>89.8</v>
      </c>
      <c r="CW428" s="526">
        <v>173</v>
      </c>
      <c r="CX428" s="526">
        <v>353</v>
      </c>
      <c r="CY428" s="524">
        <v>396.7</v>
      </c>
      <c r="CZ428" s="526">
        <v>417.42522086850323</v>
      </c>
      <c r="DA428" s="526">
        <v>514.34039748484679</v>
      </c>
      <c r="DB428" s="526">
        <v>602.16839167191972</v>
      </c>
      <c r="DC428" s="526">
        <v>652.30447170110915</v>
      </c>
      <c r="DD428" s="526">
        <v>701.11822862241604</v>
      </c>
      <c r="DE428" s="526">
        <v>739.0974947539587</v>
      </c>
      <c r="DF428" s="526">
        <v>773.00611438865883</v>
      </c>
      <c r="DG428" s="526">
        <v>808.4759771915833</v>
      </c>
      <c r="DH428" s="526">
        <v>845.60023967300913</v>
      </c>
      <c r="DI428" s="526">
        <v>884.3697397546764</v>
      </c>
    </row>
    <row r="429" spans="1:113" ht="12" collapsed="1"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394"/>
      <c r="AB429" s="55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572"/>
      <c r="AQ429" s="572"/>
      <c r="AR429" s="572"/>
      <c r="AS429" s="572"/>
      <c r="AT429" s="572"/>
      <c r="AU429" s="572"/>
      <c r="AV429" s="572"/>
      <c r="AW429" s="573"/>
      <c r="AX429" s="44"/>
      <c r="AY429" s="44"/>
      <c r="AZ429" s="44"/>
      <c r="BA429" s="44"/>
      <c r="BB429" s="44"/>
      <c r="BC429" s="44"/>
      <c r="BD429" s="44"/>
      <c r="BE429" s="44"/>
      <c r="BF429" s="44"/>
      <c r="BG429" s="44"/>
      <c r="BH429" s="44"/>
      <c r="BI429" s="44"/>
      <c r="BJ429" s="44"/>
      <c r="BK429" s="44"/>
      <c r="BL429" s="44"/>
      <c r="BM429" s="44"/>
      <c r="BN429" s="44"/>
      <c r="BO429" s="44"/>
      <c r="BP429" s="44"/>
      <c r="BQ429" s="44"/>
      <c r="BR429" s="44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285"/>
      <c r="CQ429" s="285"/>
      <c r="CR429" s="285"/>
      <c r="CS429" s="285"/>
      <c r="CT429" s="572"/>
      <c r="CU429" s="44"/>
      <c r="CV429" s="572"/>
      <c r="CW429" s="572"/>
      <c r="CX429" s="572"/>
      <c r="CY429" s="573"/>
      <c r="CZ429" s="632"/>
      <c r="DA429" s="636"/>
      <c r="DB429" s="44"/>
      <c r="DC429" s="529"/>
      <c r="DD429" s="529"/>
      <c r="DE429" s="529"/>
      <c r="DF429" s="529"/>
      <c r="DG429" s="529"/>
      <c r="DH429" s="529"/>
      <c r="DI429" s="529"/>
    </row>
    <row r="430" spans="1:113" s="36" customFormat="1" ht="12" collapsed="1">
      <c r="A430" s="1" t="s">
        <v>668</v>
      </c>
      <c r="B430" s="2" t="s">
        <v>550</v>
      </c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  <c r="AJ430" s="55"/>
      <c r="AK430" s="55"/>
      <c r="AL430" s="55"/>
      <c r="AM430" s="55"/>
      <c r="AN430" s="55"/>
      <c r="AO430" s="55"/>
      <c r="AP430" s="527">
        <v>-37.799999999999997</v>
      </c>
      <c r="AQ430" s="527">
        <v>-49.3</v>
      </c>
      <c r="AR430" s="527">
        <v>-61.3</v>
      </c>
      <c r="AS430" s="527">
        <v>-70.7</v>
      </c>
      <c r="AT430" s="527">
        <v>-89.7</v>
      </c>
      <c r="AU430" s="527">
        <v>-101.2</v>
      </c>
      <c r="AV430" s="527">
        <v>-105.8</v>
      </c>
      <c r="AW430" s="528">
        <v>-116.5</v>
      </c>
      <c r="AX430" s="527">
        <v>-114.33549807210484</v>
      </c>
      <c r="AY430" s="527">
        <v>-113.9805284968058</v>
      </c>
      <c r="AZ430" s="527">
        <v>-117.66181998746534</v>
      </c>
      <c r="BA430" s="527">
        <v>-118.38499534481052</v>
      </c>
      <c r="BB430" s="527">
        <v>-121.56872745907685</v>
      </c>
      <c r="BC430" s="527">
        <v>-120.7520195901164</v>
      </c>
      <c r="BD430" s="527">
        <v>-124.41011385716429</v>
      </c>
      <c r="BE430" s="527">
        <v>-125.35436575043137</v>
      </c>
      <c r="BF430" s="527">
        <v>-128.54743851068267</v>
      </c>
      <c r="BG430" s="527">
        <v>-128.75008439561492</v>
      </c>
      <c r="BH430" s="527">
        <v>-132.32789950054058</v>
      </c>
      <c r="BI430" s="527">
        <v>-132.60687747560894</v>
      </c>
      <c r="BJ430" s="527">
        <v>-136.19285043807028</v>
      </c>
      <c r="BK430" s="527">
        <v>-136.47752558105216</v>
      </c>
      <c r="BL430" s="527">
        <v>-139.61474627779151</v>
      </c>
      <c r="BM430" s="527">
        <v>-141.00538299666812</v>
      </c>
      <c r="BN430" s="527">
        <v>-146.39500177782247</v>
      </c>
      <c r="BO430" s="527">
        <v>-147.26455165817583</v>
      </c>
      <c r="BP430" s="527">
        <v>-152.95252288325773</v>
      </c>
      <c r="BQ430" s="527">
        <v>-154.16514368209562</v>
      </c>
      <c r="BR430" s="527"/>
      <c r="BS430" s="52"/>
      <c r="BT430" s="52"/>
      <c r="BU430" s="52"/>
      <c r="BV430" s="52"/>
      <c r="BW430" s="52"/>
      <c r="BX430" s="52"/>
      <c r="BY430" s="52"/>
      <c r="BZ430" s="52"/>
      <c r="CA430" s="52"/>
      <c r="CB430" s="52"/>
      <c r="CC430" s="52"/>
      <c r="CD430" s="52"/>
      <c r="CE430" s="52"/>
      <c r="CF430" s="52"/>
      <c r="CG430" s="52"/>
      <c r="CH430" s="52"/>
      <c r="CI430" s="52"/>
      <c r="CJ430" s="52"/>
      <c r="CK430" s="52"/>
      <c r="CL430" s="52"/>
      <c r="CM430" s="52"/>
      <c r="CN430" s="52"/>
      <c r="CO430" s="52"/>
      <c r="CP430" s="52"/>
      <c r="CQ430" s="52"/>
      <c r="CR430" s="52"/>
      <c r="CS430" s="52"/>
      <c r="CT430" s="527">
        <v>-31.553999999999998</v>
      </c>
      <c r="CU430" s="527">
        <v>-59.744</v>
      </c>
      <c r="CV430" s="527">
        <v>-87.1</v>
      </c>
      <c r="CW430" s="527">
        <v>-132</v>
      </c>
      <c r="CX430" s="527">
        <v>-190.9</v>
      </c>
      <c r="CY430" s="528">
        <v>-222.3</v>
      </c>
      <c r="CZ430" s="527">
        <v>-228.31602656891064</v>
      </c>
      <c r="DA430" s="527">
        <v>-236.04681533227586</v>
      </c>
      <c r="DB430" s="527">
        <v>-242.32074704919324</v>
      </c>
      <c r="DC430" s="527">
        <v>-249.76447960759566</v>
      </c>
      <c r="DD430" s="527">
        <v>-257.29752290629756</v>
      </c>
      <c r="DE430" s="527">
        <v>-264.93477697614952</v>
      </c>
      <c r="DF430" s="527">
        <v>-272.67037601912244</v>
      </c>
      <c r="DG430" s="527">
        <v>-280.6201292744596</v>
      </c>
      <c r="DH430" s="527">
        <v>-293.6595534359983</v>
      </c>
      <c r="DI430" s="527">
        <v>-307.11766656535337</v>
      </c>
    </row>
    <row r="431" spans="1:113" ht="12" outlineLevel="1"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394"/>
      <c r="AB431" s="42"/>
      <c r="AC431" s="42"/>
      <c r="AD431" s="42"/>
      <c r="AE431" s="394"/>
      <c r="AF431" s="394"/>
      <c r="AG431" s="394"/>
      <c r="AH431" s="394"/>
      <c r="AI431" s="394"/>
      <c r="AJ431" s="394"/>
      <c r="AK431" s="394"/>
      <c r="AL431" s="394"/>
      <c r="AM431" s="394"/>
      <c r="AN431" s="55"/>
      <c r="AO431" s="55"/>
      <c r="AP431" s="572"/>
      <c r="AQ431" s="572"/>
      <c r="AR431" s="572"/>
      <c r="AS431" s="572"/>
      <c r="AT431" s="572"/>
      <c r="AU431" s="572"/>
      <c r="AV431" s="572"/>
      <c r="AW431" s="573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285"/>
      <c r="CR431" s="285"/>
      <c r="CS431" s="285"/>
      <c r="CT431" s="572"/>
      <c r="CU431" s="526"/>
      <c r="CV431" s="572"/>
      <c r="CW431" s="572"/>
      <c r="CX431" s="572"/>
      <c r="CY431" s="573"/>
      <c r="CZ431" s="44"/>
      <c r="DA431" s="632"/>
      <c r="DB431" s="632"/>
      <c r="DC431" s="529"/>
      <c r="DD431" s="529"/>
      <c r="DE431" s="529"/>
      <c r="DF431" s="529"/>
      <c r="DG431" s="529"/>
      <c r="DH431" s="529"/>
      <c r="DI431" s="529"/>
    </row>
    <row r="432" spans="1:113" ht="12" outlineLevel="1">
      <c r="A432" s="1" t="s">
        <v>669</v>
      </c>
      <c r="B432" s="19" t="s">
        <v>551</v>
      </c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525">
        <v>-22.7</v>
      </c>
      <c r="AQ432" s="525">
        <v>-28.3</v>
      </c>
      <c r="AR432" s="525">
        <v>-36.799999999999997</v>
      </c>
      <c r="AS432" s="525">
        <v>-42.7</v>
      </c>
      <c r="AT432" s="525">
        <v>-56.3</v>
      </c>
      <c r="AU432" s="525">
        <v>-63</v>
      </c>
      <c r="AV432" s="525">
        <v>-64.8</v>
      </c>
      <c r="AW432" s="523">
        <v>-64.400000000000006</v>
      </c>
      <c r="AX432" s="44">
        <v>-63.097205687901138</v>
      </c>
      <c r="AY432" s="44">
        <v>-61.305050308083153</v>
      </c>
      <c r="AZ432" s="44">
        <v>-62.803642484211601</v>
      </c>
      <c r="BA432" s="44">
        <v>-62.238666896807224</v>
      </c>
      <c r="BB432" s="44">
        <v>-63.399414643425381</v>
      </c>
      <c r="BC432" s="44">
        <v>-62.474974624209288</v>
      </c>
      <c r="BD432" s="44">
        <v>-64.505183873230052</v>
      </c>
      <c r="BE432" s="44">
        <v>-64.442080975962767</v>
      </c>
      <c r="BF432" s="44">
        <v>-65.982016803517823</v>
      </c>
      <c r="BG432" s="44">
        <v>-65.555285281799414</v>
      </c>
      <c r="BH432" s="44">
        <v>-67.474859933697417</v>
      </c>
      <c r="BI432" s="44">
        <v>-67.204410427169677</v>
      </c>
      <c r="BJ432" s="44">
        <v>-69.17227437890449</v>
      </c>
      <c r="BK432" s="44">
        <v>-68.895021376978164</v>
      </c>
      <c r="BL432" s="44">
        <v>-70.544025783211538</v>
      </c>
      <c r="BM432" s="44">
        <v>-70.998344644913217</v>
      </c>
      <c r="BN432" s="44">
        <v>-74.134455779317278</v>
      </c>
      <c r="BO432" s="44">
        <v>-74.201942308355513</v>
      </c>
      <c r="BP432" s="44">
        <v>-77.506183496230349</v>
      </c>
      <c r="BQ432" s="44">
        <v>-77.767345636271997</v>
      </c>
      <c r="BR432" s="44"/>
      <c r="BS432" s="40"/>
      <c r="BT432" s="40"/>
      <c r="BU432" s="40"/>
      <c r="BV432" s="40"/>
      <c r="BW432" s="40"/>
      <c r="BX432" s="40"/>
      <c r="BY432" s="40"/>
      <c r="BZ432" s="40"/>
      <c r="CA432" s="40"/>
      <c r="CB432" s="40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525">
        <v>-16.434999999999999</v>
      </c>
      <c r="CU432" s="525">
        <v>-36.33</v>
      </c>
      <c r="CV432" s="44">
        <v>-51</v>
      </c>
      <c r="CW432" s="44">
        <v>-79.5</v>
      </c>
      <c r="CX432" s="44">
        <v>-119.3</v>
      </c>
      <c r="CY432" s="45">
        <v>-129.19999999999999</v>
      </c>
      <c r="CZ432" s="44">
        <v>-124.40225599598429</v>
      </c>
      <c r="DA432" s="44">
        <v>-125.04230938101882</v>
      </c>
      <c r="DB432" s="44">
        <v>-125.87438926763467</v>
      </c>
      <c r="DC432" s="44">
        <v>-128.94726484919283</v>
      </c>
      <c r="DD432" s="44">
        <v>-131.53730208531724</v>
      </c>
      <c r="DE432" s="44">
        <v>-134.67927036086709</v>
      </c>
      <c r="DF432" s="44">
        <v>-138.06729575588264</v>
      </c>
      <c r="DG432" s="44">
        <v>-141.54237042812474</v>
      </c>
      <c r="DH432" s="44">
        <v>-148.33639808767279</v>
      </c>
      <c r="DI432" s="44">
        <v>-155.27352913250235</v>
      </c>
    </row>
    <row r="433" spans="1:113" ht="12" outlineLevel="1">
      <c r="A433" s="1" t="s">
        <v>670</v>
      </c>
      <c r="B433" s="19" t="s">
        <v>447</v>
      </c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511"/>
      <c r="AB433" s="511"/>
      <c r="AC433" s="511"/>
      <c r="AD433" s="511"/>
      <c r="AE433" s="511"/>
      <c r="AF433" s="511"/>
      <c r="AG433" s="511"/>
      <c r="AH433" s="511"/>
      <c r="AI433" s="511"/>
      <c r="AJ433" s="511"/>
      <c r="AK433" s="511"/>
      <c r="AL433" s="511"/>
      <c r="AM433" s="511"/>
      <c r="AN433" s="511"/>
      <c r="AO433" s="511"/>
      <c r="AP433" s="585">
        <v>0</v>
      </c>
      <c r="AQ433" s="585">
        <v>0</v>
      </c>
      <c r="AR433" s="585">
        <v>0</v>
      </c>
      <c r="AS433" s="585">
        <v>0</v>
      </c>
      <c r="AT433" s="585">
        <v>0</v>
      </c>
      <c r="AU433" s="585">
        <v>0</v>
      </c>
      <c r="AV433" s="585">
        <v>0</v>
      </c>
      <c r="AW433" s="586">
        <v>0</v>
      </c>
      <c r="AX433" s="46">
        <v>0</v>
      </c>
      <c r="AY433" s="46">
        <v>0</v>
      </c>
      <c r="AZ433" s="46">
        <v>0</v>
      </c>
      <c r="BA433" s="46">
        <v>0</v>
      </c>
      <c r="BB433" s="46">
        <v>0</v>
      </c>
      <c r="BC433" s="46">
        <v>0</v>
      </c>
      <c r="BD433" s="46">
        <v>0</v>
      </c>
      <c r="BE433" s="46">
        <v>0</v>
      </c>
      <c r="BF433" s="46">
        <v>0</v>
      </c>
      <c r="BG433" s="46">
        <v>0</v>
      </c>
      <c r="BH433" s="46">
        <v>0</v>
      </c>
      <c r="BI433" s="46">
        <v>0</v>
      </c>
      <c r="BJ433" s="46">
        <v>0</v>
      </c>
      <c r="BK433" s="46">
        <v>0</v>
      </c>
      <c r="BL433" s="46">
        <v>0</v>
      </c>
      <c r="BM433" s="46">
        <v>0</v>
      </c>
      <c r="BN433" s="46">
        <v>0</v>
      </c>
      <c r="BO433" s="46">
        <v>0</v>
      </c>
      <c r="BP433" s="46">
        <v>0</v>
      </c>
      <c r="BQ433" s="46">
        <v>0</v>
      </c>
      <c r="BR433" s="44"/>
      <c r="BS433" s="40"/>
      <c r="BT433" s="40"/>
      <c r="BU433" s="40"/>
      <c r="BV433" s="40"/>
      <c r="BW433" s="40"/>
      <c r="BX433" s="40"/>
      <c r="BY433" s="40"/>
      <c r="BZ433" s="40"/>
      <c r="CA433" s="114"/>
      <c r="CB433" s="114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585">
        <v>0</v>
      </c>
      <c r="CU433" s="585">
        <v>0</v>
      </c>
      <c r="CV433" s="44">
        <v>0</v>
      </c>
      <c r="CW433" s="44">
        <v>0</v>
      </c>
      <c r="CX433" s="44">
        <v>0</v>
      </c>
      <c r="CY433" s="45">
        <v>0</v>
      </c>
      <c r="CZ433" s="44">
        <v>0</v>
      </c>
      <c r="DA433" s="44">
        <v>0</v>
      </c>
      <c r="DB433" s="44">
        <v>0</v>
      </c>
      <c r="DC433" s="44">
        <v>0</v>
      </c>
      <c r="DD433" s="44">
        <v>0</v>
      </c>
      <c r="DE433" s="44">
        <v>0</v>
      </c>
      <c r="DF433" s="44">
        <v>0</v>
      </c>
      <c r="DG433" s="44">
        <v>0</v>
      </c>
      <c r="DH433" s="44">
        <v>0</v>
      </c>
      <c r="DI433" s="44">
        <v>0</v>
      </c>
    </row>
    <row r="434" spans="1:113" ht="12" outlineLevel="1">
      <c r="A434" s="1" t="s">
        <v>671</v>
      </c>
      <c r="B434" s="19" t="s">
        <v>694</v>
      </c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4">
        <v>-0.9</v>
      </c>
      <c r="AQ434" s="44">
        <v>-1</v>
      </c>
      <c r="AR434" s="44">
        <v>-1.6</v>
      </c>
      <c r="AS434" s="44">
        <v>-1.9</v>
      </c>
      <c r="AT434" s="44">
        <v>-1.8</v>
      </c>
      <c r="AU434" s="44">
        <v>-2.9000000000000004</v>
      </c>
      <c r="AV434" s="44">
        <v>-4.3</v>
      </c>
      <c r="AW434" s="45">
        <v>-7.8</v>
      </c>
      <c r="AX434" s="44">
        <v>-7.7338412698412693</v>
      </c>
      <c r="AY434" s="44">
        <v>-7.8324860835921859</v>
      </c>
      <c r="AZ434" s="44">
        <v>-8.1426912605762833</v>
      </c>
      <c r="BA434" s="44">
        <v>-8.1809894893057695</v>
      </c>
      <c r="BB434" s="44">
        <v>-8.4908142666965105</v>
      </c>
      <c r="BC434" s="44">
        <v>-8.5215913298058936</v>
      </c>
      <c r="BD434" s="44">
        <v>-8.8012060199492037</v>
      </c>
      <c r="BE434" s="44">
        <v>-8.8573917723023818</v>
      </c>
      <c r="BF434" s="44">
        <v>-9.1358423196106617</v>
      </c>
      <c r="BG434" s="44">
        <v>-9.1443313052226589</v>
      </c>
      <c r="BH434" s="44">
        <v>-9.4524098600732174</v>
      </c>
      <c r="BI434" s="44">
        <v>-9.4518629050090777</v>
      </c>
      <c r="BJ434" s="44">
        <v>-9.7643683769343479</v>
      </c>
      <c r="BK434" s="44">
        <v>-9.7586566701029192</v>
      </c>
      <c r="BL434" s="44">
        <v>-10.050734255246866</v>
      </c>
      <c r="BM434" s="44">
        <v>-10.09254053612446</v>
      </c>
      <c r="BN434" s="44">
        <v>-10.386609699965575</v>
      </c>
      <c r="BO434" s="44">
        <v>-10.388997665041547</v>
      </c>
      <c r="BP434" s="44">
        <v>-10.746839374622633</v>
      </c>
      <c r="BQ434" s="44">
        <v>-10.765700312937769</v>
      </c>
      <c r="BR434" s="44"/>
      <c r="BS434" s="42"/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4">
        <v>-0.49399999999999999</v>
      </c>
      <c r="CU434" s="44">
        <v>-2.6219999999999999</v>
      </c>
      <c r="CV434" s="44">
        <v>-1.9</v>
      </c>
      <c r="CW434" s="44">
        <v>-3.5</v>
      </c>
      <c r="CX434" s="44">
        <v>-4.7</v>
      </c>
      <c r="CY434" s="45">
        <v>-12.1</v>
      </c>
      <c r="CZ434" s="44">
        <v>-15.566327353433454</v>
      </c>
      <c r="DA434" s="44">
        <v>-16.323680749882051</v>
      </c>
      <c r="DB434" s="44">
        <v>-17.012405596502404</v>
      </c>
      <c r="DC434" s="44">
        <v>-17.658597792251584</v>
      </c>
      <c r="DD434" s="44">
        <v>-18.280173624833321</v>
      </c>
      <c r="DE434" s="44">
        <v>-18.904272765082297</v>
      </c>
      <c r="DF434" s="44">
        <v>-19.523025047037265</v>
      </c>
      <c r="DG434" s="44">
        <v>-20.143274791371326</v>
      </c>
      <c r="DH434" s="44">
        <v>-20.775607365007122</v>
      </c>
      <c r="DI434" s="44">
        <v>-21.512539687560402</v>
      </c>
    </row>
    <row r="435" spans="1:113" ht="12" outlineLevel="1">
      <c r="A435" s="1" t="s">
        <v>672</v>
      </c>
      <c r="B435" s="19" t="s">
        <v>448</v>
      </c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525">
        <v>0</v>
      </c>
      <c r="AQ435" s="525">
        <v>0</v>
      </c>
      <c r="AR435" s="525">
        <v>0</v>
      </c>
      <c r="AS435" s="525">
        <v>0</v>
      </c>
      <c r="AT435" s="525">
        <v>0</v>
      </c>
      <c r="AU435" s="525">
        <v>0</v>
      </c>
      <c r="AV435" s="525">
        <v>0</v>
      </c>
      <c r="AW435" s="523">
        <v>0</v>
      </c>
      <c r="AX435" s="46">
        <v>0</v>
      </c>
      <c r="AY435" s="46">
        <v>0</v>
      </c>
      <c r="AZ435" s="46">
        <v>0</v>
      </c>
      <c r="BA435" s="46">
        <v>0</v>
      </c>
      <c r="BB435" s="46">
        <v>0</v>
      </c>
      <c r="BC435" s="46">
        <v>0</v>
      </c>
      <c r="BD435" s="46">
        <v>0</v>
      </c>
      <c r="BE435" s="46">
        <v>0</v>
      </c>
      <c r="BF435" s="46">
        <v>0</v>
      </c>
      <c r="BG435" s="46">
        <v>0</v>
      </c>
      <c r="BH435" s="46">
        <v>0</v>
      </c>
      <c r="BI435" s="46">
        <v>0</v>
      </c>
      <c r="BJ435" s="46">
        <v>0</v>
      </c>
      <c r="BK435" s="46">
        <v>0</v>
      </c>
      <c r="BL435" s="46">
        <v>0</v>
      </c>
      <c r="BM435" s="46">
        <v>0</v>
      </c>
      <c r="BN435" s="46">
        <v>0</v>
      </c>
      <c r="BO435" s="46">
        <v>0</v>
      </c>
      <c r="BP435" s="46">
        <v>0</v>
      </c>
      <c r="BQ435" s="46">
        <v>0</v>
      </c>
      <c r="BR435" s="44"/>
      <c r="BS435" s="40"/>
      <c r="BT435" s="40"/>
      <c r="BU435" s="40"/>
      <c r="BV435" s="40"/>
      <c r="BW435" s="40"/>
      <c r="BX435" s="40"/>
      <c r="BY435" s="40"/>
      <c r="BZ435" s="40"/>
      <c r="CA435" s="40"/>
      <c r="CB435" s="40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525">
        <v>0</v>
      </c>
      <c r="CU435" s="525">
        <v>0</v>
      </c>
      <c r="CV435" s="44">
        <v>0</v>
      </c>
      <c r="CW435" s="44">
        <v>0</v>
      </c>
      <c r="CX435" s="44">
        <v>0</v>
      </c>
      <c r="CY435" s="45">
        <v>0</v>
      </c>
      <c r="CZ435" s="44">
        <v>0</v>
      </c>
      <c r="DA435" s="44">
        <v>0</v>
      </c>
      <c r="DB435" s="44">
        <v>0</v>
      </c>
      <c r="DC435" s="44">
        <v>0</v>
      </c>
      <c r="DD435" s="44">
        <v>0</v>
      </c>
      <c r="DE435" s="44">
        <v>0</v>
      </c>
      <c r="DF435" s="44">
        <v>0</v>
      </c>
      <c r="DG435" s="44">
        <v>0</v>
      </c>
      <c r="DH435" s="44">
        <v>0</v>
      </c>
      <c r="DI435" s="44">
        <v>0</v>
      </c>
    </row>
    <row r="436" spans="1:113" ht="12" hidden="1" outlineLevel="2">
      <c r="A436" s="1" t="s">
        <v>673</v>
      </c>
      <c r="B436" s="19" t="s">
        <v>801</v>
      </c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4"/>
      <c r="AQ436" s="44"/>
      <c r="AR436" s="44"/>
      <c r="AS436" s="44"/>
      <c r="AT436" s="44"/>
      <c r="AU436" s="44"/>
      <c r="AV436" s="44"/>
      <c r="AW436" s="45"/>
      <c r="AX436" s="44"/>
      <c r="AY436" s="44"/>
      <c r="AZ436" s="44"/>
      <c r="BA436" s="44"/>
      <c r="BB436" s="44"/>
      <c r="BC436" s="44"/>
      <c r="BD436" s="44"/>
      <c r="BE436" s="44"/>
      <c r="BF436" s="44"/>
      <c r="BG436" s="44"/>
      <c r="BH436" s="44"/>
      <c r="BI436" s="44"/>
      <c r="BJ436" s="44"/>
      <c r="BK436" s="44"/>
      <c r="BL436" s="44"/>
      <c r="BM436" s="44"/>
      <c r="BN436" s="44"/>
      <c r="BO436" s="44"/>
      <c r="BP436" s="44"/>
      <c r="BQ436" s="44"/>
      <c r="BR436" s="44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4"/>
      <c r="CU436" s="44"/>
      <c r="CV436" s="44">
        <v>0</v>
      </c>
      <c r="CW436" s="44"/>
      <c r="CX436" s="44"/>
      <c r="CY436" s="45"/>
      <c r="CZ436" s="44"/>
      <c r="DA436" s="44">
        <v>0</v>
      </c>
      <c r="DB436" s="44">
        <v>0</v>
      </c>
      <c r="DC436" s="44">
        <v>0</v>
      </c>
      <c r="DD436" s="44">
        <v>0</v>
      </c>
      <c r="DE436" s="44">
        <v>0</v>
      </c>
      <c r="DF436" s="44">
        <v>0</v>
      </c>
      <c r="DG436" s="44">
        <v>0</v>
      </c>
      <c r="DH436" s="44">
        <v>0</v>
      </c>
      <c r="DI436" s="44">
        <v>0</v>
      </c>
    </row>
    <row r="437" spans="1:113" ht="12" hidden="1" outlineLevel="2">
      <c r="A437" s="1" t="s">
        <v>49</v>
      </c>
      <c r="B437" s="19" t="s">
        <v>801</v>
      </c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4"/>
      <c r="AQ437" s="44"/>
      <c r="AR437" s="44"/>
      <c r="AS437" s="44"/>
      <c r="AT437" s="44"/>
      <c r="AU437" s="44"/>
      <c r="AV437" s="44"/>
      <c r="AW437" s="45"/>
      <c r="AX437" s="44"/>
      <c r="AY437" s="44"/>
      <c r="AZ437" s="44"/>
      <c r="BA437" s="44"/>
      <c r="BB437" s="44"/>
      <c r="BC437" s="44"/>
      <c r="BD437" s="44"/>
      <c r="BE437" s="44"/>
      <c r="BF437" s="44"/>
      <c r="BG437" s="44"/>
      <c r="BH437" s="44"/>
      <c r="BI437" s="44"/>
      <c r="BJ437" s="44"/>
      <c r="BK437" s="44"/>
      <c r="BL437" s="44"/>
      <c r="BM437" s="44"/>
      <c r="BN437" s="44"/>
      <c r="BO437" s="44"/>
      <c r="BP437" s="44"/>
      <c r="BQ437" s="44"/>
      <c r="BR437" s="44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4"/>
      <c r="CU437" s="44"/>
      <c r="CV437" s="44">
        <v>0</v>
      </c>
      <c r="CW437" s="44"/>
      <c r="CX437" s="44"/>
      <c r="CY437" s="45"/>
      <c r="CZ437" s="44"/>
      <c r="DA437" s="44">
        <v>0</v>
      </c>
      <c r="DB437" s="44">
        <v>0</v>
      </c>
      <c r="DC437" s="44">
        <v>0</v>
      </c>
      <c r="DD437" s="44">
        <v>0</v>
      </c>
      <c r="DE437" s="44">
        <v>0</v>
      </c>
      <c r="DF437" s="44">
        <v>0</v>
      </c>
      <c r="DG437" s="44">
        <v>0</v>
      </c>
      <c r="DH437" s="44">
        <v>0</v>
      </c>
      <c r="DI437" s="44">
        <v>0</v>
      </c>
    </row>
    <row r="438" spans="1:113" ht="12" hidden="1" outlineLevel="2">
      <c r="A438" s="1" t="s">
        <v>50</v>
      </c>
      <c r="B438" s="19" t="s">
        <v>801</v>
      </c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4"/>
      <c r="AQ438" s="44"/>
      <c r="AR438" s="44"/>
      <c r="AS438" s="44"/>
      <c r="AT438" s="44"/>
      <c r="AU438" s="44"/>
      <c r="AV438" s="44"/>
      <c r="AW438" s="45"/>
      <c r="AX438" s="44"/>
      <c r="AY438" s="44"/>
      <c r="AZ438" s="44"/>
      <c r="BA438" s="44"/>
      <c r="BB438" s="44"/>
      <c r="BC438" s="44"/>
      <c r="BD438" s="44"/>
      <c r="BE438" s="44"/>
      <c r="BF438" s="44"/>
      <c r="BG438" s="44"/>
      <c r="BH438" s="44"/>
      <c r="BI438" s="44"/>
      <c r="BJ438" s="44"/>
      <c r="BK438" s="44"/>
      <c r="BL438" s="44"/>
      <c r="BM438" s="44"/>
      <c r="BN438" s="44"/>
      <c r="BO438" s="44"/>
      <c r="BP438" s="44"/>
      <c r="BQ438" s="44"/>
      <c r="BR438" s="44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4"/>
      <c r="CU438" s="44"/>
      <c r="CV438" s="44">
        <v>0</v>
      </c>
      <c r="CW438" s="44"/>
      <c r="CX438" s="44"/>
      <c r="CY438" s="45"/>
      <c r="CZ438" s="44"/>
      <c r="DA438" s="44">
        <v>0</v>
      </c>
      <c r="DB438" s="44">
        <v>0</v>
      </c>
      <c r="DC438" s="44">
        <v>0</v>
      </c>
      <c r="DD438" s="44">
        <v>0</v>
      </c>
      <c r="DE438" s="44">
        <v>0</v>
      </c>
      <c r="DF438" s="44">
        <v>0</v>
      </c>
      <c r="DG438" s="44">
        <v>0</v>
      </c>
      <c r="DH438" s="44">
        <v>0</v>
      </c>
      <c r="DI438" s="44">
        <v>0</v>
      </c>
    </row>
    <row r="439" spans="1:113" ht="12" hidden="1" outlineLevel="2">
      <c r="A439" s="1" t="s">
        <v>52</v>
      </c>
      <c r="B439" s="19" t="s">
        <v>801</v>
      </c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4"/>
      <c r="AQ439" s="44"/>
      <c r="AR439" s="44"/>
      <c r="AS439" s="44"/>
      <c r="AT439" s="44"/>
      <c r="AU439" s="44"/>
      <c r="AV439" s="44"/>
      <c r="AW439" s="45"/>
      <c r="AX439" s="44"/>
      <c r="AY439" s="44"/>
      <c r="AZ439" s="44"/>
      <c r="BA439" s="44"/>
      <c r="BB439" s="44"/>
      <c r="BC439" s="44"/>
      <c r="BD439" s="44"/>
      <c r="BE439" s="44"/>
      <c r="BF439" s="44"/>
      <c r="BG439" s="44"/>
      <c r="BH439" s="44"/>
      <c r="BI439" s="44"/>
      <c r="BJ439" s="44"/>
      <c r="BK439" s="44"/>
      <c r="BL439" s="44"/>
      <c r="BM439" s="44"/>
      <c r="BN439" s="44"/>
      <c r="BO439" s="44"/>
      <c r="BP439" s="44"/>
      <c r="BQ439" s="44"/>
      <c r="BR439" s="44"/>
      <c r="BS439" s="42"/>
      <c r="BT439" s="42"/>
      <c r="BU439" s="42"/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4"/>
      <c r="CU439" s="44"/>
      <c r="CV439" s="44">
        <v>0</v>
      </c>
      <c r="CW439" s="44"/>
      <c r="CX439" s="44"/>
      <c r="CY439" s="45"/>
      <c r="CZ439" s="44"/>
      <c r="DA439" s="44">
        <v>0</v>
      </c>
      <c r="DB439" s="44">
        <v>0</v>
      </c>
      <c r="DC439" s="44">
        <v>0</v>
      </c>
      <c r="DD439" s="44">
        <v>0</v>
      </c>
      <c r="DE439" s="44">
        <v>0</v>
      </c>
      <c r="DF439" s="44">
        <v>0</v>
      </c>
      <c r="DG439" s="44">
        <v>0</v>
      </c>
      <c r="DH439" s="44">
        <v>0</v>
      </c>
      <c r="DI439" s="44">
        <v>0</v>
      </c>
    </row>
    <row r="440" spans="1:113" ht="12" outlineLevel="1" collapsed="1">
      <c r="A440" s="1" t="s">
        <v>675</v>
      </c>
      <c r="B440" s="19" t="s">
        <v>449</v>
      </c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4">
        <v>-14.2</v>
      </c>
      <c r="AQ440" s="44">
        <v>-19.999999999999996</v>
      </c>
      <c r="AR440" s="44">
        <v>-22.9</v>
      </c>
      <c r="AS440" s="44">
        <v>-26.1</v>
      </c>
      <c r="AT440" s="44">
        <v>-31.600000000000009</v>
      </c>
      <c r="AU440" s="44">
        <v>-35.299999999999997</v>
      </c>
      <c r="AV440" s="44">
        <v>-36.700000000000003</v>
      </c>
      <c r="AW440" s="45">
        <v>-44.3</v>
      </c>
      <c r="AX440" s="44">
        <v>-43.504451114362439</v>
      </c>
      <c r="AY440" s="44">
        <v>-44.842992105130463</v>
      </c>
      <c r="AZ440" s="44">
        <v>-46.715486242677457</v>
      </c>
      <c r="BA440" s="44">
        <v>-47.965338958697529</v>
      </c>
      <c r="BB440" s="44">
        <v>-49.678498548954963</v>
      </c>
      <c r="BC440" s="44">
        <v>-49.755453636101223</v>
      </c>
      <c r="BD440" s="44">
        <v>-51.103723963985033</v>
      </c>
      <c r="BE440" s="44">
        <v>-52.054893002166224</v>
      </c>
      <c r="BF440" s="44">
        <v>-53.429579387554185</v>
      </c>
      <c r="BG440" s="44">
        <v>-54.050467808592828</v>
      </c>
      <c r="BH440" s="44">
        <v>-55.400629706769962</v>
      </c>
      <c r="BI440" s="44">
        <v>-55.950604143430176</v>
      </c>
      <c r="BJ440" s="44">
        <v>-57.256207682231441</v>
      </c>
      <c r="BK440" s="44">
        <v>-57.823847533971083</v>
      </c>
      <c r="BL440" s="44">
        <v>-59.019986239333107</v>
      </c>
      <c r="BM440" s="44">
        <v>-59.914497815630455</v>
      </c>
      <c r="BN440" s="44">
        <v>-61.873936298539611</v>
      </c>
      <c r="BO440" s="44">
        <v>-62.673611684778784</v>
      </c>
      <c r="BP440" s="44">
        <v>-64.699500012404741</v>
      </c>
      <c r="BQ440" s="44">
        <v>-65.632097732885867</v>
      </c>
      <c r="BR440" s="44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4">
        <v>-14.625</v>
      </c>
      <c r="CU440" s="44">
        <v>-20.792000000000002</v>
      </c>
      <c r="CV440" s="44">
        <v>-34.199999999999996</v>
      </c>
      <c r="CW440" s="44">
        <v>-49</v>
      </c>
      <c r="CX440" s="44">
        <v>-66.900000000000006</v>
      </c>
      <c r="CY440" s="45">
        <v>-81</v>
      </c>
      <c r="CZ440" s="44">
        <v>-88.347443219492902</v>
      </c>
      <c r="DA440" s="44">
        <v>-94.680825201374986</v>
      </c>
      <c r="DB440" s="44">
        <v>-99.433952185056185</v>
      </c>
      <c r="DC440" s="44">
        <v>-103.15861696615126</v>
      </c>
      <c r="DD440" s="44">
        <v>-107.48004719614701</v>
      </c>
      <c r="DE440" s="44">
        <v>-111.35123385020015</v>
      </c>
      <c r="DF440" s="44">
        <v>-115.08005521620252</v>
      </c>
      <c r="DG440" s="44">
        <v>-118.93448405496356</v>
      </c>
      <c r="DH440" s="44">
        <v>-124.5475479833184</v>
      </c>
      <c r="DI440" s="44">
        <v>-130.33159774529059</v>
      </c>
    </row>
    <row r="441" spans="1:113" s="24" customFormat="1" ht="12" outlineLevel="1">
      <c r="A441" s="1" t="s">
        <v>85</v>
      </c>
      <c r="B441" s="24" t="s">
        <v>373</v>
      </c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  <c r="AJ441" s="55"/>
      <c r="AK441" s="55"/>
      <c r="AL441" s="55"/>
      <c r="AM441" s="55"/>
      <c r="AN441" s="55"/>
      <c r="AO441" s="55"/>
      <c r="AP441" s="526">
        <v>-37.799999999999997</v>
      </c>
      <c r="AQ441" s="526">
        <v>-49.3</v>
      </c>
      <c r="AR441" s="526">
        <v>-61.3</v>
      </c>
      <c r="AS441" s="526">
        <v>-70.7</v>
      </c>
      <c r="AT441" s="526">
        <v>-89.7</v>
      </c>
      <c r="AU441" s="526">
        <v>-101.2</v>
      </c>
      <c r="AV441" s="526">
        <v>-105.8</v>
      </c>
      <c r="AW441" s="524">
        <v>-116.5</v>
      </c>
      <c r="AX441" s="526">
        <v>-114.33549807210484</v>
      </c>
      <c r="AY441" s="526">
        <v>-113.9805284968058</v>
      </c>
      <c r="AZ441" s="526">
        <v>-117.66181998746534</v>
      </c>
      <c r="BA441" s="526">
        <v>-118.38499534481052</v>
      </c>
      <c r="BB441" s="526">
        <v>-121.56872745907685</v>
      </c>
      <c r="BC441" s="526">
        <v>-120.7520195901164</v>
      </c>
      <c r="BD441" s="526">
        <v>-124.41011385716429</v>
      </c>
      <c r="BE441" s="526">
        <v>-125.35436575043137</v>
      </c>
      <c r="BF441" s="526">
        <v>-128.54743851068267</v>
      </c>
      <c r="BG441" s="526">
        <v>-128.75008439561492</v>
      </c>
      <c r="BH441" s="526">
        <v>-132.32789950054058</v>
      </c>
      <c r="BI441" s="526">
        <v>-132.60687747560894</v>
      </c>
      <c r="BJ441" s="526">
        <v>-136.19285043807028</v>
      </c>
      <c r="BK441" s="526">
        <v>-136.47752558105216</v>
      </c>
      <c r="BL441" s="526">
        <v>-139.61474627779151</v>
      </c>
      <c r="BM441" s="526">
        <v>-141.00538299666812</v>
      </c>
      <c r="BN441" s="526">
        <v>-146.39500177782247</v>
      </c>
      <c r="BO441" s="526">
        <v>-147.26455165817583</v>
      </c>
      <c r="BP441" s="526">
        <v>-152.95252288325773</v>
      </c>
      <c r="BQ441" s="526">
        <v>-154.16514368209562</v>
      </c>
      <c r="BR441" s="526"/>
      <c r="BS441" s="55"/>
      <c r="BT441" s="55"/>
      <c r="BU441" s="55"/>
      <c r="BV441" s="55"/>
      <c r="BW441" s="55"/>
      <c r="BX441" s="55"/>
      <c r="BY441" s="55"/>
      <c r="BZ441" s="55"/>
      <c r="CA441" s="55"/>
      <c r="CB441" s="55"/>
      <c r="CC441" s="55"/>
      <c r="CD441" s="55"/>
      <c r="CE441" s="55"/>
      <c r="CF441" s="55"/>
      <c r="CG441" s="55"/>
      <c r="CH441" s="55"/>
      <c r="CI441" s="55"/>
      <c r="CJ441" s="55"/>
      <c r="CK441" s="55"/>
      <c r="CL441" s="55"/>
      <c r="CM441" s="55"/>
      <c r="CN441" s="55"/>
      <c r="CO441" s="55"/>
      <c r="CP441" s="55"/>
      <c r="CQ441" s="55"/>
      <c r="CR441" s="55"/>
      <c r="CS441" s="55"/>
      <c r="CT441" s="526">
        <v>-31.553999999999998</v>
      </c>
      <c r="CU441" s="526">
        <v>-59.744</v>
      </c>
      <c r="CV441" s="526">
        <v>-87.1</v>
      </c>
      <c r="CW441" s="526">
        <v>-132</v>
      </c>
      <c r="CX441" s="526">
        <v>-190.9</v>
      </c>
      <c r="CY441" s="524">
        <v>-222.3</v>
      </c>
      <c r="CZ441" s="526">
        <v>-228.31602656891064</v>
      </c>
      <c r="DA441" s="526">
        <v>-236.04681533227586</v>
      </c>
      <c r="DB441" s="526">
        <v>-242.32074704919324</v>
      </c>
      <c r="DC441" s="526">
        <v>-249.76447960759566</v>
      </c>
      <c r="DD441" s="526">
        <v>-257.29752290629756</v>
      </c>
      <c r="DE441" s="526">
        <v>-264.93477697614952</v>
      </c>
      <c r="DF441" s="526">
        <v>-272.67037601912244</v>
      </c>
      <c r="DG441" s="526">
        <v>-280.6201292744596</v>
      </c>
      <c r="DH441" s="526">
        <v>-293.6595534359983</v>
      </c>
      <c r="DI441" s="526">
        <v>-307.11766656535337</v>
      </c>
    </row>
    <row r="442" spans="1:113" ht="12" outlineLevel="1">
      <c r="A442" s="1" t="s">
        <v>0</v>
      </c>
      <c r="B442" s="19" t="s">
        <v>374</v>
      </c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525">
        <v>0</v>
      </c>
      <c r="AQ442" s="525">
        <v>0</v>
      </c>
      <c r="AR442" s="525">
        <v>0</v>
      </c>
      <c r="AS442" s="525">
        <v>0</v>
      </c>
      <c r="AT442" s="525">
        <v>0</v>
      </c>
      <c r="AU442" s="525">
        <v>0</v>
      </c>
      <c r="AV442" s="525">
        <v>0</v>
      </c>
      <c r="AW442" s="523">
        <v>0</v>
      </c>
      <c r="AX442" s="46">
        <v>0</v>
      </c>
      <c r="AY442" s="46">
        <v>0</v>
      </c>
      <c r="AZ442" s="46">
        <v>0</v>
      </c>
      <c r="BA442" s="46">
        <v>0</v>
      </c>
      <c r="BB442" s="46">
        <v>0</v>
      </c>
      <c r="BC442" s="46">
        <v>0</v>
      </c>
      <c r="BD442" s="46">
        <v>0</v>
      </c>
      <c r="BE442" s="46">
        <v>0</v>
      </c>
      <c r="BF442" s="46">
        <v>0</v>
      </c>
      <c r="BG442" s="46">
        <v>0</v>
      </c>
      <c r="BH442" s="46">
        <v>0</v>
      </c>
      <c r="BI442" s="46">
        <v>0</v>
      </c>
      <c r="BJ442" s="46">
        <v>0</v>
      </c>
      <c r="BK442" s="46">
        <v>0</v>
      </c>
      <c r="BL442" s="46">
        <v>0</v>
      </c>
      <c r="BM442" s="46">
        <v>0</v>
      </c>
      <c r="BN442" s="46">
        <v>0</v>
      </c>
      <c r="BO442" s="46">
        <v>0</v>
      </c>
      <c r="BP442" s="46">
        <v>0</v>
      </c>
      <c r="BQ442" s="46">
        <v>0</v>
      </c>
      <c r="BR442" s="44"/>
      <c r="BS442" s="40"/>
      <c r="BT442" s="40"/>
      <c r="BU442" s="40"/>
      <c r="BV442" s="40"/>
      <c r="BW442" s="40"/>
      <c r="BX442" s="40"/>
      <c r="BY442" s="40"/>
      <c r="BZ442" s="40"/>
      <c r="CA442" s="40"/>
      <c r="CB442" s="40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525">
        <v>0</v>
      </c>
      <c r="CU442" s="525">
        <v>0</v>
      </c>
      <c r="CV442" s="44">
        <v>0</v>
      </c>
      <c r="CW442" s="44">
        <v>0</v>
      </c>
      <c r="CX442" s="44">
        <v>0</v>
      </c>
      <c r="CY442" s="45">
        <v>0</v>
      </c>
      <c r="CZ442" s="44">
        <v>0</v>
      </c>
      <c r="DA442" s="44">
        <v>0</v>
      </c>
      <c r="DB442" s="44">
        <v>0</v>
      </c>
      <c r="DC442" s="44">
        <v>0</v>
      </c>
      <c r="DD442" s="44">
        <v>0</v>
      </c>
      <c r="DE442" s="44">
        <v>0</v>
      </c>
      <c r="DF442" s="44">
        <v>0</v>
      </c>
      <c r="DG442" s="44">
        <v>0</v>
      </c>
      <c r="DH442" s="44">
        <v>0</v>
      </c>
      <c r="DI442" s="44">
        <v>0</v>
      </c>
    </row>
    <row r="443" spans="1:113" s="24" customFormat="1" ht="12" outlineLevel="1">
      <c r="A443" s="1" t="s">
        <v>1</v>
      </c>
      <c r="B443" s="24" t="s">
        <v>166</v>
      </c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  <c r="AJ443" s="55"/>
      <c r="AK443" s="55"/>
      <c r="AL443" s="55"/>
      <c r="AM443" s="55"/>
      <c r="AN443" s="55"/>
      <c r="AO443" s="55"/>
      <c r="AP443" s="526">
        <v>-37.799999999999997</v>
      </c>
      <c r="AQ443" s="526">
        <v>-49.3</v>
      </c>
      <c r="AR443" s="526">
        <v>-61.3</v>
      </c>
      <c r="AS443" s="526">
        <v>-70.7</v>
      </c>
      <c r="AT443" s="526">
        <v>-89.7</v>
      </c>
      <c r="AU443" s="526">
        <v>-101.2</v>
      </c>
      <c r="AV443" s="526">
        <v>-105.8</v>
      </c>
      <c r="AW443" s="524">
        <v>-116.5</v>
      </c>
      <c r="AX443" s="526">
        <v>-114.33549807210484</v>
      </c>
      <c r="AY443" s="526">
        <v>-113.9805284968058</v>
      </c>
      <c r="AZ443" s="526">
        <v>-117.66181998746534</v>
      </c>
      <c r="BA443" s="526">
        <v>-118.38499534481052</v>
      </c>
      <c r="BB443" s="526">
        <v>-121.56872745907685</v>
      </c>
      <c r="BC443" s="526">
        <v>-120.7520195901164</v>
      </c>
      <c r="BD443" s="526">
        <v>-124.41011385716429</v>
      </c>
      <c r="BE443" s="526">
        <v>-125.35436575043137</v>
      </c>
      <c r="BF443" s="526">
        <v>-128.54743851068267</v>
      </c>
      <c r="BG443" s="526">
        <v>-128.75008439561492</v>
      </c>
      <c r="BH443" s="526">
        <v>-132.32789950054058</v>
      </c>
      <c r="BI443" s="526">
        <v>-132.60687747560894</v>
      </c>
      <c r="BJ443" s="526">
        <v>-136.19285043807028</v>
      </c>
      <c r="BK443" s="526">
        <v>-136.47752558105216</v>
      </c>
      <c r="BL443" s="526">
        <v>-139.61474627779151</v>
      </c>
      <c r="BM443" s="526">
        <v>-141.00538299666812</v>
      </c>
      <c r="BN443" s="526">
        <v>-146.39500177782247</v>
      </c>
      <c r="BO443" s="526">
        <v>-147.26455165817583</v>
      </c>
      <c r="BP443" s="526">
        <v>-152.95252288325773</v>
      </c>
      <c r="BQ443" s="526">
        <v>-154.16514368209562</v>
      </c>
      <c r="BR443" s="526"/>
      <c r="BS443" s="55"/>
      <c r="BT443" s="55"/>
      <c r="BU443" s="55"/>
      <c r="BV443" s="55"/>
      <c r="BW443" s="55"/>
      <c r="BX443" s="55"/>
      <c r="BY443" s="55"/>
      <c r="BZ443" s="55"/>
      <c r="CA443" s="55"/>
      <c r="CB443" s="55"/>
      <c r="CC443" s="55"/>
      <c r="CD443" s="55"/>
      <c r="CE443" s="55"/>
      <c r="CF443" s="55"/>
      <c r="CG443" s="55"/>
      <c r="CH443" s="55"/>
      <c r="CI443" s="55"/>
      <c r="CJ443" s="55"/>
      <c r="CK443" s="55"/>
      <c r="CL443" s="55"/>
      <c r="CM443" s="55"/>
      <c r="CN443" s="55"/>
      <c r="CO443" s="55"/>
      <c r="CP443" s="55"/>
      <c r="CQ443" s="55"/>
      <c r="CR443" s="55"/>
      <c r="CS443" s="55"/>
      <c r="CT443" s="526">
        <v>-31.553999999999998</v>
      </c>
      <c r="CU443" s="526">
        <v>-59.744</v>
      </c>
      <c r="CV443" s="526">
        <v>-87.1</v>
      </c>
      <c r="CW443" s="526">
        <v>-132</v>
      </c>
      <c r="CX443" s="526">
        <v>-190.9</v>
      </c>
      <c r="CY443" s="524">
        <v>-222.3</v>
      </c>
      <c r="CZ443" s="526">
        <v>-228.31602656891064</v>
      </c>
      <c r="DA443" s="526">
        <v>-236.04681533227586</v>
      </c>
      <c r="DB443" s="526">
        <v>-242.32074704919324</v>
      </c>
      <c r="DC443" s="526">
        <v>-249.76447960759566</v>
      </c>
      <c r="DD443" s="526">
        <v>-257.29752290629756</v>
      </c>
      <c r="DE443" s="526">
        <v>-264.93477697614952</v>
      </c>
      <c r="DF443" s="526">
        <v>-272.67037601912244</v>
      </c>
      <c r="DG443" s="526">
        <v>-280.6201292744596</v>
      </c>
      <c r="DH443" s="526">
        <v>-293.6595534359983</v>
      </c>
      <c r="DI443" s="526">
        <v>-307.11766656535337</v>
      </c>
    </row>
    <row r="444" spans="1:113" ht="12" hidden="1" customHeight="1" outlineLevel="2">
      <c r="A444" s="1" t="s">
        <v>2</v>
      </c>
      <c r="B444" s="19" t="s">
        <v>854</v>
      </c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4">
        <v>0</v>
      </c>
      <c r="AQ444" s="44">
        <v>0</v>
      </c>
      <c r="AR444" s="44">
        <v>0</v>
      </c>
      <c r="AS444" s="44">
        <v>0</v>
      </c>
      <c r="AT444" s="44">
        <v>0</v>
      </c>
      <c r="AU444" s="44">
        <v>0</v>
      </c>
      <c r="AV444" s="44">
        <v>0</v>
      </c>
      <c r="AW444" s="45">
        <v>0</v>
      </c>
      <c r="AX444" s="44">
        <v>0</v>
      </c>
      <c r="AY444" s="44">
        <v>0</v>
      </c>
      <c r="AZ444" s="44">
        <v>0</v>
      </c>
      <c r="BA444" s="44">
        <v>0</v>
      </c>
      <c r="BB444" s="44">
        <v>0</v>
      </c>
      <c r="BC444" s="44">
        <v>0</v>
      </c>
      <c r="BD444" s="44">
        <v>0</v>
      </c>
      <c r="BE444" s="44">
        <v>0</v>
      </c>
      <c r="BF444" s="44">
        <v>0</v>
      </c>
      <c r="BG444" s="44">
        <v>0</v>
      </c>
      <c r="BH444" s="44">
        <v>0</v>
      </c>
      <c r="BI444" s="44">
        <v>0</v>
      </c>
      <c r="BJ444" s="44">
        <v>0</v>
      </c>
      <c r="BK444" s="44">
        <v>0</v>
      </c>
      <c r="BL444" s="44">
        <v>0</v>
      </c>
      <c r="BM444" s="44">
        <v>0</v>
      </c>
      <c r="BN444" s="44">
        <v>0</v>
      </c>
      <c r="BO444" s="44">
        <v>0</v>
      </c>
      <c r="BP444" s="44">
        <v>0</v>
      </c>
      <c r="BQ444" s="44">
        <v>0</v>
      </c>
      <c r="BR444" s="44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4">
        <v>0</v>
      </c>
      <c r="CU444" s="44">
        <v>0</v>
      </c>
      <c r="CV444" s="44">
        <v>0</v>
      </c>
      <c r="CW444" s="44">
        <v>0</v>
      </c>
      <c r="CX444" s="44">
        <v>0</v>
      </c>
      <c r="CY444" s="45">
        <v>0</v>
      </c>
      <c r="CZ444" s="44">
        <v>0</v>
      </c>
      <c r="DA444" s="44">
        <v>0</v>
      </c>
      <c r="DB444" s="44">
        <v>0</v>
      </c>
      <c r="DC444" s="44">
        <v>0</v>
      </c>
      <c r="DD444" s="44">
        <v>0</v>
      </c>
      <c r="DE444" s="44">
        <v>0</v>
      </c>
      <c r="DF444" s="44">
        <v>0</v>
      </c>
      <c r="DG444" s="44">
        <v>0</v>
      </c>
      <c r="DH444" s="44">
        <v>0</v>
      </c>
      <c r="DI444" s="44">
        <v>0</v>
      </c>
    </row>
    <row r="445" spans="1:113" ht="12" hidden="1" customHeight="1" outlineLevel="2">
      <c r="A445" s="1" t="s">
        <v>676</v>
      </c>
      <c r="B445" s="19" t="s">
        <v>444</v>
      </c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4">
        <v>0</v>
      </c>
      <c r="AQ445" s="44">
        <v>0</v>
      </c>
      <c r="AR445" s="44">
        <v>0</v>
      </c>
      <c r="AS445" s="44">
        <v>0</v>
      </c>
      <c r="AT445" s="44">
        <v>0</v>
      </c>
      <c r="AU445" s="44">
        <v>0</v>
      </c>
      <c r="AV445" s="44">
        <v>0</v>
      </c>
      <c r="AW445" s="45">
        <v>0</v>
      </c>
      <c r="AX445" s="44">
        <v>0</v>
      </c>
      <c r="AY445" s="44">
        <v>0</v>
      </c>
      <c r="AZ445" s="44">
        <v>0</v>
      </c>
      <c r="BA445" s="44">
        <v>0</v>
      </c>
      <c r="BB445" s="44">
        <v>0</v>
      </c>
      <c r="BC445" s="44">
        <v>0</v>
      </c>
      <c r="BD445" s="44">
        <v>0</v>
      </c>
      <c r="BE445" s="44">
        <v>0</v>
      </c>
      <c r="BF445" s="44">
        <v>0</v>
      </c>
      <c r="BG445" s="44">
        <v>0</v>
      </c>
      <c r="BH445" s="44">
        <v>0</v>
      </c>
      <c r="BI445" s="44">
        <v>0</v>
      </c>
      <c r="BJ445" s="44">
        <v>0</v>
      </c>
      <c r="BK445" s="44">
        <v>0</v>
      </c>
      <c r="BL445" s="44">
        <v>0</v>
      </c>
      <c r="BM445" s="44">
        <v>0</v>
      </c>
      <c r="BN445" s="44">
        <v>0</v>
      </c>
      <c r="BO445" s="44">
        <v>0</v>
      </c>
      <c r="BP445" s="44">
        <v>0</v>
      </c>
      <c r="BQ445" s="44">
        <v>0</v>
      </c>
      <c r="BR445" s="44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4">
        <v>0</v>
      </c>
      <c r="CU445" s="44">
        <v>0</v>
      </c>
      <c r="CV445" s="44">
        <v>0</v>
      </c>
      <c r="CW445" s="44">
        <v>0</v>
      </c>
      <c r="CX445" s="44">
        <v>0</v>
      </c>
      <c r="CY445" s="45">
        <v>0</v>
      </c>
      <c r="CZ445" s="44">
        <v>0</v>
      </c>
      <c r="DA445" s="44">
        <v>0</v>
      </c>
      <c r="DB445" s="44">
        <v>0</v>
      </c>
      <c r="DC445" s="44">
        <v>0</v>
      </c>
      <c r="DD445" s="44">
        <v>0</v>
      </c>
      <c r="DE445" s="44">
        <v>0</v>
      </c>
      <c r="DF445" s="44">
        <v>0</v>
      </c>
      <c r="DG445" s="44">
        <v>0</v>
      </c>
      <c r="DH445" s="44">
        <v>0</v>
      </c>
      <c r="DI445" s="44">
        <v>0</v>
      </c>
    </row>
    <row r="446" spans="1:113" ht="12" hidden="1" customHeight="1" outlineLevel="2">
      <c r="A446" s="1" t="s">
        <v>3</v>
      </c>
      <c r="B446" s="19" t="s">
        <v>368</v>
      </c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525">
        <v>0</v>
      </c>
      <c r="AQ446" s="525">
        <v>0</v>
      </c>
      <c r="AR446" s="525">
        <v>0</v>
      </c>
      <c r="AS446" s="525">
        <v>0</v>
      </c>
      <c r="AT446" s="525">
        <v>0</v>
      </c>
      <c r="AU446" s="525">
        <v>0</v>
      </c>
      <c r="AV446" s="525">
        <v>0</v>
      </c>
      <c r="AW446" s="523">
        <v>0</v>
      </c>
      <c r="AX446" s="46">
        <v>0</v>
      </c>
      <c r="AY446" s="46">
        <v>0</v>
      </c>
      <c r="AZ446" s="46">
        <v>0</v>
      </c>
      <c r="BA446" s="46">
        <v>0</v>
      </c>
      <c r="BB446" s="46">
        <v>0</v>
      </c>
      <c r="BC446" s="46">
        <v>0</v>
      </c>
      <c r="BD446" s="46">
        <v>0</v>
      </c>
      <c r="BE446" s="46">
        <v>0</v>
      </c>
      <c r="BF446" s="46">
        <v>0</v>
      </c>
      <c r="BG446" s="46">
        <v>0</v>
      </c>
      <c r="BH446" s="46">
        <v>0</v>
      </c>
      <c r="BI446" s="46">
        <v>0</v>
      </c>
      <c r="BJ446" s="46">
        <v>0</v>
      </c>
      <c r="BK446" s="46">
        <v>0</v>
      </c>
      <c r="BL446" s="46">
        <v>0</v>
      </c>
      <c r="BM446" s="46">
        <v>0</v>
      </c>
      <c r="BN446" s="46">
        <v>0</v>
      </c>
      <c r="BO446" s="46">
        <v>0</v>
      </c>
      <c r="BP446" s="46">
        <v>0</v>
      </c>
      <c r="BQ446" s="46">
        <v>0</v>
      </c>
      <c r="BR446" s="44"/>
      <c r="BS446" s="40"/>
      <c r="BT446" s="40"/>
      <c r="BU446" s="40"/>
      <c r="BV446" s="40"/>
      <c r="BW446" s="40"/>
      <c r="BX446" s="40"/>
      <c r="BY446" s="40"/>
      <c r="BZ446" s="40"/>
      <c r="CA446" s="40"/>
      <c r="CB446" s="40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525">
        <v>0</v>
      </c>
      <c r="CU446" s="525">
        <v>0</v>
      </c>
      <c r="CV446" s="44">
        <v>0</v>
      </c>
      <c r="CW446" s="44">
        <v>0</v>
      </c>
      <c r="CX446" s="44">
        <v>0</v>
      </c>
      <c r="CY446" s="45">
        <v>0</v>
      </c>
      <c r="CZ446" s="44">
        <v>0</v>
      </c>
      <c r="DA446" s="44">
        <v>0</v>
      </c>
      <c r="DB446" s="44">
        <v>0</v>
      </c>
      <c r="DC446" s="44">
        <v>0</v>
      </c>
      <c r="DD446" s="44">
        <v>0</v>
      </c>
      <c r="DE446" s="44">
        <v>0</v>
      </c>
      <c r="DF446" s="44">
        <v>0</v>
      </c>
      <c r="DG446" s="44">
        <v>0</v>
      </c>
      <c r="DH446" s="44">
        <v>0</v>
      </c>
      <c r="DI446" s="44">
        <v>0</v>
      </c>
    </row>
    <row r="447" spans="1:113" ht="12" hidden="1" customHeight="1" outlineLevel="2">
      <c r="A447" s="1" t="s">
        <v>4</v>
      </c>
      <c r="B447" s="19" t="s">
        <v>358</v>
      </c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525">
        <v>0</v>
      </c>
      <c r="AQ447" s="525">
        <v>0</v>
      </c>
      <c r="AR447" s="525">
        <v>0</v>
      </c>
      <c r="AS447" s="525">
        <v>0</v>
      </c>
      <c r="AT447" s="525">
        <v>0</v>
      </c>
      <c r="AU447" s="525">
        <v>0</v>
      </c>
      <c r="AV447" s="525">
        <v>0</v>
      </c>
      <c r="AW447" s="523">
        <v>0</v>
      </c>
      <c r="AX447" s="46">
        <v>0</v>
      </c>
      <c r="AY447" s="46">
        <v>0</v>
      </c>
      <c r="AZ447" s="46">
        <v>0</v>
      </c>
      <c r="BA447" s="46">
        <v>0</v>
      </c>
      <c r="BB447" s="46">
        <v>0</v>
      </c>
      <c r="BC447" s="46">
        <v>0</v>
      </c>
      <c r="BD447" s="46">
        <v>0</v>
      </c>
      <c r="BE447" s="46">
        <v>0</v>
      </c>
      <c r="BF447" s="46">
        <v>0</v>
      </c>
      <c r="BG447" s="46">
        <v>0</v>
      </c>
      <c r="BH447" s="46">
        <v>0</v>
      </c>
      <c r="BI447" s="46">
        <v>0</v>
      </c>
      <c r="BJ447" s="46">
        <v>0</v>
      </c>
      <c r="BK447" s="46">
        <v>0</v>
      </c>
      <c r="BL447" s="46">
        <v>0</v>
      </c>
      <c r="BM447" s="46">
        <v>0</v>
      </c>
      <c r="BN447" s="46">
        <v>0</v>
      </c>
      <c r="BO447" s="46">
        <v>0</v>
      </c>
      <c r="BP447" s="46">
        <v>0</v>
      </c>
      <c r="BQ447" s="46">
        <v>0</v>
      </c>
      <c r="BR447" s="44"/>
      <c r="BS447" s="40"/>
      <c r="BT447" s="40"/>
      <c r="BU447" s="40"/>
      <c r="BV447" s="40"/>
      <c r="BW447" s="40"/>
      <c r="BX447" s="40"/>
      <c r="BY447" s="40"/>
      <c r="BZ447" s="40"/>
      <c r="CA447" s="40"/>
      <c r="CB447" s="40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525">
        <v>0</v>
      </c>
      <c r="CU447" s="525">
        <v>0</v>
      </c>
      <c r="CV447" s="44">
        <v>0</v>
      </c>
      <c r="CW447" s="44">
        <v>0</v>
      </c>
      <c r="CX447" s="44">
        <v>0</v>
      </c>
      <c r="CY447" s="45">
        <v>0</v>
      </c>
      <c r="CZ447" s="44">
        <v>0</v>
      </c>
      <c r="DA447" s="44">
        <v>0</v>
      </c>
      <c r="DB447" s="44">
        <v>0</v>
      </c>
      <c r="DC447" s="44">
        <v>0</v>
      </c>
      <c r="DD447" s="44">
        <v>0</v>
      </c>
      <c r="DE447" s="44">
        <v>0</v>
      </c>
      <c r="DF447" s="44">
        <v>0</v>
      </c>
      <c r="DG447" s="44">
        <v>0</v>
      </c>
      <c r="DH447" s="44">
        <v>0</v>
      </c>
      <c r="DI447" s="44">
        <v>0</v>
      </c>
    </row>
    <row r="448" spans="1:113" ht="12" hidden="1" customHeight="1" outlineLevel="2">
      <c r="A448" s="1" t="s">
        <v>5</v>
      </c>
      <c r="B448" s="19" t="s">
        <v>422</v>
      </c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525">
        <v>0</v>
      </c>
      <c r="AQ448" s="525">
        <v>0</v>
      </c>
      <c r="AR448" s="525">
        <v>0</v>
      </c>
      <c r="AS448" s="525">
        <v>0</v>
      </c>
      <c r="AT448" s="525">
        <v>0</v>
      </c>
      <c r="AU448" s="525">
        <v>0</v>
      </c>
      <c r="AV448" s="525">
        <v>0</v>
      </c>
      <c r="AW448" s="523">
        <v>5.8</v>
      </c>
      <c r="AX448" s="46">
        <v>0</v>
      </c>
      <c r="AY448" s="46">
        <v>0</v>
      </c>
      <c r="AZ448" s="46">
        <v>0</v>
      </c>
      <c r="BA448" s="46">
        <v>0</v>
      </c>
      <c r="BB448" s="46">
        <v>0</v>
      </c>
      <c r="BC448" s="46">
        <v>0</v>
      </c>
      <c r="BD448" s="46">
        <v>0</v>
      </c>
      <c r="BE448" s="46">
        <v>0</v>
      </c>
      <c r="BF448" s="46">
        <v>0</v>
      </c>
      <c r="BG448" s="46">
        <v>0</v>
      </c>
      <c r="BH448" s="46">
        <v>0</v>
      </c>
      <c r="BI448" s="46">
        <v>0</v>
      </c>
      <c r="BJ448" s="46">
        <v>0</v>
      </c>
      <c r="BK448" s="46">
        <v>0</v>
      </c>
      <c r="BL448" s="46">
        <v>0</v>
      </c>
      <c r="BM448" s="46">
        <v>0</v>
      </c>
      <c r="BN448" s="46">
        <v>0</v>
      </c>
      <c r="BO448" s="46">
        <v>0</v>
      </c>
      <c r="BP448" s="46">
        <v>0</v>
      </c>
      <c r="BQ448" s="46">
        <v>0</v>
      </c>
      <c r="BR448" s="44"/>
      <c r="BS448" s="40"/>
      <c r="BT448" s="40"/>
      <c r="BU448" s="40"/>
      <c r="BV448" s="40"/>
      <c r="BW448" s="40"/>
      <c r="BX448" s="40"/>
      <c r="BY448" s="40"/>
      <c r="BZ448" s="40"/>
      <c r="CA448" s="40"/>
      <c r="CB448" s="40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525">
        <v>0</v>
      </c>
      <c r="CU448" s="525">
        <v>0</v>
      </c>
      <c r="CV448" s="44">
        <v>0</v>
      </c>
      <c r="CW448" s="44">
        <v>0</v>
      </c>
      <c r="CX448" s="44">
        <v>0</v>
      </c>
      <c r="CY448" s="45">
        <v>5.8</v>
      </c>
      <c r="CZ448" s="44">
        <v>0</v>
      </c>
      <c r="DA448" s="44">
        <v>0</v>
      </c>
      <c r="DB448" s="44">
        <v>0</v>
      </c>
      <c r="DC448" s="44">
        <v>0</v>
      </c>
      <c r="DD448" s="44">
        <v>0</v>
      </c>
      <c r="DE448" s="44">
        <v>0</v>
      </c>
      <c r="DF448" s="44">
        <v>0</v>
      </c>
      <c r="DG448" s="44">
        <v>0</v>
      </c>
      <c r="DH448" s="44">
        <v>0</v>
      </c>
      <c r="DI448" s="44">
        <v>0</v>
      </c>
    </row>
    <row r="449" spans="1:113" s="24" customFormat="1" ht="12" hidden="1" customHeight="1" outlineLevel="2">
      <c r="A449" s="1" t="s">
        <v>82</v>
      </c>
      <c r="B449" s="24" t="s">
        <v>450</v>
      </c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  <c r="AJ449" s="55"/>
      <c r="AK449" s="55"/>
      <c r="AL449" s="55"/>
      <c r="AM449" s="55"/>
      <c r="AN449" s="55"/>
      <c r="AO449" s="55"/>
      <c r="AP449" s="521">
        <v>-37.799999999999997</v>
      </c>
      <c r="AQ449" s="521">
        <v>-49.3</v>
      </c>
      <c r="AR449" s="521">
        <v>-61.3</v>
      </c>
      <c r="AS449" s="521">
        <v>-70.7</v>
      </c>
      <c r="AT449" s="521">
        <v>-89.7</v>
      </c>
      <c r="AU449" s="521">
        <v>-101.2</v>
      </c>
      <c r="AV449" s="521">
        <v>-105.8</v>
      </c>
      <c r="AW449" s="522">
        <v>-110.7</v>
      </c>
      <c r="AX449" s="526">
        <v>-114.33549807210484</v>
      </c>
      <c r="AY449" s="526">
        <v>-113.9805284968058</v>
      </c>
      <c r="AZ449" s="526">
        <v>-117.66181998746534</v>
      </c>
      <c r="BA449" s="526">
        <v>-118.38499534481052</v>
      </c>
      <c r="BB449" s="526">
        <v>-121.56872745907685</v>
      </c>
      <c r="BC449" s="526">
        <v>-120.7520195901164</v>
      </c>
      <c r="BD449" s="526">
        <v>-124.41011385716429</v>
      </c>
      <c r="BE449" s="526">
        <v>-125.35436575043137</v>
      </c>
      <c r="BF449" s="526">
        <v>-128.54743851068267</v>
      </c>
      <c r="BG449" s="526">
        <v>-128.75008439561492</v>
      </c>
      <c r="BH449" s="526">
        <v>-132.32789950054058</v>
      </c>
      <c r="BI449" s="526">
        <v>-132.60687747560894</v>
      </c>
      <c r="BJ449" s="526">
        <v>-136.19285043807028</v>
      </c>
      <c r="BK449" s="526">
        <v>-136.47752558105216</v>
      </c>
      <c r="BL449" s="526">
        <v>-139.61474627779151</v>
      </c>
      <c r="BM449" s="526">
        <v>-141.00538299666812</v>
      </c>
      <c r="BN449" s="526">
        <v>-146.39500177782247</v>
      </c>
      <c r="BO449" s="526">
        <v>-147.26455165817583</v>
      </c>
      <c r="BP449" s="526">
        <v>-152.95252288325773</v>
      </c>
      <c r="BQ449" s="526">
        <v>-154.16514368209562</v>
      </c>
      <c r="BR449" s="526"/>
      <c r="BS449" s="54"/>
      <c r="BT449" s="54"/>
      <c r="BU449" s="54"/>
      <c r="BV449" s="54"/>
      <c r="BW449" s="54"/>
      <c r="BX449" s="54"/>
      <c r="BY449" s="54"/>
      <c r="BZ449" s="54"/>
      <c r="CA449" s="54"/>
      <c r="CB449" s="54"/>
      <c r="CC449" s="55"/>
      <c r="CD449" s="55"/>
      <c r="CE449" s="55"/>
      <c r="CF449" s="55"/>
      <c r="CG449" s="55"/>
      <c r="CH449" s="55"/>
      <c r="CI449" s="55"/>
      <c r="CJ449" s="55"/>
      <c r="CK449" s="55"/>
      <c r="CL449" s="55"/>
      <c r="CM449" s="55"/>
      <c r="CN449" s="55"/>
      <c r="CO449" s="55"/>
      <c r="CP449" s="55"/>
      <c r="CQ449" s="55"/>
      <c r="CR449" s="55"/>
      <c r="CS449" s="55"/>
      <c r="CT449" s="521">
        <v>-31.553999999999998</v>
      </c>
      <c r="CU449" s="521">
        <v>-59.744</v>
      </c>
      <c r="CV449" s="526">
        <v>-87.1</v>
      </c>
      <c r="CW449" s="526">
        <v>-132</v>
      </c>
      <c r="CX449" s="526">
        <v>-190.9</v>
      </c>
      <c r="CY449" s="524">
        <v>-216.5</v>
      </c>
      <c r="CZ449" s="526">
        <v>-228.31602656891064</v>
      </c>
      <c r="DA449" s="526">
        <v>-236.04681533227586</v>
      </c>
      <c r="DB449" s="526">
        <v>-242.32074704919324</v>
      </c>
      <c r="DC449" s="526">
        <v>-249.76447960759566</v>
      </c>
      <c r="DD449" s="526">
        <v>-257.29752290629756</v>
      </c>
      <c r="DE449" s="526">
        <v>-264.93477697614952</v>
      </c>
      <c r="DF449" s="526">
        <v>-272.67037601912244</v>
      </c>
      <c r="DG449" s="526">
        <v>-280.6201292744596</v>
      </c>
      <c r="DH449" s="526">
        <v>-293.6595534359983</v>
      </c>
      <c r="DI449" s="526">
        <v>-307.11766656535337</v>
      </c>
    </row>
    <row r="450" spans="1:113" ht="12" hidden="1" customHeight="1" outlineLevel="2">
      <c r="A450" s="1" t="s">
        <v>83</v>
      </c>
      <c r="B450" s="19" t="s">
        <v>526</v>
      </c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4">
        <v>2.0999999999999943</v>
      </c>
      <c r="AQ450" s="44">
        <v>0.79999999999999716</v>
      </c>
      <c r="AR450" s="44">
        <v>-22.799999999999997</v>
      </c>
      <c r="AS450" s="44">
        <v>0</v>
      </c>
      <c r="AT450" s="44">
        <v>0</v>
      </c>
      <c r="AU450" s="44">
        <v>0</v>
      </c>
      <c r="AV450" s="44">
        <v>0</v>
      </c>
      <c r="AW450" s="45">
        <v>-5.7999999999999972</v>
      </c>
      <c r="AX450" s="46">
        <v>0</v>
      </c>
      <c r="AY450" s="46">
        <v>0</v>
      </c>
      <c r="AZ450" s="46">
        <v>0</v>
      </c>
      <c r="BA450" s="46">
        <v>0</v>
      </c>
      <c r="BB450" s="46">
        <v>0</v>
      </c>
      <c r="BC450" s="46">
        <v>0</v>
      </c>
      <c r="BD450" s="46">
        <v>0</v>
      </c>
      <c r="BE450" s="46">
        <v>0</v>
      </c>
      <c r="BF450" s="46">
        <v>0</v>
      </c>
      <c r="BG450" s="46">
        <v>0</v>
      </c>
      <c r="BH450" s="46">
        <v>0</v>
      </c>
      <c r="BI450" s="46">
        <v>0</v>
      </c>
      <c r="BJ450" s="46">
        <v>0</v>
      </c>
      <c r="BK450" s="46">
        <v>0</v>
      </c>
      <c r="BL450" s="46">
        <v>0</v>
      </c>
      <c r="BM450" s="46">
        <v>0</v>
      </c>
      <c r="BN450" s="46">
        <v>0</v>
      </c>
      <c r="BO450" s="46">
        <v>0</v>
      </c>
      <c r="BP450" s="46">
        <v>0</v>
      </c>
      <c r="BQ450" s="46">
        <v>0</v>
      </c>
      <c r="BR450" s="46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4">
        <v>4.1479999999999997</v>
      </c>
      <c r="CU450" s="44">
        <v>4.1480000000000032</v>
      </c>
      <c r="CV450" s="44">
        <v>2.8999999999999915</v>
      </c>
      <c r="CW450" s="44">
        <v>-22.799999999999997</v>
      </c>
      <c r="CX450" s="44">
        <v>0</v>
      </c>
      <c r="CY450" s="45">
        <v>-5.7999999999999972</v>
      </c>
      <c r="CZ450" s="44">
        <v>0</v>
      </c>
      <c r="DA450" s="44">
        <v>0</v>
      </c>
      <c r="DB450" s="44">
        <v>0</v>
      </c>
      <c r="DC450" s="44">
        <v>0</v>
      </c>
      <c r="DD450" s="44">
        <v>0</v>
      </c>
      <c r="DE450" s="44">
        <v>0</v>
      </c>
      <c r="DF450" s="44">
        <v>0</v>
      </c>
      <c r="DG450" s="44">
        <v>0</v>
      </c>
      <c r="DH450" s="44">
        <v>0</v>
      </c>
      <c r="DI450" s="44">
        <v>0</v>
      </c>
    </row>
    <row r="451" spans="1:113" s="24" customFormat="1" ht="12" hidden="1" customHeight="1" outlineLevel="2">
      <c r="A451" s="1" t="s">
        <v>84</v>
      </c>
      <c r="B451" s="24" t="s">
        <v>377</v>
      </c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  <c r="AJ451" s="55"/>
      <c r="AK451" s="55"/>
      <c r="AL451" s="55"/>
      <c r="AM451" s="55"/>
      <c r="AN451" s="55"/>
      <c r="AO451" s="55"/>
      <c r="AP451" s="521">
        <v>-35.700000000000003</v>
      </c>
      <c r="AQ451" s="521">
        <v>-48.5</v>
      </c>
      <c r="AR451" s="521">
        <v>-84.1</v>
      </c>
      <c r="AS451" s="521">
        <v>-70.7</v>
      </c>
      <c r="AT451" s="521">
        <v>-89.7</v>
      </c>
      <c r="AU451" s="521">
        <v>-101.2</v>
      </c>
      <c r="AV451" s="521">
        <v>-105.8</v>
      </c>
      <c r="AW451" s="522">
        <v>-116.5</v>
      </c>
      <c r="AX451" s="526">
        <v>-114.33549807210484</v>
      </c>
      <c r="AY451" s="526">
        <v>-113.9805284968058</v>
      </c>
      <c r="AZ451" s="526">
        <v>-117.66181998746534</v>
      </c>
      <c r="BA451" s="526">
        <v>-118.38499534481052</v>
      </c>
      <c r="BB451" s="526">
        <v>-121.56872745907685</v>
      </c>
      <c r="BC451" s="526">
        <v>-120.7520195901164</v>
      </c>
      <c r="BD451" s="526">
        <v>-124.41011385716429</v>
      </c>
      <c r="BE451" s="526">
        <v>-125.35436575043137</v>
      </c>
      <c r="BF451" s="526">
        <v>-128.54743851068267</v>
      </c>
      <c r="BG451" s="526">
        <v>-128.75008439561492</v>
      </c>
      <c r="BH451" s="526">
        <v>-132.32789950054058</v>
      </c>
      <c r="BI451" s="526">
        <v>-132.60687747560894</v>
      </c>
      <c r="BJ451" s="526">
        <v>-136.19285043807028</v>
      </c>
      <c r="BK451" s="526">
        <v>-136.47752558105216</v>
      </c>
      <c r="BL451" s="526">
        <v>-139.61474627779151</v>
      </c>
      <c r="BM451" s="526">
        <v>-141.00538299666812</v>
      </c>
      <c r="BN451" s="526">
        <v>-146.39500177782247</v>
      </c>
      <c r="BO451" s="526">
        <v>-147.26455165817583</v>
      </c>
      <c r="BP451" s="526">
        <v>-152.95252288325773</v>
      </c>
      <c r="BQ451" s="526">
        <v>-154.16514368209562</v>
      </c>
      <c r="BR451" s="526"/>
      <c r="BS451" s="54"/>
      <c r="BT451" s="54"/>
      <c r="BU451" s="54"/>
      <c r="BV451" s="54"/>
      <c r="BW451" s="54"/>
      <c r="BX451" s="54"/>
      <c r="BY451" s="54"/>
      <c r="BZ451" s="54"/>
      <c r="CA451" s="54"/>
      <c r="CB451" s="54"/>
      <c r="CC451" s="55"/>
      <c r="CD451" s="55"/>
      <c r="CE451" s="55"/>
      <c r="CF451" s="55"/>
      <c r="CG451" s="55"/>
      <c r="CH451" s="55"/>
      <c r="CI451" s="55"/>
      <c r="CJ451" s="55"/>
      <c r="CK451" s="55"/>
      <c r="CL451" s="55"/>
      <c r="CM451" s="55"/>
      <c r="CN451" s="55"/>
      <c r="CO451" s="55"/>
      <c r="CP451" s="55"/>
      <c r="CQ451" s="55"/>
      <c r="CR451" s="55"/>
      <c r="CS451" s="55"/>
      <c r="CT451" s="521">
        <v>-27.405999999999999</v>
      </c>
      <c r="CU451" s="521">
        <v>-55.595999999999997</v>
      </c>
      <c r="CV451" s="526">
        <v>-84.2</v>
      </c>
      <c r="CW451" s="526">
        <v>-154.80000000000001</v>
      </c>
      <c r="CX451" s="526">
        <v>-190.9</v>
      </c>
      <c r="CY451" s="524">
        <v>-222.3</v>
      </c>
      <c r="CZ451" s="526">
        <v>-228.31602656891064</v>
      </c>
      <c r="DA451" s="526">
        <v>-236.04681533227586</v>
      </c>
      <c r="DB451" s="526">
        <v>-242.32074704919324</v>
      </c>
      <c r="DC451" s="526">
        <v>-249.76447960759566</v>
      </c>
      <c r="DD451" s="526">
        <v>-257.29752290629756</v>
      </c>
      <c r="DE451" s="526">
        <v>-264.93477697614952</v>
      </c>
      <c r="DF451" s="526">
        <v>-272.67037601912244</v>
      </c>
      <c r="DG451" s="526">
        <v>-280.6201292744596</v>
      </c>
      <c r="DH451" s="526">
        <v>-293.6595534359983</v>
      </c>
      <c r="DI451" s="526">
        <v>-307.11766656535337</v>
      </c>
    </row>
    <row r="452" spans="1:113" ht="12" outlineLevel="1" collapsed="1">
      <c r="A452" s="60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  <c r="AA452" s="95"/>
      <c r="AB452" s="95"/>
      <c r="AC452" s="95"/>
      <c r="AD452" s="95"/>
      <c r="AE452" s="95"/>
      <c r="AF452" s="95"/>
      <c r="AG452" s="55"/>
      <c r="AH452" s="55"/>
      <c r="AI452" s="55"/>
      <c r="AK452" s="55"/>
      <c r="AL452" s="42"/>
      <c r="AM452" s="42"/>
      <c r="AN452" s="42"/>
      <c r="AO452" s="42"/>
      <c r="AP452" s="529"/>
      <c r="AQ452" s="529"/>
      <c r="AR452" s="529"/>
      <c r="AS452" s="529"/>
      <c r="AT452" s="529"/>
      <c r="AU452" s="529"/>
      <c r="AV452" s="529"/>
      <c r="AW452" s="539"/>
      <c r="AX452" s="44"/>
      <c r="AY452" s="44"/>
      <c r="AZ452" s="44"/>
      <c r="BA452" s="44"/>
      <c r="BB452" s="44"/>
      <c r="BC452" s="44"/>
      <c r="BD452" s="44"/>
      <c r="BE452" s="44"/>
      <c r="BF452" s="44"/>
      <c r="BG452" s="44"/>
      <c r="BH452" s="44"/>
      <c r="BI452" s="44"/>
      <c r="BJ452" s="44"/>
      <c r="BK452" s="44"/>
      <c r="BL452" s="44"/>
      <c r="BM452" s="44"/>
      <c r="BN452" s="44"/>
      <c r="BO452" s="44"/>
      <c r="BP452" s="44"/>
      <c r="BQ452" s="44"/>
      <c r="BR452" s="44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285"/>
      <c r="CP452" s="285"/>
      <c r="CQ452" s="285"/>
      <c r="CR452" s="285"/>
      <c r="CS452" s="285"/>
      <c r="CT452" s="572"/>
      <c r="CU452" s="44"/>
      <c r="CV452" s="529"/>
      <c r="CW452" s="529"/>
      <c r="CX452" s="529"/>
      <c r="CY452" s="539"/>
      <c r="CZ452" s="574"/>
      <c r="DA452" s="632"/>
      <c r="DB452" s="574"/>
      <c r="DC452" s="574"/>
      <c r="DD452" s="574"/>
      <c r="DE452" s="574"/>
      <c r="DF452" s="574"/>
      <c r="DG452" s="574"/>
      <c r="DH452" s="574"/>
      <c r="DI452" s="574"/>
    </row>
    <row r="453" spans="1:113" ht="12"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  <c r="AA453" s="42"/>
      <c r="AB453" s="42"/>
      <c r="AC453" s="55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4"/>
      <c r="AQ453" s="44"/>
      <c r="AR453" s="44"/>
      <c r="AS453" s="44"/>
      <c r="AT453" s="44"/>
      <c r="AU453" s="44"/>
      <c r="AV453" s="44"/>
      <c r="AW453" s="45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285"/>
      <c r="CP453" s="42"/>
      <c r="CQ453" s="42"/>
      <c r="CR453" s="42"/>
      <c r="CS453" s="285"/>
      <c r="CT453" s="44"/>
      <c r="CU453" s="44"/>
      <c r="CV453" s="44"/>
      <c r="CW453" s="44"/>
      <c r="CX453" s="44"/>
      <c r="CY453" s="45"/>
      <c r="CZ453" s="44"/>
      <c r="DA453" s="44"/>
      <c r="DB453" s="44"/>
      <c r="DC453" s="529"/>
      <c r="DD453" s="529"/>
      <c r="DE453" s="529"/>
      <c r="DF453" s="529"/>
      <c r="DG453" s="529"/>
      <c r="DH453" s="529"/>
      <c r="DI453" s="529"/>
    </row>
    <row r="454" spans="1:113" s="36" customFormat="1" ht="12" collapsed="1">
      <c r="A454" s="1" t="s">
        <v>98</v>
      </c>
      <c r="B454" s="2" t="s">
        <v>378</v>
      </c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  <c r="AJ454" s="55"/>
      <c r="AK454" s="55"/>
      <c r="AL454" s="55"/>
      <c r="AM454" s="55"/>
      <c r="AN454" s="55"/>
      <c r="AO454" s="55"/>
      <c r="AP454" s="527">
        <v>1.9000000000000057</v>
      </c>
      <c r="AQ454" s="527">
        <v>0.80000000000000426</v>
      </c>
      <c r="AR454" s="527">
        <v>12.600000000000009</v>
      </c>
      <c r="AS454" s="527">
        <v>28.399999999999991</v>
      </c>
      <c r="AT454" s="527">
        <v>75.499999999999986</v>
      </c>
      <c r="AU454" s="527">
        <v>86.59999999999998</v>
      </c>
      <c r="AV454" s="527">
        <v>94.2</v>
      </c>
      <c r="AW454" s="528">
        <v>80.200000000000017</v>
      </c>
      <c r="AX454" s="527">
        <v>82.385050133035847</v>
      </c>
      <c r="AY454" s="527">
        <v>106.72414416655677</v>
      </c>
      <c r="AZ454" s="527">
        <v>129.39315463312039</v>
      </c>
      <c r="BA454" s="527">
        <v>148.90042751945055</v>
      </c>
      <c r="BB454" s="527">
        <v>175.59694440995003</v>
      </c>
      <c r="BC454" s="527">
        <v>184.25070021277651</v>
      </c>
      <c r="BD454" s="527">
        <v>196.67992911996481</v>
      </c>
      <c r="BE454" s="527">
        <v>205.86006297354868</v>
      </c>
      <c r="BF454" s="527">
        <v>219.5658807704377</v>
      </c>
      <c r="BG454" s="527">
        <v>224.2548249456807</v>
      </c>
      <c r="BH454" s="527">
        <v>236.10301762196644</v>
      </c>
      <c r="BI454" s="527">
        <v>238.05970015584268</v>
      </c>
      <c r="BJ454" s="527">
        <v>249.14742725174827</v>
      </c>
      <c r="BK454" s="527">
        <v>251.18831111778812</v>
      </c>
      <c r="BL454" s="527">
        <v>262.28415102879421</v>
      </c>
      <c r="BM454" s="527">
        <v>265.57169688832948</v>
      </c>
      <c r="BN454" s="527">
        <v>275.12776243611319</v>
      </c>
      <c r="BO454" s="527">
        <v>276.81292380089764</v>
      </c>
      <c r="BP454" s="527">
        <v>287.90190584154891</v>
      </c>
      <c r="BQ454" s="527">
        <v>289.35016734777412</v>
      </c>
      <c r="BR454" s="527"/>
      <c r="BS454" s="52"/>
      <c r="BT454" s="52"/>
      <c r="BU454" s="52"/>
      <c r="BV454" s="52"/>
      <c r="BW454" s="52"/>
      <c r="BX454" s="52"/>
      <c r="BY454" s="52"/>
      <c r="BZ454" s="52"/>
      <c r="CA454" s="52"/>
      <c r="CB454" s="52"/>
      <c r="CC454" s="52"/>
      <c r="CD454" s="52"/>
      <c r="CE454" s="52"/>
      <c r="CF454" s="52"/>
      <c r="CG454" s="52"/>
      <c r="CH454" s="52"/>
      <c r="CI454" s="52"/>
      <c r="CJ454" s="52"/>
      <c r="CK454" s="52"/>
      <c r="CL454" s="52"/>
      <c r="CM454" s="52"/>
      <c r="CN454" s="52"/>
      <c r="CO454" s="52"/>
      <c r="CP454" s="52"/>
      <c r="CQ454" s="52"/>
      <c r="CR454" s="52"/>
      <c r="CS454" s="52"/>
      <c r="CT454" s="527">
        <v>-30.198</v>
      </c>
      <c r="CU454" s="527">
        <v>-31.488</v>
      </c>
      <c r="CV454" s="527">
        <v>2.7000000000000028</v>
      </c>
      <c r="CW454" s="527">
        <v>41</v>
      </c>
      <c r="CX454" s="527">
        <v>162.1</v>
      </c>
      <c r="CY454" s="528">
        <v>174.39999999999998</v>
      </c>
      <c r="CZ454" s="527">
        <v>189.10919429959259</v>
      </c>
      <c r="DA454" s="527">
        <v>278.29358215257093</v>
      </c>
      <c r="DB454" s="527">
        <v>359.84764462272648</v>
      </c>
      <c r="DC454" s="527">
        <v>402.53999209351349</v>
      </c>
      <c r="DD454" s="527">
        <v>443.82070571611848</v>
      </c>
      <c r="DE454" s="527">
        <v>474.16271777780918</v>
      </c>
      <c r="DF454" s="527">
        <v>500.33573836953639</v>
      </c>
      <c r="DG454" s="527">
        <v>527.8558479171237</v>
      </c>
      <c r="DH454" s="527">
        <v>551.94068623701082</v>
      </c>
      <c r="DI454" s="527">
        <v>577.25207318932303</v>
      </c>
    </row>
    <row r="455" spans="1:113" ht="12" hidden="1" outlineLevel="2">
      <c r="A455" s="1" t="s">
        <v>174</v>
      </c>
      <c r="B455" s="19" t="s">
        <v>854</v>
      </c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4">
        <v>0</v>
      </c>
      <c r="AQ455" s="44">
        <v>0</v>
      </c>
      <c r="AR455" s="44">
        <v>0</v>
      </c>
      <c r="AS455" s="44">
        <v>0</v>
      </c>
      <c r="AT455" s="44">
        <v>0</v>
      </c>
      <c r="AU455" s="44">
        <v>0</v>
      </c>
      <c r="AV455" s="44">
        <v>0</v>
      </c>
      <c r="AW455" s="45">
        <v>0</v>
      </c>
      <c r="AX455" s="44">
        <v>0</v>
      </c>
      <c r="AY455" s="44">
        <v>0</v>
      </c>
      <c r="AZ455" s="44">
        <v>0</v>
      </c>
      <c r="BA455" s="44">
        <v>0</v>
      </c>
      <c r="BB455" s="44">
        <v>0</v>
      </c>
      <c r="BC455" s="44">
        <v>0</v>
      </c>
      <c r="BD455" s="44">
        <v>0</v>
      </c>
      <c r="BE455" s="44">
        <v>0</v>
      </c>
      <c r="BF455" s="44">
        <v>0</v>
      </c>
      <c r="BG455" s="44">
        <v>0</v>
      </c>
      <c r="BH455" s="44">
        <v>0</v>
      </c>
      <c r="BI455" s="44">
        <v>0</v>
      </c>
      <c r="BJ455" s="44">
        <v>0</v>
      </c>
      <c r="BK455" s="44">
        <v>0</v>
      </c>
      <c r="BL455" s="44">
        <v>0</v>
      </c>
      <c r="BM455" s="44">
        <v>0</v>
      </c>
      <c r="BN455" s="44">
        <v>0</v>
      </c>
      <c r="BO455" s="44">
        <v>0</v>
      </c>
      <c r="BP455" s="44">
        <v>0</v>
      </c>
      <c r="BQ455" s="44">
        <v>0</v>
      </c>
      <c r="BR455" s="44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4">
        <v>0</v>
      </c>
      <c r="CU455" s="44">
        <v>0</v>
      </c>
      <c r="CV455" s="44">
        <v>0</v>
      </c>
      <c r="CW455" s="44">
        <v>0</v>
      </c>
      <c r="CX455" s="44">
        <v>0</v>
      </c>
      <c r="CY455" s="45">
        <v>0</v>
      </c>
      <c r="CZ455" s="44">
        <v>0</v>
      </c>
      <c r="DA455" s="44">
        <v>0</v>
      </c>
      <c r="DB455" s="44">
        <v>0</v>
      </c>
      <c r="DC455" s="44">
        <v>0</v>
      </c>
      <c r="DD455" s="44">
        <v>0</v>
      </c>
      <c r="DE455" s="44">
        <v>0</v>
      </c>
      <c r="DF455" s="44">
        <v>0</v>
      </c>
      <c r="DG455" s="44">
        <v>0</v>
      </c>
      <c r="DH455" s="44">
        <v>0</v>
      </c>
      <c r="DI455" s="44">
        <v>0</v>
      </c>
    </row>
    <row r="456" spans="1:113" ht="12" hidden="1" outlineLevel="2">
      <c r="A456" s="1" t="s">
        <v>677</v>
      </c>
      <c r="B456" s="19" t="s">
        <v>444</v>
      </c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4">
        <v>0</v>
      </c>
      <c r="AQ456" s="44">
        <v>0</v>
      </c>
      <c r="AR456" s="44">
        <v>0</v>
      </c>
      <c r="AS456" s="44">
        <v>0</v>
      </c>
      <c r="AT456" s="44">
        <v>0</v>
      </c>
      <c r="AU456" s="44">
        <v>0</v>
      </c>
      <c r="AV456" s="44">
        <v>0</v>
      </c>
      <c r="AW456" s="45">
        <v>0</v>
      </c>
      <c r="AX456" s="44">
        <v>0</v>
      </c>
      <c r="AY456" s="44">
        <v>0</v>
      </c>
      <c r="AZ456" s="44">
        <v>0</v>
      </c>
      <c r="BA456" s="44">
        <v>0</v>
      </c>
      <c r="BB456" s="44">
        <v>0</v>
      </c>
      <c r="BC456" s="44">
        <v>0</v>
      </c>
      <c r="BD456" s="44">
        <v>0</v>
      </c>
      <c r="BE456" s="44">
        <v>0</v>
      </c>
      <c r="BF456" s="44">
        <v>0</v>
      </c>
      <c r="BG456" s="44">
        <v>0</v>
      </c>
      <c r="BH456" s="44">
        <v>0</v>
      </c>
      <c r="BI456" s="44">
        <v>0</v>
      </c>
      <c r="BJ456" s="44">
        <v>0</v>
      </c>
      <c r="BK456" s="44">
        <v>0</v>
      </c>
      <c r="BL456" s="44">
        <v>0</v>
      </c>
      <c r="BM456" s="44">
        <v>0</v>
      </c>
      <c r="BN456" s="44">
        <v>0</v>
      </c>
      <c r="BO456" s="44">
        <v>0</v>
      </c>
      <c r="BP456" s="44">
        <v>0</v>
      </c>
      <c r="BQ456" s="44">
        <v>0</v>
      </c>
      <c r="BR456" s="44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4">
        <v>0</v>
      </c>
      <c r="CU456" s="44">
        <v>0</v>
      </c>
      <c r="CV456" s="44">
        <v>0</v>
      </c>
      <c r="CW456" s="44">
        <v>0</v>
      </c>
      <c r="CX456" s="44">
        <v>0</v>
      </c>
      <c r="CY456" s="45">
        <v>0</v>
      </c>
      <c r="CZ456" s="44">
        <v>0</v>
      </c>
      <c r="DA456" s="44">
        <v>0</v>
      </c>
      <c r="DB456" s="44">
        <v>0</v>
      </c>
      <c r="DC456" s="44">
        <v>0</v>
      </c>
      <c r="DD456" s="44">
        <v>0</v>
      </c>
      <c r="DE456" s="44">
        <v>0</v>
      </c>
      <c r="DF456" s="44">
        <v>0</v>
      </c>
      <c r="DG456" s="44">
        <v>0</v>
      </c>
      <c r="DH456" s="44">
        <v>0</v>
      </c>
      <c r="DI456" s="44">
        <v>0</v>
      </c>
    </row>
    <row r="457" spans="1:113" ht="12" hidden="1" outlineLevel="2">
      <c r="A457" s="1" t="s">
        <v>678</v>
      </c>
      <c r="B457" s="19" t="s">
        <v>367</v>
      </c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4">
        <v>0</v>
      </c>
      <c r="AQ457" s="44">
        <v>0</v>
      </c>
      <c r="AR457" s="44">
        <v>0</v>
      </c>
      <c r="AS457" s="44">
        <v>0</v>
      </c>
      <c r="AT457" s="44">
        <v>0</v>
      </c>
      <c r="AU457" s="44">
        <v>0</v>
      </c>
      <c r="AV457" s="44">
        <v>0</v>
      </c>
      <c r="AW457" s="45">
        <v>0</v>
      </c>
      <c r="AX457" s="44">
        <v>0</v>
      </c>
      <c r="AY457" s="44">
        <v>0</v>
      </c>
      <c r="AZ457" s="44">
        <v>0</v>
      </c>
      <c r="BA457" s="44">
        <v>0</v>
      </c>
      <c r="BB457" s="44">
        <v>0</v>
      </c>
      <c r="BC457" s="44">
        <v>0</v>
      </c>
      <c r="BD457" s="44">
        <v>0</v>
      </c>
      <c r="BE457" s="44">
        <v>0</v>
      </c>
      <c r="BF457" s="44">
        <v>0</v>
      </c>
      <c r="BG457" s="44">
        <v>0</v>
      </c>
      <c r="BH457" s="44">
        <v>0</v>
      </c>
      <c r="BI457" s="44">
        <v>0</v>
      </c>
      <c r="BJ457" s="44">
        <v>0</v>
      </c>
      <c r="BK457" s="44">
        <v>0</v>
      </c>
      <c r="BL457" s="44">
        <v>0</v>
      </c>
      <c r="BM457" s="44">
        <v>0</v>
      </c>
      <c r="BN457" s="44">
        <v>0</v>
      </c>
      <c r="BO457" s="44">
        <v>0</v>
      </c>
      <c r="BP457" s="44">
        <v>0</v>
      </c>
      <c r="BQ457" s="44">
        <v>0</v>
      </c>
      <c r="BR457" s="44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4">
        <v>0</v>
      </c>
      <c r="CU457" s="44">
        <v>0</v>
      </c>
      <c r="CV457" s="44">
        <v>0</v>
      </c>
      <c r="CW457" s="44">
        <v>0</v>
      </c>
      <c r="CX457" s="44">
        <v>0</v>
      </c>
      <c r="CY457" s="45">
        <v>0</v>
      </c>
      <c r="CZ457" s="44">
        <v>0</v>
      </c>
      <c r="DA457" s="44">
        <v>0</v>
      </c>
      <c r="DB457" s="44">
        <v>0</v>
      </c>
      <c r="DC457" s="44">
        <v>0</v>
      </c>
      <c r="DD457" s="44">
        <v>0</v>
      </c>
      <c r="DE457" s="44">
        <v>0</v>
      </c>
      <c r="DF457" s="44">
        <v>0</v>
      </c>
      <c r="DG457" s="44">
        <v>0</v>
      </c>
      <c r="DH457" s="44">
        <v>0</v>
      </c>
      <c r="DI457" s="44">
        <v>0</v>
      </c>
    </row>
    <row r="458" spans="1:113" ht="12" hidden="1" outlineLevel="2">
      <c r="A458" s="1" t="s">
        <v>175</v>
      </c>
      <c r="B458" s="19" t="s">
        <v>368</v>
      </c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4">
        <v>0</v>
      </c>
      <c r="AQ458" s="44">
        <v>0</v>
      </c>
      <c r="AR458" s="44">
        <v>0</v>
      </c>
      <c r="AS458" s="44">
        <v>0</v>
      </c>
      <c r="AT458" s="44">
        <v>0</v>
      </c>
      <c r="AU458" s="44">
        <v>0</v>
      </c>
      <c r="AV458" s="44">
        <v>0</v>
      </c>
      <c r="AW458" s="45">
        <v>0</v>
      </c>
      <c r="AX458" s="44">
        <v>0</v>
      </c>
      <c r="AY458" s="44">
        <v>0</v>
      </c>
      <c r="AZ458" s="44">
        <v>0</v>
      </c>
      <c r="BA458" s="44">
        <v>0</v>
      </c>
      <c r="BB458" s="44">
        <v>0</v>
      </c>
      <c r="BC458" s="44">
        <v>0</v>
      </c>
      <c r="BD458" s="44">
        <v>0</v>
      </c>
      <c r="BE458" s="44">
        <v>0</v>
      </c>
      <c r="BF458" s="44">
        <v>0</v>
      </c>
      <c r="BG458" s="44">
        <v>0</v>
      </c>
      <c r="BH458" s="44">
        <v>0</v>
      </c>
      <c r="BI458" s="44">
        <v>0</v>
      </c>
      <c r="BJ458" s="44">
        <v>0</v>
      </c>
      <c r="BK458" s="44">
        <v>0</v>
      </c>
      <c r="BL458" s="44">
        <v>0</v>
      </c>
      <c r="BM458" s="44">
        <v>0</v>
      </c>
      <c r="BN458" s="44">
        <v>0</v>
      </c>
      <c r="BO458" s="44">
        <v>0</v>
      </c>
      <c r="BP458" s="44">
        <v>0</v>
      </c>
      <c r="BQ458" s="44">
        <v>0</v>
      </c>
      <c r="BR458" s="44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4">
        <v>0</v>
      </c>
      <c r="CU458" s="44">
        <v>0</v>
      </c>
      <c r="CV458" s="44">
        <v>0</v>
      </c>
      <c r="CW458" s="44">
        <v>0</v>
      </c>
      <c r="CX458" s="44">
        <v>0</v>
      </c>
      <c r="CY458" s="45">
        <v>0</v>
      </c>
      <c r="CZ458" s="44">
        <v>0</v>
      </c>
      <c r="DA458" s="44">
        <v>0</v>
      </c>
      <c r="DB458" s="44">
        <v>0</v>
      </c>
      <c r="DC458" s="44">
        <v>0</v>
      </c>
      <c r="DD458" s="44">
        <v>0</v>
      </c>
      <c r="DE458" s="44">
        <v>0</v>
      </c>
      <c r="DF458" s="44">
        <v>0</v>
      </c>
      <c r="DG458" s="44">
        <v>0</v>
      </c>
      <c r="DH458" s="44">
        <v>0</v>
      </c>
      <c r="DI458" s="44">
        <v>0</v>
      </c>
    </row>
    <row r="459" spans="1:113" ht="12" hidden="1" outlineLevel="2">
      <c r="A459" s="1" t="s">
        <v>93</v>
      </c>
      <c r="B459" s="19" t="s">
        <v>358</v>
      </c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4">
        <v>0</v>
      </c>
      <c r="AQ459" s="44">
        <v>0</v>
      </c>
      <c r="AR459" s="44">
        <v>0</v>
      </c>
      <c r="AS459" s="44">
        <v>0</v>
      </c>
      <c r="AT459" s="44">
        <v>0</v>
      </c>
      <c r="AU459" s="44">
        <v>0</v>
      </c>
      <c r="AV459" s="44">
        <v>0</v>
      </c>
      <c r="AW459" s="45">
        <v>0</v>
      </c>
      <c r="AX459" s="44">
        <v>0</v>
      </c>
      <c r="AY459" s="44">
        <v>0</v>
      </c>
      <c r="AZ459" s="44">
        <v>0</v>
      </c>
      <c r="BA459" s="44">
        <v>0</v>
      </c>
      <c r="BB459" s="44">
        <v>0</v>
      </c>
      <c r="BC459" s="44">
        <v>0</v>
      </c>
      <c r="BD459" s="44">
        <v>0</v>
      </c>
      <c r="BE459" s="44">
        <v>0</v>
      </c>
      <c r="BF459" s="44">
        <v>0</v>
      </c>
      <c r="BG459" s="44">
        <v>0</v>
      </c>
      <c r="BH459" s="44">
        <v>0</v>
      </c>
      <c r="BI459" s="44">
        <v>0</v>
      </c>
      <c r="BJ459" s="44">
        <v>0</v>
      </c>
      <c r="BK459" s="44">
        <v>0</v>
      </c>
      <c r="BL459" s="44">
        <v>0</v>
      </c>
      <c r="BM459" s="44">
        <v>0</v>
      </c>
      <c r="BN459" s="44">
        <v>0</v>
      </c>
      <c r="BO459" s="44">
        <v>0</v>
      </c>
      <c r="BP459" s="44">
        <v>0</v>
      </c>
      <c r="BQ459" s="44">
        <v>0</v>
      </c>
      <c r="BR459" s="44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4">
        <v>0</v>
      </c>
      <c r="CU459" s="44">
        <v>0</v>
      </c>
      <c r="CV459" s="44">
        <v>0</v>
      </c>
      <c r="CW459" s="44">
        <v>0</v>
      </c>
      <c r="CX459" s="44">
        <v>0</v>
      </c>
      <c r="CY459" s="45">
        <v>0</v>
      </c>
      <c r="CZ459" s="44">
        <v>0</v>
      </c>
      <c r="DA459" s="44">
        <v>0</v>
      </c>
      <c r="DB459" s="44">
        <v>0</v>
      </c>
      <c r="DC459" s="44">
        <v>0</v>
      </c>
      <c r="DD459" s="44">
        <v>0</v>
      </c>
      <c r="DE459" s="44">
        <v>0</v>
      </c>
      <c r="DF459" s="44">
        <v>0</v>
      </c>
      <c r="DG459" s="44">
        <v>0</v>
      </c>
      <c r="DH459" s="44">
        <v>0</v>
      </c>
      <c r="DI459" s="44">
        <v>0</v>
      </c>
    </row>
    <row r="460" spans="1:113" ht="12" hidden="1" outlineLevel="2">
      <c r="A460" s="1" t="s">
        <v>94</v>
      </c>
      <c r="B460" s="19" t="s">
        <v>422</v>
      </c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4">
        <v>0</v>
      </c>
      <c r="AQ460" s="44">
        <v>0</v>
      </c>
      <c r="AR460" s="44">
        <v>0</v>
      </c>
      <c r="AS460" s="44">
        <v>0</v>
      </c>
      <c r="AT460" s="44">
        <v>0</v>
      </c>
      <c r="AU460" s="44">
        <v>0</v>
      </c>
      <c r="AV460" s="44">
        <v>0</v>
      </c>
      <c r="AW460" s="45">
        <v>5.8</v>
      </c>
      <c r="AX460" s="44">
        <v>0</v>
      </c>
      <c r="AY460" s="44">
        <v>0</v>
      </c>
      <c r="AZ460" s="44">
        <v>0</v>
      </c>
      <c r="BA460" s="44">
        <v>0</v>
      </c>
      <c r="BB460" s="44">
        <v>0</v>
      </c>
      <c r="BC460" s="44">
        <v>0</v>
      </c>
      <c r="BD460" s="44">
        <v>0</v>
      </c>
      <c r="BE460" s="44">
        <v>0</v>
      </c>
      <c r="BF460" s="44">
        <v>0</v>
      </c>
      <c r="BG460" s="44">
        <v>0</v>
      </c>
      <c r="BH460" s="44">
        <v>0</v>
      </c>
      <c r="BI460" s="44">
        <v>0</v>
      </c>
      <c r="BJ460" s="44">
        <v>0</v>
      </c>
      <c r="BK460" s="44">
        <v>0</v>
      </c>
      <c r="BL460" s="44">
        <v>0</v>
      </c>
      <c r="BM460" s="44">
        <v>0</v>
      </c>
      <c r="BN460" s="44">
        <v>0</v>
      </c>
      <c r="BO460" s="44">
        <v>0</v>
      </c>
      <c r="BP460" s="44">
        <v>0</v>
      </c>
      <c r="BQ460" s="44">
        <v>0</v>
      </c>
      <c r="BR460" s="44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4">
        <v>0</v>
      </c>
      <c r="CU460" s="44">
        <v>0</v>
      </c>
      <c r="CV460" s="44">
        <v>0</v>
      </c>
      <c r="CW460" s="44">
        <v>0</v>
      </c>
      <c r="CX460" s="44">
        <v>0</v>
      </c>
      <c r="CY460" s="45">
        <v>5.8</v>
      </c>
      <c r="CZ460" s="44">
        <v>0</v>
      </c>
      <c r="DA460" s="44">
        <v>0</v>
      </c>
      <c r="DB460" s="44">
        <v>0</v>
      </c>
      <c r="DC460" s="44">
        <v>0</v>
      </c>
      <c r="DD460" s="44">
        <v>0</v>
      </c>
      <c r="DE460" s="44">
        <v>0</v>
      </c>
      <c r="DF460" s="44">
        <v>0</v>
      </c>
      <c r="DG460" s="44">
        <v>0</v>
      </c>
      <c r="DH460" s="44">
        <v>0</v>
      </c>
      <c r="DI460" s="44">
        <v>0</v>
      </c>
    </row>
    <row r="461" spans="1:113" s="24" customFormat="1" ht="12" hidden="1" outlineLevel="2">
      <c r="A461" s="1" t="s">
        <v>95</v>
      </c>
      <c r="B461" s="24" t="s">
        <v>318</v>
      </c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  <c r="AJ461" s="55"/>
      <c r="AK461" s="55"/>
      <c r="AL461" s="55"/>
      <c r="AM461" s="55"/>
      <c r="AN461" s="55"/>
      <c r="AO461" s="55"/>
      <c r="AP461" s="526">
        <v>1.9000000000000057</v>
      </c>
      <c r="AQ461" s="526">
        <v>0.80000000000000426</v>
      </c>
      <c r="AR461" s="526">
        <v>12.600000000000009</v>
      </c>
      <c r="AS461" s="526">
        <v>28.399999999999991</v>
      </c>
      <c r="AT461" s="526">
        <v>75.499999999999986</v>
      </c>
      <c r="AU461" s="526">
        <v>86.59999999999998</v>
      </c>
      <c r="AV461" s="526">
        <v>94.2</v>
      </c>
      <c r="AW461" s="524">
        <v>86.000000000000014</v>
      </c>
      <c r="AX461" s="526">
        <v>82.385050133035847</v>
      </c>
      <c r="AY461" s="526">
        <v>106.72414416655677</v>
      </c>
      <c r="AZ461" s="526">
        <v>129.39315463312039</v>
      </c>
      <c r="BA461" s="526">
        <v>148.90042751945055</v>
      </c>
      <c r="BB461" s="526">
        <v>175.59694440995003</v>
      </c>
      <c r="BC461" s="526">
        <v>184.25070021277651</v>
      </c>
      <c r="BD461" s="526">
        <v>196.67992911996481</v>
      </c>
      <c r="BE461" s="526">
        <v>205.86006297354868</v>
      </c>
      <c r="BF461" s="526">
        <v>219.5658807704377</v>
      </c>
      <c r="BG461" s="526">
        <v>224.2548249456807</v>
      </c>
      <c r="BH461" s="526">
        <v>236.10301762196644</v>
      </c>
      <c r="BI461" s="526">
        <v>238.05970015584268</v>
      </c>
      <c r="BJ461" s="526">
        <v>249.14742725174827</v>
      </c>
      <c r="BK461" s="526">
        <v>251.18831111778812</v>
      </c>
      <c r="BL461" s="526">
        <v>262.28415102879421</v>
      </c>
      <c r="BM461" s="526">
        <v>265.57169688832948</v>
      </c>
      <c r="BN461" s="526">
        <v>275.12776243611319</v>
      </c>
      <c r="BO461" s="526">
        <v>276.81292380089764</v>
      </c>
      <c r="BP461" s="526">
        <v>287.90190584154891</v>
      </c>
      <c r="BQ461" s="526">
        <v>289.35016734777412</v>
      </c>
      <c r="BR461" s="526"/>
      <c r="BS461" s="55"/>
      <c r="BT461" s="55"/>
      <c r="BU461" s="55"/>
      <c r="BV461" s="55"/>
      <c r="BW461" s="55"/>
      <c r="BX461" s="55"/>
      <c r="BY461" s="55"/>
      <c r="BZ461" s="55"/>
      <c r="CA461" s="55"/>
      <c r="CB461" s="55"/>
      <c r="CC461" s="55"/>
      <c r="CD461" s="55"/>
      <c r="CE461" s="55"/>
      <c r="CF461" s="55"/>
      <c r="CG461" s="55"/>
      <c r="CH461" s="55"/>
      <c r="CI461" s="55"/>
      <c r="CJ461" s="55"/>
      <c r="CK461" s="55"/>
      <c r="CL461" s="55"/>
      <c r="CM461" s="55"/>
      <c r="CN461" s="55"/>
      <c r="CO461" s="55"/>
      <c r="CP461" s="55"/>
      <c r="CQ461" s="55"/>
      <c r="CR461" s="55"/>
      <c r="CS461" s="55"/>
      <c r="CT461" s="526">
        <v>-30.198</v>
      </c>
      <c r="CU461" s="526">
        <v>-31.488</v>
      </c>
      <c r="CV461" s="526">
        <v>2.7000000000000028</v>
      </c>
      <c r="CW461" s="526">
        <v>41</v>
      </c>
      <c r="CX461" s="526">
        <v>162.1</v>
      </c>
      <c r="CY461" s="524">
        <v>180.2</v>
      </c>
      <c r="CZ461" s="526">
        <v>189.10919429959259</v>
      </c>
      <c r="DA461" s="526">
        <v>278.29358215257093</v>
      </c>
      <c r="DB461" s="526">
        <v>359.84764462272648</v>
      </c>
      <c r="DC461" s="526">
        <v>402.53999209351349</v>
      </c>
      <c r="DD461" s="526">
        <v>443.82070571611848</v>
      </c>
      <c r="DE461" s="526">
        <v>474.16271777780918</v>
      </c>
      <c r="DF461" s="526">
        <v>500.33573836953639</v>
      </c>
      <c r="DG461" s="526">
        <v>527.8558479171237</v>
      </c>
      <c r="DH461" s="526">
        <v>551.94068623701082</v>
      </c>
      <c r="DI461" s="526">
        <v>577.25207318932303</v>
      </c>
    </row>
    <row r="462" spans="1:113" ht="12" hidden="1" outlineLevel="2">
      <c r="A462" s="1" t="s">
        <v>96</v>
      </c>
      <c r="B462" s="19" t="s">
        <v>526</v>
      </c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4">
        <v>2.0999999999999943</v>
      </c>
      <c r="AQ462" s="44">
        <v>0.79999999999999716</v>
      </c>
      <c r="AR462" s="44">
        <v>-22.799999999999997</v>
      </c>
      <c r="AS462" s="44">
        <v>0</v>
      </c>
      <c r="AT462" s="44">
        <v>0</v>
      </c>
      <c r="AU462" s="44">
        <v>0</v>
      </c>
      <c r="AV462" s="44">
        <v>0</v>
      </c>
      <c r="AW462" s="45">
        <v>-5.7999999999999972</v>
      </c>
      <c r="AX462" s="44">
        <v>0</v>
      </c>
      <c r="AY462" s="44">
        <v>0</v>
      </c>
      <c r="AZ462" s="44">
        <v>0</v>
      </c>
      <c r="BA462" s="44">
        <v>0</v>
      </c>
      <c r="BB462" s="44">
        <v>0</v>
      </c>
      <c r="BC462" s="44">
        <v>0</v>
      </c>
      <c r="BD462" s="44">
        <v>0</v>
      </c>
      <c r="BE462" s="44">
        <v>0</v>
      </c>
      <c r="BF462" s="44">
        <v>0</v>
      </c>
      <c r="BG462" s="44">
        <v>0</v>
      </c>
      <c r="BH462" s="44">
        <v>0</v>
      </c>
      <c r="BI462" s="44">
        <v>0</v>
      </c>
      <c r="BJ462" s="44">
        <v>0</v>
      </c>
      <c r="BK462" s="44">
        <v>0</v>
      </c>
      <c r="BL462" s="44">
        <v>0</v>
      </c>
      <c r="BM462" s="44">
        <v>0</v>
      </c>
      <c r="BN462" s="44">
        <v>0</v>
      </c>
      <c r="BO462" s="44">
        <v>0</v>
      </c>
      <c r="BP462" s="44">
        <v>0</v>
      </c>
      <c r="BQ462" s="44">
        <v>0</v>
      </c>
      <c r="BR462" s="44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4">
        <v>4.1479999999999997</v>
      </c>
      <c r="CU462" s="44">
        <v>4.1480000000000032</v>
      </c>
      <c r="CV462" s="44">
        <v>2.8999999999999915</v>
      </c>
      <c r="CW462" s="44">
        <v>-22.799999999999997</v>
      </c>
      <c r="CX462" s="44">
        <v>0</v>
      </c>
      <c r="CY462" s="45">
        <v>-5.7999999999999972</v>
      </c>
      <c r="CZ462" s="44">
        <v>0</v>
      </c>
      <c r="DA462" s="44">
        <v>0</v>
      </c>
      <c r="DB462" s="44">
        <v>0</v>
      </c>
      <c r="DC462" s="44">
        <v>0</v>
      </c>
      <c r="DD462" s="44">
        <v>0</v>
      </c>
      <c r="DE462" s="44">
        <v>0</v>
      </c>
      <c r="DF462" s="44">
        <v>0</v>
      </c>
      <c r="DG462" s="44">
        <v>0</v>
      </c>
      <c r="DH462" s="44">
        <v>0</v>
      </c>
      <c r="DI462" s="44">
        <v>0</v>
      </c>
    </row>
    <row r="463" spans="1:113" s="24" customFormat="1" ht="12" hidden="1" outlineLevel="2">
      <c r="A463" s="1" t="s">
        <v>97</v>
      </c>
      <c r="B463" s="24" t="s">
        <v>475</v>
      </c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  <c r="AJ463" s="55"/>
      <c r="AK463" s="55"/>
      <c r="AL463" s="55"/>
      <c r="AM463" s="55"/>
      <c r="AN463" s="55"/>
      <c r="AO463" s="55"/>
      <c r="AP463" s="526">
        <v>4</v>
      </c>
      <c r="AQ463" s="526">
        <v>1.6000000000000014</v>
      </c>
      <c r="AR463" s="526">
        <v>-10.199999999999989</v>
      </c>
      <c r="AS463" s="526">
        <v>28.399999999999991</v>
      </c>
      <c r="AT463" s="526">
        <v>75.499999999999986</v>
      </c>
      <c r="AU463" s="526">
        <v>86.59999999999998</v>
      </c>
      <c r="AV463" s="526">
        <v>94.2</v>
      </c>
      <c r="AW463" s="524">
        <v>80.200000000000017</v>
      </c>
      <c r="AX463" s="526">
        <v>82.385050133035847</v>
      </c>
      <c r="AY463" s="526">
        <v>106.72414416655677</v>
      </c>
      <c r="AZ463" s="526">
        <v>129.39315463312039</v>
      </c>
      <c r="BA463" s="526">
        <v>148.90042751945055</v>
      </c>
      <c r="BB463" s="526">
        <v>175.59694440995003</v>
      </c>
      <c r="BC463" s="526">
        <v>184.25070021277651</v>
      </c>
      <c r="BD463" s="526">
        <v>196.67992911996481</v>
      </c>
      <c r="BE463" s="526">
        <v>205.86006297354868</v>
      </c>
      <c r="BF463" s="526">
        <v>219.5658807704377</v>
      </c>
      <c r="BG463" s="526">
        <v>224.2548249456807</v>
      </c>
      <c r="BH463" s="526">
        <v>236.10301762196644</v>
      </c>
      <c r="BI463" s="526">
        <v>238.05970015584268</v>
      </c>
      <c r="BJ463" s="526">
        <v>249.14742725174827</v>
      </c>
      <c r="BK463" s="526">
        <v>251.18831111778812</v>
      </c>
      <c r="BL463" s="526">
        <v>262.28415102879421</v>
      </c>
      <c r="BM463" s="526">
        <v>265.57169688832948</v>
      </c>
      <c r="BN463" s="526">
        <v>275.12776243611319</v>
      </c>
      <c r="BO463" s="526">
        <v>276.81292380089764</v>
      </c>
      <c r="BP463" s="526">
        <v>287.90190584154891</v>
      </c>
      <c r="BQ463" s="526">
        <v>289.35016734777412</v>
      </c>
      <c r="BR463" s="526"/>
      <c r="BS463" s="55"/>
      <c r="BT463" s="55"/>
      <c r="BU463" s="55"/>
      <c r="BV463" s="55"/>
      <c r="BW463" s="55"/>
      <c r="BX463" s="55"/>
      <c r="BY463" s="55"/>
      <c r="BZ463" s="55"/>
      <c r="CA463" s="55"/>
      <c r="CB463" s="55"/>
      <c r="CC463" s="55"/>
      <c r="CD463" s="55"/>
      <c r="CE463" s="55"/>
      <c r="CF463" s="55"/>
      <c r="CG463" s="55"/>
      <c r="CH463" s="55"/>
      <c r="CI463" s="55"/>
      <c r="CJ463" s="55"/>
      <c r="CK463" s="55"/>
      <c r="CL463" s="55"/>
      <c r="CM463" s="55"/>
      <c r="CN463" s="55"/>
      <c r="CO463" s="55"/>
      <c r="CP463" s="55"/>
      <c r="CQ463" s="55"/>
      <c r="CR463" s="55"/>
      <c r="CS463" s="55"/>
      <c r="CT463" s="526">
        <v>-26.05</v>
      </c>
      <c r="CU463" s="526">
        <v>-27.339999999999996</v>
      </c>
      <c r="CV463" s="526">
        <v>5.5999999999999943</v>
      </c>
      <c r="CW463" s="526">
        <v>18.200000000000003</v>
      </c>
      <c r="CX463" s="526">
        <v>162.1</v>
      </c>
      <c r="CY463" s="524">
        <v>174.39999999999998</v>
      </c>
      <c r="CZ463" s="526">
        <v>189.10919429959259</v>
      </c>
      <c r="DA463" s="526">
        <v>278.29358215257093</v>
      </c>
      <c r="DB463" s="526">
        <v>359.84764462272648</v>
      </c>
      <c r="DC463" s="526">
        <v>402.53999209351349</v>
      </c>
      <c r="DD463" s="526">
        <v>443.82070571611848</v>
      </c>
      <c r="DE463" s="526">
        <v>474.16271777780918</v>
      </c>
      <c r="DF463" s="526">
        <v>500.33573836953639</v>
      </c>
      <c r="DG463" s="526">
        <v>527.8558479171237</v>
      </c>
      <c r="DH463" s="526">
        <v>551.94068623701082</v>
      </c>
      <c r="DI463" s="526">
        <v>577.25207318932303</v>
      </c>
    </row>
    <row r="464" spans="1:113" ht="12" collapsed="1"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394"/>
      <c r="AK464" s="42"/>
      <c r="AL464" s="42"/>
      <c r="AM464" s="42"/>
      <c r="AN464" s="42"/>
      <c r="AO464" s="42"/>
      <c r="AP464" s="572"/>
      <c r="AQ464" s="572"/>
      <c r="AR464" s="572"/>
      <c r="AS464" s="572"/>
      <c r="AT464" s="572"/>
      <c r="AU464" s="572"/>
      <c r="AV464" s="572"/>
      <c r="AW464" s="573"/>
      <c r="AX464" s="44"/>
      <c r="AY464" s="44"/>
      <c r="AZ464" s="44"/>
      <c r="BA464" s="44"/>
      <c r="BB464" s="44"/>
      <c r="BC464" s="44"/>
      <c r="BD464" s="44"/>
      <c r="BE464" s="44"/>
      <c r="BF464" s="44"/>
      <c r="BG464" s="44"/>
      <c r="BH464" s="44"/>
      <c r="BI464" s="44"/>
      <c r="BJ464" s="44"/>
      <c r="BK464" s="44"/>
      <c r="BL464" s="44"/>
      <c r="BM464" s="44"/>
      <c r="BN464" s="44"/>
      <c r="BO464" s="44"/>
      <c r="BP464" s="44"/>
      <c r="BQ464" s="44"/>
      <c r="BR464" s="44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285"/>
      <c r="CP464" s="42"/>
      <c r="CQ464" s="42"/>
      <c r="CR464" s="42"/>
      <c r="CS464" s="172"/>
      <c r="CT464" s="572"/>
      <c r="CU464" s="44"/>
      <c r="CV464" s="572"/>
      <c r="CW464" s="572"/>
      <c r="CX464" s="572"/>
      <c r="CY464" s="573"/>
      <c r="CZ464" s="632"/>
      <c r="DA464" s="632"/>
      <c r="DB464" s="632"/>
      <c r="DC464" s="529"/>
      <c r="DD464" s="529"/>
      <c r="DE464" s="529"/>
      <c r="DF464" s="529"/>
      <c r="DG464" s="529"/>
      <c r="DH464" s="529"/>
      <c r="DI464" s="529"/>
    </row>
    <row r="465" spans="1:113" s="36" customFormat="1" ht="12" collapsed="1">
      <c r="A465" s="1" t="s">
        <v>679</v>
      </c>
      <c r="B465" s="2" t="s">
        <v>476</v>
      </c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  <c r="AJ465" s="55"/>
      <c r="AK465" s="55"/>
      <c r="AL465" s="55"/>
      <c r="AM465" s="55"/>
      <c r="AN465" s="55"/>
      <c r="AO465" s="55"/>
      <c r="AP465" s="527">
        <v>-8.5</v>
      </c>
      <c r="AQ465" s="527">
        <v>-1.5</v>
      </c>
      <c r="AR465" s="527">
        <v>-9.6</v>
      </c>
      <c r="AS465" s="527">
        <v>-15.8</v>
      </c>
      <c r="AT465" s="527">
        <v>-22.3</v>
      </c>
      <c r="AU465" s="527">
        <v>-32.299999999999997</v>
      </c>
      <c r="AV465" s="527">
        <v>-26.8</v>
      </c>
      <c r="AW465" s="528">
        <v>-43.3</v>
      </c>
      <c r="AX465" s="527">
        <v>-39.724119038143044</v>
      </c>
      <c r="AY465" s="527">
        <v>-29.789626728787368</v>
      </c>
      <c r="AZ465" s="527">
        <v>-33.616449748790529</v>
      </c>
      <c r="BA465" s="527">
        <v>-36.22872009577479</v>
      </c>
      <c r="BB465" s="527">
        <v>-39.008564401410496</v>
      </c>
      <c r="BC465" s="527">
        <v>-39.90160386568941</v>
      </c>
      <c r="BD465" s="527">
        <v>-42.571592936385137</v>
      </c>
      <c r="BE465" s="527">
        <v>-44.225562891388535</v>
      </c>
      <c r="BF465" s="527">
        <v>-46.409667518762816</v>
      </c>
      <c r="BG465" s="527">
        <v>-47.266587592127387</v>
      </c>
      <c r="BH465" s="527">
        <v>-48.86080200364794</v>
      </c>
      <c r="BI465" s="527">
        <v>-49.233918812118198</v>
      </c>
      <c r="BJ465" s="527">
        <v>-51.043230033721677</v>
      </c>
      <c r="BK465" s="527">
        <v>-51.432979339927776</v>
      </c>
      <c r="BL465" s="527">
        <v>-53.196797816995364</v>
      </c>
      <c r="BM465" s="527">
        <v>-53.85945108467476</v>
      </c>
      <c r="BN465" s="527">
        <v>-55.704964033088721</v>
      </c>
      <c r="BO465" s="527">
        <v>-56.130237129663499</v>
      </c>
      <c r="BP465" s="527">
        <v>-58.19317951259297</v>
      </c>
      <c r="BQ465" s="527">
        <v>-58.637411598801471</v>
      </c>
      <c r="BR465" s="527"/>
      <c r="BS465" s="52"/>
      <c r="BT465" s="52"/>
      <c r="BU465" s="52"/>
      <c r="BV465" s="52"/>
      <c r="BW465" s="52"/>
      <c r="BX465" s="52"/>
      <c r="BY465" s="52"/>
      <c r="BZ465" s="52"/>
      <c r="CA465" s="52"/>
      <c r="CB465" s="52"/>
      <c r="CC465" s="52"/>
      <c r="CD465" s="52"/>
      <c r="CE465" s="52"/>
      <c r="CF465" s="52"/>
      <c r="CG465" s="52"/>
      <c r="CH465" s="52"/>
      <c r="CI465" s="52"/>
      <c r="CJ465" s="52"/>
      <c r="CK465" s="52"/>
      <c r="CL465" s="52"/>
      <c r="CM465" s="52"/>
      <c r="CN465" s="52"/>
      <c r="CO465" s="52"/>
      <c r="CP465" s="52"/>
      <c r="CQ465" s="52"/>
      <c r="CR465" s="52"/>
      <c r="CS465" s="52"/>
      <c r="CT465" s="527">
        <v>-1.9155</v>
      </c>
      <c r="CU465" s="527">
        <v>-23.503499999999999</v>
      </c>
      <c r="CV465" s="527">
        <v>-10</v>
      </c>
      <c r="CW465" s="527">
        <v>-25.4</v>
      </c>
      <c r="CX465" s="527">
        <v>-54.599999999999994</v>
      </c>
      <c r="CY465" s="528">
        <v>-70.099999999999994</v>
      </c>
      <c r="CZ465" s="527">
        <v>-69.513745766930413</v>
      </c>
      <c r="DA465" s="527">
        <v>-69.845169844565319</v>
      </c>
      <c r="DB465" s="527">
        <v>-78.910168267099905</v>
      </c>
      <c r="DC465" s="527">
        <v>-86.797155827773679</v>
      </c>
      <c r="DD465" s="527">
        <v>-93.676255110890196</v>
      </c>
      <c r="DE465" s="527">
        <v>-98.094720815766138</v>
      </c>
      <c r="DF465" s="527">
        <v>-102.47620937364945</v>
      </c>
      <c r="DG465" s="527">
        <v>-107.05624890167013</v>
      </c>
      <c r="DH465" s="527">
        <v>-111.83520116275221</v>
      </c>
      <c r="DI465" s="527">
        <v>-116.83059111139444</v>
      </c>
    </row>
    <row r="466" spans="1:113" ht="12" outlineLevel="1"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4"/>
      <c r="AQ466" s="44"/>
      <c r="AR466" s="44"/>
      <c r="AS466" s="44"/>
      <c r="AT466" s="44"/>
      <c r="AU466" s="44"/>
      <c r="AV466" s="44"/>
      <c r="AW466" s="45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/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4"/>
      <c r="CU466" s="44"/>
      <c r="CV466" s="44"/>
      <c r="CW466" s="44"/>
      <c r="CX466" s="44"/>
      <c r="CY466" s="45"/>
      <c r="CZ466" s="44"/>
      <c r="DA466" s="44"/>
      <c r="DB466" s="44"/>
      <c r="DC466" s="529"/>
      <c r="DD466" s="529"/>
      <c r="DE466" s="529"/>
      <c r="DF466" s="529"/>
      <c r="DG466" s="529"/>
      <c r="DH466" s="529"/>
      <c r="DI466" s="529"/>
    </row>
    <row r="467" spans="1:113" ht="12" outlineLevel="1">
      <c r="A467" s="1" t="s">
        <v>680</v>
      </c>
      <c r="B467" s="19" t="s">
        <v>486</v>
      </c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538">
        <v>0</v>
      </c>
      <c r="AQ467" s="538">
        <v>0</v>
      </c>
      <c r="AR467" s="538">
        <v>0</v>
      </c>
      <c r="AS467" s="538">
        <v>0</v>
      </c>
      <c r="AT467" s="538">
        <v>0</v>
      </c>
      <c r="AU467" s="538">
        <v>0</v>
      </c>
      <c r="AV467" s="538">
        <v>0</v>
      </c>
      <c r="AW467" s="530">
        <v>0</v>
      </c>
      <c r="AX467" s="44">
        <v>0</v>
      </c>
      <c r="AY467" s="44">
        <v>0</v>
      </c>
      <c r="AZ467" s="44">
        <v>0</v>
      </c>
      <c r="BA467" s="44">
        <v>0</v>
      </c>
      <c r="BB467" s="44">
        <v>0</v>
      </c>
      <c r="BC467" s="44">
        <v>0</v>
      </c>
      <c r="BD467" s="44">
        <v>0</v>
      </c>
      <c r="BE467" s="44">
        <v>0</v>
      </c>
      <c r="BF467" s="44">
        <v>0</v>
      </c>
      <c r="BG467" s="44">
        <v>0</v>
      </c>
      <c r="BH467" s="44">
        <v>0</v>
      </c>
      <c r="BI467" s="44">
        <v>0</v>
      </c>
      <c r="BJ467" s="44">
        <v>0</v>
      </c>
      <c r="BK467" s="44">
        <v>0</v>
      </c>
      <c r="BL467" s="44">
        <v>0</v>
      </c>
      <c r="BM467" s="44">
        <v>0</v>
      </c>
      <c r="BN467" s="44">
        <v>0</v>
      </c>
      <c r="BO467" s="44">
        <v>0</v>
      </c>
      <c r="BP467" s="44">
        <v>0</v>
      </c>
      <c r="BQ467" s="44">
        <v>0</v>
      </c>
      <c r="BR467" s="44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538">
        <v>0</v>
      </c>
      <c r="CU467" s="538">
        <v>0</v>
      </c>
      <c r="CV467" s="44">
        <v>0</v>
      </c>
      <c r="CW467" s="44">
        <v>0</v>
      </c>
      <c r="CX467" s="44">
        <v>0</v>
      </c>
      <c r="CY467" s="45">
        <v>0</v>
      </c>
      <c r="CZ467" s="44">
        <v>0</v>
      </c>
      <c r="DA467" s="44">
        <v>0</v>
      </c>
      <c r="DB467" s="44">
        <v>0</v>
      </c>
      <c r="DC467" s="44">
        <v>0</v>
      </c>
      <c r="DD467" s="44">
        <v>0</v>
      </c>
      <c r="DE467" s="44">
        <v>0</v>
      </c>
      <c r="DF467" s="44">
        <v>0</v>
      </c>
      <c r="DG467" s="44">
        <v>0</v>
      </c>
      <c r="DH467" s="44">
        <v>0</v>
      </c>
      <c r="DI467" s="44">
        <v>0</v>
      </c>
    </row>
    <row r="468" spans="1:113" ht="12" outlineLevel="1">
      <c r="A468" s="1" t="s">
        <v>681</v>
      </c>
      <c r="B468" s="19" t="s">
        <v>488</v>
      </c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4">
        <v>0</v>
      </c>
      <c r="AQ468" s="44">
        <v>0</v>
      </c>
      <c r="AR468" s="44">
        <v>0</v>
      </c>
      <c r="AS468" s="44">
        <v>-5.3</v>
      </c>
      <c r="AT468" s="44">
        <v>0</v>
      </c>
      <c r="AU468" s="44">
        <v>-5.0999999999999996</v>
      </c>
      <c r="AV468" s="44">
        <v>-5.9</v>
      </c>
      <c r="AW468" s="45">
        <v>-25</v>
      </c>
      <c r="AX468" s="44">
        <v>-22.357808570643844</v>
      </c>
      <c r="AY468" s="44">
        <v>-10.456024947726242</v>
      </c>
      <c r="AZ468" s="44">
        <v>-14.843908186152678</v>
      </c>
      <c r="BA468" s="44">
        <v>-15.801009583835313</v>
      </c>
      <c r="BB468" s="44">
        <v>-24.609339118994043</v>
      </c>
      <c r="BC468" s="44">
        <v>-24.644676164639751</v>
      </c>
      <c r="BD468" s="44">
        <v>-30.646919306539466</v>
      </c>
      <c r="BE468" s="44">
        <v>-31.742217217365695</v>
      </c>
      <c r="BF468" s="44">
        <v>-37.527428837580018</v>
      </c>
      <c r="BG468" s="44">
        <v>-38.101333563305523</v>
      </c>
      <c r="BH468" s="44">
        <v>-42.374624519133668</v>
      </c>
      <c r="BI468" s="44">
        <v>-42.605819779619431</v>
      </c>
      <c r="BJ468" s="44">
        <v>-44.270098198284238</v>
      </c>
      <c r="BK468" s="44">
        <v>-44.511635132258995</v>
      </c>
      <c r="BL468" s="44">
        <v>-46.123991851498992</v>
      </c>
      <c r="BM468" s="44">
        <v>-46.631862624428109</v>
      </c>
      <c r="BN468" s="44">
        <v>-48.319199421032373</v>
      </c>
      <c r="BO468" s="44">
        <v>-48.582828185260482</v>
      </c>
      <c r="BP468" s="44">
        <v>-50.480581893196565</v>
      </c>
      <c r="BQ468" s="44">
        <v>-50.756003124952876</v>
      </c>
      <c r="BR468" s="44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4">
        <v>0</v>
      </c>
      <c r="CU468" s="44">
        <v>0</v>
      </c>
      <c r="CV468" s="44">
        <v>0</v>
      </c>
      <c r="CW468" s="44">
        <v>-5.3</v>
      </c>
      <c r="CX468" s="44">
        <v>-5.0999999999999996</v>
      </c>
      <c r="CY468" s="45">
        <v>-30.9</v>
      </c>
      <c r="CZ468" s="44">
        <v>-32.813833518370089</v>
      </c>
      <c r="DA468" s="44">
        <v>-30.644917769987991</v>
      </c>
      <c r="DB468" s="44">
        <v>-49.254015283633791</v>
      </c>
      <c r="DC468" s="44">
        <v>-62.389136523905165</v>
      </c>
      <c r="DD468" s="44">
        <v>-75.628762400885535</v>
      </c>
      <c r="DE468" s="44">
        <v>-84.980444298753099</v>
      </c>
      <c r="DF468" s="44">
        <v>-88.781733330543233</v>
      </c>
      <c r="DG468" s="44">
        <v>-92.755854475927094</v>
      </c>
      <c r="DH468" s="44">
        <v>-96.902027606292847</v>
      </c>
      <c r="DI468" s="44">
        <v>-101.23658501814944</v>
      </c>
    </row>
    <row r="469" spans="1:113" ht="12" outlineLevel="1">
      <c r="A469" s="1" t="s">
        <v>682</v>
      </c>
      <c r="B469" s="19" t="s">
        <v>487</v>
      </c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538">
        <v>0</v>
      </c>
      <c r="AQ469" s="538">
        <v>0</v>
      </c>
      <c r="AR469" s="538">
        <v>0</v>
      </c>
      <c r="AS469" s="538">
        <v>0</v>
      </c>
      <c r="AT469" s="538">
        <v>0</v>
      </c>
      <c r="AU469" s="538">
        <v>0</v>
      </c>
      <c r="AV469" s="538">
        <v>0</v>
      </c>
      <c r="AW469" s="530">
        <v>0</v>
      </c>
      <c r="AX469" s="44">
        <v>0</v>
      </c>
      <c r="AY469" s="44">
        <v>0</v>
      </c>
      <c r="AZ469" s="44">
        <v>0</v>
      </c>
      <c r="BA469" s="44">
        <v>0</v>
      </c>
      <c r="BB469" s="44">
        <v>0</v>
      </c>
      <c r="BC469" s="44">
        <v>0</v>
      </c>
      <c r="BD469" s="44">
        <v>0</v>
      </c>
      <c r="BE469" s="44">
        <v>0</v>
      </c>
      <c r="BF469" s="44">
        <v>0</v>
      </c>
      <c r="BG469" s="44">
        <v>0</v>
      </c>
      <c r="BH469" s="44">
        <v>0</v>
      </c>
      <c r="BI469" s="44">
        <v>0</v>
      </c>
      <c r="BJ469" s="44">
        <v>0</v>
      </c>
      <c r="BK469" s="44">
        <v>0</v>
      </c>
      <c r="BL469" s="44">
        <v>0</v>
      </c>
      <c r="BM469" s="44">
        <v>0</v>
      </c>
      <c r="BN469" s="44">
        <v>0</v>
      </c>
      <c r="BO469" s="44">
        <v>0</v>
      </c>
      <c r="BP469" s="44">
        <v>0</v>
      </c>
      <c r="BQ469" s="44">
        <v>0</v>
      </c>
      <c r="BR469" s="44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538">
        <v>0</v>
      </c>
      <c r="CU469" s="538">
        <v>0</v>
      </c>
      <c r="CV469" s="44">
        <v>0</v>
      </c>
      <c r="CW469" s="44">
        <v>0</v>
      </c>
      <c r="CX469" s="44">
        <v>0</v>
      </c>
      <c r="CY469" s="45">
        <v>0</v>
      </c>
      <c r="CZ469" s="44">
        <v>0</v>
      </c>
      <c r="DA469" s="44">
        <v>0</v>
      </c>
      <c r="DB469" s="44">
        <v>0</v>
      </c>
      <c r="DC469" s="44">
        <v>0</v>
      </c>
      <c r="DD469" s="44">
        <v>0</v>
      </c>
      <c r="DE469" s="44">
        <v>0</v>
      </c>
      <c r="DF469" s="44">
        <v>0</v>
      </c>
      <c r="DG469" s="44">
        <v>0</v>
      </c>
      <c r="DH469" s="44">
        <v>0</v>
      </c>
      <c r="DI469" s="44">
        <v>0</v>
      </c>
    </row>
    <row r="470" spans="1:113" s="24" customFormat="1" ht="12" outlineLevel="1">
      <c r="A470" s="1" t="s">
        <v>683</v>
      </c>
      <c r="B470" s="24" t="s">
        <v>477</v>
      </c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  <c r="AJ470" s="55"/>
      <c r="AK470" s="55"/>
      <c r="AL470" s="55"/>
      <c r="AM470" s="55"/>
      <c r="AN470" s="55"/>
      <c r="AO470" s="55"/>
      <c r="AP470" s="521">
        <v>0</v>
      </c>
      <c r="AQ470" s="521">
        <v>0</v>
      </c>
      <c r="AR470" s="521">
        <v>0</v>
      </c>
      <c r="AS470" s="521">
        <v>-5.3</v>
      </c>
      <c r="AT470" s="521">
        <v>0</v>
      </c>
      <c r="AU470" s="521">
        <v>-5.0999999999999996</v>
      </c>
      <c r="AV470" s="521">
        <v>-5.9</v>
      </c>
      <c r="AW470" s="522">
        <v>-25</v>
      </c>
      <c r="AX470" s="526">
        <v>-22.357808570643844</v>
      </c>
      <c r="AY470" s="526">
        <v>-10.456024947726242</v>
      </c>
      <c r="AZ470" s="526">
        <v>-14.843908186152678</v>
      </c>
      <c r="BA470" s="526">
        <v>-15.801009583835313</v>
      </c>
      <c r="BB470" s="526">
        <v>-24.609339118994043</v>
      </c>
      <c r="BC470" s="526">
        <v>-24.644676164639751</v>
      </c>
      <c r="BD470" s="526">
        <v>-30.646919306539466</v>
      </c>
      <c r="BE470" s="526">
        <v>-31.742217217365695</v>
      </c>
      <c r="BF470" s="526">
        <v>-37.527428837580018</v>
      </c>
      <c r="BG470" s="526">
        <v>-38.101333563305523</v>
      </c>
      <c r="BH470" s="526">
        <v>-42.374624519133668</v>
      </c>
      <c r="BI470" s="526">
        <v>-42.605819779619431</v>
      </c>
      <c r="BJ470" s="526">
        <v>-44.270098198284238</v>
      </c>
      <c r="BK470" s="526">
        <v>-44.511635132258995</v>
      </c>
      <c r="BL470" s="526">
        <v>-46.123991851498992</v>
      </c>
      <c r="BM470" s="526">
        <v>-46.631862624428109</v>
      </c>
      <c r="BN470" s="526">
        <v>-48.319199421032373</v>
      </c>
      <c r="BO470" s="526">
        <v>-48.582828185260482</v>
      </c>
      <c r="BP470" s="526">
        <v>-50.480581893196565</v>
      </c>
      <c r="BQ470" s="526">
        <v>-50.756003124952876</v>
      </c>
      <c r="BR470" s="526"/>
      <c r="BS470" s="54"/>
      <c r="BT470" s="54"/>
      <c r="BU470" s="54"/>
      <c r="BV470" s="54"/>
      <c r="BW470" s="54"/>
      <c r="BX470" s="54"/>
      <c r="BY470" s="54"/>
      <c r="BZ470" s="54"/>
      <c r="CA470" s="54"/>
      <c r="CB470" s="54"/>
      <c r="CC470" s="55"/>
      <c r="CD470" s="55"/>
      <c r="CE470" s="55"/>
      <c r="CF470" s="55"/>
      <c r="CG470" s="55"/>
      <c r="CH470" s="55"/>
      <c r="CI470" s="55"/>
      <c r="CJ470" s="55"/>
      <c r="CK470" s="55"/>
      <c r="CL470" s="55"/>
      <c r="CM470" s="55"/>
      <c r="CN470" s="55"/>
      <c r="CO470" s="55"/>
      <c r="CP470" s="55"/>
      <c r="CQ470" s="55"/>
      <c r="CR470" s="55"/>
      <c r="CS470" s="55"/>
      <c r="CT470" s="521">
        <v>0</v>
      </c>
      <c r="CU470" s="521">
        <v>0</v>
      </c>
      <c r="CV470" s="526">
        <v>0</v>
      </c>
      <c r="CW470" s="526">
        <v>-5.3</v>
      </c>
      <c r="CX470" s="526">
        <v>-5.0999999999999996</v>
      </c>
      <c r="CY470" s="524">
        <v>-30.9</v>
      </c>
      <c r="CZ470" s="526">
        <v>-32.813833518370089</v>
      </c>
      <c r="DA470" s="526">
        <v>-30.644917769987991</v>
      </c>
      <c r="DB470" s="526">
        <v>-49.254015283633791</v>
      </c>
      <c r="DC470" s="526">
        <v>-62.389136523905165</v>
      </c>
      <c r="DD470" s="526">
        <v>-75.628762400885535</v>
      </c>
      <c r="DE470" s="526">
        <v>-84.980444298753099</v>
      </c>
      <c r="DF470" s="526">
        <v>-88.781733330543233</v>
      </c>
      <c r="DG470" s="526">
        <v>-92.755854475927094</v>
      </c>
      <c r="DH470" s="526">
        <v>-96.902027606292847</v>
      </c>
      <c r="DI470" s="526">
        <v>-101.23658501814944</v>
      </c>
    </row>
    <row r="471" spans="1:113" ht="12" outlineLevel="1">
      <c r="A471" s="1" t="s">
        <v>684</v>
      </c>
      <c r="B471" s="19" t="s">
        <v>478</v>
      </c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4">
        <v>-8.5</v>
      </c>
      <c r="AQ471" s="44">
        <v>-1.5</v>
      </c>
      <c r="AR471" s="44">
        <v>-9.6</v>
      </c>
      <c r="AS471" s="44">
        <v>-10.5</v>
      </c>
      <c r="AT471" s="44">
        <v>-22.3</v>
      </c>
      <c r="AU471" s="44">
        <v>-27.199999999999996</v>
      </c>
      <c r="AV471" s="44">
        <v>-20.9</v>
      </c>
      <c r="AW471" s="45">
        <v>-18.299999999999997</v>
      </c>
      <c r="AX471" s="44">
        <v>-17.366310467499197</v>
      </c>
      <c r="AY471" s="44">
        <v>-19.333601781061127</v>
      </c>
      <c r="AZ471" s="44">
        <v>-18.772541562637848</v>
      </c>
      <c r="BA471" s="44">
        <v>-20.42771051193948</v>
      </c>
      <c r="BB471" s="44">
        <v>-14.399225282416452</v>
      </c>
      <c r="BC471" s="44">
        <v>-15.256927701049662</v>
      </c>
      <c r="BD471" s="44">
        <v>-11.924673629845671</v>
      </c>
      <c r="BE471" s="44">
        <v>-12.483345674022843</v>
      </c>
      <c r="BF471" s="44">
        <v>-8.8822386811827982</v>
      </c>
      <c r="BG471" s="44">
        <v>-9.1652540288218631</v>
      </c>
      <c r="BH471" s="44">
        <v>-6.4861774845142719</v>
      </c>
      <c r="BI471" s="44">
        <v>-6.628099032498767</v>
      </c>
      <c r="BJ471" s="44">
        <v>-6.7731318354374395</v>
      </c>
      <c r="BK471" s="44">
        <v>-6.9213442076687812</v>
      </c>
      <c r="BL471" s="44">
        <v>-7.0728059654963715</v>
      </c>
      <c r="BM471" s="44">
        <v>-7.2275884602466505</v>
      </c>
      <c r="BN471" s="44">
        <v>-7.3857646120563487</v>
      </c>
      <c r="BO471" s="44">
        <v>-7.547408944403017</v>
      </c>
      <c r="BP471" s="44">
        <v>-7.712597619396405</v>
      </c>
      <c r="BQ471" s="44">
        <v>-7.8814084738485946</v>
      </c>
      <c r="BR471" s="44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4">
        <v>-1.9155</v>
      </c>
      <c r="CU471" s="44">
        <v>-23.503499999999999</v>
      </c>
      <c r="CV471" s="44">
        <v>-10</v>
      </c>
      <c r="CW471" s="44">
        <v>-20.100000000000001</v>
      </c>
      <c r="CX471" s="44">
        <v>-49.5</v>
      </c>
      <c r="CY471" s="45">
        <v>-39.199999999999996</v>
      </c>
      <c r="CZ471" s="44">
        <v>-36.699912248560324</v>
      </c>
      <c r="DA471" s="44">
        <v>-39.200252074577328</v>
      </c>
      <c r="DB471" s="44">
        <v>-29.656152983466114</v>
      </c>
      <c r="DC471" s="44">
        <v>-24.408019303868514</v>
      </c>
      <c r="DD471" s="44">
        <v>-18.047492710004661</v>
      </c>
      <c r="DE471" s="44">
        <v>-13.114276517013039</v>
      </c>
      <c r="DF471" s="44">
        <v>-13.694476043106221</v>
      </c>
      <c r="DG471" s="44">
        <v>-14.300394425743022</v>
      </c>
      <c r="DH471" s="44">
        <v>-14.933173556459366</v>
      </c>
      <c r="DI471" s="44">
        <v>-15.594006093245</v>
      </c>
    </row>
    <row r="472" spans="1:113" s="24" customFormat="1" ht="12" outlineLevel="1">
      <c r="A472" s="1" t="s">
        <v>104</v>
      </c>
      <c r="B472" s="24" t="s">
        <v>166</v>
      </c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  <c r="AJ472" s="55"/>
      <c r="AK472" s="55"/>
      <c r="AL472" s="55"/>
      <c r="AM472" s="55"/>
      <c r="AN472" s="55"/>
      <c r="AO472" s="55"/>
      <c r="AP472" s="526">
        <v>-8.5</v>
      </c>
      <c r="AQ472" s="526">
        <v>-1.5</v>
      </c>
      <c r="AR472" s="526">
        <v>-9.6</v>
      </c>
      <c r="AS472" s="526">
        <v>-15.8</v>
      </c>
      <c r="AT472" s="526">
        <v>-22.3</v>
      </c>
      <c r="AU472" s="526">
        <v>-32.299999999999997</v>
      </c>
      <c r="AV472" s="526">
        <v>-26.8</v>
      </c>
      <c r="AW472" s="524">
        <v>-43.3</v>
      </c>
      <c r="AX472" s="526">
        <v>-39.724119038143044</v>
      </c>
      <c r="AY472" s="526">
        <v>-29.789626728787368</v>
      </c>
      <c r="AZ472" s="526">
        <v>-33.616449748790529</v>
      </c>
      <c r="BA472" s="526">
        <v>-36.22872009577479</v>
      </c>
      <c r="BB472" s="526">
        <v>-39.008564401410496</v>
      </c>
      <c r="BC472" s="526">
        <v>-39.90160386568941</v>
      </c>
      <c r="BD472" s="526">
        <v>-42.571592936385137</v>
      </c>
      <c r="BE472" s="526">
        <v>-44.225562891388535</v>
      </c>
      <c r="BF472" s="526">
        <v>-46.409667518762816</v>
      </c>
      <c r="BG472" s="526">
        <v>-47.266587592127387</v>
      </c>
      <c r="BH472" s="526">
        <v>-48.86080200364794</v>
      </c>
      <c r="BI472" s="526">
        <v>-49.233918812118198</v>
      </c>
      <c r="BJ472" s="526">
        <v>-51.043230033721677</v>
      </c>
      <c r="BK472" s="526">
        <v>-51.432979339927776</v>
      </c>
      <c r="BL472" s="526">
        <v>-53.196797816995364</v>
      </c>
      <c r="BM472" s="526">
        <v>-53.85945108467476</v>
      </c>
      <c r="BN472" s="526">
        <v>-55.704964033088721</v>
      </c>
      <c r="BO472" s="526">
        <v>-56.130237129663499</v>
      </c>
      <c r="BP472" s="526">
        <v>-58.19317951259297</v>
      </c>
      <c r="BQ472" s="526">
        <v>-58.637411598801471</v>
      </c>
      <c r="BR472" s="526"/>
      <c r="BS472" s="55"/>
      <c r="BT472" s="55"/>
      <c r="BU472" s="55"/>
      <c r="BV472" s="55"/>
      <c r="BW472" s="55"/>
      <c r="BX472" s="55"/>
      <c r="BY472" s="55"/>
      <c r="BZ472" s="55"/>
      <c r="CA472" s="55"/>
      <c r="CB472" s="55"/>
      <c r="CC472" s="55"/>
      <c r="CD472" s="55"/>
      <c r="CE472" s="55"/>
      <c r="CF472" s="55"/>
      <c r="CG472" s="55"/>
      <c r="CH472" s="55"/>
      <c r="CI472" s="55"/>
      <c r="CJ472" s="55"/>
      <c r="CK472" s="55"/>
      <c r="CL472" s="55"/>
      <c r="CM472" s="55"/>
      <c r="CN472" s="55"/>
      <c r="CO472" s="55"/>
      <c r="CP472" s="55"/>
      <c r="CQ472" s="55"/>
      <c r="CR472" s="55"/>
      <c r="CS472" s="55"/>
      <c r="CT472" s="526">
        <v>-1.9155</v>
      </c>
      <c r="CU472" s="526">
        <v>-23.503499999999999</v>
      </c>
      <c r="CV472" s="526">
        <v>-10</v>
      </c>
      <c r="CW472" s="526">
        <v>-25.4</v>
      </c>
      <c r="CX472" s="526">
        <v>-54.599999999999994</v>
      </c>
      <c r="CY472" s="524">
        <v>-70.099999999999994</v>
      </c>
      <c r="CZ472" s="526">
        <v>-69.513745766930413</v>
      </c>
      <c r="DA472" s="526">
        <v>-69.845169844565319</v>
      </c>
      <c r="DB472" s="526">
        <v>-78.910168267099905</v>
      </c>
      <c r="DC472" s="526">
        <v>-86.797155827773679</v>
      </c>
      <c r="DD472" s="526">
        <v>-93.676255110890196</v>
      </c>
      <c r="DE472" s="526">
        <v>-98.094720815766138</v>
      </c>
      <c r="DF472" s="526">
        <v>-102.47620937364945</v>
      </c>
      <c r="DG472" s="526">
        <v>-107.05624890167013</v>
      </c>
      <c r="DH472" s="526">
        <v>-111.83520116275221</v>
      </c>
      <c r="DI472" s="526">
        <v>-116.83059111139444</v>
      </c>
    </row>
    <row r="473" spans="1:113" ht="12" hidden="1" outlineLevel="2">
      <c r="A473" s="1" t="s">
        <v>360</v>
      </c>
      <c r="B473" s="19" t="s">
        <v>854</v>
      </c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4">
        <v>0</v>
      </c>
      <c r="AQ473" s="44">
        <v>0</v>
      </c>
      <c r="AR473" s="44">
        <v>0</v>
      </c>
      <c r="AS473" s="44">
        <v>0</v>
      </c>
      <c r="AT473" s="44">
        <v>0</v>
      </c>
      <c r="AU473" s="44">
        <v>0</v>
      </c>
      <c r="AV473" s="44">
        <v>0</v>
      </c>
      <c r="AW473" s="45">
        <v>0</v>
      </c>
      <c r="AX473" s="44">
        <v>0</v>
      </c>
      <c r="AY473" s="44">
        <v>0</v>
      </c>
      <c r="AZ473" s="44">
        <v>0</v>
      </c>
      <c r="BA473" s="44">
        <v>0</v>
      </c>
      <c r="BB473" s="44">
        <v>0</v>
      </c>
      <c r="BC473" s="44">
        <v>0</v>
      </c>
      <c r="BD473" s="44">
        <v>0</v>
      </c>
      <c r="BE473" s="44">
        <v>0</v>
      </c>
      <c r="BF473" s="44">
        <v>0</v>
      </c>
      <c r="BG473" s="44">
        <v>0</v>
      </c>
      <c r="BH473" s="44">
        <v>0</v>
      </c>
      <c r="BI473" s="44">
        <v>0</v>
      </c>
      <c r="BJ473" s="44">
        <v>0</v>
      </c>
      <c r="BK473" s="44">
        <v>0</v>
      </c>
      <c r="BL473" s="44">
        <v>0</v>
      </c>
      <c r="BM473" s="44">
        <v>0</v>
      </c>
      <c r="BN473" s="44">
        <v>0</v>
      </c>
      <c r="BO473" s="44">
        <v>0</v>
      </c>
      <c r="BP473" s="44">
        <v>0</v>
      </c>
      <c r="BQ473" s="44">
        <v>0</v>
      </c>
      <c r="BR473" s="44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4">
        <v>0</v>
      </c>
      <c r="CU473" s="44">
        <v>0</v>
      </c>
      <c r="CV473" s="44">
        <v>0</v>
      </c>
      <c r="CW473" s="44">
        <v>0</v>
      </c>
      <c r="CX473" s="44">
        <v>0</v>
      </c>
      <c r="CY473" s="45">
        <v>0</v>
      </c>
      <c r="CZ473" s="44">
        <v>0</v>
      </c>
      <c r="DA473" s="44">
        <v>0</v>
      </c>
      <c r="DB473" s="44">
        <v>0</v>
      </c>
      <c r="DC473" s="44">
        <v>0</v>
      </c>
      <c r="DD473" s="44">
        <v>0</v>
      </c>
      <c r="DE473" s="44">
        <v>0</v>
      </c>
      <c r="DF473" s="44">
        <v>0</v>
      </c>
      <c r="DG473" s="44">
        <v>0</v>
      </c>
      <c r="DH473" s="44">
        <v>0</v>
      </c>
      <c r="DI473" s="44">
        <v>0</v>
      </c>
    </row>
    <row r="474" spans="1:113" ht="12" hidden="1" outlineLevel="2">
      <c r="A474" s="1" t="s">
        <v>361</v>
      </c>
      <c r="B474" s="19" t="s">
        <v>444</v>
      </c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4">
        <v>0</v>
      </c>
      <c r="AQ474" s="44">
        <v>0</v>
      </c>
      <c r="AR474" s="44">
        <v>0</v>
      </c>
      <c r="AS474" s="44">
        <v>0</v>
      </c>
      <c r="AT474" s="44">
        <v>0</v>
      </c>
      <c r="AU474" s="44">
        <v>0</v>
      </c>
      <c r="AV474" s="44">
        <v>0</v>
      </c>
      <c r="AW474" s="45">
        <v>0</v>
      </c>
      <c r="AX474" s="44">
        <v>0</v>
      </c>
      <c r="AY474" s="44">
        <v>0</v>
      </c>
      <c r="AZ474" s="44">
        <v>0</v>
      </c>
      <c r="BA474" s="44">
        <v>0</v>
      </c>
      <c r="BB474" s="44">
        <v>0</v>
      </c>
      <c r="BC474" s="44">
        <v>0</v>
      </c>
      <c r="BD474" s="44">
        <v>0</v>
      </c>
      <c r="BE474" s="44">
        <v>0</v>
      </c>
      <c r="BF474" s="44">
        <v>0</v>
      </c>
      <c r="BG474" s="44">
        <v>0</v>
      </c>
      <c r="BH474" s="44">
        <v>0</v>
      </c>
      <c r="BI474" s="44">
        <v>0</v>
      </c>
      <c r="BJ474" s="44">
        <v>0</v>
      </c>
      <c r="BK474" s="44">
        <v>0</v>
      </c>
      <c r="BL474" s="44">
        <v>0</v>
      </c>
      <c r="BM474" s="44">
        <v>0</v>
      </c>
      <c r="BN474" s="44">
        <v>0</v>
      </c>
      <c r="BO474" s="44">
        <v>0</v>
      </c>
      <c r="BP474" s="44">
        <v>0</v>
      </c>
      <c r="BQ474" s="44">
        <v>0</v>
      </c>
      <c r="BR474" s="44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4">
        <v>0</v>
      </c>
      <c r="CU474" s="44">
        <v>0</v>
      </c>
      <c r="CV474" s="44">
        <v>0</v>
      </c>
      <c r="CW474" s="44">
        <v>0</v>
      </c>
      <c r="CX474" s="44">
        <v>0</v>
      </c>
      <c r="CY474" s="45">
        <v>0</v>
      </c>
      <c r="CZ474" s="44">
        <v>0</v>
      </c>
      <c r="DA474" s="44">
        <v>0</v>
      </c>
      <c r="DB474" s="44">
        <v>0</v>
      </c>
      <c r="DC474" s="44">
        <v>0</v>
      </c>
      <c r="DD474" s="44">
        <v>0</v>
      </c>
      <c r="DE474" s="44">
        <v>0</v>
      </c>
      <c r="DF474" s="44">
        <v>0</v>
      </c>
      <c r="DG474" s="44">
        <v>0</v>
      </c>
      <c r="DH474" s="44">
        <v>0</v>
      </c>
      <c r="DI474" s="44">
        <v>0</v>
      </c>
    </row>
    <row r="475" spans="1:113" ht="12" hidden="1" outlineLevel="2">
      <c r="A475" s="1" t="s">
        <v>685</v>
      </c>
      <c r="B475" s="19" t="s">
        <v>367</v>
      </c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4">
        <v>0</v>
      </c>
      <c r="AQ475" s="44">
        <v>0</v>
      </c>
      <c r="AR475" s="44">
        <v>0</v>
      </c>
      <c r="AS475" s="44">
        <v>0</v>
      </c>
      <c r="AT475" s="44">
        <v>0</v>
      </c>
      <c r="AU475" s="44">
        <v>0</v>
      </c>
      <c r="AV475" s="44">
        <v>0</v>
      </c>
      <c r="AW475" s="45">
        <v>0</v>
      </c>
      <c r="AX475" s="44">
        <v>0</v>
      </c>
      <c r="AY475" s="44">
        <v>0</v>
      </c>
      <c r="AZ475" s="44">
        <v>0</v>
      </c>
      <c r="BA475" s="44">
        <v>0</v>
      </c>
      <c r="BB475" s="44">
        <v>0</v>
      </c>
      <c r="BC475" s="44">
        <v>0</v>
      </c>
      <c r="BD475" s="44">
        <v>0</v>
      </c>
      <c r="BE475" s="44">
        <v>0</v>
      </c>
      <c r="BF475" s="44">
        <v>0</v>
      </c>
      <c r="BG475" s="44">
        <v>0</v>
      </c>
      <c r="BH475" s="44">
        <v>0</v>
      </c>
      <c r="BI475" s="44">
        <v>0</v>
      </c>
      <c r="BJ475" s="44">
        <v>0</v>
      </c>
      <c r="BK475" s="44">
        <v>0</v>
      </c>
      <c r="BL475" s="44">
        <v>0</v>
      </c>
      <c r="BM475" s="44">
        <v>0</v>
      </c>
      <c r="BN475" s="44">
        <v>0</v>
      </c>
      <c r="BO475" s="44">
        <v>0</v>
      </c>
      <c r="BP475" s="44">
        <v>0</v>
      </c>
      <c r="BQ475" s="44">
        <v>0</v>
      </c>
      <c r="BR475" s="44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4">
        <v>0</v>
      </c>
      <c r="CU475" s="44">
        <v>0</v>
      </c>
      <c r="CV475" s="44">
        <v>0</v>
      </c>
      <c r="CW475" s="44">
        <v>0</v>
      </c>
      <c r="CX475" s="44">
        <v>0</v>
      </c>
      <c r="CY475" s="45">
        <v>0</v>
      </c>
      <c r="CZ475" s="44">
        <v>0</v>
      </c>
      <c r="DA475" s="44">
        <v>0</v>
      </c>
      <c r="DB475" s="44">
        <v>0</v>
      </c>
      <c r="DC475" s="44">
        <v>0</v>
      </c>
      <c r="DD475" s="44">
        <v>0</v>
      </c>
      <c r="DE475" s="44">
        <v>0</v>
      </c>
      <c r="DF475" s="44">
        <v>0</v>
      </c>
      <c r="DG475" s="44">
        <v>0</v>
      </c>
      <c r="DH475" s="44">
        <v>0</v>
      </c>
      <c r="DI475" s="44">
        <v>0</v>
      </c>
    </row>
    <row r="476" spans="1:113" ht="12" hidden="1" outlineLevel="2">
      <c r="A476" s="1" t="s">
        <v>99</v>
      </c>
      <c r="B476" s="19" t="s">
        <v>358</v>
      </c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525">
        <v>0</v>
      </c>
      <c r="AQ476" s="525">
        <v>0</v>
      </c>
      <c r="AR476" s="525">
        <v>0</v>
      </c>
      <c r="AS476" s="525">
        <v>0</v>
      </c>
      <c r="AT476" s="525">
        <v>0</v>
      </c>
      <c r="AU476" s="525">
        <v>0</v>
      </c>
      <c r="AV476" s="525">
        <v>0</v>
      </c>
      <c r="AW476" s="523">
        <v>0</v>
      </c>
      <c r="AX476" s="46">
        <v>0</v>
      </c>
      <c r="AY476" s="46">
        <v>0</v>
      </c>
      <c r="AZ476" s="46">
        <v>0</v>
      </c>
      <c r="BA476" s="46">
        <v>0</v>
      </c>
      <c r="BB476" s="46">
        <v>0</v>
      </c>
      <c r="BC476" s="46">
        <v>0</v>
      </c>
      <c r="BD476" s="46">
        <v>0</v>
      </c>
      <c r="BE476" s="46">
        <v>0</v>
      </c>
      <c r="BF476" s="46">
        <v>0</v>
      </c>
      <c r="BG476" s="46">
        <v>0</v>
      </c>
      <c r="BH476" s="46">
        <v>0</v>
      </c>
      <c r="BI476" s="46">
        <v>0</v>
      </c>
      <c r="BJ476" s="46">
        <v>0</v>
      </c>
      <c r="BK476" s="46">
        <v>0</v>
      </c>
      <c r="BL476" s="46">
        <v>0</v>
      </c>
      <c r="BM476" s="46">
        <v>0</v>
      </c>
      <c r="BN476" s="46">
        <v>0</v>
      </c>
      <c r="BO476" s="46">
        <v>0</v>
      </c>
      <c r="BP476" s="46">
        <v>0</v>
      </c>
      <c r="BQ476" s="46">
        <v>0</v>
      </c>
      <c r="BR476" s="44"/>
      <c r="BS476" s="40"/>
      <c r="BT476" s="40"/>
      <c r="BU476" s="40"/>
      <c r="BV476" s="40"/>
      <c r="BW476" s="40"/>
      <c r="BX476" s="40"/>
      <c r="BY476" s="40"/>
      <c r="BZ476" s="40"/>
      <c r="CA476" s="40"/>
      <c r="CB476" s="40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525">
        <v>0</v>
      </c>
      <c r="CU476" s="525">
        <v>0</v>
      </c>
      <c r="CV476" s="44">
        <v>0</v>
      </c>
      <c r="CW476" s="44">
        <v>0</v>
      </c>
      <c r="CX476" s="44">
        <v>0</v>
      </c>
      <c r="CY476" s="45">
        <v>0</v>
      </c>
      <c r="CZ476" s="44">
        <v>0</v>
      </c>
      <c r="DA476" s="44">
        <v>0</v>
      </c>
      <c r="DB476" s="44">
        <v>0</v>
      </c>
      <c r="DC476" s="44">
        <v>0</v>
      </c>
      <c r="DD476" s="44">
        <v>0</v>
      </c>
      <c r="DE476" s="44">
        <v>0</v>
      </c>
      <c r="DF476" s="44">
        <v>0</v>
      </c>
      <c r="DG476" s="44">
        <v>0</v>
      </c>
      <c r="DH476" s="44">
        <v>0</v>
      </c>
      <c r="DI476" s="44">
        <v>0</v>
      </c>
    </row>
    <row r="477" spans="1:113" ht="12" hidden="1" outlineLevel="2">
      <c r="A477" s="1" t="s">
        <v>100</v>
      </c>
      <c r="B477" s="19" t="s">
        <v>422</v>
      </c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525">
        <v>0</v>
      </c>
      <c r="AQ477" s="525">
        <v>0</v>
      </c>
      <c r="AR477" s="525">
        <v>0</v>
      </c>
      <c r="AS477" s="525">
        <v>0</v>
      </c>
      <c r="AT477" s="525">
        <v>0</v>
      </c>
      <c r="AU477" s="525">
        <v>0</v>
      </c>
      <c r="AV477" s="525">
        <v>0</v>
      </c>
      <c r="AW477" s="523">
        <v>0</v>
      </c>
      <c r="AX477" s="46">
        <v>0</v>
      </c>
      <c r="AY477" s="46">
        <v>0</v>
      </c>
      <c r="AZ477" s="46">
        <v>0</v>
      </c>
      <c r="BA477" s="46">
        <v>0</v>
      </c>
      <c r="BB477" s="46">
        <v>0</v>
      </c>
      <c r="BC477" s="46">
        <v>0</v>
      </c>
      <c r="BD477" s="46">
        <v>0</v>
      </c>
      <c r="BE477" s="46">
        <v>0</v>
      </c>
      <c r="BF477" s="46">
        <v>0</v>
      </c>
      <c r="BG477" s="46">
        <v>0</v>
      </c>
      <c r="BH477" s="46">
        <v>0</v>
      </c>
      <c r="BI477" s="46">
        <v>0</v>
      </c>
      <c r="BJ477" s="46">
        <v>0</v>
      </c>
      <c r="BK477" s="46">
        <v>0</v>
      </c>
      <c r="BL477" s="46">
        <v>0</v>
      </c>
      <c r="BM477" s="46">
        <v>0</v>
      </c>
      <c r="BN477" s="46">
        <v>0</v>
      </c>
      <c r="BO477" s="46">
        <v>0</v>
      </c>
      <c r="BP477" s="46">
        <v>0</v>
      </c>
      <c r="BQ477" s="46">
        <v>0</v>
      </c>
      <c r="BR477" s="44"/>
      <c r="BS477" s="40"/>
      <c r="BT477" s="40"/>
      <c r="BU477" s="40"/>
      <c r="BV477" s="40"/>
      <c r="BW477" s="40"/>
      <c r="BX477" s="40"/>
      <c r="BY477" s="40"/>
      <c r="BZ477" s="40"/>
      <c r="CA477" s="40"/>
      <c r="CB477" s="40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525">
        <v>0</v>
      </c>
      <c r="CU477" s="525">
        <v>0</v>
      </c>
      <c r="CV477" s="44">
        <v>0</v>
      </c>
      <c r="CW477" s="44">
        <v>0</v>
      </c>
      <c r="CX477" s="44">
        <v>0</v>
      </c>
      <c r="CY477" s="45">
        <v>0</v>
      </c>
      <c r="CZ477" s="44">
        <v>0</v>
      </c>
      <c r="DA477" s="44">
        <v>0</v>
      </c>
      <c r="DB477" s="44">
        <v>0</v>
      </c>
      <c r="DC477" s="44">
        <v>0</v>
      </c>
      <c r="DD477" s="44">
        <v>0</v>
      </c>
      <c r="DE477" s="44">
        <v>0</v>
      </c>
      <c r="DF477" s="44">
        <v>0</v>
      </c>
      <c r="DG477" s="44">
        <v>0</v>
      </c>
      <c r="DH477" s="44">
        <v>0</v>
      </c>
      <c r="DI477" s="44">
        <v>0</v>
      </c>
    </row>
    <row r="478" spans="1:113" s="24" customFormat="1" ht="12" hidden="1" outlineLevel="2">
      <c r="A478" s="1" t="s">
        <v>101</v>
      </c>
      <c r="B478" s="24" t="s">
        <v>495</v>
      </c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  <c r="AJ478" s="55"/>
      <c r="AK478" s="55"/>
      <c r="AL478" s="55"/>
      <c r="AM478" s="55"/>
      <c r="AN478" s="55"/>
      <c r="AO478" s="55"/>
      <c r="AP478" s="521">
        <v>-8.5</v>
      </c>
      <c r="AQ478" s="521">
        <v>-1.5</v>
      </c>
      <c r="AR478" s="521">
        <v>-9.6</v>
      </c>
      <c r="AS478" s="521">
        <v>-15.8</v>
      </c>
      <c r="AT478" s="521">
        <v>-22.3</v>
      </c>
      <c r="AU478" s="521">
        <v>-32.299999999999997</v>
      </c>
      <c r="AV478" s="521">
        <v>-26.8</v>
      </c>
      <c r="AW478" s="522">
        <v>-43.3</v>
      </c>
      <c r="AX478" s="526">
        <v>-39.724119038143044</v>
      </c>
      <c r="AY478" s="526">
        <v>-29.789626728787368</v>
      </c>
      <c r="AZ478" s="526">
        <v>-33.616449748790529</v>
      </c>
      <c r="BA478" s="526">
        <v>-36.22872009577479</v>
      </c>
      <c r="BB478" s="526">
        <v>-39.008564401410496</v>
      </c>
      <c r="BC478" s="526">
        <v>-39.90160386568941</v>
      </c>
      <c r="BD478" s="526">
        <v>-42.571592936385137</v>
      </c>
      <c r="BE478" s="526">
        <v>-44.225562891388535</v>
      </c>
      <c r="BF478" s="526">
        <v>-46.409667518762816</v>
      </c>
      <c r="BG478" s="526">
        <v>-47.266587592127387</v>
      </c>
      <c r="BH478" s="526">
        <v>-48.86080200364794</v>
      </c>
      <c r="BI478" s="526">
        <v>-49.233918812118198</v>
      </c>
      <c r="BJ478" s="526">
        <v>-51.043230033721677</v>
      </c>
      <c r="BK478" s="526">
        <v>-51.432979339927776</v>
      </c>
      <c r="BL478" s="526">
        <v>-53.196797816995364</v>
      </c>
      <c r="BM478" s="526">
        <v>-53.85945108467476</v>
      </c>
      <c r="BN478" s="526">
        <v>-55.704964033088721</v>
      </c>
      <c r="BO478" s="526">
        <v>-56.130237129663499</v>
      </c>
      <c r="BP478" s="526">
        <v>-58.19317951259297</v>
      </c>
      <c r="BQ478" s="526">
        <v>-58.637411598801471</v>
      </c>
      <c r="BR478" s="526"/>
      <c r="BS478" s="54"/>
      <c r="BT478" s="54"/>
      <c r="BU478" s="54"/>
      <c r="BV478" s="54"/>
      <c r="BW478" s="54"/>
      <c r="BX478" s="54"/>
      <c r="BY478" s="54"/>
      <c r="BZ478" s="54"/>
      <c r="CA478" s="54"/>
      <c r="CB478" s="54"/>
      <c r="CC478" s="55"/>
      <c r="CD478" s="55"/>
      <c r="CE478" s="55"/>
      <c r="CF478" s="55"/>
      <c r="CG478" s="55"/>
      <c r="CH478" s="55"/>
      <c r="CI478" s="55"/>
      <c r="CJ478" s="55"/>
      <c r="CK478" s="55"/>
      <c r="CL478" s="55"/>
      <c r="CM478" s="55"/>
      <c r="CN478" s="55"/>
      <c r="CO478" s="55"/>
      <c r="CP478" s="55"/>
      <c r="CQ478" s="55"/>
      <c r="CR478" s="55"/>
      <c r="CS478" s="55"/>
      <c r="CT478" s="521">
        <v>-1.9155</v>
      </c>
      <c r="CU478" s="521">
        <v>-23.503499999999999</v>
      </c>
      <c r="CV478" s="526">
        <v>-10</v>
      </c>
      <c r="CW478" s="526">
        <v>-25.4</v>
      </c>
      <c r="CX478" s="526">
        <v>-54.599999999999994</v>
      </c>
      <c r="CY478" s="524">
        <v>-70.099999999999994</v>
      </c>
      <c r="CZ478" s="526">
        <v>-69.513745766930413</v>
      </c>
      <c r="DA478" s="526">
        <v>-69.845169844565319</v>
      </c>
      <c r="DB478" s="526">
        <v>-78.910168267099905</v>
      </c>
      <c r="DC478" s="526">
        <v>-86.797155827773679</v>
      </c>
      <c r="DD478" s="526">
        <v>-93.676255110890196</v>
      </c>
      <c r="DE478" s="526">
        <v>-98.094720815766138</v>
      </c>
      <c r="DF478" s="526">
        <v>-102.47620937364945</v>
      </c>
      <c r="DG478" s="526">
        <v>-107.05624890167013</v>
      </c>
      <c r="DH478" s="526">
        <v>-111.83520116275221</v>
      </c>
      <c r="DI478" s="526">
        <v>-116.83059111139444</v>
      </c>
    </row>
    <row r="479" spans="1:113" ht="12" hidden="1" outlineLevel="2">
      <c r="A479" s="1" t="s">
        <v>102</v>
      </c>
      <c r="B479" s="19" t="s">
        <v>526</v>
      </c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4">
        <v>0</v>
      </c>
      <c r="AQ479" s="44">
        <v>0</v>
      </c>
      <c r="AR479" s="44">
        <v>0</v>
      </c>
      <c r="AS479" s="44">
        <v>0</v>
      </c>
      <c r="AT479" s="44">
        <v>0</v>
      </c>
      <c r="AU479" s="44">
        <v>0</v>
      </c>
      <c r="AV479" s="44">
        <v>0</v>
      </c>
      <c r="AW479" s="45">
        <v>0</v>
      </c>
      <c r="AX479" s="46">
        <v>0</v>
      </c>
      <c r="AY479" s="46">
        <v>0</v>
      </c>
      <c r="AZ479" s="46">
        <v>0</v>
      </c>
      <c r="BA479" s="46">
        <v>0</v>
      </c>
      <c r="BB479" s="46">
        <v>0</v>
      </c>
      <c r="BC479" s="46">
        <v>0</v>
      </c>
      <c r="BD479" s="46">
        <v>0</v>
      </c>
      <c r="BE479" s="46">
        <v>0</v>
      </c>
      <c r="BF479" s="46">
        <v>0</v>
      </c>
      <c r="BG479" s="46">
        <v>0</v>
      </c>
      <c r="BH479" s="46">
        <v>0</v>
      </c>
      <c r="BI479" s="46">
        <v>0</v>
      </c>
      <c r="BJ479" s="46">
        <v>0</v>
      </c>
      <c r="BK479" s="46">
        <v>0</v>
      </c>
      <c r="BL479" s="46">
        <v>0</v>
      </c>
      <c r="BM479" s="46">
        <v>0</v>
      </c>
      <c r="BN479" s="46">
        <v>0</v>
      </c>
      <c r="BO479" s="46">
        <v>0</v>
      </c>
      <c r="BP479" s="46">
        <v>0</v>
      </c>
      <c r="BQ479" s="46">
        <v>0</v>
      </c>
      <c r="BR479" s="44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4">
        <v>0</v>
      </c>
      <c r="CU479" s="44">
        <v>0</v>
      </c>
      <c r="CV479" s="44">
        <v>0</v>
      </c>
      <c r="CW479" s="44">
        <v>0</v>
      </c>
      <c r="CX479" s="44">
        <v>0</v>
      </c>
      <c r="CY479" s="45">
        <v>0</v>
      </c>
      <c r="CZ479" s="44">
        <v>0</v>
      </c>
      <c r="DA479" s="44">
        <v>0</v>
      </c>
      <c r="DB479" s="44">
        <v>0</v>
      </c>
      <c r="DC479" s="44">
        <v>0</v>
      </c>
      <c r="DD479" s="44">
        <v>0</v>
      </c>
      <c r="DE479" s="44">
        <v>0</v>
      </c>
      <c r="DF479" s="44">
        <v>0</v>
      </c>
      <c r="DG479" s="44">
        <v>0</v>
      </c>
      <c r="DH479" s="44">
        <v>0</v>
      </c>
      <c r="DI479" s="44">
        <v>0</v>
      </c>
    </row>
    <row r="480" spans="1:113" s="24" customFormat="1" ht="12" hidden="1" outlineLevel="2">
      <c r="A480" s="1" t="s">
        <v>103</v>
      </c>
      <c r="B480" s="24" t="s">
        <v>504</v>
      </c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  <c r="AJ480" s="55"/>
      <c r="AK480" s="55"/>
      <c r="AL480" s="55"/>
      <c r="AM480" s="55"/>
      <c r="AN480" s="55"/>
      <c r="AO480" s="55"/>
      <c r="AP480" s="521">
        <v>-8.5</v>
      </c>
      <c r="AQ480" s="521">
        <v>-1.5</v>
      </c>
      <c r="AR480" s="521">
        <v>-9.6</v>
      </c>
      <c r="AS480" s="521">
        <v>-15.8</v>
      </c>
      <c r="AT480" s="521">
        <v>-22.3</v>
      </c>
      <c r="AU480" s="521">
        <v>-32.299999999999997</v>
      </c>
      <c r="AV480" s="521">
        <v>-26.8</v>
      </c>
      <c r="AW480" s="522">
        <v>-43.3</v>
      </c>
      <c r="AX480" s="526">
        <v>-39.724119038143044</v>
      </c>
      <c r="AY480" s="526">
        <v>-29.789626728787368</v>
      </c>
      <c r="AZ480" s="526">
        <v>-33.616449748790529</v>
      </c>
      <c r="BA480" s="526">
        <v>-36.22872009577479</v>
      </c>
      <c r="BB480" s="526">
        <v>-39.008564401410496</v>
      </c>
      <c r="BC480" s="526">
        <v>-39.90160386568941</v>
      </c>
      <c r="BD480" s="526">
        <v>-42.571592936385137</v>
      </c>
      <c r="BE480" s="526">
        <v>-44.225562891388535</v>
      </c>
      <c r="BF480" s="526">
        <v>-46.409667518762816</v>
      </c>
      <c r="BG480" s="526">
        <v>-47.266587592127387</v>
      </c>
      <c r="BH480" s="526">
        <v>-48.86080200364794</v>
      </c>
      <c r="BI480" s="526">
        <v>-49.233918812118198</v>
      </c>
      <c r="BJ480" s="526">
        <v>-51.043230033721677</v>
      </c>
      <c r="BK480" s="526">
        <v>-51.432979339927776</v>
      </c>
      <c r="BL480" s="526">
        <v>-53.196797816995364</v>
      </c>
      <c r="BM480" s="526">
        <v>-53.85945108467476</v>
      </c>
      <c r="BN480" s="526">
        <v>-55.704964033088721</v>
      </c>
      <c r="BO480" s="526">
        <v>-56.130237129663499</v>
      </c>
      <c r="BP480" s="526">
        <v>-58.19317951259297</v>
      </c>
      <c r="BQ480" s="526">
        <v>-58.637411598801471</v>
      </c>
      <c r="BR480" s="526"/>
      <c r="BS480" s="54"/>
      <c r="BT480" s="54"/>
      <c r="BU480" s="54"/>
      <c r="BV480" s="54"/>
      <c r="BW480" s="54"/>
      <c r="BX480" s="54"/>
      <c r="BY480" s="54"/>
      <c r="BZ480" s="54"/>
      <c r="CA480" s="54"/>
      <c r="CB480" s="54"/>
      <c r="CC480" s="55"/>
      <c r="CD480" s="55"/>
      <c r="CE480" s="55"/>
      <c r="CF480" s="55"/>
      <c r="CG480" s="55"/>
      <c r="CH480" s="55"/>
      <c r="CI480" s="55"/>
      <c r="CJ480" s="55"/>
      <c r="CK480" s="55"/>
      <c r="CL480" s="55"/>
      <c r="CM480" s="55"/>
      <c r="CN480" s="55"/>
      <c r="CO480" s="55"/>
      <c r="CP480" s="55"/>
      <c r="CQ480" s="55"/>
      <c r="CR480" s="55"/>
      <c r="CS480" s="55"/>
      <c r="CT480" s="521">
        <v>-1.9155</v>
      </c>
      <c r="CU480" s="521">
        <v>-23.503499999999999</v>
      </c>
      <c r="CV480" s="526">
        <v>-10</v>
      </c>
      <c r="CW480" s="526">
        <v>-25.4</v>
      </c>
      <c r="CX480" s="526">
        <v>-54.599999999999994</v>
      </c>
      <c r="CY480" s="524">
        <v>-70.099999999999994</v>
      </c>
      <c r="CZ480" s="526">
        <v>-69.513745766930413</v>
      </c>
      <c r="DA480" s="526">
        <v>-69.845169844565319</v>
      </c>
      <c r="DB480" s="526">
        <v>-78.910168267099905</v>
      </c>
      <c r="DC480" s="526">
        <v>-86.797155827773679</v>
      </c>
      <c r="DD480" s="526">
        <v>-93.676255110890196</v>
      </c>
      <c r="DE480" s="526">
        <v>-98.094720815766138</v>
      </c>
      <c r="DF480" s="526">
        <v>-102.47620937364945</v>
      </c>
      <c r="DG480" s="526">
        <v>-107.05624890167013</v>
      </c>
      <c r="DH480" s="526">
        <v>-111.83520116275221</v>
      </c>
      <c r="DI480" s="526">
        <v>-116.83059111139444</v>
      </c>
    </row>
    <row r="481" spans="1:113" ht="12" outlineLevel="1" collapsed="1">
      <c r="A481" s="60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394"/>
      <c r="AL481" s="394"/>
      <c r="AM481" s="394"/>
      <c r="AN481" s="394"/>
      <c r="AO481" s="394"/>
      <c r="AP481" s="44"/>
      <c r="AQ481" s="44"/>
      <c r="AR481" s="44"/>
      <c r="AS481" s="44"/>
      <c r="AT481" s="44"/>
      <c r="AU481" s="44"/>
      <c r="AV481" s="44"/>
      <c r="AW481" s="45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4"/>
      <c r="CU481" s="572"/>
      <c r="CV481" s="44"/>
      <c r="CW481" s="44"/>
      <c r="CX481" s="44"/>
      <c r="CY481" s="45"/>
      <c r="CZ481" s="44"/>
      <c r="DA481" s="44"/>
      <c r="DB481" s="44"/>
      <c r="DC481" s="529"/>
      <c r="DD481" s="529"/>
      <c r="DE481" s="529"/>
      <c r="DF481" s="529"/>
      <c r="DG481" s="529"/>
      <c r="DH481" s="529"/>
      <c r="DI481" s="529"/>
    </row>
    <row r="482" spans="1:113" ht="12"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4"/>
      <c r="AQ482" s="44"/>
      <c r="AR482" s="44"/>
      <c r="AS482" s="44"/>
      <c r="AT482" s="44"/>
      <c r="AU482" s="44"/>
      <c r="AV482" s="44"/>
      <c r="AW482" s="45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P482" s="42"/>
      <c r="BQ482" s="42"/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4"/>
      <c r="CU482" s="44"/>
      <c r="CV482" s="44"/>
      <c r="CW482" s="44"/>
      <c r="CX482" s="44"/>
      <c r="CY482" s="45"/>
      <c r="CZ482" s="44"/>
      <c r="DA482" s="44"/>
      <c r="DB482" s="44"/>
      <c r="DC482" s="529"/>
      <c r="DD482" s="529"/>
      <c r="DE482" s="529"/>
      <c r="DF482" s="529"/>
      <c r="DG482" s="529"/>
      <c r="DH482" s="529"/>
      <c r="DI482" s="529"/>
    </row>
    <row r="483" spans="1:113" s="36" customFormat="1" ht="12" collapsed="1">
      <c r="A483" s="1" t="s">
        <v>286</v>
      </c>
      <c r="B483" s="2" t="s">
        <v>346</v>
      </c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  <c r="AJ483" s="55"/>
      <c r="AK483" s="55"/>
      <c r="AL483" s="55"/>
      <c r="AM483" s="55"/>
      <c r="AN483" s="55"/>
      <c r="AO483" s="55"/>
      <c r="AP483" s="527">
        <v>-6.5999999999999943</v>
      </c>
      <c r="AQ483" s="527">
        <v>-0.69999999999999574</v>
      </c>
      <c r="AR483" s="527">
        <v>3.0000000000000089</v>
      </c>
      <c r="AS483" s="527">
        <v>12.599999999999991</v>
      </c>
      <c r="AT483" s="527">
        <v>53.199999999999989</v>
      </c>
      <c r="AU483" s="527">
        <v>54.299999999999983</v>
      </c>
      <c r="AV483" s="527">
        <v>67.400000000000006</v>
      </c>
      <c r="AW483" s="528">
        <v>36.90000000000002</v>
      </c>
      <c r="AX483" s="527">
        <v>42.660931094892803</v>
      </c>
      <c r="AY483" s="527">
        <v>76.934517437769401</v>
      </c>
      <c r="AZ483" s="527">
        <v>95.77670488432986</v>
      </c>
      <c r="BA483" s="527">
        <v>112.67170742367576</v>
      </c>
      <c r="BB483" s="527">
        <v>136.58838000853953</v>
      </c>
      <c r="BC483" s="527">
        <v>144.34909634708708</v>
      </c>
      <c r="BD483" s="527">
        <v>154.10833618357967</v>
      </c>
      <c r="BE483" s="527">
        <v>161.63450008216014</v>
      </c>
      <c r="BF483" s="527">
        <v>173.1562132516749</v>
      </c>
      <c r="BG483" s="527">
        <v>176.9882373535533</v>
      </c>
      <c r="BH483" s="527">
        <v>187.24221561831851</v>
      </c>
      <c r="BI483" s="527">
        <v>188.82578134372449</v>
      </c>
      <c r="BJ483" s="527">
        <v>198.1041972180266</v>
      </c>
      <c r="BK483" s="527">
        <v>199.75533177786033</v>
      </c>
      <c r="BL483" s="527">
        <v>209.08735321179884</v>
      </c>
      <c r="BM483" s="527">
        <v>211.71224580365472</v>
      </c>
      <c r="BN483" s="527">
        <v>219.42279840302447</v>
      </c>
      <c r="BO483" s="527">
        <v>220.68268667123414</v>
      </c>
      <c r="BP483" s="527">
        <v>229.70872632895595</v>
      </c>
      <c r="BQ483" s="527">
        <v>230.71275574897265</v>
      </c>
      <c r="BR483" s="527"/>
      <c r="BS483" s="52"/>
      <c r="BT483" s="52"/>
      <c r="BU483" s="52"/>
      <c r="BV483" s="52"/>
      <c r="BW483" s="52"/>
      <c r="BX483" s="52"/>
      <c r="BY483" s="52"/>
      <c r="BZ483" s="52"/>
      <c r="CA483" s="52"/>
      <c r="CB483" s="52"/>
      <c r="CC483" s="52"/>
      <c r="CD483" s="52"/>
      <c r="CE483" s="52"/>
      <c r="CF483" s="52"/>
      <c r="CG483" s="52"/>
      <c r="CH483" s="52"/>
      <c r="CI483" s="52"/>
      <c r="CJ483" s="52"/>
      <c r="CK483" s="52"/>
      <c r="CL483" s="52"/>
      <c r="CM483" s="52"/>
      <c r="CN483" s="52"/>
      <c r="CO483" s="52"/>
      <c r="CP483" s="52"/>
      <c r="CQ483" s="52"/>
      <c r="CR483" s="52"/>
      <c r="CS483" s="52"/>
      <c r="CT483" s="527">
        <v>-32.113500000000002</v>
      </c>
      <c r="CU483" s="527">
        <v>-54.991500000000002</v>
      </c>
      <c r="CV483" s="527">
        <v>-7.2999999999999972</v>
      </c>
      <c r="CW483" s="527">
        <v>15.600000000000001</v>
      </c>
      <c r="CX483" s="527">
        <v>107.5</v>
      </c>
      <c r="CY483" s="528">
        <v>104.29999999999998</v>
      </c>
      <c r="CZ483" s="527">
        <v>119.59544853266218</v>
      </c>
      <c r="DA483" s="527">
        <v>208.44841230800563</v>
      </c>
      <c r="DB483" s="527">
        <v>280.93747635562659</v>
      </c>
      <c r="DC483" s="527">
        <v>315.74283626573981</v>
      </c>
      <c r="DD483" s="527">
        <v>350.14445060522826</v>
      </c>
      <c r="DE483" s="527">
        <v>376.06799696204303</v>
      </c>
      <c r="DF483" s="527">
        <v>397.85952899588693</v>
      </c>
      <c r="DG483" s="527">
        <v>420.79959901545357</v>
      </c>
      <c r="DH483" s="527">
        <v>440.10548507425858</v>
      </c>
      <c r="DI483" s="527">
        <v>460.4214820779286</v>
      </c>
    </row>
    <row r="484" spans="1:113" ht="12" hidden="1" outlineLevel="2">
      <c r="A484" s="1" t="s">
        <v>105</v>
      </c>
      <c r="B484" s="19" t="s">
        <v>854</v>
      </c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4">
        <v>0</v>
      </c>
      <c r="AQ484" s="44">
        <v>0</v>
      </c>
      <c r="AR484" s="44">
        <v>0</v>
      </c>
      <c r="AS484" s="44">
        <v>0</v>
      </c>
      <c r="AT484" s="44">
        <v>0</v>
      </c>
      <c r="AU484" s="44">
        <v>0</v>
      </c>
      <c r="AV484" s="44">
        <v>0</v>
      </c>
      <c r="AW484" s="45">
        <v>0</v>
      </c>
      <c r="AX484" s="44">
        <v>0</v>
      </c>
      <c r="AY484" s="44">
        <v>0</v>
      </c>
      <c r="AZ484" s="44">
        <v>0</v>
      </c>
      <c r="BA484" s="44">
        <v>0</v>
      </c>
      <c r="BB484" s="44">
        <v>0</v>
      </c>
      <c r="BC484" s="44">
        <v>0</v>
      </c>
      <c r="BD484" s="44">
        <v>0</v>
      </c>
      <c r="BE484" s="44">
        <v>0</v>
      </c>
      <c r="BF484" s="44">
        <v>0</v>
      </c>
      <c r="BG484" s="44">
        <v>0</v>
      </c>
      <c r="BH484" s="44">
        <v>0</v>
      </c>
      <c r="BI484" s="44">
        <v>0</v>
      </c>
      <c r="BJ484" s="44">
        <v>0</v>
      </c>
      <c r="BK484" s="44">
        <v>0</v>
      </c>
      <c r="BL484" s="44">
        <v>0</v>
      </c>
      <c r="BM484" s="44">
        <v>0</v>
      </c>
      <c r="BN484" s="44">
        <v>0</v>
      </c>
      <c r="BO484" s="44">
        <v>0</v>
      </c>
      <c r="BP484" s="44">
        <v>0</v>
      </c>
      <c r="BQ484" s="44">
        <v>0</v>
      </c>
      <c r="BR484" s="44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4">
        <v>0</v>
      </c>
      <c r="CU484" s="44">
        <v>0</v>
      </c>
      <c r="CV484" s="44">
        <v>0</v>
      </c>
      <c r="CW484" s="44">
        <v>0</v>
      </c>
      <c r="CX484" s="44">
        <v>0</v>
      </c>
      <c r="CY484" s="45">
        <v>0</v>
      </c>
      <c r="CZ484" s="44">
        <v>0</v>
      </c>
      <c r="DA484" s="44">
        <v>0</v>
      </c>
      <c r="DB484" s="44">
        <v>0</v>
      </c>
      <c r="DC484" s="44">
        <v>0</v>
      </c>
      <c r="DD484" s="44">
        <v>0</v>
      </c>
      <c r="DE484" s="44">
        <v>0</v>
      </c>
      <c r="DF484" s="44">
        <v>0</v>
      </c>
      <c r="DG484" s="44">
        <v>0</v>
      </c>
      <c r="DH484" s="44">
        <v>0</v>
      </c>
      <c r="DI484" s="44">
        <v>0</v>
      </c>
    </row>
    <row r="485" spans="1:113" ht="12" hidden="1" outlineLevel="2">
      <c r="A485" s="1" t="s">
        <v>179</v>
      </c>
      <c r="B485" s="19" t="s">
        <v>444</v>
      </c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4">
        <v>0</v>
      </c>
      <c r="AQ485" s="44">
        <v>0</v>
      </c>
      <c r="AR485" s="44">
        <v>0</v>
      </c>
      <c r="AS485" s="44">
        <v>0</v>
      </c>
      <c r="AT485" s="44">
        <v>0</v>
      </c>
      <c r="AU485" s="44">
        <v>0</v>
      </c>
      <c r="AV485" s="44">
        <v>0</v>
      </c>
      <c r="AW485" s="45">
        <v>0</v>
      </c>
      <c r="AX485" s="44">
        <v>0</v>
      </c>
      <c r="AY485" s="44">
        <v>0</v>
      </c>
      <c r="AZ485" s="44">
        <v>0</v>
      </c>
      <c r="BA485" s="44">
        <v>0</v>
      </c>
      <c r="BB485" s="44">
        <v>0</v>
      </c>
      <c r="BC485" s="44">
        <v>0</v>
      </c>
      <c r="BD485" s="44">
        <v>0</v>
      </c>
      <c r="BE485" s="44">
        <v>0</v>
      </c>
      <c r="BF485" s="44">
        <v>0</v>
      </c>
      <c r="BG485" s="44">
        <v>0</v>
      </c>
      <c r="BH485" s="44">
        <v>0</v>
      </c>
      <c r="BI485" s="44">
        <v>0</v>
      </c>
      <c r="BJ485" s="44">
        <v>0</v>
      </c>
      <c r="BK485" s="44">
        <v>0</v>
      </c>
      <c r="BL485" s="44">
        <v>0</v>
      </c>
      <c r="BM485" s="44">
        <v>0</v>
      </c>
      <c r="BN485" s="44">
        <v>0</v>
      </c>
      <c r="BO485" s="44">
        <v>0</v>
      </c>
      <c r="BP485" s="44">
        <v>0</v>
      </c>
      <c r="BQ485" s="44">
        <v>0</v>
      </c>
      <c r="BR485" s="44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4">
        <v>0</v>
      </c>
      <c r="CU485" s="44">
        <v>0</v>
      </c>
      <c r="CV485" s="44">
        <v>0</v>
      </c>
      <c r="CW485" s="44">
        <v>0</v>
      </c>
      <c r="CX485" s="44">
        <v>0</v>
      </c>
      <c r="CY485" s="45">
        <v>0</v>
      </c>
      <c r="CZ485" s="44">
        <v>0</v>
      </c>
      <c r="DA485" s="44">
        <v>0</v>
      </c>
      <c r="DB485" s="44">
        <v>0</v>
      </c>
      <c r="DC485" s="44">
        <v>0</v>
      </c>
      <c r="DD485" s="44">
        <v>0</v>
      </c>
      <c r="DE485" s="44">
        <v>0</v>
      </c>
      <c r="DF485" s="44">
        <v>0</v>
      </c>
      <c r="DG485" s="44">
        <v>0</v>
      </c>
      <c r="DH485" s="44">
        <v>0</v>
      </c>
      <c r="DI485" s="44">
        <v>0</v>
      </c>
    </row>
    <row r="486" spans="1:113" ht="12" hidden="1" outlineLevel="2">
      <c r="A486" s="1" t="s">
        <v>280</v>
      </c>
      <c r="B486" s="19" t="s">
        <v>367</v>
      </c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4">
        <v>0</v>
      </c>
      <c r="AQ486" s="44">
        <v>0</v>
      </c>
      <c r="AR486" s="44">
        <v>0</v>
      </c>
      <c r="AS486" s="44">
        <v>0</v>
      </c>
      <c r="AT486" s="44">
        <v>0</v>
      </c>
      <c r="AU486" s="44">
        <v>0</v>
      </c>
      <c r="AV486" s="44">
        <v>0</v>
      </c>
      <c r="AW486" s="45">
        <v>0</v>
      </c>
      <c r="AX486" s="44">
        <v>0</v>
      </c>
      <c r="AY486" s="44">
        <v>0</v>
      </c>
      <c r="AZ486" s="44">
        <v>0</v>
      </c>
      <c r="BA486" s="44">
        <v>0</v>
      </c>
      <c r="BB486" s="44">
        <v>0</v>
      </c>
      <c r="BC486" s="44">
        <v>0</v>
      </c>
      <c r="BD486" s="44">
        <v>0</v>
      </c>
      <c r="BE486" s="44">
        <v>0</v>
      </c>
      <c r="BF486" s="44">
        <v>0</v>
      </c>
      <c r="BG486" s="44">
        <v>0</v>
      </c>
      <c r="BH486" s="44">
        <v>0</v>
      </c>
      <c r="BI486" s="44">
        <v>0</v>
      </c>
      <c r="BJ486" s="44">
        <v>0</v>
      </c>
      <c r="BK486" s="44">
        <v>0</v>
      </c>
      <c r="BL486" s="44">
        <v>0</v>
      </c>
      <c r="BM486" s="44">
        <v>0</v>
      </c>
      <c r="BN486" s="44">
        <v>0</v>
      </c>
      <c r="BO486" s="44">
        <v>0</v>
      </c>
      <c r="BP486" s="44">
        <v>0</v>
      </c>
      <c r="BQ486" s="44">
        <v>0</v>
      </c>
      <c r="BR486" s="44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4">
        <v>0</v>
      </c>
      <c r="CU486" s="44">
        <v>0</v>
      </c>
      <c r="CV486" s="44">
        <v>0</v>
      </c>
      <c r="CW486" s="44">
        <v>0</v>
      </c>
      <c r="CX486" s="44">
        <v>0</v>
      </c>
      <c r="CY486" s="45">
        <v>0</v>
      </c>
      <c r="CZ486" s="44">
        <v>0</v>
      </c>
      <c r="DA486" s="44">
        <v>0</v>
      </c>
      <c r="DB486" s="44">
        <v>0</v>
      </c>
      <c r="DC486" s="44">
        <v>0</v>
      </c>
      <c r="DD486" s="44">
        <v>0</v>
      </c>
      <c r="DE486" s="44">
        <v>0</v>
      </c>
      <c r="DF486" s="44">
        <v>0</v>
      </c>
      <c r="DG486" s="44">
        <v>0</v>
      </c>
      <c r="DH486" s="44">
        <v>0</v>
      </c>
      <c r="DI486" s="44">
        <v>0</v>
      </c>
    </row>
    <row r="487" spans="1:113" ht="12" hidden="1" outlineLevel="2">
      <c r="A487" s="1" t="s">
        <v>281</v>
      </c>
      <c r="B487" s="19" t="s">
        <v>368</v>
      </c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4">
        <v>0</v>
      </c>
      <c r="AQ487" s="44">
        <v>0</v>
      </c>
      <c r="AR487" s="44">
        <v>0</v>
      </c>
      <c r="AS487" s="44">
        <v>0</v>
      </c>
      <c r="AT487" s="44">
        <v>0</v>
      </c>
      <c r="AU487" s="44">
        <v>0</v>
      </c>
      <c r="AV487" s="44">
        <v>0</v>
      </c>
      <c r="AW487" s="45">
        <v>0</v>
      </c>
      <c r="AX487" s="44">
        <v>0</v>
      </c>
      <c r="AY487" s="44">
        <v>0</v>
      </c>
      <c r="AZ487" s="44">
        <v>0</v>
      </c>
      <c r="BA487" s="44">
        <v>0</v>
      </c>
      <c r="BB487" s="44">
        <v>0</v>
      </c>
      <c r="BC487" s="44">
        <v>0</v>
      </c>
      <c r="BD487" s="44">
        <v>0</v>
      </c>
      <c r="BE487" s="44">
        <v>0</v>
      </c>
      <c r="BF487" s="44">
        <v>0</v>
      </c>
      <c r="BG487" s="44">
        <v>0</v>
      </c>
      <c r="BH487" s="44">
        <v>0</v>
      </c>
      <c r="BI487" s="44">
        <v>0</v>
      </c>
      <c r="BJ487" s="44">
        <v>0</v>
      </c>
      <c r="BK487" s="44">
        <v>0</v>
      </c>
      <c r="BL487" s="44">
        <v>0</v>
      </c>
      <c r="BM487" s="44">
        <v>0</v>
      </c>
      <c r="BN487" s="44">
        <v>0</v>
      </c>
      <c r="BO487" s="44">
        <v>0</v>
      </c>
      <c r="BP487" s="44">
        <v>0</v>
      </c>
      <c r="BQ487" s="44">
        <v>0</v>
      </c>
      <c r="BR487" s="44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4">
        <v>0</v>
      </c>
      <c r="CU487" s="44">
        <v>0</v>
      </c>
      <c r="CV487" s="44">
        <v>0</v>
      </c>
      <c r="CW487" s="44">
        <v>0</v>
      </c>
      <c r="CX487" s="44">
        <v>0</v>
      </c>
      <c r="CY487" s="45">
        <v>0</v>
      </c>
      <c r="CZ487" s="44">
        <v>0</v>
      </c>
      <c r="DA487" s="44">
        <v>0</v>
      </c>
      <c r="DB487" s="44">
        <v>0</v>
      </c>
      <c r="DC487" s="44">
        <v>0</v>
      </c>
      <c r="DD487" s="44">
        <v>0</v>
      </c>
      <c r="DE487" s="44">
        <v>0</v>
      </c>
      <c r="DF487" s="44">
        <v>0</v>
      </c>
      <c r="DG487" s="44">
        <v>0</v>
      </c>
      <c r="DH487" s="44">
        <v>0</v>
      </c>
      <c r="DI487" s="44">
        <v>0</v>
      </c>
    </row>
    <row r="488" spans="1:113" ht="12" hidden="1" outlineLevel="2">
      <c r="A488" s="1" t="s">
        <v>686</v>
      </c>
      <c r="B488" s="19" t="s">
        <v>358</v>
      </c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4">
        <v>0</v>
      </c>
      <c r="AQ488" s="44">
        <v>0</v>
      </c>
      <c r="AR488" s="44">
        <v>0</v>
      </c>
      <c r="AS488" s="44">
        <v>0</v>
      </c>
      <c r="AT488" s="44">
        <v>0</v>
      </c>
      <c r="AU488" s="44">
        <v>0</v>
      </c>
      <c r="AV488" s="44">
        <v>0</v>
      </c>
      <c r="AW488" s="45">
        <v>0</v>
      </c>
      <c r="AX488" s="44">
        <v>0</v>
      </c>
      <c r="AY488" s="44">
        <v>0</v>
      </c>
      <c r="AZ488" s="44">
        <v>0</v>
      </c>
      <c r="BA488" s="44">
        <v>0</v>
      </c>
      <c r="BB488" s="44">
        <v>0</v>
      </c>
      <c r="BC488" s="44">
        <v>0</v>
      </c>
      <c r="BD488" s="44">
        <v>0</v>
      </c>
      <c r="BE488" s="44">
        <v>0</v>
      </c>
      <c r="BF488" s="44">
        <v>0</v>
      </c>
      <c r="BG488" s="44">
        <v>0</v>
      </c>
      <c r="BH488" s="44">
        <v>0</v>
      </c>
      <c r="BI488" s="44">
        <v>0</v>
      </c>
      <c r="BJ488" s="44">
        <v>0</v>
      </c>
      <c r="BK488" s="44">
        <v>0</v>
      </c>
      <c r="BL488" s="44">
        <v>0</v>
      </c>
      <c r="BM488" s="44">
        <v>0</v>
      </c>
      <c r="BN488" s="44">
        <v>0</v>
      </c>
      <c r="BO488" s="44">
        <v>0</v>
      </c>
      <c r="BP488" s="44">
        <v>0</v>
      </c>
      <c r="BQ488" s="44">
        <v>0</v>
      </c>
      <c r="BR488" s="44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4">
        <v>0</v>
      </c>
      <c r="CU488" s="44">
        <v>0</v>
      </c>
      <c r="CV488" s="44">
        <v>0</v>
      </c>
      <c r="CW488" s="44">
        <v>0</v>
      </c>
      <c r="CX488" s="44">
        <v>0</v>
      </c>
      <c r="CY488" s="45">
        <v>0</v>
      </c>
      <c r="CZ488" s="44">
        <v>0</v>
      </c>
      <c r="DA488" s="44">
        <v>0</v>
      </c>
      <c r="DB488" s="44">
        <v>0</v>
      </c>
      <c r="DC488" s="44">
        <v>0</v>
      </c>
      <c r="DD488" s="44">
        <v>0</v>
      </c>
      <c r="DE488" s="44">
        <v>0</v>
      </c>
      <c r="DF488" s="44">
        <v>0</v>
      </c>
      <c r="DG488" s="44">
        <v>0</v>
      </c>
      <c r="DH488" s="44">
        <v>0</v>
      </c>
      <c r="DI488" s="44">
        <v>0</v>
      </c>
    </row>
    <row r="489" spans="1:113" ht="12" hidden="1" outlineLevel="2">
      <c r="A489" s="1" t="s">
        <v>282</v>
      </c>
      <c r="B489" s="19" t="s">
        <v>422</v>
      </c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4">
        <v>0</v>
      </c>
      <c r="AQ489" s="44">
        <v>0</v>
      </c>
      <c r="AR489" s="44">
        <v>0</v>
      </c>
      <c r="AS489" s="44">
        <v>0</v>
      </c>
      <c r="AT489" s="44">
        <v>0</v>
      </c>
      <c r="AU489" s="44">
        <v>0</v>
      </c>
      <c r="AV489" s="44">
        <v>0</v>
      </c>
      <c r="AW489" s="45">
        <v>5.8</v>
      </c>
      <c r="AX489" s="44">
        <v>0</v>
      </c>
      <c r="AY489" s="44">
        <v>0</v>
      </c>
      <c r="AZ489" s="44">
        <v>0</v>
      </c>
      <c r="BA489" s="44">
        <v>0</v>
      </c>
      <c r="BB489" s="44">
        <v>0</v>
      </c>
      <c r="BC489" s="44">
        <v>0</v>
      </c>
      <c r="BD489" s="44">
        <v>0</v>
      </c>
      <c r="BE489" s="44">
        <v>0</v>
      </c>
      <c r="BF489" s="44">
        <v>0</v>
      </c>
      <c r="BG489" s="44">
        <v>0</v>
      </c>
      <c r="BH489" s="44">
        <v>0</v>
      </c>
      <c r="BI489" s="44">
        <v>0</v>
      </c>
      <c r="BJ489" s="44">
        <v>0</v>
      </c>
      <c r="BK489" s="44">
        <v>0</v>
      </c>
      <c r="BL489" s="44">
        <v>0</v>
      </c>
      <c r="BM489" s="44">
        <v>0</v>
      </c>
      <c r="BN489" s="44">
        <v>0</v>
      </c>
      <c r="BO489" s="44">
        <v>0</v>
      </c>
      <c r="BP489" s="44">
        <v>0</v>
      </c>
      <c r="BQ489" s="44">
        <v>0</v>
      </c>
      <c r="BR489" s="44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4">
        <v>0</v>
      </c>
      <c r="CU489" s="44">
        <v>0</v>
      </c>
      <c r="CV489" s="44">
        <v>0</v>
      </c>
      <c r="CW489" s="44">
        <v>0</v>
      </c>
      <c r="CX489" s="44">
        <v>0</v>
      </c>
      <c r="CY489" s="45">
        <v>5.8</v>
      </c>
      <c r="CZ489" s="44">
        <v>0</v>
      </c>
      <c r="DA489" s="44">
        <v>0</v>
      </c>
      <c r="DB489" s="44">
        <v>0</v>
      </c>
      <c r="DC489" s="44">
        <v>0</v>
      </c>
      <c r="DD489" s="44">
        <v>0</v>
      </c>
      <c r="DE489" s="44">
        <v>0</v>
      </c>
      <c r="DF489" s="44">
        <v>0</v>
      </c>
      <c r="DG489" s="44">
        <v>0</v>
      </c>
      <c r="DH489" s="44">
        <v>0</v>
      </c>
      <c r="DI489" s="44">
        <v>0</v>
      </c>
    </row>
    <row r="490" spans="1:113" s="24" customFormat="1" ht="12" hidden="1" outlineLevel="2">
      <c r="A490" s="1" t="s">
        <v>283</v>
      </c>
      <c r="B490" s="24" t="s">
        <v>347</v>
      </c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  <c r="AJ490" s="55"/>
      <c r="AK490" s="55"/>
      <c r="AL490" s="55"/>
      <c r="AM490" s="55"/>
      <c r="AN490" s="55"/>
      <c r="AO490" s="55"/>
      <c r="AP490" s="526">
        <v>-6.5999999999999943</v>
      </c>
      <c r="AQ490" s="526">
        <v>-0.69999999999999574</v>
      </c>
      <c r="AR490" s="526">
        <v>3.0000000000000089</v>
      </c>
      <c r="AS490" s="526">
        <v>12.599999999999991</v>
      </c>
      <c r="AT490" s="526">
        <v>53.199999999999989</v>
      </c>
      <c r="AU490" s="526">
        <v>54.299999999999983</v>
      </c>
      <c r="AV490" s="526">
        <v>67.400000000000006</v>
      </c>
      <c r="AW490" s="524">
        <v>42.700000000000017</v>
      </c>
      <c r="AX490" s="526">
        <v>42.660931094892803</v>
      </c>
      <c r="AY490" s="526">
        <v>76.934517437769401</v>
      </c>
      <c r="AZ490" s="526">
        <v>95.77670488432986</v>
      </c>
      <c r="BA490" s="526">
        <v>112.67170742367576</v>
      </c>
      <c r="BB490" s="526">
        <v>136.58838000853953</v>
      </c>
      <c r="BC490" s="526">
        <v>144.34909634708708</v>
      </c>
      <c r="BD490" s="526">
        <v>154.10833618357967</v>
      </c>
      <c r="BE490" s="526">
        <v>161.63450008216014</v>
      </c>
      <c r="BF490" s="526">
        <v>173.1562132516749</v>
      </c>
      <c r="BG490" s="526">
        <v>176.9882373535533</v>
      </c>
      <c r="BH490" s="526">
        <v>187.24221561831851</v>
      </c>
      <c r="BI490" s="526">
        <v>188.82578134372449</v>
      </c>
      <c r="BJ490" s="526">
        <v>198.1041972180266</v>
      </c>
      <c r="BK490" s="526">
        <v>199.75533177786033</v>
      </c>
      <c r="BL490" s="526">
        <v>209.08735321179884</v>
      </c>
      <c r="BM490" s="526">
        <v>211.71224580365472</v>
      </c>
      <c r="BN490" s="526">
        <v>219.42279840302447</v>
      </c>
      <c r="BO490" s="526">
        <v>220.68268667123414</v>
      </c>
      <c r="BP490" s="526">
        <v>229.70872632895595</v>
      </c>
      <c r="BQ490" s="526">
        <v>230.71275574897265</v>
      </c>
      <c r="BR490" s="526"/>
      <c r="BS490" s="55"/>
      <c r="BT490" s="55"/>
      <c r="BU490" s="55"/>
      <c r="BV490" s="55"/>
      <c r="BW490" s="55"/>
      <c r="BX490" s="55"/>
      <c r="BY490" s="55"/>
      <c r="BZ490" s="55"/>
      <c r="CA490" s="55"/>
      <c r="CB490" s="55"/>
      <c r="CC490" s="55"/>
      <c r="CD490" s="55"/>
      <c r="CE490" s="55"/>
      <c r="CF490" s="55"/>
      <c r="CG490" s="55"/>
      <c r="CH490" s="55"/>
      <c r="CI490" s="55"/>
      <c r="CJ490" s="55"/>
      <c r="CK490" s="55"/>
      <c r="CL490" s="55"/>
      <c r="CM490" s="55"/>
      <c r="CN490" s="55"/>
      <c r="CO490" s="55"/>
      <c r="CP490" s="55"/>
      <c r="CQ490" s="55"/>
      <c r="CR490" s="55"/>
      <c r="CS490" s="55"/>
      <c r="CT490" s="526">
        <v>-32.113500000000002</v>
      </c>
      <c r="CU490" s="526">
        <v>-54.991500000000002</v>
      </c>
      <c r="CV490" s="526">
        <v>-7.2999999999999972</v>
      </c>
      <c r="CW490" s="526">
        <v>15.600000000000001</v>
      </c>
      <c r="CX490" s="526">
        <v>107.5</v>
      </c>
      <c r="CY490" s="524">
        <v>110.09999999999998</v>
      </c>
      <c r="CZ490" s="526">
        <v>119.59544853266218</v>
      </c>
      <c r="DA490" s="526">
        <v>208.44841230800563</v>
      </c>
      <c r="DB490" s="526">
        <v>280.93747635562659</v>
      </c>
      <c r="DC490" s="526">
        <v>315.74283626573981</v>
      </c>
      <c r="DD490" s="526">
        <v>350.14445060522826</v>
      </c>
      <c r="DE490" s="526">
        <v>376.06799696204303</v>
      </c>
      <c r="DF490" s="526">
        <v>397.85952899588693</v>
      </c>
      <c r="DG490" s="526">
        <v>420.79959901545357</v>
      </c>
      <c r="DH490" s="526">
        <v>440.10548507425858</v>
      </c>
      <c r="DI490" s="526">
        <v>460.4214820779286</v>
      </c>
    </row>
    <row r="491" spans="1:113" ht="12" hidden="1" outlineLevel="2">
      <c r="A491" s="1" t="s">
        <v>284</v>
      </c>
      <c r="B491" s="19" t="s">
        <v>526</v>
      </c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4">
        <v>2.0999999999999943</v>
      </c>
      <c r="AQ491" s="44">
        <v>0.79999999999999716</v>
      </c>
      <c r="AR491" s="44">
        <v>-22.799999999999997</v>
      </c>
      <c r="AS491" s="44">
        <v>0</v>
      </c>
      <c r="AT491" s="44">
        <v>0</v>
      </c>
      <c r="AU491" s="44">
        <v>0</v>
      </c>
      <c r="AV491" s="44">
        <v>0</v>
      </c>
      <c r="AW491" s="45">
        <v>-5.7999999999999972</v>
      </c>
      <c r="AX491" s="44">
        <v>0</v>
      </c>
      <c r="AY491" s="44">
        <v>0</v>
      </c>
      <c r="AZ491" s="44">
        <v>0</v>
      </c>
      <c r="BA491" s="44">
        <v>0</v>
      </c>
      <c r="BB491" s="44">
        <v>0</v>
      </c>
      <c r="BC491" s="44">
        <v>0</v>
      </c>
      <c r="BD491" s="44">
        <v>0</v>
      </c>
      <c r="BE491" s="44">
        <v>0</v>
      </c>
      <c r="BF491" s="44">
        <v>0</v>
      </c>
      <c r="BG491" s="44">
        <v>0</v>
      </c>
      <c r="BH491" s="44">
        <v>0</v>
      </c>
      <c r="BI491" s="44">
        <v>0</v>
      </c>
      <c r="BJ491" s="44">
        <v>0</v>
      </c>
      <c r="BK491" s="44">
        <v>0</v>
      </c>
      <c r="BL491" s="44">
        <v>0</v>
      </c>
      <c r="BM491" s="44">
        <v>0</v>
      </c>
      <c r="BN491" s="44">
        <v>0</v>
      </c>
      <c r="BO491" s="44">
        <v>0</v>
      </c>
      <c r="BP491" s="44">
        <v>0</v>
      </c>
      <c r="BQ491" s="44">
        <v>0</v>
      </c>
      <c r="BR491" s="44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4">
        <v>4.1479999999999997</v>
      </c>
      <c r="CU491" s="44">
        <v>4.1480000000000032</v>
      </c>
      <c r="CV491" s="44">
        <v>2.8999999999999915</v>
      </c>
      <c r="CW491" s="44">
        <v>-22.799999999999997</v>
      </c>
      <c r="CX491" s="44">
        <v>0</v>
      </c>
      <c r="CY491" s="45">
        <v>-5.7999999999999972</v>
      </c>
      <c r="CZ491" s="44">
        <v>0</v>
      </c>
      <c r="DA491" s="44">
        <v>0</v>
      </c>
      <c r="DB491" s="44">
        <v>0</v>
      </c>
      <c r="DC491" s="44">
        <v>0</v>
      </c>
      <c r="DD491" s="44">
        <v>0</v>
      </c>
      <c r="DE491" s="44">
        <v>0</v>
      </c>
      <c r="DF491" s="44">
        <v>0</v>
      </c>
      <c r="DG491" s="44">
        <v>0</v>
      </c>
      <c r="DH491" s="44">
        <v>0</v>
      </c>
      <c r="DI491" s="44">
        <v>0</v>
      </c>
    </row>
    <row r="492" spans="1:113" ht="12" hidden="1" outlineLevel="2">
      <c r="A492" s="1" t="s">
        <v>687</v>
      </c>
      <c r="B492" s="19" t="s">
        <v>250</v>
      </c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1">
        <v>0</v>
      </c>
      <c r="AQ492" s="41">
        <v>0</v>
      </c>
      <c r="AR492" s="41">
        <v>0</v>
      </c>
      <c r="AS492" s="41">
        <v>0</v>
      </c>
      <c r="AT492" s="41">
        <v>0</v>
      </c>
      <c r="AU492" s="41">
        <v>0</v>
      </c>
      <c r="AV492" s="41">
        <v>0</v>
      </c>
      <c r="AW492" s="429">
        <v>0</v>
      </c>
      <c r="AX492" s="46">
        <v>0</v>
      </c>
      <c r="AY492" s="46">
        <v>0</v>
      </c>
      <c r="AZ492" s="46">
        <v>0</v>
      </c>
      <c r="BA492" s="46">
        <v>0</v>
      </c>
      <c r="BB492" s="46">
        <v>0</v>
      </c>
      <c r="BC492" s="46">
        <v>0</v>
      </c>
      <c r="BD492" s="46">
        <v>0</v>
      </c>
      <c r="BE492" s="46">
        <v>0</v>
      </c>
      <c r="BF492" s="46">
        <v>0</v>
      </c>
      <c r="BG492" s="46">
        <v>0</v>
      </c>
      <c r="BH492" s="46">
        <v>0</v>
      </c>
      <c r="BI492" s="46">
        <v>0</v>
      </c>
      <c r="BJ492" s="46">
        <v>0</v>
      </c>
      <c r="BK492" s="46">
        <v>0</v>
      </c>
      <c r="BL492" s="46">
        <v>0</v>
      </c>
      <c r="BM492" s="46">
        <v>0</v>
      </c>
      <c r="BN492" s="46">
        <v>0</v>
      </c>
      <c r="BO492" s="46">
        <v>0</v>
      </c>
      <c r="BP492" s="46">
        <v>0</v>
      </c>
      <c r="BQ492" s="46">
        <v>0</v>
      </c>
      <c r="BR492" s="44"/>
      <c r="BS492" s="40"/>
      <c r="BT492" s="40"/>
      <c r="BU492" s="40"/>
      <c r="BV492" s="40"/>
      <c r="BW492" s="40"/>
      <c r="BX492" s="40"/>
      <c r="BY492" s="40"/>
      <c r="BZ492" s="40"/>
      <c r="CA492" s="40"/>
      <c r="CB492" s="40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4">
        <v>0</v>
      </c>
      <c r="CU492" s="46">
        <v>0</v>
      </c>
      <c r="CV492" s="44">
        <v>0</v>
      </c>
      <c r="CW492" s="44">
        <v>0</v>
      </c>
      <c r="CX492" s="44">
        <v>0</v>
      </c>
      <c r="CY492" s="45">
        <v>0</v>
      </c>
      <c r="CZ492" s="44">
        <v>0</v>
      </c>
      <c r="DA492" s="44">
        <v>0</v>
      </c>
      <c r="DB492" s="44">
        <v>0</v>
      </c>
      <c r="DC492" s="44">
        <v>0</v>
      </c>
      <c r="DD492" s="44">
        <v>0</v>
      </c>
      <c r="DE492" s="44">
        <v>0</v>
      </c>
      <c r="DF492" s="44">
        <v>0</v>
      </c>
      <c r="DG492" s="44">
        <v>0</v>
      </c>
      <c r="DH492" s="44">
        <v>0</v>
      </c>
      <c r="DI492" s="44">
        <v>0</v>
      </c>
    </row>
    <row r="493" spans="1:113" s="24" customFormat="1" ht="12" hidden="1" outlineLevel="2">
      <c r="A493" s="1" t="s">
        <v>285</v>
      </c>
      <c r="B493" s="24" t="s">
        <v>155</v>
      </c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  <c r="AJ493" s="55"/>
      <c r="AK493" s="55"/>
      <c r="AL493" s="55"/>
      <c r="AM493" s="55"/>
      <c r="AN493" s="55"/>
      <c r="AO493" s="55"/>
      <c r="AP493" s="526">
        <v>-4.5</v>
      </c>
      <c r="AQ493" s="526">
        <v>0.10000000000000142</v>
      </c>
      <c r="AR493" s="526">
        <v>-19.79999999999999</v>
      </c>
      <c r="AS493" s="526">
        <v>12.599999999999991</v>
      </c>
      <c r="AT493" s="526">
        <v>53.199999999999989</v>
      </c>
      <c r="AU493" s="526">
        <v>54.299999999999983</v>
      </c>
      <c r="AV493" s="526">
        <v>67.400000000000006</v>
      </c>
      <c r="AW493" s="524">
        <v>36.90000000000002</v>
      </c>
      <c r="AX493" s="526">
        <v>42.660931094892803</v>
      </c>
      <c r="AY493" s="526">
        <v>76.934517437769401</v>
      </c>
      <c r="AZ493" s="526">
        <v>95.77670488432986</v>
      </c>
      <c r="BA493" s="526">
        <v>112.67170742367576</v>
      </c>
      <c r="BB493" s="526">
        <v>136.58838000853953</v>
      </c>
      <c r="BC493" s="526">
        <v>144.34909634708708</v>
      </c>
      <c r="BD493" s="526">
        <v>154.10833618357967</v>
      </c>
      <c r="BE493" s="526">
        <v>161.63450008216014</v>
      </c>
      <c r="BF493" s="526">
        <v>173.1562132516749</v>
      </c>
      <c r="BG493" s="526">
        <v>176.9882373535533</v>
      </c>
      <c r="BH493" s="526">
        <v>187.24221561831851</v>
      </c>
      <c r="BI493" s="526">
        <v>188.82578134372449</v>
      </c>
      <c r="BJ493" s="526">
        <v>198.1041972180266</v>
      </c>
      <c r="BK493" s="526">
        <v>199.75533177786033</v>
      </c>
      <c r="BL493" s="526">
        <v>209.08735321179884</v>
      </c>
      <c r="BM493" s="526">
        <v>211.71224580365472</v>
      </c>
      <c r="BN493" s="526">
        <v>219.42279840302447</v>
      </c>
      <c r="BO493" s="526">
        <v>220.68268667123414</v>
      </c>
      <c r="BP493" s="526">
        <v>229.70872632895595</v>
      </c>
      <c r="BQ493" s="526">
        <v>230.71275574897265</v>
      </c>
      <c r="BR493" s="526"/>
      <c r="BS493" s="55"/>
      <c r="BT493" s="55"/>
      <c r="BU493" s="55"/>
      <c r="BV493" s="55"/>
      <c r="BW493" s="55"/>
      <c r="BX493" s="55"/>
      <c r="BY493" s="55"/>
      <c r="BZ493" s="55"/>
      <c r="CA493" s="55"/>
      <c r="CB493" s="55"/>
      <c r="CC493" s="55"/>
      <c r="CD493" s="55"/>
      <c r="CE493" s="55"/>
      <c r="CF493" s="55"/>
      <c r="CG493" s="55"/>
      <c r="CH493" s="55"/>
      <c r="CI493" s="55"/>
      <c r="CJ493" s="55"/>
      <c r="CK493" s="55"/>
      <c r="CL493" s="55"/>
      <c r="CM493" s="55"/>
      <c r="CN493" s="55"/>
      <c r="CO493" s="55"/>
      <c r="CP493" s="55"/>
      <c r="CQ493" s="55"/>
      <c r="CR493" s="55"/>
      <c r="CS493" s="55"/>
      <c r="CT493" s="526">
        <v>-27.965500000000002</v>
      </c>
      <c r="CU493" s="526">
        <v>-50.843499999999999</v>
      </c>
      <c r="CV493" s="526">
        <v>-4.4000000000000057</v>
      </c>
      <c r="CW493" s="526">
        <v>-7.1999999999999957</v>
      </c>
      <c r="CX493" s="526">
        <v>107.5</v>
      </c>
      <c r="CY493" s="524">
        <v>104.29999999999998</v>
      </c>
      <c r="CZ493" s="526">
        <v>119.59544853266218</v>
      </c>
      <c r="DA493" s="526">
        <v>208.44841230800563</v>
      </c>
      <c r="DB493" s="526">
        <v>280.93747635562659</v>
      </c>
      <c r="DC493" s="526">
        <v>315.74283626573981</v>
      </c>
      <c r="DD493" s="526">
        <v>350.14445060522826</v>
      </c>
      <c r="DE493" s="526">
        <v>376.06799696204303</v>
      </c>
      <c r="DF493" s="526">
        <v>397.85952899588693</v>
      </c>
      <c r="DG493" s="526">
        <v>420.79959901545357</v>
      </c>
      <c r="DH493" s="526">
        <v>440.10548507425858</v>
      </c>
      <c r="DI493" s="526">
        <v>460.4214820779286</v>
      </c>
    </row>
    <row r="494" spans="1:113" ht="12" collapsed="1"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4"/>
      <c r="AQ494" s="44"/>
      <c r="AR494" s="44"/>
      <c r="AS494" s="44"/>
      <c r="AT494" s="44"/>
      <c r="AU494" s="44"/>
      <c r="AV494" s="44"/>
      <c r="AW494" s="45"/>
      <c r="AX494" s="44"/>
      <c r="AY494" s="44"/>
      <c r="AZ494" s="44"/>
      <c r="BA494" s="44"/>
      <c r="BB494" s="44"/>
      <c r="BC494" s="44"/>
      <c r="BD494" s="44"/>
      <c r="BE494" s="44"/>
      <c r="BF494" s="44"/>
      <c r="BG494" s="44"/>
      <c r="BH494" s="44"/>
      <c r="BI494" s="44"/>
      <c r="BJ494" s="44"/>
      <c r="BK494" s="44"/>
      <c r="BL494" s="44"/>
      <c r="BM494" s="44"/>
      <c r="BN494" s="44"/>
      <c r="BO494" s="44"/>
      <c r="BP494" s="44"/>
      <c r="BQ494" s="44"/>
      <c r="BR494" s="44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4"/>
      <c r="CU494" s="44"/>
      <c r="CV494" s="44"/>
      <c r="CW494" s="44"/>
      <c r="CX494" s="44"/>
      <c r="CY494" s="45"/>
      <c r="CZ494" s="632"/>
      <c r="DA494" s="44"/>
      <c r="DB494" s="44"/>
      <c r="DC494" s="529"/>
      <c r="DD494" s="529"/>
      <c r="DE494" s="529"/>
      <c r="DF494" s="529"/>
      <c r="DG494" s="529"/>
      <c r="DH494" s="529"/>
      <c r="DI494" s="529"/>
    </row>
    <row r="495" spans="1:113" s="36" customFormat="1" ht="12" collapsed="1">
      <c r="A495" s="1" t="s">
        <v>359</v>
      </c>
      <c r="B495" s="2" t="s">
        <v>74</v>
      </c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  <c r="AJ495" s="55"/>
      <c r="AK495" s="55"/>
      <c r="AL495" s="55"/>
      <c r="AM495" s="55"/>
      <c r="AN495" s="55"/>
      <c r="AO495" s="55"/>
      <c r="AP495" s="527">
        <v>0.1</v>
      </c>
      <c r="AQ495" s="527">
        <v>2</v>
      </c>
      <c r="AR495" s="527">
        <v>-2.2999999999999998</v>
      </c>
      <c r="AS495" s="527">
        <v>-4.2</v>
      </c>
      <c r="AT495" s="527">
        <v>-17.100000000000001</v>
      </c>
      <c r="AU495" s="527">
        <v>-17</v>
      </c>
      <c r="AV495" s="527">
        <v>-21.5</v>
      </c>
      <c r="AW495" s="528">
        <v>-12.9</v>
      </c>
      <c r="AX495" s="527">
        <v>-14.078107261314626</v>
      </c>
      <c r="AY495" s="527">
        <v>-25.388390754463902</v>
      </c>
      <c r="AZ495" s="527">
        <v>-31.606312611828855</v>
      </c>
      <c r="BA495" s="527">
        <v>-37.181663449813001</v>
      </c>
      <c r="BB495" s="527">
        <v>-45.074165402818046</v>
      </c>
      <c r="BC495" s="527">
        <v>-47.635201794538737</v>
      </c>
      <c r="BD495" s="527">
        <v>-50.855750940581295</v>
      </c>
      <c r="BE495" s="527">
        <v>-53.339385027112847</v>
      </c>
      <c r="BF495" s="527">
        <v>-57.141550373052716</v>
      </c>
      <c r="BG495" s="527">
        <v>-58.406118326672591</v>
      </c>
      <c r="BH495" s="527">
        <v>-61.789931154045114</v>
      </c>
      <c r="BI495" s="527">
        <v>-62.312507843429081</v>
      </c>
      <c r="BJ495" s="527">
        <v>-65.374385081948788</v>
      </c>
      <c r="BK495" s="527">
        <v>-65.919259486693917</v>
      </c>
      <c r="BL495" s="527">
        <v>-68.998826559893615</v>
      </c>
      <c r="BM495" s="527">
        <v>-69.865041115206068</v>
      </c>
      <c r="BN495" s="527">
        <v>-72.409523472998075</v>
      </c>
      <c r="BO495" s="527">
        <v>-72.825286601507273</v>
      </c>
      <c r="BP495" s="527">
        <v>-75.803879688555469</v>
      </c>
      <c r="BQ495" s="527">
        <v>-76.135209397160978</v>
      </c>
      <c r="BR495" s="527"/>
      <c r="BS495" s="52"/>
      <c r="BT495" s="52"/>
      <c r="BU495" s="52"/>
      <c r="BV495" s="52"/>
      <c r="BW495" s="52"/>
      <c r="BX495" s="52"/>
      <c r="BY495" s="52"/>
      <c r="BZ495" s="52"/>
      <c r="CA495" s="52"/>
      <c r="CB495" s="52"/>
      <c r="CC495" s="52"/>
      <c r="CD495" s="52"/>
      <c r="CE495" s="52"/>
      <c r="CF495" s="52"/>
      <c r="CG495" s="52"/>
      <c r="CH495" s="52"/>
      <c r="CI495" s="52"/>
      <c r="CJ495" s="52"/>
      <c r="CK495" s="52"/>
      <c r="CL495" s="52"/>
      <c r="CM495" s="52"/>
      <c r="CN495" s="52"/>
      <c r="CO495" s="52"/>
      <c r="CP495" s="52"/>
      <c r="CQ495" s="52"/>
      <c r="CR495" s="52"/>
      <c r="CS495" s="52"/>
      <c r="CT495" s="527">
        <v>9.0174900000000004</v>
      </c>
      <c r="CU495" s="527">
        <v>16.89349</v>
      </c>
      <c r="CV495" s="527">
        <v>2.1</v>
      </c>
      <c r="CW495" s="527">
        <v>-6.5</v>
      </c>
      <c r="CX495" s="527">
        <v>-34.1</v>
      </c>
      <c r="CY495" s="528">
        <v>-34.4</v>
      </c>
      <c r="CZ495" s="527">
        <v>-39.466498015778527</v>
      </c>
      <c r="DA495" s="527">
        <v>-68.787976061641857</v>
      </c>
      <c r="DB495" s="527">
        <v>-92.709367197356784</v>
      </c>
      <c r="DC495" s="527">
        <v>-104.19513596769414</v>
      </c>
      <c r="DD495" s="527">
        <v>-115.54766869972531</v>
      </c>
      <c r="DE495" s="527">
        <v>-124.1024389974742</v>
      </c>
      <c r="DF495" s="527">
        <v>-131.29364456864272</v>
      </c>
      <c r="DG495" s="527">
        <v>-138.8638676750997</v>
      </c>
      <c r="DH495" s="527">
        <v>-145.23481007450533</v>
      </c>
      <c r="DI495" s="527">
        <v>-151.93908908571643</v>
      </c>
    </row>
    <row r="496" spans="1:113" ht="12" outlineLevel="1"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4"/>
      <c r="AQ496" s="44"/>
      <c r="AR496" s="44"/>
      <c r="AS496" s="44"/>
      <c r="AT496" s="44"/>
      <c r="AU496" s="44"/>
      <c r="AV496" s="44"/>
      <c r="AW496" s="45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4"/>
      <c r="CU496" s="44"/>
      <c r="CV496" s="44"/>
      <c r="CW496" s="44"/>
      <c r="CX496" s="44"/>
      <c r="CY496" s="45"/>
      <c r="CZ496" s="44"/>
      <c r="DA496" s="44"/>
      <c r="DB496" s="44"/>
      <c r="DC496" s="529"/>
      <c r="DD496" s="529"/>
      <c r="DE496" s="529"/>
      <c r="DF496" s="529"/>
      <c r="DG496" s="529"/>
      <c r="DH496" s="529"/>
      <c r="DI496" s="529"/>
    </row>
    <row r="497" spans="1:113" ht="12" outlineLevel="1">
      <c r="A497" s="1" t="s">
        <v>688</v>
      </c>
      <c r="B497" s="19" t="s">
        <v>75</v>
      </c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525">
        <v>0.1</v>
      </c>
      <c r="AQ497" s="525">
        <v>2</v>
      </c>
      <c r="AR497" s="525">
        <v>-2.2999999999999998</v>
      </c>
      <c r="AS497" s="525">
        <v>-4.2</v>
      </c>
      <c r="AT497" s="525">
        <v>-17.100000000000001</v>
      </c>
      <c r="AU497" s="525">
        <v>-17</v>
      </c>
      <c r="AV497" s="525">
        <v>-21.5</v>
      </c>
      <c r="AW497" s="523">
        <v>-12.9</v>
      </c>
      <c r="AX497" s="44">
        <v>-14.078107261314626</v>
      </c>
      <c r="AY497" s="44">
        <v>-25.388390754463902</v>
      </c>
      <c r="AZ497" s="44">
        <v>-31.606312611828855</v>
      </c>
      <c r="BA497" s="44">
        <v>-37.181663449813001</v>
      </c>
      <c r="BB497" s="44">
        <v>-45.074165402818046</v>
      </c>
      <c r="BC497" s="44">
        <v>-47.635201794538737</v>
      </c>
      <c r="BD497" s="44">
        <v>-50.855750940581295</v>
      </c>
      <c r="BE497" s="44">
        <v>-53.339385027112847</v>
      </c>
      <c r="BF497" s="44">
        <v>-57.141550373052716</v>
      </c>
      <c r="BG497" s="44">
        <v>-58.406118326672591</v>
      </c>
      <c r="BH497" s="44">
        <v>-61.789931154045114</v>
      </c>
      <c r="BI497" s="44">
        <v>-62.312507843429081</v>
      </c>
      <c r="BJ497" s="44">
        <v>-65.374385081948788</v>
      </c>
      <c r="BK497" s="44">
        <v>-65.919259486693917</v>
      </c>
      <c r="BL497" s="44">
        <v>-68.998826559893615</v>
      </c>
      <c r="BM497" s="44">
        <v>-69.865041115206068</v>
      </c>
      <c r="BN497" s="44">
        <v>-72.409523472998075</v>
      </c>
      <c r="BO497" s="44">
        <v>-72.825286601507273</v>
      </c>
      <c r="BP497" s="44">
        <v>-75.803879688555469</v>
      </c>
      <c r="BQ497" s="44">
        <v>-76.135209397160978</v>
      </c>
      <c r="BR497" s="44"/>
      <c r="BS497" s="40"/>
      <c r="BT497" s="40"/>
      <c r="BU497" s="40"/>
      <c r="BV497" s="40"/>
      <c r="BW497" s="40"/>
      <c r="BX497" s="40"/>
      <c r="BY497" s="40"/>
      <c r="BZ497" s="40"/>
      <c r="CA497" s="40"/>
      <c r="CB497" s="40"/>
      <c r="CC497" s="42"/>
      <c r="CD497" s="42"/>
      <c r="CE497" s="42"/>
      <c r="CF497" s="42"/>
      <c r="CG497" s="42"/>
      <c r="CH497" s="42"/>
      <c r="CI497" s="42"/>
      <c r="CJ497" s="42"/>
      <c r="CK497" s="42"/>
      <c r="CL497" s="42"/>
      <c r="CM497" s="42"/>
      <c r="CN497" s="42"/>
      <c r="CO497" s="42"/>
      <c r="CP497" s="42"/>
      <c r="CQ497" s="42"/>
      <c r="CR497" s="42"/>
      <c r="CS497" s="42"/>
      <c r="CT497" s="525">
        <v>9.0174900000000004</v>
      </c>
      <c r="CU497" s="525">
        <v>16.89349</v>
      </c>
      <c r="CV497" s="44">
        <v>2.1</v>
      </c>
      <c r="CW497" s="44">
        <v>-6.5</v>
      </c>
      <c r="CX497" s="44">
        <v>-34.1</v>
      </c>
      <c r="CY497" s="45">
        <v>-34.4</v>
      </c>
      <c r="CZ497" s="44">
        <v>-39.466498015778527</v>
      </c>
      <c r="DA497" s="44">
        <v>-68.787976061641857</v>
      </c>
      <c r="DB497" s="44">
        <v>-92.709367197356784</v>
      </c>
      <c r="DC497" s="44">
        <v>-104.19513596769414</v>
      </c>
      <c r="DD497" s="44">
        <v>-115.54766869972531</v>
      </c>
      <c r="DE497" s="44">
        <v>-124.1024389974742</v>
      </c>
      <c r="DF497" s="44">
        <v>-131.29364456864272</v>
      </c>
      <c r="DG497" s="44">
        <v>-138.8638676750997</v>
      </c>
      <c r="DH497" s="44">
        <v>-145.23481007450533</v>
      </c>
      <c r="DI497" s="44">
        <v>-151.93908908571643</v>
      </c>
    </row>
    <row r="498" spans="1:113" ht="12" outlineLevel="1">
      <c r="A498" s="1" t="s">
        <v>689</v>
      </c>
      <c r="B498" s="19" t="s">
        <v>158</v>
      </c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525">
        <v>0</v>
      </c>
      <c r="AQ498" s="525">
        <v>0</v>
      </c>
      <c r="AR498" s="525">
        <v>0</v>
      </c>
      <c r="AS498" s="525">
        <v>0</v>
      </c>
      <c r="AT498" s="525">
        <v>0</v>
      </c>
      <c r="AU498" s="525">
        <v>0</v>
      </c>
      <c r="AV498" s="525">
        <v>0</v>
      </c>
      <c r="AW498" s="523">
        <v>0</v>
      </c>
      <c r="AX498" s="44">
        <v>0</v>
      </c>
      <c r="AY498" s="44">
        <v>0</v>
      </c>
      <c r="AZ498" s="44">
        <v>0</v>
      </c>
      <c r="BA498" s="44">
        <v>0</v>
      </c>
      <c r="BB498" s="44">
        <v>0</v>
      </c>
      <c r="BC498" s="44">
        <v>0</v>
      </c>
      <c r="BD498" s="44">
        <v>0</v>
      </c>
      <c r="BE498" s="44">
        <v>0</v>
      </c>
      <c r="BF498" s="44">
        <v>0</v>
      </c>
      <c r="BG498" s="44">
        <v>0</v>
      </c>
      <c r="BH498" s="44">
        <v>0</v>
      </c>
      <c r="BI498" s="44">
        <v>0</v>
      </c>
      <c r="BJ498" s="44">
        <v>0</v>
      </c>
      <c r="BK498" s="44">
        <v>0</v>
      </c>
      <c r="BL498" s="44">
        <v>0</v>
      </c>
      <c r="BM498" s="44">
        <v>0</v>
      </c>
      <c r="BN498" s="44">
        <v>0</v>
      </c>
      <c r="BO498" s="44">
        <v>0</v>
      </c>
      <c r="BP498" s="44">
        <v>0</v>
      </c>
      <c r="BQ498" s="44">
        <v>0</v>
      </c>
      <c r="BR498" s="44"/>
      <c r="BS498" s="42"/>
      <c r="BT498" s="42"/>
      <c r="BU498" s="42"/>
      <c r="BV498" s="42"/>
      <c r="BW498" s="42"/>
      <c r="BX498" s="42"/>
      <c r="BY498" s="42"/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525">
        <v>0</v>
      </c>
      <c r="CU498" s="525">
        <v>0</v>
      </c>
      <c r="CV498" s="44">
        <v>0</v>
      </c>
      <c r="CW498" s="44">
        <v>0</v>
      </c>
      <c r="CX498" s="44">
        <v>0</v>
      </c>
      <c r="CY498" s="45">
        <v>0</v>
      </c>
      <c r="CZ498" s="44">
        <v>0</v>
      </c>
      <c r="DA498" s="44">
        <v>0</v>
      </c>
      <c r="DB498" s="44">
        <v>0</v>
      </c>
      <c r="DC498" s="44">
        <v>0</v>
      </c>
      <c r="DD498" s="44">
        <v>0</v>
      </c>
      <c r="DE498" s="44">
        <v>0</v>
      </c>
      <c r="DF498" s="44">
        <v>0</v>
      </c>
      <c r="DG498" s="44">
        <v>0</v>
      </c>
      <c r="DH498" s="44">
        <v>0</v>
      </c>
      <c r="DI498" s="44">
        <v>0</v>
      </c>
    </row>
    <row r="499" spans="1:113" ht="12" outlineLevel="1">
      <c r="A499" s="1" t="s">
        <v>690</v>
      </c>
      <c r="B499" s="19" t="s">
        <v>256</v>
      </c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525">
        <v>0</v>
      </c>
      <c r="AQ499" s="525">
        <v>0</v>
      </c>
      <c r="AR499" s="525">
        <v>0</v>
      </c>
      <c r="AS499" s="525">
        <v>0</v>
      </c>
      <c r="AT499" s="525">
        <v>0</v>
      </c>
      <c r="AU499" s="525">
        <v>0</v>
      </c>
      <c r="AV499" s="525">
        <v>0</v>
      </c>
      <c r="AW499" s="523">
        <v>0</v>
      </c>
      <c r="AX499" s="46">
        <v>0</v>
      </c>
      <c r="AY499" s="46">
        <v>0</v>
      </c>
      <c r="AZ499" s="46">
        <v>0</v>
      </c>
      <c r="BA499" s="46">
        <v>0</v>
      </c>
      <c r="BB499" s="46">
        <v>0</v>
      </c>
      <c r="BC499" s="46">
        <v>0</v>
      </c>
      <c r="BD499" s="46">
        <v>0</v>
      </c>
      <c r="BE499" s="46">
        <v>0</v>
      </c>
      <c r="BF499" s="46">
        <v>0</v>
      </c>
      <c r="BG499" s="46">
        <v>0</v>
      </c>
      <c r="BH499" s="46">
        <v>0</v>
      </c>
      <c r="BI499" s="46">
        <v>0</v>
      </c>
      <c r="BJ499" s="46">
        <v>0</v>
      </c>
      <c r="BK499" s="46">
        <v>0</v>
      </c>
      <c r="BL499" s="46">
        <v>0</v>
      </c>
      <c r="BM499" s="46">
        <v>0</v>
      </c>
      <c r="BN499" s="46">
        <v>0</v>
      </c>
      <c r="BO499" s="46">
        <v>0</v>
      </c>
      <c r="BP499" s="46">
        <v>0</v>
      </c>
      <c r="BQ499" s="46">
        <v>0</v>
      </c>
      <c r="BR499" s="44"/>
      <c r="BS499" s="40"/>
      <c r="BT499" s="40"/>
      <c r="BU499" s="40"/>
      <c r="BV499" s="40"/>
      <c r="BW499" s="40"/>
      <c r="BX499" s="40"/>
      <c r="BY499" s="40"/>
      <c r="BZ499" s="40"/>
      <c r="CA499" s="40"/>
      <c r="CB499" s="40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525">
        <v>0</v>
      </c>
      <c r="CU499" s="525">
        <v>0</v>
      </c>
      <c r="CV499" s="44">
        <v>0</v>
      </c>
      <c r="CW499" s="44">
        <v>0</v>
      </c>
      <c r="CX499" s="44">
        <v>0</v>
      </c>
      <c r="CY499" s="45">
        <v>0</v>
      </c>
      <c r="CZ499" s="44">
        <v>0</v>
      </c>
      <c r="DA499" s="44">
        <v>0</v>
      </c>
      <c r="DB499" s="44">
        <v>0</v>
      </c>
      <c r="DC499" s="44">
        <v>0</v>
      </c>
      <c r="DD499" s="44">
        <v>0</v>
      </c>
      <c r="DE499" s="44">
        <v>0</v>
      </c>
      <c r="DF499" s="44">
        <v>0</v>
      </c>
      <c r="DG499" s="44">
        <v>0</v>
      </c>
      <c r="DH499" s="44">
        <v>0</v>
      </c>
      <c r="DI499" s="44">
        <v>0</v>
      </c>
    </row>
    <row r="500" spans="1:113" s="24" customFormat="1" ht="12" outlineLevel="1">
      <c r="A500" s="111" t="s">
        <v>327</v>
      </c>
      <c r="B500" s="24" t="s">
        <v>166</v>
      </c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  <c r="AJ500" s="55"/>
      <c r="AK500" s="55"/>
      <c r="AL500" s="55"/>
      <c r="AM500" s="55"/>
      <c r="AN500" s="55"/>
      <c r="AO500" s="55"/>
      <c r="AP500" s="526">
        <v>0.1</v>
      </c>
      <c r="AQ500" s="526">
        <v>2</v>
      </c>
      <c r="AR500" s="526">
        <v>-2.2999999999999998</v>
      </c>
      <c r="AS500" s="526">
        <v>-4.2</v>
      </c>
      <c r="AT500" s="526">
        <v>-17.100000000000001</v>
      </c>
      <c r="AU500" s="526">
        <v>-17</v>
      </c>
      <c r="AV500" s="526">
        <v>-21.5</v>
      </c>
      <c r="AW500" s="524">
        <v>-12.9</v>
      </c>
      <c r="AX500" s="526">
        <v>-14.078107261314626</v>
      </c>
      <c r="AY500" s="526">
        <v>-25.388390754463902</v>
      </c>
      <c r="AZ500" s="526">
        <v>-31.606312611828855</v>
      </c>
      <c r="BA500" s="526">
        <v>-37.181663449813001</v>
      </c>
      <c r="BB500" s="526">
        <v>-45.074165402818046</v>
      </c>
      <c r="BC500" s="526">
        <v>-47.635201794538737</v>
      </c>
      <c r="BD500" s="526">
        <v>-50.855750940581295</v>
      </c>
      <c r="BE500" s="526">
        <v>-53.339385027112847</v>
      </c>
      <c r="BF500" s="526">
        <v>-57.141550373052716</v>
      </c>
      <c r="BG500" s="526">
        <v>-58.406118326672591</v>
      </c>
      <c r="BH500" s="526">
        <v>-61.789931154045114</v>
      </c>
      <c r="BI500" s="526">
        <v>-62.312507843429081</v>
      </c>
      <c r="BJ500" s="526">
        <v>-65.374385081948788</v>
      </c>
      <c r="BK500" s="526">
        <v>-65.919259486693917</v>
      </c>
      <c r="BL500" s="526">
        <v>-68.998826559893615</v>
      </c>
      <c r="BM500" s="526">
        <v>-69.865041115206068</v>
      </c>
      <c r="BN500" s="526">
        <v>-72.409523472998075</v>
      </c>
      <c r="BO500" s="526">
        <v>-72.825286601507273</v>
      </c>
      <c r="BP500" s="526">
        <v>-75.803879688555469</v>
      </c>
      <c r="BQ500" s="526">
        <v>-76.135209397160978</v>
      </c>
      <c r="BR500" s="526"/>
      <c r="BS500" s="55"/>
      <c r="BT500" s="55"/>
      <c r="BU500" s="55"/>
      <c r="BV500" s="55"/>
      <c r="BW500" s="55"/>
      <c r="BX500" s="55"/>
      <c r="BY500" s="55"/>
      <c r="BZ500" s="55"/>
      <c r="CA500" s="55"/>
      <c r="CB500" s="55"/>
      <c r="CC500" s="55"/>
      <c r="CD500" s="55"/>
      <c r="CE500" s="55"/>
      <c r="CF500" s="55"/>
      <c r="CG500" s="55"/>
      <c r="CH500" s="55"/>
      <c r="CI500" s="55"/>
      <c r="CJ500" s="55"/>
      <c r="CK500" s="55"/>
      <c r="CL500" s="55"/>
      <c r="CM500" s="55"/>
      <c r="CN500" s="55"/>
      <c r="CO500" s="55"/>
      <c r="CP500" s="55"/>
      <c r="CQ500" s="55"/>
      <c r="CR500" s="55"/>
      <c r="CS500" s="55"/>
      <c r="CT500" s="526">
        <v>9.0174900000000004</v>
      </c>
      <c r="CU500" s="526">
        <v>16.89349</v>
      </c>
      <c r="CV500" s="526">
        <v>2.1</v>
      </c>
      <c r="CW500" s="526">
        <v>-6.5</v>
      </c>
      <c r="CX500" s="526">
        <v>-34.1</v>
      </c>
      <c r="CY500" s="524">
        <v>-34.4</v>
      </c>
      <c r="CZ500" s="526">
        <v>-39.466498015778527</v>
      </c>
      <c r="DA500" s="526">
        <v>-68.787976061641857</v>
      </c>
      <c r="DB500" s="526">
        <v>-92.709367197356784</v>
      </c>
      <c r="DC500" s="526">
        <v>-104.19513596769414</v>
      </c>
      <c r="DD500" s="526">
        <v>-115.54766869972531</v>
      </c>
      <c r="DE500" s="526">
        <v>-124.1024389974742</v>
      </c>
      <c r="DF500" s="526">
        <v>-131.29364456864272</v>
      </c>
      <c r="DG500" s="526">
        <v>-138.8638676750997</v>
      </c>
      <c r="DH500" s="526">
        <v>-145.23481007450533</v>
      </c>
      <c r="DI500" s="526">
        <v>-151.93908908571643</v>
      </c>
    </row>
    <row r="501" spans="1:113" ht="12" hidden="1" outlineLevel="2">
      <c r="A501" s="1" t="s">
        <v>430</v>
      </c>
      <c r="B501" s="19" t="s">
        <v>854</v>
      </c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4">
        <v>0</v>
      </c>
      <c r="AQ501" s="44">
        <v>0</v>
      </c>
      <c r="AR501" s="44">
        <v>0</v>
      </c>
      <c r="AS501" s="44">
        <v>0</v>
      </c>
      <c r="AT501" s="44">
        <v>0</v>
      </c>
      <c r="AU501" s="44">
        <v>0</v>
      </c>
      <c r="AV501" s="44">
        <v>0</v>
      </c>
      <c r="AW501" s="45">
        <v>0</v>
      </c>
      <c r="AX501" s="44">
        <v>0</v>
      </c>
      <c r="AY501" s="44">
        <v>0</v>
      </c>
      <c r="AZ501" s="44">
        <v>0</v>
      </c>
      <c r="BA501" s="44">
        <v>0</v>
      </c>
      <c r="BB501" s="44">
        <v>0</v>
      </c>
      <c r="BC501" s="44">
        <v>0</v>
      </c>
      <c r="BD501" s="44">
        <v>0</v>
      </c>
      <c r="BE501" s="44">
        <v>0</v>
      </c>
      <c r="BF501" s="44">
        <v>0</v>
      </c>
      <c r="BG501" s="44">
        <v>0</v>
      </c>
      <c r="BH501" s="44">
        <v>0</v>
      </c>
      <c r="BI501" s="44">
        <v>0</v>
      </c>
      <c r="BJ501" s="44">
        <v>0</v>
      </c>
      <c r="BK501" s="44">
        <v>0</v>
      </c>
      <c r="BL501" s="44">
        <v>0</v>
      </c>
      <c r="BM501" s="44">
        <v>0</v>
      </c>
      <c r="BN501" s="44">
        <v>0</v>
      </c>
      <c r="BO501" s="44">
        <v>0</v>
      </c>
      <c r="BP501" s="44">
        <v>0</v>
      </c>
      <c r="BQ501" s="44">
        <v>0</v>
      </c>
      <c r="BR501" s="44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/>
      <c r="CL501" s="42"/>
      <c r="CM501" s="42"/>
      <c r="CN501" s="42"/>
      <c r="CO501" s="42"/>
      <c r="CP501" s="42"/>
      <c r="CQ501" s="42"/>
      <c r="CR501" s="42"/>
      <c r="CS501" s="42"/>
      <c r="CT501" s="44">
        <v>0</v>
      </c>
      <c r="CU501" s="44">
        <v>0</v>
      </c>
      <c r="CV501" s="44">
        <v>0</v>
      </c>
      <c r="CW501" s="44">
        <v>0</v>
      </c>
      <c r="CX501" s="44">
        <v>0</v>
      </c>
      <c r="CY501" s="45">
        <v>0</v>
      </c>
      <c r="CZ501" s="44">
        <v>0</v>
      </c>
      <c r="DA501" s="44">
        <v>0</v>
      </c>
      <c r="DB501" s="44">
        <v>0</v>
      </c>
      <c r="DC501" s="44">
        <v>0</v>
      </c>
      <c r="DD501" s="44">
        <v>0</v>
      </c>
      <c r="DE501" s="44">
        <v>0</v>
      </c>
      <c r="DF501" s="44">
        <v>0</v>
      </c>
      <c r="DG501" s="44">
        <v>0</v>
      </c>
      <c r="DH501" s="44">
        <v>0</v>
      </c>
      <c r="DI501" s="44">
        <v>0</v>
      </c>
    </row>
    <row r="502" spans="1:113" ht="12" hidden="1" outlineLevel="2">
      <c r="A502" s="1" t="s">
        <v>54</v>
      </c>
      <c r="B502" s="19" t="s">
        <v>444</v>
      </c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4">
        <v>0</v>
      </c>
      <c r="AQ502" s="44">
        <v>0</v>
      </c>
      <c r="AR502" s="44">
        <v>0</v>
      </c>
      <c r="AS502" s="44">
        <v>0</v>
      </c>
      <c r="AT502" s="44">
        <v>0</v>
      </c>
      <c r="AU502" s="44">
        <v>0</v>
      </c>
      <c r="AV502" s="44">
        <v>0</v>
      </c>
      <c r="AW502" s="45">
        <v>0</v>
      </c>
      <c r="AX502" s="44">
        <v>0</v>
      </c>
      <c r="AY502" s="44">
        <v>0</v>
      </c>
      <c r="AZ502" s="44">
        <v>0</v>
      </c>
      <c r="BA502" s="44">
        <v>0</v>
      </c>
      <c r="BB502" s="44">
        <v>0</v>
      </c>
      <c r="BC502" s="44">
        <v>0</v>
      </c>
      <c r="BD502" s="44">
        <v>0</v>
      </c>
      <c r="BE502" s="44">
        <v>0</v>
      </c>
      <c r="BF502" s="44">
        <v>0</v>
      </c>
      <c r="BG502" s="44">
        <v>0</v>
      </c>
      <c r="BH502" s="44">
        <v>0</v>
      </c>
      <c r="BI502" s="44">
        <v>0</v>
      </c>
      <c r="BJ502" s="44">
        <v>0</v>
      </c>
      <c r="BK502" s="44">
        <v>0</v>
      </c>
      <c r="BL502" s="44">
        <v>0</v>
      </c>
      <c r="BM502" s="44">
        <v>0</v>
      </c>
      <c r="BN502" s="44">
        <v>0</v>
      </c>
      <c r="BO502" s="44">
        <v>0</v>
      </c>
      <c r="BP502" s="44">
        <v>0</v>
      </c>
      <c r="BQ502" s="44">
        <v>0</v>
      </c>
      <c r="BR502" s="44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/>
      <c r="CI502" s="42"/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4">
        <v>0</v>
      </c>
      <c r="CU502" s="44">
        <v>0</v>
      </c>
      <c r="CV502" s="44">
        <v>0</v>
      </c>
      <c r="CW502" s="44">
        <v>0</v>
      </c>
      <c r="CX502" s="44">
        <v>0</v>
      </c>
      <c r="CY502" s="45">
        <v>0</v>
      </c>
      <c r="CZ502" s="44">
        <v>0</v>
      </c>
      <c r="DA502" s="44">
        <v>0</v>
      </c>
      <c r="DB502" s="44">
        <v>0</v>
      </c>
      <c r="DC502" s="44">
        <v>0</v>
      </c>
      <c r="DD502" s="44">
        <v>0</v>
      </c>
      <c r="DE502" s="44">
        <v>0</v>
      </c>
      <c r="DF502" s="44">
        <v>0</v>
      </c>
      <c r="DG502" s="44">
        <v>0</v>
      </c>
      <c r="DH502" s="44">
        <v>0</v>
      </c>
      <c r="DI502" s="44">
        <v>0</v>
      </c>
    </row>
    <row r="503" spans="1:113" ht="12" hidden="1" outlineLevel="2">
      <c r="A503" s="1" t="s">
        <v>55</v>
      </c>
      <c r="B503" s="19" t="s">
        <v>367</v>
      </c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4">
        <v>0</v>
      </c>
      <c r="AQ503" s="44">
        <v>0</v>
      </c>
      <c r="AR503" s="44">
        <v>0</v>
      </c>
      <c r="AS503" s="44">
        <v>0</v>
      </c>
      <c r="AT503" s="44">
        <v>0</v>
      </c>
      <c r="AU503" s="44">
        <v>0</v>
      </c>
      <c r="AV503" s="44">
        <v>0</v>
      </c>
      <c r="AW503" s="45">
        <v>0</v>
      </c>
      <c r="AX503" s="44">
        <v>0</v>
      </c>
      <c r="AY503" s="44">
        <v>0</v>
      </c>
      <c r="AZ503" s="44">
        <v>0</v>
      </c>
      <c r="BA503" s="44">
        <v>0</v>
      </c>
      <c r="BB503" s="44">
        <v>0</v>
      </c>
      <c r="BC503" s="44">
        <v>0</v>
      </c>
      <c r="BD503" s="44">
        <v>0</v>
      </c>
      <c r="BE503" s="44">
        <v>0</v>
      </c>
      <c r="BF503" s="44">
        <v>0</v>
      </c>
      <c r="BG503" s="44">
        <v>0</v>
      </c>
      <c r="BH503" s="44">
        <v>0</v>
      </c>
      <c r="BI503" s="44">
        <v>0</v>
      </c>
      <c r="BJ503" s="44">
        <v>0</v>
      </c>
      <c r="BK503" s="44">
        <v>0</v>
      </c>
      <c r="BL503" s="44">
        <v>0</v>
      </c>
      <c r="BM503" s="44">
        <v>0</v>
      </c>
      <c r="BN503" s="44">
        <v>0</v>
      </c>
      <c r="BO503" s="44">
        <v>0</v>
      </c>
      <c r="BP503" s="44">
        <v>0</v>
      </c>
      <c r="BQ503" s="44">
        <v>0</v>
      </c>
      <c r="BR503" s="44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4">
        <v>0</v>
      </c>
      <c r="CU503" s="44">
        <v>0</v>
      </c>
      <c r="CV503" s="44">
        <v>0</v>
      </c>
      <c r="CW503" s="44">
        <v>0</v>
      </c>
      <c r="CX503" s="44">
        <v>0</v>
      </c>
      <c r="CY503" s="45">
        <v>0</v>
      </c>
      <c r="CZ503" s="44">
        <v>0</v>
      </c>
      <c r="DA503" s="44">
        <v>0</v>
      </c>
      <c r="DB503" s="44">
        <v>0</v>
      </c>
      <c r="DC503" s="44">
        <v>0</v>
      </c>
      <c r="DD503" s="44">
        <v>0</v>
      </c>
      <c r="DE503" s="44">
        <v>0</v>
      </c>
      <c r="DF503" s="44">
        <v>0</v>
      </c>
      <c r="DG503" s="44">
        <v>0</v>
      </c>
      <c r="DH503" s="44">
        <v>0</v>
      </c>
      <c r="DI503" s="44">
        <v>0</v>
      </c>
    </row>
    <row r="504" spans="1:113" ht="12" hidden="1" outlineLevel="2">
      <c r="A504" s="1" t="s">
        <v>691</v>
      </c>
      <c r="B504" s="19" t="s">
        <v>368</v>
      </c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4">
        <v>0</v>
      </c>
      <c r="AQ504" s="44">
        <v>0</v>
      </c>
      <c r="AR504" s="44">
        <v>0</v>
      </c>
      <c r="AS504" s="44">
        <v>0</v>
      </c>
      <c r="AT504" s="44">
        <v>0</v>
      </c>
      <c r="AU504" s="44">
        <v>0</v>
      </c>
      <c r="AV504" s="44">
        <v>0</v>
      </c>
      <c r="AW504" s="45">
        <v>0</v>
      </c>
      <c r="AX504" s="44">
        <v>0</v>
      </c>
      <c r="AY504" s="44">
        <v>0</v>
      </c>
      <c r="AZ504" s="44">
        <v>0</v>
      </c>
      <c r="BA504" s="44">
        <v>0</v>
      </c>
      <c r="BB504" s="44">
        <v>0</v>
      </c>
      <c r="BC504" s="44">
        <v>0</v>
      </c>
      <c r="BD504" s="44">
        <v>0</v>
      </c>
      <c r="BE504" s="44">
        <v>0</v>
      </c>
      <c r="BF504" s="44">
        <v>0</v>
      </c>
      <c r="BG504" s="44">
        <v>0</v>
      </c>
      <c r="BH504" s="44">
        <v>0</v>
      </c>
      <c r="BI504" s="44">
        <v>0</v>
      </c>
      <c r="BJ504" s="44">
        <v>0</v>
      </c>
      <c r="BK504" s="44">
        <v>0</v>
      </c>
      <c r="BL504" s="44">
        <v>0</v>
      </c>
      <c r="BM504" s="44">
        <v>0</v>
      </c>
      <c r="BN504" s="44">
        <v>0</v>
      </c>
      <c r="BO504" s="44">
        <v>0</v>
      </c>
      <c r="BP504" s="44">
        <v>0</v>
      </c>
      <c r="BQ504" s="44">
        <v>0</v>
      </c>
      <c r="BR504" s="44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4">
        <v>0</v>
      </c>
      <c r="CU504" s="44">
        <v>0</v>
      </c>
      <c r="CV504" s="44">
        <v>0</v>
      </c>
      <c r="CW504" s="44">
        <v>0</v>
      </c>
      <c r="CX504" s="44">
        <v>0</v>
      </c>
      <c r="CY504" s="45">
        <v>0</v>
      </c>
      <c r="CZ504" s="44">
        <v>0</v>
      </c>
      <c r="DA504" s="44">
        <v>0</v>
      </c>
      <c r="DB504" s="44">
        <v>0</v>
      </c>
      <c r="DC504" s="44">
        <v>0</v>
      </c>
      <c r="DD504" s="44">
        <v>0</v>
      </c>
      <c r="DE504" s="44">
        <v>0</v>
      </c>
      <c r="DF504" s="44">
        <v>0</v>
      </c>
      <c r="DG504" s="44">
        <v>0</v>
      </c>
      <c r="DH504" s="44">
        <v>0</v>
      </c>
      <c r="DI504" s="44">
        <v>0</v>
      </c>
    </row>
    <row r="505" spans="1:113" ht="12" hidden="1" outlineLevel="2">
      <c r="A505" s="1" t="s">
        <v>56</v>
      </c>
      <c r="B505" s="19" t="s">
        <v>422</v>
      </c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525">
        <v>0</v>
      </c>
      <c r="AQ505" s="525">
        <v>0</v>
      </c>
      <c r="AR505" s="525">
        <v>0</v>
      </c>
      <c r="AS505" s="525">
        <v>0</v>
      </c>
      <c r="AT505" s="525">
        <v>0</v>
      </c>
      <c r="AU505" s="525">
        <v>0</v>
      </c>
      <c r="AV505" s="525">
        <v>0</v>
      </c>
      <c r="AW505" s="523">
        <v>-1.3</v>
      </c>
      <c r="AX505" s="46">
        <v>0</v>
      </c>
      <c r="AY505" s="46">
        <v>0</v>
      </c>
      <c r="AZ505" s="46">
        <v>0</v>
      </c>
      <c r="BA505" s="46">
        <v>0</v>
      </c>
      <c r="BB505" s="46">
        <v>0</v>
      </c>
      <c r="BC505" s="46">
        <v>0</v>
      </c>
      <c r="BD505" s="46">
        <v>0</v>
      </c>
      <c r="BE505" s="46">
        <v>0</v>
      </c>
      <c r="BF505" s="46">
        <v>0</v>
      </c>
      <c r="BG505" s="46">
        <v>0</v>
      </c>
      <c r="BH505" s="46">
        <v>0</v>
      </c>
      <c r="BI505" s="46">
        <v>0</v>
      </c>
      <c r="BJ505" s="46">
        <v>0</v>
      </c>
      <c r="BK505" s="46">
        <v>0</v>
      </c>
      <c r="BL505" s="46">
        <v>0</v>
      </c>
      <c r="BM505" s="46">
        <v>0</v>
      </c>
      <c r="BN505" s="46">
        <v>0</v>
      </c>
      <c r="BO505" s="46">
        <v>0</v>
      </c>
      <c r="BP505" s="46">
        <v>0</v>
      </c>
      <c r="BQ505" s="46">
        <v>0</v>
      </c>
      <c r="BR505" s="44"/>
      <c r="BS505" s="40"/>
      <c r="BT505" s="40"/>
      <c r="BU505" s="40"/>
      <c r="BV505" s="40"/>
      <c r="BW505" s="40"/>
      <c r="BX505" s="40"/>
      <c r="BY505" s="40"/>
      <c r="BZ505" s="40"/>
      <c r="CA505" s="40"/>
      <c r="CB505" s="40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525">
        <v>0</v>
      </c>
      <c r="CU505" s="525">
        <v>0</v>
      </c>
      <c r="CV505" s="44">
        <v>0</v>
      </c>
      <c r="CW505" s="44">
        <v>0</v>
      </c>
      <c r="CX505" s="44">
        <v>0</v>
      </c>
      <c r="CY505" s="45">
        <v>-1.3</v>
      </c>
      <c r="CZ505" s="44">
        <v>0</v>
      </c>
      <c r="DA505" s="44">
        <v>0</v>
      </c>
      <c r="DB505" s="44">
        <v>0</v>
      </c>
      <c r="DC505" s="44">
        <v>0</v>
      </c>
      <c r="DD505" s="44">
        <v>0</v>
      </c>
      <c r="DE505" s="44">
        <v>0</v>
      </c>
      <c r="DF505" s="44">
        <v>0</v>
      </c>
      <c r="DG505" s="44">
        <v>0</v>
      </c>
      <c r="DH505" s="44">
        <v>0</v>
      </c>
      <c r="DI505" s="44">
        <v>0</v>
      </c>
    </row>
    <row r="506" spans="1:113" s="24" customFormat="1" ht="12" hidden="1" outlineLevel="2">
      <c r="A506" s="111" t="s">
        <v>57</v>
      </c>
      <c r="B506" s="24" t="s">
        <v>263</v>
      </c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  <c r="AJ506" s="55"/>
      <c r="AK506" s="55"/>
      <c r="AL506" s="55"/>
      <c r="AM506" s="55"/>
      <c r="AN506" s="55"/>
      <c r="AO506" s="55"/>
      <c r="AP506" s="521">
        <v>0.1</v>
      </c>
      <c r="AQ506" s="521">
        <v>2</v>
      </c>
      <c r="AR506" s="521">
        <v>-2.2999999999999998</v>
      </c>
      <c r="AS506" s="521">
        <v>-4.2</v>
      </c>
      <c r="AT506" s="521">
        <v>-17.100000000000001</v>
      </c>
      <c r="AU506" s="521">
        <v>-17</v>
      </c>
      <c r="AV506" s="521">
        <v>-21.5</v>
      </c>
      <c r="AW506" s="522">
        <v>-14.200000000000001</v>
      </c>
      <c r="AX506" s="526">
        <v>-14.078107261314626</v>
      </c>
      <c r="AY506" s="526">
        <v>-25.388390754463902</v>
      </c>
      <c r="AZ506" s="526">
        <v>-31.606312611828855</v>
      </c>
      <c r="BA506" s="526">
        <v>-37.181663449813001</v>
      </c>
      <c r="BB506" s="526">
        <v>-45.074165402818046</v>
      </c>
      <c r="BC506" s="526">
        <v>-47.635201794538737</v>
      </c>
      <c r="BD506" s="526">
        <v>-50.855750940581295</v>
      </c>
      <c r="BE506" s="526">
        <v>-53.339385027112847</v>
      </c>
      <c r="BF506" s="526">
        <v>-57.141550373052716</v>
      </c>
      <c r="BG506" s="526">
        <v>-58.406118326672591</v>
      </c>
      <c r="BH506" s="526">
        <v>-61.789931154045114</v>
      </c>
      <c r="BI506" s="526">
        <v>-62.312507843429081</v>
      </c>
      <c r="BJ506" s="526">
        <v>-65.374385081948788</v>
      </c>
      <c r="BK506" s="526">
        <v>-65.919259486693917</v>
      </c>
      <c r="BL506" s="526">
        <v>-68.998826559893615</v>
      </c>
      <c r="BM506" s="526">
        <v>-69.865041115206068</v>
      </c>
      <c r="BN506" s="526">
        <v>-72.409523472998075</v>
      </c>
      <c r="BO506" s="526">
        <v>-72.825286601507273</v>
      </c>
      <c r="BP506" s="526">
        <v>-75.803879688555469</v>
      </c>
      <c r="BQ506" s="526">
        <v>-76.135209397160978</v>
      </c>
      <c r="BR506" s="526"/>
      <c r="BS506" s="54"/>
      <c r="BT506" s="54"/>
      <c r="BU506" s="54"/>
      <c r="BV506" s="54"/>
      <c r="BW506" s="54"/>
      <c r="BX506" s="54"/>
      <c r="BY506" s="54"/>
      <c r="BZ506" s="54"/>
      <c r="CA506" s="54"/>
      <c r="CB506" s="54"/>
      <c r="CC506" s="55"/>
      <c r="CD506" s="55"/>
      <c r="CE506" s="55"/>
      <c r="CF506" s="55"/>
      <c r="CG506" s="55"/>
      <c r="CH506" s="55"/>
      <c r="CI506" s="55"/>
      <c r="CJ506" s="55"/>
      <c r="CK506" s="55"/>
      <c r="CL506" s="55"/>
      <c r="CM506" s="55"/>
      <c r="CN506" s="55"/>
      <c r="CO506" s="55"/>
      <c r="CP506" s="55"/>
      <c r="CQ506" s="55"/>
      <c r="CR506" s="55"/>
      <c r="CS506" s="55"/>
      <c r="CT506" s="521">
        <v>9.0174900000000004</v>
      </c>
      <c r="CU506" s="521">
        <v>16.89349</v>
      </c>
      <c r="CV506" s="526">
        <v>2.1</v>
      </c>
      <c r="CW506" s="526">
        <v>-6.5</v>
      </c>
      <c r="CX506" s="526">
        <v>-34.1</v>
      </c>
      <c r="CY506" s="524">
        <v>-35.700000000000003</v>
      </c>
      <c r="CZ506" s="526">
        <v>-39.466498015778527</v>
      </c>
      <c r="DA506" s="526">
        <v>-68.787976061641857</v>
      </c>
      <c r="DB506" s="526">
        <v>-92.709367197356784</v>
      </c>
      <c r="DC506" s="526">
        <v>-104.19513596769414</v>
      </c>
      <c r="DD506" s="526">
        <v>-115.54766869972531</v>
      </c>
      <c r="DE506" s="526">
        <v>-124.1024389974742</v>
      </c>
      <c r="DF506" s="526">
        <v>-131.29364456864272</v>
      </c>
      <c r="DG506" s="526">
        <v>-138.8638676750997</v>
      </c>
      <c r="DH506" s="526">
        <v>-145.23481007450533</v>
      </c>
      <c r="DI506" s="526">
        <v>-151.93908908571643</v>
      </c>
    </row>
    <row r="507" spans="1:113" ht="12" hidden="1" outlineLevel="2">
      <c r="A507" s="1" t="s">
        <v>325</v>
      </c>
      <c r="B507" s="19" t="s">
        <v>526</v>
      </c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4">
        <v>31.2</v>
      </c>
      <c r="AQ507" s="44">
        <v>-0.19999999999999996</v>
      </c>
      <c r="AR507" s="44">
        <v>6</v>
      </c>
      <c r="AS507" s="44">
        <v>0</v>
      </c>
      <c r="AT507" s="44">
        <v>0</v>
      </c>
      <c r="AU507" s="44">
        <v>0</v>
      </c>
      <c r="AV507" s="44">
        <v>0</v>
      </c>
      <c r="AW507" s="45">
        <v>1.3000000000000007</v>
      </c>
      <c r="AX507" s="44">
        <v>0</v>
      </c>
      <c r="AY507" s="44">
        <v>0</v>
      </c>
      <c r="AZ507" s="44">
        <v>0</v>
      </c>
      <c r="BA507" s="44">
        <v>0</v>
      </c>
      <c r="BB507" s="44">
        <v>0</v>
      </c>
      <c r="BC507" s="44">
        <v>0</v>
      </c>
      <c r="BD507" s="44">
        <v>0</v>
      </c>
      <c r="BE507" s="44">
        <v>0</v>
      </c>
      <c r="BF507" s="44">
        <v>0</v>
      </c>
      <c r="BG507" s="44">
        <v>0</v>
      </c>
      <c r="BH507" s="44">
        <v>0</v>
      </c>
      <c r="BI507" s="44">
        <v>0</v>
      </c>
      <c r="BJ507" s="44">
        <v>0</v>
      </c>
      <c r="BK507" s="44">
        <v>0</v>
      </c>
      <c r="BL507" s="44">
        <v>0</v>
      </c>
      <c r="BM507" s="44">
        <v>0</v>
      </c>
      <c r="BN507" s="44">
        <v>0</v>
      </c>
      <c r="BO507" s="44">
        <v>0</v>
      </c>
      <c r="BP507" s="44">
        <v>0</v>
      </c>
      <c r="BQ507" s="44">
        <v>0</v>
      </c>
      <c r="BR507" s="44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4">
        <v>-9.0174900000000004</v>
      </c>
      <c r="CU507" s="44">
        <v>-16.89349</v>
      </c>
      <c r="CV507" s="44">
        <v>31</v>
      </c>
      <c r="CW507" s="44">
        <v>6</v>
      </c>
      <c r="CX507" s="44">
        <v>0</v>
      </c>
      <c r="CY507" s="45">
        <v>1.3000000000000007</v>
      </c>
      <c r="CZ507" s="44">
        <v>0</v>
      </c>
      <c r="DA507" s="44">
        <v>0</v>
      </c>
      <c r="DB507" s="44">
        <v>0</v>
      </c>
      <c r="DC507" s="44">
        <v>0</v>
      </c>
      <c r="DD507" s="44">
        <v>0</v>
      </c>
      <c r="DE507" s="44">
        <v>0</v>
      </c>
      <c r="DF507" s="44">
        <v>0</v>
      </c>
      <c r="DG507" s="44">
        <v>0</v>
      </c>
      <c r="DH507" s="44">
        <v>0</v>
      </c>
      <c r="DI507" s="44">
        <v>0</v>
      </c>
    </row>
    <row r="508" spans="1:113" ht="12" hidden="1" outlineLevel="2">
      <c r="A508" s="1" t="s">
        <v>692</v>
      </c>
      <c r="B508" s="19" t="s">
        <v>264</v>
      </c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525">
        <v>0</v>
      </c>
      <c r="AQ508" s="525">
        <v>0</v>
      </c>
      <c r="AR508" s="525">
        <v>0</v>
      </c>
      <c r="AS508" s="525">
        <v>0</v>
      </c>
      <c r="AT508" s="525">
        <v>0</v>
      </c>
      <c r="AU508" s="525">
        <v>0</v>
      </c>
      <c r="AV508" s="525">
        <v>0</v>
      </c>
      <c r="AW508" s="523">
        <v>0</v>
      </c>
      <c r="AX508" s="46">
        <v>0</v>
      </c>
      <c r="AY508" s="46">
        <v>0</v>
      </c>
      <c r="AZ508" s="46">
        <v>0</v>
      </c>
      <c r="BA508" s="46">
        <v>0</v>
      </c>
      <c r="BB508" s="46">
        <v>0</v>
      </c>
      <c r="BC508" s="46">
        <v>0</v>
      </c>
      <c r="BD508" s="46">
        <v>0</v>
      </c>
      <c r="BE508" s="46">
        <v>0</v>
      </c>
      <c r="BF508" s="46">
        <v>0</v>
      </c>
      <c r="BG508" s="46">
        <v>0</v>
      </c>
      <c r="BH508" s="46">
        <v>0</v>
      </c>
      <c r="BI508" s="46">
        <v>0</v>
      </c>
      <c r="BJ508" s="46">
        <v>0</v>
      </c>
      <c r="BK508" s="46">
        <v>0</v>
      </c>
      <c r="BL508" s="46">
        <v>0</v>
      </c>
      <c r="BM508" s="46">
        <v>0</v>
      </c>
      <c r="BN508" s="46">
        <v>0</v>
      </c>
      <c r="BO508" s="46">
        <v>0</v>
      </c>
      <c r="BP508" s="46">
        <v>0</v>
      </c>
      <c r="BQ508" s="46">
        <v>0</v>
      </c>
      <c r="BR508" s="46"/>
      <c r="BS508" s="40"/>
      <c r="BT508" s="40"/>
      <c r="BU508" s="40"/>
      <c r="BV508" s="40"/>
      <c r="BW508" s="40"/>
      <c r="BX508" s="40"/>
      <c r="BY508" s="40"/>
      <c r="BZ508" s="40"/>
      <c r="CA508" s="40"/>
      <c r="CB508" s="40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525">
        <v>0</v>
      </c>
      <c r="CU508" s="525">
        <v>0</v>
      </c>
      <c r="CV508" s="44">
        <v>0</v>
      </c>
      <c r="CW508" s="44">
        <v>0</v>
      </c>
      <c r="CX508" s="44">
        <v>0</v>
      </c>
      <c r="CY508" s="45">
        <v>0</v>
      </c>
      <c r="CZ508" s="44">
        <v>0</v>
      </c>
      <c r="DA508" s="44">
        <v>0</v>
      </c>
      <c r="DB508" s="44">
        <v>0</v>
      </c>
      <c r="DC508" s="44">
        <v>0</v>
      </c>
      <c r="DD508" s="44">
        <v>0</v>
      </c>
      <c r="DE508" s="44">
        <v>0</v>
      </c>
      <c r="DF508" s="44">
        <v>0</v>
      </c>
      <c r="DG508" s="44">
        <v>0</v>
      </c>
      <c r="DH508" s="44">
        <v>0</v>
      </c>
      <c r="DI508" s="44">
        <v>0</v>
      </c>
    </row>
    <row r="509" spans="1:113" s="24" customFormat="1" ht="12" hidden="1" outlineLevel="2">
      <c r="A509" s="111" t="s">
        <v>326</v>
      </c>
      <c r="B509" s="24" t="s">
        <v>2522</v>
      </c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  <c r="AJ509" s="55"/>
      <c r="AK509" s="55"/>
      <c r="AL509" s="55"/>
      <c r="AM509" s="55"/>
      <c r="AN509" s="55"/>
      <c r="AO509" s="55"/>
      <c r="AP509" s="521">
        <v>31.3</v>
      </c>
      <c r="AQ509" s="521">
        <v>1.8</v>
      </c>
      <c r="AR509" s="521">
        <v>3.7</v>
      </c>
      <c r="AS509" s="521">
        <v>-4.2</v>
      </c>
      <c r="AT509" s="521">
        <v>-17.100000000000001</v>
      </c>
      <c r="AU509" s="521">
        <v>-17</v>
      </c>
      <c r="AV509" s="521">
        <v>-21.5</v>
      </c>
      <c r="AW509" s="522">
        <v>-12.9</v>
      </c>
      <c r="AX509" s="526">
        <v>-14.078107261314626</v>
      </c>
      <c r="AY509" s="526">
        <v>-25.388390754463902</v>
      </c>
      <c r="AZ509" s="526">
        <v>-31.606312611828855</v>
      </c>
      <c r="BA509" s="526">
        <v>-37.181663449813001</v>
      </c>
      <c r="BB509" s="526">
        <v>-45.074165402818046</v>
      </c>
      <c r="BC509" s="526">
        <v>-47.635201794538737</v>
      </c>
      <c r="BD509" s="526">
        <v>-50.855750940581295</v>
      </c>
      <c r="BE509" s="526">
        <v>-53.339385027112847</v>
      </c>
      <c r="BF509" s="526">
        <v>-57.141550373052716</v>
      </c>
      <c r="BG509" s="526">
        <v>-58.406118326672591</v>
      </c>
      <c r="BH509" s="526">
        <v>-61.789931154045114</v>
      </c>
      <c r="BI509" s="526">
        <v>-62.312507843429081</v>
      </c>
      <c r="BJ509" s="526">
        <v>-65.374385081948788</v>
      </c>
      <c r="BK509" s="526">
        <v>-65.919259486693917</v>
      </c>
      <c r="BL509" s="526">
        <v>-68.998826559893615</v>
      </c>
      <c r="BM509" s="526">
        <v>-69.865041115206068</v>
      </c>
      <c r="BN509" s="526">
        <v>-72.409523472998075</v>
      </c>
      <c r="BO509" s="526">
        <v>-72.825286601507273</v>
      </c>
      <c r="BP509" s="526">
        <v>-75.803879688555469</v>
      </c>
      <c r="BQ509" s="526">
        <v>-76.135209397160978</v>
      </c>
      <c r="BR509" s="526"/>
      <c r="BS509" s="54"/>
      <c r="BT509" s="54"/>
      <c r="BU509" s="54"/>
      <c r="BV509" s="54"/>
      <c r="BW509" s="54"/>
      <c r="BX509" s="54"/>
      <c r="BY509" s="54"/>
      <c r="BZ509" s="54"/>
      <c r="CA509" s="54"/>
      <c r="CB509" s="54"/>
      <c r="CC509" s="55"/>
      <c r="CD509" s="55"/>
      <c r="CE509" s="55"/>
      <c r="CF509" s="55"/>
      <c r="CG509" s="55"/>
      <c r="CH509" s="55"/>
      <c r="CI509" s="55"/>
      <c r="CJ509" s="55"/>
      <c r="CK509" s="55"/>
      <c r="CL509" s="55"/>
      <c r="CM509" s="55"/>
      <c r="CN509" s="55"/>
      <c r="CO509" s="55"/>
      <c r="CP509" s="55"/>
      <c r="CQ509" s="55"/>
      <c r="CR509" s="55"/>
      <c r="CS509" s="55"/>
      <c r="CT509" s="521">
        <v>0</v>
      </c>
      <c r="CU509" s="521">
        <v>0</v>
      </c>
      <c r="CV509" s="526">
        <v>33.1</v>
      </c>
      <c r="CW509" s="526">
        <v>-0.5</v>
      </c>
      <c r="CX509" s="526">
        <v>-34.1</v>
      </c>
      <c r="CY509" s="524">
        <v>-34.400000000000006</v>
      </c>
      <c r="CZ509" s="526">
        <v>-39.466498015778527</v>
      </c>
      <c r="DA509" s="526">
        <v>-68.787976061641857</v>
      </c>
      <c r="DB509" s="526">
        <v>-92.709367197356784</v>
      </c>
      <c r="DC509" s="526">
        <v>-104.19513596769414</v>
      </c>
      <c r="DD509" s="526">
        <v>-115.54766869972531</v>
      </c>
      <c r="DE509" s="526">
        <v>-124.1024389974742</v>
      </c>
      <c r="DF509" s="526">
        <v>-131.29364456864272</v>
      </c>
      <c r="DG509" s="526">
        <v>-138.8638676750997</v>
      </c>
      <c r="DH509" s="526">
        <v>-145.23481007450533</v>
      </c>
      <c r="DI509" s="526">
        <v>-151.93908908571643</v>
      </c>
    </row>
    <row r="510" spans="1:113" s="57" customFormat="1" ht="12" hidden="1" outlineLevel="2">
      <c r="A510" s="1"/>
      <c r="B510" s="57" t="s">
        <v>352</v>
      </c>
      <c r="C510" s="58"/>
      <c r="D510" s="58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58"/>
      <c r="AN510" s="58"/>
      <c r="AO510" s="58"/>
      <c r="AP510" s="90" t="s">
        <v>770</v>
      </c>
      <c r="AQ510" s="90" t="s">
        <v>770</v>
      </c>
      <c r="AR510" s="90" t="s">
        <v>770</v>
      </c>
      <c r="AS510" s="90" t="s">
        <v>770</v>
      </c>
      <c r="AT510" s="90" t="s">
        <v>770</v>
      </c>
      <c r="AU510" s="90" t="s">
        <v>770</v>
      </c>
      <c r="AV510" s="90" t="s">
        <v>770</v>
      </c>
      <c r="AW510" s="540" t="s">
        <v>770</v>
      </c>
      <c r="AX510" s="90" t="s">
        <v>770</v>
      </c>
      <c r="AY510" s="90" t="s">
        <v>770</v>
      </c>
      <c r="AZ510" s="90" t="s">
        <v>770</v>
      </c>
      <c r="BA510" s="90" t="s">
        <v>770</v>
      </c>
      <c r="BB510" s="90" t="s">
        <v>770</v>
      </c>
      <c r="BC510" s="90" t="s">
        <v>770</v>
      </c>
      <c r="BD510" s="90" t="s">
        <v>770</v>
      </c>
      <c r="BE510" s="90" t="s">
        <v>770</v>
      </c>
      <c r="BF510" s="90" t="s">
        <v>770</v>
      </c>
      <c r="BG510" s="90" t="s">
        <v>770</v>
      </c>
      <c r="BH510" s="90" t="s">
        <v>770</v>
      </c>
      <c r="BI510" s="90" t="s">
        <v>770</v>
      </c>
      <c r="BJ510" s="90" t="s">
        <v>770</v>
      </c>
      <c r="BK510" s="90" t="s">
        <v>770</v>
      </c>
      <c r="BL510" s="90" t="s">
        <v>770</v>
      </c>
      <c r="BM510" s="90" t="s">
        <v>770</v>
      </c>
      <c r="BN510" s="90" t="s">
        <v>770</v>
      </c>
      <c r="BO510" s="90" t="s">
        <v>770</v>
      </c>
      <c r="BP510" s="90" t="s">
        <v>770</v>
      </c>
      <c r="BQ510" s="90" t="s">
        <v>770</v>
      </c>
      <c r="BR510" s="90"/>
      <c r="BS510" s="58"/>
      <c r="BT510" s="58"/>
      <c r="BU510" s="58"/>
      <c r="BV510" s="58"/>
      <c r="BW510" s="58"/>
      <c r="BX510" s="58"/>
      <c r="BY510" s="58"/>
      <c r="BZ510" s="58"/>
      <c r="CA510" s="58"/>
      <c r="CB510" s="58"/>
      <c r="CC510" s="58"/>
      <c r="CD510" s="58"/>
      <c r="CE510" s="58"/>
      <c r="CF510" s="58"/>
      <c r="CG510" s="58"/>
      <c r="CH510" s="58"/>
      <c r="CI510" s="58"/>
      <c r="CJ510" s="58"/>
      <c r="CK510" s="58"/>
      <c r="CL510" s="58"/>
      <c r="CM510" s="58"/>
      <c r="CN510" s="58"/>
      <c r="CO510" s="58"/>
      <c r="CP510" s="58"/>
      <c r="CQ510" s="58"/>
      <c r="CR510" s="58"/>
      <c r="CS510" s="58"/>
      <c r="CT510" s="90" t="s">
        <v>770</v>
      </c>
      <c r="CU510" s="90" t="s">
        <v>770</v>
      </c>
      <c r="CV510" s="90" t="s">
        <v>770</v>
      </c>
      <c r="CW510" s="90" t="s">
        <v>770</v>
      </c>
      <c r="CX510" s="90" t="s">
        <v>770</v>
      </c>
      <c r="CY510" s="540" t="s">
        <v>770</v>
      </c>
      <c r="CZ510" s="90" t="s">
        <v>770</v>
      </c>
      <c r="DA510" s="90" t="s">
        <v>770</v>
      </c>
      <c r="DB510" s="90" t="s">
        <v>770</v>
      </c>
      <c r="DC510" s="90" t="s">
        <v>770</v>
      </c>
      <c r="DD510" s="90" t="s">
        <v>770</v>
      </c>
      <c r="DE510" s="90" t="s">
        <v>770</v>
      </c>
      <c r="DF510" s="90" t="s">
        <v>770</v>
      </c>
      <c r="DG510" s="90" t="s">
        <v>770</v>
      </c>
      <c r="DH510" s="90" t="s">
        <v>770</v>
      </c>
      <c r="DI510" s="90" t="s">
        <v>770</v>
      </c>
    </row>
    <row r="511" spans="1:113" ht="12" outlineLevel="1" collapsed="1">
      <c r="A511" s="60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4"/>
      <c r="AA511" s="44"/>
      <c r="AB511" s="44"/>
      <c r="AC511" s="388"/>
      <c r="AD511" s="44"/>
      <c r="AE511" s="44"/>
      <c r="AF511" s="44"/>
      <c r="AG511" s="44"/>
      <c r="AH511" s="44"/>
      <c r="AI511" s="44"/>
      <c r="AJ511" s="44"/>
      <c r="AK511" s="44"/>
      <c r="AL511" s="44"/>
      <c r="AM511" s="44"/>
      <c r="AN511" s="44"/>
      <c r="AO511" s="44"/>
      <c r="AP511" s="44"/>
      <c r="AQ511" s="44"/>
      <c r="AR511" s="44"/>
      <c r="AS511" s="44"/>
      <c r="AT511" s="44"/>
      <c r="AU511" s="44"/>
      <c r="AV511" s="44"/>
      <c r="AW511" s="45"/>
      <c r="AX511" s="44"/>
      <c r="AY511" s="44"/>
      <c r="AZ511" s="44"/>
      <c r="BA511" s="44"/>
      <c r="BB511" s="44"/>
      <c r="BC511" s="44"/>
      <c r="BD511" s="44"/>
      <c r="BE511" s="44"/>
      <c r="BF511" s="44"/>
      <c r="BG511" s="44"/>
      <c r="BH511" s="44"/>
      <c r="BI511" s="44"/>
      <c r="BJ511" s="44"/>
      <c r="BK511" s="44"/>
      <c r="BL511" s="44"/>
      <c r="BM511" s="44"/>
      <c r="BN511" s="44"/>
      <c r="BO511" s="44"/>
      <c r="BP511" s="44"/>
      <c r="BQ511" s="44"/>
      <c r="BR511" s="44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4"/>
      <c r="CU511" s="44"/>
      <c r="CV511" s="44"/>
      <c r="CW511" s="44"/>
      <c r="CX511" s="44"/>
      <c r="CY511" s="642"/>
      <c r="CZ511" s="44"/>
      <c r="DA511" s="44"/>
      <c r="DB511" s="44"/>
      <c r="DC511" s="529"/>
      <c r="DD511" s="529"/>
      <c r="DE511" s="529"/>
      <c r="DF511" s="529"/>
      <c r="DG511" s="529"/>
      <c r="DH511" s="529"/>
      <c r="DI511" s="529"/>
    </row>
    <row r="512" spans="1:113" ht="12"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4"/>
      <c r="AQ512" s="44"/>
      <c r="AR512" s="44"/>
      <c r="AS512" s="44"/>
      <c r="AT512" s="44"/>
      <c r="AU512" s="44"/>
      <c r="AV512" s="44"/>
      <c r="AW512" s="45"/>
      <c r="AX512" s="44"/>
      <c r="AY512" s="44"/>
      <c r="AZ512" s="44"/>
      <c r="BA512" s="44"/>
      <c r="BB512" s="44"/>
      <c r="BC512" s="44"/>
      <c r="BD512" s="44"/>
      <c r="BE512" s="44"/>
      <c r="BF512" s="44"/>
      <c r="BG512" s="44"/>
      <c r="BH512" s="44"/>
      <c r="BI512" s="44"/>
      <c r="BJ512" s="44"/>
      <c r="BK512" s="44"/>
      <c r="BL512" s="44"/>
      <c r="BM512" s="44"/>
      <c r="BN512" s="44"/>
      <c r="BO512" s="44"/>
      <c r="BP512" s="44"/>
      <c r="BQ512" s="44"/>
      <c r="BR512" s="44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4"/>
      <c r="CU512" s="44"/>
      <c r="CV512" s="44"/>
      <c r="CW512" s="44"/>
      <c r="CX512" s="44"/>
      <c r="CY512" s="45"/>
      <c r="CZ512" s="44"/>
      <c r="DA512" s="44"/>
      <c r="DB512" s="44"/>
      <c r="DC512" s="529"/>
      <c r="DD512" s="529"/>
      <c r="DE512" s="529"/>
      <c r="DF512" s="529"/>
      <c r="DG512" s="529"/>
      <c r="DH512" s="529"/>
      <c r="DI512" s="529"/>
    </row>
    <row r="513" spans="1:120" s="36" customFormat="1" ht="12" collapsed="1">
      <c r="A513" s="1" t="s">
        <v>980</v>
      </c>
      <c r="B513" s="2" t="s">
        <v>353</v>
      </c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  <c r="AJ513" s="55"/>
      <c r="AK513" s="55"/>
      <c r="AL513" s="55"/>
      <c r="AM513" s="55"/>
      <c r="AN513" s="55"/>
      <c r="AO513" s="55"/>
      <c r="AP513" s="527">
        <v>-6.4999999999999947</v>
      </c>
      <c r="AQ513" s="527">
        <v>1.3000000000000043</v>
      </c>
      <c r="AR513" s="527">
        <v>0.70000000000000906</v>
      </c>
      <c r="AS513" s="527">
        <v>8.3999999999999915</v>
      </c>
      <c r="AT513" s="527">
        <v>36.099999999999987</v>
      </c>
      <c r="AU513" s="527">
        <v>37.299999999999983</v>
      </c>
      <c r="AV513" s="527">
        <v>45.900000000000006</v>
      </c>
      <c r="AW513" s="528">
        <v>24.000000000000021</v>
      </c>
      <c r="AX513" s="527">
        <v>28.582823833578175</v>
      </c>
      <c r="AY513" s="527">
        <v>51.546126683305502</v>
      </c>
      <c r="AZ513" s="527">
        <v>64.170392272501005</v>
      </c>
      <c r="BA513" s="527">
        <v>75.490043973862754</v>
      </c>
      <c r="BB513" s="527">
        <v>91.514214605721492</v>
      </c>
      <c r="BC513" s="527">
        <v>96.713894552548339</v>
      </c>
      <c r="BD513" s="527">
        <v>103.25258524299838</v>
      </c>
      <c r="BE513" s="527">
        <v>108.29511505504729</v>
      </c>
      <c r="BF513" s="527">
        <v>116.01466287862218</v>
      </c>
      <c r="BG513" s="527">
        <v>118.58211902688072</v>
      </c>
      <c r="BH513" s="527">
        <v>125.45228446427339</v>
      </c>
      <c r="BI513" s="527">
        <v>126.51327350029541</v>
      </c>
      <c r="BJ513" s="527">
        <v>132.72981213607781</v>
      </c>
      <c r="BK513" s="527">
        <v>133.83607229116643</v>
      </c>
      <c r="BL513" s="527">
        <v>140.08852665190523</v>
      </c>
      <c r="BM513" s="527">
        <v>141.84720468844864</v>
      </c>
      <c r="BN513" s="527">
        <v>147.0132749300264</v>
      </c>
      <c r="BO513" s="527">
        <v>147.85740006972685</v>
      </c>
      <c r="BP513" s="527">
        <v>153.90484664040048</v>
      </c>
      <c r="BQ513" s="527">
        <v>154.57754635181169</v>
      </c>
      <c r="BR513" s="527"/>
      <c r="BS513" s="52"/>
      <c r="BT513" s="52"/>
      <c r="BU513" s="52"/>
      <c r="BV513" s="52"/>
      <c r="BW513" s="52"/>
      <c r="BX513" s="52"/>
      <c r="BY513" s="52"/>
      <c r="BZ513" s="52"/>
      <c r="CA513" s="52"/>
      <c r="CB513" s="52"/>
      <c r="CC513" s="52"/>
      <c r="CD513" s="52"/>
      <c r="CE513" s="52"/>
      <c r="CF513" s="52"/>
      <c r="CG513" s="52"/>
      <c r="CH513" s="52"/>
      <c r="CI513" s="52"/>
      <c r="CJ513" s="52"/>
      <c r="CK513" s="52"/>
      <c r="CL513" s="52"/>
      <c r="CM513" s="52"/>
      <c r="CN513" s="52"/>
      <c r="CO513" s="52"/>
      <c r="CP513" s="52"/>
      <c r="CQ513" s="52"/>
      <c r="CR513" s="52"/>
      <c r="CS513" s="52"/>
      <c r="CT513" s="527">
        <v>-23.09601</v>
      </c>
      <c r="CU513" s="527">
        <v>-38.098010000000002</v>
      </c>
      <c r="CV513" s="527">
        <v>-5.1999999999999975</v>
      </c>
      <c r="CW513" s="527">
        <v>9.1000000000000014</v>
      </c>
      <c r="CX513" s="527">
        <v>73.400000000000006</v>
      </c>
      <c r="CY513" s="528">
        <v>69.899999999999977</v>
      </c>
      <c r="CZ513" s="527">
        <v>80.128950516883648</v>
      </c>
      <c r="DA513" s="527">
        <v>139.66043624636376</v>
      </c>
      <c r="DB513" s="527">
        <v>188.2281091582698</v>
      </c>
      <c r="DC513" s="527">
        <v>211.54770029804567</v>
      </c>
      <c r="DD513" s="527">
        <v>234.59678190550295</v>
      </c>
      <c r="DE513" s="527">
        <v>251.96555796456883</v>
      </c>
      <c r="DF513" s="527">
        <v>266.56588442724421</v>
      </c>
      <c r="DG513" s="527">
        <v>281.93573134035387</v>
      </c>
      <c r="DH513" s="527">
        <v>294.87067499975325</v>
      </c>
      <c r="DI513" s="527">
        <v>308.48239299221217</v>
      </c>
    </row>
    <row r="514" spans="1:120" ht="12" outlineLevel="1"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08"/>
      <c r="V514" s="408"/>
      <c r="W514" s="408"/>
      <c r="X514" s="408"/>
      <c r="Y514" s="408"/>
      <c r="Z514" s="408"/>
      <c r="AA514" s="408"/>
      <c r="AB514" s="42"/>
      <c r="AC514" s="42"/>
      <c r="AD514" s="55"/>
      <c r="AE514" s="55"/>
      <c r="AF514" s="55"/>
      <c r="AG514" s="416"/>
      <c r="AH514" s="55"/>
      <c r="AI514" s="55"/>
      <c r="AJ514" s="55"/>
      <c r="AK514" s="416"/>
      <c r="AL514" s="55"/>
      <c r="AM514" s="55"/>
      <c r="AN514" s="55"/>
      <c r="AO514" s="55"/>
      <c r="AP514" s="44"/>
      <c r="AQ514" s="44"/>
      <c r="AR514" s="44"/>
      <c r="AS514" s="44"/>
      <c r="AT514" s="44"/>
      <c r="AU514" s="44"/>
      <c r="AV514" s="44"/>
      <c r="AW514" s="45"/>
      <c r="AX514" s="574"/>
      <c r="AY514" s="574"/>
      <c r="AZ514" s="574"/>
      <c r="BA514" s="574"/>
      <c r="BB514" s="574"/>
      <c r="BC514" s="574"/>
      <c r="BD514" s="574"/>
      <c r="BE514" s="574"/>
      <c r="BF514" s="574"/>
      <c r="BG514" s="574"/>
      <c r="BH514" s="574"/>
      <c r="BI514" s="574"/>
      <c r="BJ514" s="574"/>
      <c r="BK514" s="574"/>
      <c r="BL514" s="574"/>
      <c r="BM514" s="574"/>
      <c r="BN514" s="574"/>
      <c r="BO514" s="574"/>
      <c r="BP514" s="574"/>
      <c r="BQ514" s="574"/>
      <c r="BR514" s="44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285"/>
      <c r="CP514" s="55"/>
      <c r="CQ514" s="42"/>
      <c r="CR514" s="285"/>
      <c r="CS514" s="42"/>
      <c r="CT514" s="44"/>
      <c r="CU514" s="526"/>
      <c r="CV514" s="44"/>
      <c r="CW514" s="44"/>
      <c r="CX514" s="44"/>
      <c r="CY514" s="45"/>
      <c r="CZ514" s="632"/>
      <c r="DA514" s="44"/>
      <c r="DB514" s="44"/>
      <c r="DC514" s="529"/>
      <c r="DD514" s="529"/>
      <c r="DE514" s="529"/>
      <c r="DF514" s="529"/>
      <c r="DG514" s="529"/>
      <c r="DH514" s="529"/>
      <c r="DI514" s="529"/>
    </row>
    <row r="515" spans="1:120" s="24" customFormat="1" ht="12" outlineLevel="1">
      <c r="A515" s="1" t="s">
        <v>331</v>
      </c>
      <c r="B515" s="24" t="s">
        <v>354</v>
      </c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  <c r="AJ515" s="55"/>
      <c r="AK515" s="55"/>
      <c r="AL515" s="55"/>
      <c r="AM515" s="55"/>
      <c r="AN515" s="55"/>
      <c r="AO515" s="55"/>
      <c r="AP515" s="526">
        <v>-6.4999999999999947</v>
      </c>
      <c r="AQ515" s="526">
        <v>1.3000000000000043</v>
      </c>
      <c r="AR515" s="526">
        <v>0.70000000000000906</v>
      </c>
      <c r="AS515" s="526">
        <v>8.3999999999999915</v>
      </c>
      <c r="AT515" s="526">
        <v>36.099999999999987</v>
      </c>
      <c r="AU515" s="526">
        <v>37.299999999999983</v>
      </c>
      <c r="AV515" s="526">
        <v>45.900000000000006</v>
      </c>
      <c r="AW515" s="524">
        <v>24.000000000000021</v>
      </c>
      <c r="AX515" s="526">
        <v>28.582823833578175</v>
      </c>
      <c r="AY515" s="526">
        <v>51.546126683305502</v>
      </c>
      <c r="AZ515" s="526">
        <v>64.170392272501005</v>
      </c>
      <c r="BA515" s="526">
        <v>75.490043973862754</v>
      </c>
      <c r="BB515" s="526">
        <v>91.514214605721492</v>
      </c>
      <c r="BC515" s="526">
        <v>96.713894552548339</v>
      </c>
      <c r="BD515" s="526">
        <v>103.25258524299838</v>
      </c>
      <c r="BE515" s="526">
        <v>108.29511505504729</v>
      </c>
      <c r="BF515" s="526">
        <v>116.01466287862218</v>
      </c>
      <c r="BG515" s="526">
        <v>118.58211902688072</v>
      </c>
      <c r="BH515" s="526">
        <v>125.45228446427339</v>
      </c>
      <c r="BI515" s="526">
        <v>126.51327350029541</v>
      </c>
      <c r="BJ515" s="526">
        <v>132.72981213607781</v>
      </c>
      <c r="BK515" s="526">
        <v>133.83607229116643</v>
      </c>
      <c r="BL515" s="526">
        <v>140.08852665190523</v>
      </c>
      <c r="BM515" s="526">
        <v>141.84720468844864</v>
      </c>
      <c r="BN515" s="526">
        <v>147.0132749300264</v>
      </c>
      <c r="BO515" s="526">
        <v>147.85740006972685</v>
      </c>
      <c r="BP515" s="526">
        <v>153.90484664040048</v>
      </c>
      <c r="BQ515" s="526">
        <v>154.57754635181169</v>
      </c>
      <c r="BR515" s="526"/>
      <c r="BS515" s="55"/>
      <c r="BT515" s="55"/>
      <c r="BU515" s="55"/>
      <c r="BV515" s="55"/>
      <c r="BW515" s="55"/>
      <c r="BX515" s="55"/>
      <c r="BY515" s="55"/>
      <c r="BZ515" s="55"/>
      <c r="CA515" s="55"/>
      <c r="CB515" s="55"/>
      <c r="CC515" s="55"/>
      <c r="CD515" s="55"/>
      <c r="CE515" s="55"/>
      <c r="CF515" s="55"/>
      <c r="CG515" s="55"/>
      <c r="CH515" s="55"/>
      <c r="CI515" s="55"/>
      <c r="CJ515" s="55"/>
      <c r="CK515" s="55"/>
      <c r="CL515" s="55"/>
      <c r="CM515" s="55"/>
      <c r="CN515" s="55"/>
      <c r="CO515" s="55"/>
      <c r="CP515" s="55"/>
      <c r="CQ515" s="55"/>
      <c r="CR515" s="55"/>
      <c r="CS515" s="55"/>
      <c r="CT515" s="526">
        <v>-23.09601</v>
      </c>
      <c r="CU515" s="526">
        <v>-38.098010000000002</v>
      </c>
      <c r="CV515" s="526">
        <v>-5.1999999999999975</v>
      </c>
      <c r="CW515" s="526">
        <v>9.1000000000000014</v>
      </c>
      <c r="CX515" s="526">
        <v>73.400000000000006</v>
      </c>
      <c r="CY515" s="524">
        <v>69.899999999999977</v>
      </c>
      <c r="CZ515" s="526">
        <v>80.128950516883648</v>
      </c>
      <c r="DA515" s="526">
        <v>139.66043624636376</v>
      </c>
      <c r="DB515" s="526">
        <v>188.2281091582698</v>
      </c>
      <c r="DC515" s="526">
        <v>211.54770029804567</v>
      </c>
      <c r="DD515" s="526">
        <v>234.59678190550295</v>
      </c>
      <c r="DE515" s="526">
        <v>251.96555796456883</v>
      </c>
      <c r="DF515" s="526">
        <v>266.56588442724421</v>
      </c>
      <c r="DG515" s="526">
        <v>281.93573134035387</v>
      </c>
      <c r="DH515" s="526">
        <v>294.87067499975325</v>
      </c>
      <c r="DI515" s="526">
        <v>308.48239299221217</v>
      </c>
      <c r="DO515" s="649"/>
    </row>
    <row r="516" spans="1:120" ht="12" hidden="1" outlineLevel="2">
      <c r="A516" s="1" t="s">
        <v>395</v>
      </c>
      <c r="B516" s="19" t="s">
        <v>854</v>
      </c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4">
        <v>0</v>
      </c>
      <c r="AQ516" s="44">
        <v>0</v>
      </c>
      <c r="AR516" s="44">
        <v>0</v>
      </c>
      <c r="AS516" s="44">
        <v>0</v>
      </c>
      <c r="AT516" s="44">
        <v>0</v>
      </c>
      <c r="AU516" s="44">
        <v>0</v>
      </c>
      <c r="AV516" s="44">
        <v>0</v>
      </c>
      <c r="AW516" s="45">
        <v>0</v>
      </c>
      <c r="AX516" s="44">
        <v>0</v>
      </c>
      <c r="AY516" s="44">
        <v>0</v>
      </c>
      <c r="AZ516" s="44">
        <v>0</v>
      </c>
      <c r="BA516" s="44">
        <v>0</v>
      </c>
      <c r="BB516" s="44">
        <v>0</v>
      </c>
      <c r="BC516" s="44">
        <v>0</v>
      </c>
      <c r="BD516" s="44">
        <v>0</v>
      </c>
      <c r="BE516" s="44">
        <v>0</v>
      </c>
      <c r="BF516" s="44">
        <v>0</v>
      </c>
      <c r="BG516" s="44">
        <v>0</v>
      </c>
      <c r="BH516" s="44">
        <v>0</v>
      </c>
      <c r="BI516" s="44">
        <v>0</v>
      </c>
      <c r="BJ516" s="44">
        <v>0</v>
      </c>
      <c r="BK516" s="44">
        <v>0</v>
      </c>
      <c r="BL516" s="44">
        <v>0</v>
      </c>
      <c r="BM516" s="44">
        <v>0</v>
      </c>
      <c r="BN516" s="44">
        <v>0</v>
      </c>
      <c r="BO516" s="44">
        <v>0</v>
      </c>
      <c r="BP516" s="44">
        <v>0</v>
      </c>
      <c r="BQ516" s="44">
        <v>0</v>
      </c>
      <c r="BR516" s="44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4">
        <v>0</v>
      </c>
      <c r="CU516" s="44">
        <v>0</v>
      </c>
      <c r="CV516" s="44">
        <v>0</v>
      </c>
      <c r="CW516" s="44">
        <v>0</v>
      </c>
      <c r="CX516" s="44">
        <v>0</v>
      </c>
      <c r="CY516" s="45">
        <v>0</v>
      </c>
      <c r="CZ516" s="44">
        <v>0</v>
      </c>
      <c r="DA516" s="44">
        <v>0</v>
      </c>
      <c r="DB516" s="44">
        <v>0</v>
      </c>
      <c r="DC516" s="44">
        <v>0</v>
      </c>
      <c r="DD516" s="44">
        <v>0</v>
      </c>
      <c r="DE516" s="44">
        <v>0</v>
      </c>
      <c r="DF516" s="44">
        <v>0</v>
      </c>
      <c r="DG516" s="44">
        <v>0</v>
      </c>
      <c r="DH516" s="44">
        <v>0</v>
      </c>
      <c r="DI516" s="44">
        <v>0</v>
      </c>
      <c r="DO516" s="649"/>
    </row>
    <row r="517" spans="1:120" ht="12" hidden="1" outlineLevel="2">
      <c r="A517" s="1" t="s">
        <v>396</v>
      </c>
      <c r="B517" s="19" t="s">
        <v>444</v>
      </c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4">
        <v>0</v>
      </c>
      <c r="AQ517" s="44">
        <v>0</v>
      </c>
      <c r="AR517" s="44">
        <v>0</v>
      </c>
      <c r="AS517" s="44">
        <v>0</v>
      </c>
      <c r="AT517" s="44">
        <v>0</v>
      </c>
      <c r="AU517" s="44">
        <v>0</v>
      </c>
      <c r="AV517" s="44">
        <v>0</v>
      </c>
      <c r="AW517" s="45">
        <v>0</v>
      </c>
      <c r="AX517" s="44">
        <v>0</v>
      </c>
      <c r="AY517" s="44">
        <v>0</v>
      </c>
      <c r="AZ517" s="44">
        <v>0</v>
      </c>
      <c r="BA517" s="44">
        <v>0</v>
      </c>
      <c r="BB517" s="44">
        <v>0</v>
      </c>
      <c r="BC517" s="44">
        <v>0</v>
      </c>
      <c r="BD517" s="44">
        <v>0</v>
      </c>
      <c r="BE517" s="44">
        <v>0</v>
      </c>
      <c r="BF517" s="44">
        <v>0</v>
      </c>
      <c r="BG517" s="44">
        <v>0</v>
      </c>
      <c r="BH517" s="44">
        <v>0</v>
      </c>
      <c r="BI517" s="44">
        <v>0</v>
      </c>
      <c r="BJ517" s="44">
        <v>0</v>
      </c>
      <c r="BK517" s="44">
        <v>0</v>
      </c>
      <c r="BL517" s="44">
        <v>0</v>
      </c>
      <c r="BM517" s="44">
        <v>0</v>
      </c>
      <c r="BN517" s="44">
        <v>0</v>
      </c>
      <c r="BO517" s="44">
        <v>0</v>
      </c>
      <c r="BP517" s="44">
        <v>0</v>
      </c>
      <c r="BQ517" s="44">
        <v>0</v>
      </c>
      <c r="BR517" s="44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4">
        <v>0</v>
      </c>
      <c r="CU517" s="44">
        <v>0</v>
      </c>
      <c r="CV517" s="44">
        <v>0</v>
      </c>
      <c r="CW517" s="44">
        <v>0</v>
      </c>
      <c r="CX517" s="44">
        <v>0</v>
      </c>
      <c r="CY517" s="45">
        <v>0</v>
      </c>
      <c r="CZ517" s="44">
        <v>0</v>
      </c>
      <c r="DA517" s="44">
        <v>0</v>
      </c>
      <c r="DB517" s="44">
        <v>0</v>
      </c>
      <c r="DC517" s="44">
        <v>0</v>
      </c>
      <c r="DD517" s="44">
        <v>0</v>
      </c>
      <c r="DE517" s="44">
        <v>0</v>
      </c>
      <c r="DF517" s="44">
        <v>0</v>
      </c>
      <c r="DG517" s="44">
        <v>0</v>
      </c>
      <c r="DH517" s="44">
        <v>0</v>
      </c>
      <c r="DI517" s="44">
        <v>0</v>
      </c>
      <c r="DO517" s="649"/>
      <c r="DP517" s="24"/>
    </row>
    <row r="518" spans="1:120" ht="12" hidden="1" outlineLevel="2">
      <c r="A518" s="1" t="s">
        <v>328</v>
      </c>
      <c r="B518" s="19" t="s">
        <v>367</v>
      </c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4">
        <v>0</v>
      </c>
      <c r="AQ518" s="44">
        <v>0</v>
      </c>
      <c r="AR518" s="44">
        <v>0</v>
      </c>
      <c r="AS518" s="44">
        <v>0</v>
      </c>
      <c r="AT518" s="44">
        <v>0</v>
      </c>
      <c r="AU518" s="44">
        <v>0</v>
      </c>
      <c r="AV518" s="44">
        <v>0</v>
      </c>
      <c r="AW518" s="45">
        <v>5.8</v>
      </c>
      <c r="AX518" s="44">
        <v>0</v>
      </c>
      <c r="AY518" s="44">
        <v>0</v>
      </c>
      <c r="AZ518" s="44">
        <v>0</v>
      </c>
      <c r="BA518" s="44">
        <v>0</v>
      </c>
      <c r="BB518" s="44">
        <v>0</v>
      </c>
      <c r="BC518" s="44">
        <v>0</v>
      </c>
      <c r="BD518" s="44">
        <v>0</v>
      </c>
      <c r="BE518" s="44">
        <v>0</v>
      </c>
      <c r="BF518" s="44">
        <v>0</v>
      </c>
      <c r="BG518" s="44">
        <v>0</v>
      </c>
      <c r="BH518" s="44">
        <v>0</v>
      </c>
      <c r="BI518" s="44">
        <v>0</v>
      </c>
      <c r="BJ518" s="44">
        <v>0</v>
      </c>
      <c r="BK518" s="44">
        <v>0</v>
      </c>
      <c r="BL518" s="44">
        <v>0</v>
      </c>
      <c r="BM518" s="44">
        <v>0</v>
      </c>
      <c r="BN518" s="44">
        <v>0</v>
      </c>
      <c r="BO518" s="44">
        <v>0</v>
      </c>
      <c r="BP518" s="44">
        <v>0</v>
      </c>
      <c r="BQ518" s="44">
        <v>0</v>
      </c>
      <c r="BR518" s="44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4">
        <v>0</v>
      </c>
      <c r="CU518" s="44">
        <v>0</v>
      </c>
      <c r="CV518" s="44">
        <v>0</v>
      </c>
      <c r="CW518" s="44">
        <v>0</v>
      </c>
      <c r="CX518" s="44">
        <v>0</v>
      </c>
      <c r="CY518" s="45">
        <v>5.8</v>
      </c>
      <c r="CZ518" s="44">
        <v>0</v>
      </c>
      <c r="DA518" s="44">
        <v>0</v>
      </c>
      <c r="DB518" s="44">
        <v>0</v>
      </c>
      <c r="DC518" s="44">
        <v>0</v>
      </c>
      <c r="DD518" s="44">
        <v>0</v>
      </c>
      <c r="DE518" s="44">
        <v>0</v>
      </c>
      <c r="DF518" s="44">
        <v>0</v>
      </c>
      <c r="DG518" s="44">
        <v>0</v>
      </c>
      <c r="DH518" s="44">
        <v>0</v>
      </c>
      <c r="DI518" s="44">
        <v>0</v>
      </c>
    </row>
    <row r="519" spans="1:120" ht="12" hidden="1" outlineLevel="2">
      <c r="A519" s="1" t="s">
        <v>329</v>
      </c>
      <c r="B519" s="19" t="s">
        <v>368</v>
      </c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4">
        <v>0</v>
      </c>
      <c r="AQ519" s="44">
        <v>0</v>
      </c>
      <c r="AR519" s="44">
        <v>0</v>
      </c>
      <c r="AS519" s="44">
        <v>0</v>
      </c>
      <c r="AT519" s="44">
        <v>0</v>
      </c>
      <c r="AU519" s="44">
        <v>0</v>
      </c>
      <c r="AV519" s="44">
        <v>0</v>
      </c>
      <c r="AW519" s="45">
        <v>0</v>
      </c>
      <c r="AX519" s="44">
        <v>0</v>
      </c>
      <c r="AY519" s="44">
        <v>0</v>
      </c>
      <c r="AZ519" s="44">
        <v>0</v>
      </c>
      <c r="BA519" s="44">
        <v>0</v>
      </c>
      <c r="BB519" s="44">
        <v>0</v>
      </c>
      <c r="BC519" s="44">
        <v>0</v>
      </c>
      <c r="BD519" s="44">
        <v>0</v>
      </c>
      <c r="BE519" s="44">
        <v>0</v>
      </c>
      <c r="BF519" s="44">
        <v>0</v>
      </c>
      <c r="BG519" s="44">
        <v>0</v>
      </c>
      <c r="BH519" s="44">
        <v>0</v>
      </c>
      <c r="BI519" s="44">
        <v>0</v>
      </c>
      <c r="BJ519" s="44">
        <v>0</v>
      </c>
      <c r="BK519" s="44">
        <v>0</v>
      </c>
      <c r="BL519" s="44">
        <v>0</v>
      </c>
      <c r="BM519" s="44">
        <v>0</v>
      </c>
      <c r="BN519" s="44">
        <v>0</v>
      </c>
      <c r="BO519" s="44">
        <v>0</v>
      </c>
      <c r="BP519" s="44">
        <v>0</v>
      </c>
      <c r="BQ519" s="44">
        <v>0</v>
      </c>
      <c r="BR519" s="44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4">
        <v>0</v>
      </c>
      <c r="CU519" s="44">
        <v>0</v>
      </c>
      <c r="CV519" s="44">
        <v>0</v>
      </c>
      <c r="CW519" s="44">
        <v>0</v>
      </c>
      <c r="CX519" s="44">
        <v>0</v>
      </c>
      <c r="CY519" s="45">
        <v>0</v>
      </c>
      <c r="CZ519" s="44">
        <v>0</v>
      </c>
      <c r="DA519" s="44">
        <v>0</v>
      </c>
      <c r="DB519" s="44">
        <v>0</v>
      </c>
      <c r="DC519" s="44">
        <v>0</v>
      </c>
      <c r="DD519" s="44">
        <v>0</v>
      </c>
      <c r="DE519" s="44">
        <v>0</v>
      </c>
      <c r="DF519" s="44">
        <v>0</v>
      </c>
      <c r="DG519" s="44">
        <v>0</v>
      </c>
      <c r="DH519" s="44">
        <v>0</v>
      </c>
      <c r="DI519" s="44">
        <v>0</v>
      </c>
    </row>
    <row r="520" spans="1:120" ht="12" hidden="1" outlineLevel="2">
      <c r="A520" s="1" t="s">
        <v>957</v>
      </c>
      <c r="B520" s="19" t="s">
        <v>358</v>
      </c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4">
        <v>0</v>
      </c>
      <c r="AQ520" s="44">
        <v>0</v>
      </c>
      <c r="AR520" s="44">
        <v>0</v>
      </c>
      <c r="AS520" s="44">
        <v>0</v>
      </c>
      <c r="AT520" s="44">
        <v>0</v>
      </c>
      <c r="AU520" s="44">
        <v>0</v>
      </c>
      <c r="AV520" s="44">
        <v>0</v>
      </c>
      <c r="AW520" s="45">
        <v>-1.3</v>
      </c>
      <c r="AX520" s="44">
        <v>0</v>
      </c>
      <c r="AY520" s="44">
        <v>0</v>
      </c>
      <c r="AZ520" s="44">
        <v>0</v>
      </c>
      <c r="BA520" s="44">
        <v>0</v>
      </c>
      <c r="BB520" s="44">
        <v>0</v>
      </c>
      <c r="BC520" s="44">
        <v>0</v>
      </c>
      <c r="BD520" s="44">
        <v>0</v>
      </c>
      <c r="BE520" s="44">
        <v>0</v>
      </c>
      <c r="BF520" s="44">
        <v>0</v>
      </c>
      <c r="BG520" s="44">
        <v>0</v>
      </c>
      <c r="BH520" s="44">
        <v>0</v>
      </c>
      <c r="BI520" s="44">
        <v>0</v>
      </c>
      <c r="BJ520" s="44">
        <v>0</v>
      </c>
      <c r="BK520" s="44">
        <v>0</v>
      </c>
      <c r="BL520" s="44">
        <v>0</v>
      </c>
      <c r="BM520" s="44">
        <v>0</v>
      </c>
      <c r="BN520" s="44">
        <v>0</v>
      </c>
      <c r="BO520" s="44">
        <v>0</v>
      </c>
      <c r="BP520" s="44">
        <v>0</v>
      </c>
      <c r="BQ520" s="44">
        <v>0</v>
      </c>
      <c r="BR520" s="44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4">
        <v>0</v>
      </c>
      <c r="CU520" s="44">
        <v>0</v>
      </c>
      <c r="CV520" s="44">
        <v>0</v>
      </c>
      <c r="CW520" s="44">
        <v>0</v>
      </c>
      <c r="CX520" s="44">
        <v>0</v>
      </c>
      <c r="CY520" s="45">
        <v>-1.3</v>
      </c>
      <c r="CZ520" s="44">
        <v>0</v>
      </c>
      <c r="DA520" s="44">
        <v>0</v>
      </c>
      <c r="DB520" s="44">
        <v>0</v>
      </c>
      <c r="DC520" s="44">
        <v>0</v>
      </c>
      <c r="DD520" s="44">
        <v>0</v>
      </c>
      <c r="DE520" s="44">
        <v>0</v>
      </c>
      <c r="DF520" s="44">
        <v>0</v>
      </c>
      <c r="DG520" s="44">
        <v>0</v>
      </c>
      <c r="DH520" s="44">
        <v>0</v>
      </c>
      <c r="DI520" s="44">
        <v>0</v>
      </c>
    </row>
    <row r="521" spans="1:120" s="24" customFormat="1" ht="12" hidden="1" outlineLevel="2">
      <c r="A521" s="1" t="s">
        <v>330</v>
      </c>
      <c r="B521" s="24" t="s">
        <v>277</v>
      </c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  <c r="AJ521" s="55"/>
      <c r="AK521" s="55"/>
      <c r="AL521" s="55"/>
      <c r="AM521" s="55"/>
      <c r="AN521" s="55"/>
      <c r="AO521" s="55"/>
      <c r="AP521" s="526">
        <v>-6.4999999999999947</v>
      </c>
      <c r="AQ521" s="526">
        <v>1.3000000000000043</v>
      </c>
      <c r="AR521" s="526">
        <v>0.70000000000000906</v>
      </c>
      <c r="AS521" s="526">
        <v>8.3999999999999915</v>
      </c>
      <c r="AT521" s="526">
        <v>36.099999999999987</v>
      </c>
      <c r="AU521" s="526">
        <v>37.299999999999983</v>
      </c>
      <c r="AV521" s="526">
        <v>45.900000000000006</v>
      </c>
      <c r="AW521" s="524">
        <v>28.500000000000021</v>
      </c>
      <c r="AX521" s="526">
        <v>28.582823833578175</v>
      </c>
      <c r="AY521" s="526">
        <v>51.546126683305502</v>
      </c>
      <c r="AZ521" s="526">
        <v>64.170392272501005</v>
      </c>
      <c r="BA521" s="526">
        <v>75.490043973862754</v>
      </c>
      <c r="BB521" s="526">
        <v>91.514214605721492</v>
      </c>
      <c r="BC521" s="526">
        <v>96.713894552548339</v>
      </c>
      <c r="BD521" s="526">
        <v>103.25258524299838</v>
      </c>
      <c r="BE521" s="526">
        <v>108.29511505504729</v>
      </c>
      <c r="BF521" s="526">
        <v>116.01466287862218</v>
      </c>
      <c r="BG521" s="526">
        <v>118.58211902688072</v>
      </c>
      <c r="BH521" s="526">
        <v>125.45228446427339</v>
      </c>
      <c r="BI521" s="526">
        <v>126.51327350029541</v>
      </c>
      <c r="BJ521" s="526">
        <v>132.72981213607781</v>
      </c>
      <c r="BK521" s="526">
        <v>133.83607229116643</v>
      </c>
      <c r="BL521" s="526">
        <v>140.08852665190523</v>
      </c>
      <c r="BM521" s="526">
        <v>141.84720468844864</v>
      </c>
      <c r="BN521" s="526">
        <v>147.0132749300264</v>
      </c>
      <c r="BO521" s="526">
        <v>147.85740006972685</v>
      </c>
      <c r="BP521" s="526">
        <v>153.90484664040048</v>
      </c>
      <c r="BQ521" s="526">
        <v>154.57754635181169</v>
      </c>
      <c r="BR521" s="526"/>
      <c r="BS521" s="55"/>
      <c r="BT521" s="55"/>
      <c r="BU521" s="55"/>
      <c r="BV521" s="55"/>
      <c r="BW521" s="55"/>
      <c r="BX521" s="55"/>
      <c r="BY521" s="55"/>
      <c r="BZ521" s="55"/>
      <c r="CA521" s="55"/>
      <c r="CB521" s="55"/>
      <c r="CC521" s="55"/>
      <c r="CD521" s="55"/>
      <c r="CE521" s="55"/>
      <c r="CF521" s="55"/>
      <c r="CG521" s="55"/>
      <c r="CH521" s="55"/>
      <c r="CI521" s="55"/>
      <c r="CJ521" s="55"/>
      <c r="CK521" s="55"/>
      <c r="CL521" s="55"/>
      <c r="CM521" s="55"/>
      <c r="CN521" s="55"/>
      <c r="CO521" s="55"/>
      <c r="CP521" s="55"/>
      <c r="CQ521" s="55"/>
      <c r="CR521" s="55"/>
      <c r="CS521" s="55"/>
      <c r="CT521" s="526">
        <v>-23.09601</v>
      </c>
      <c r="CU521" s="526">
        <v>-38.098010000000002</v>
      </c>
      <c r="CV521" s="526">
        <v>-5.1999999999999975</v>
      </c>
      <c r="CW521" s="526">
        <v>9.1000000000000014</v>
      </c>
      <c r="CX521" s="526">
        <v>73.399999999999977</v>
      </c>
      <c r="CY521" s="524">
        <v>74.400000000000034</v>
      </c>
      <c r="CZ521" s="526">
        <v>80.128950516883677</v>
      </c>
      <c r="DA521" s="526">
        <v>139.66043624636376</v>
      </c>
      <c r="DB521" s="526">
        <v>188.22810915826983</v>
      </c>
      <c r="DC521" s="526">
        <v>211.54770029804567</v>
      </c>
      <c r="DD521" s="526">
        <v>234.59678190550289</v>
      </c>
      <c r="DE521" s="526">
        <v>251.9655579645688</v>
      </c>
      <c r="DF521" s="526">
        <v>266.56588442724421</v>
      </c>
      <c r="DG521" s="526">
        <v>281.93573134035387</v>
      </c>
      <c r="DH521" s="526">
        <v>294.87067499975325</v>
      </c>
      <c r="DI521" s="526">
        <v>308.48239299221217</v>
      </c>
    </row>
    <row r="522" spans="1:120" ht="12" outlineLevel="1" collapsed="1">
      <c r="A522" s="1" t="s">
        <v>958</v>
      </c>
      <c r="B522" s="19" t="s">
        <v>256</v>
      </c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4">
        <v>0</v>
      </c>
      <c r="AQ522" s="44">
        <v>0</v>
      </c>
      <c r="AR522" s="44">
        <v>0</v>
      </c>
      <c r="AS522" s="44">
        <v>0</v>
      </c>
      <c r="AT522" s="44">
        <v>0</v>
      </c>
      <c r="AU522" s="44">
        <v>0</v>
      </c>
      <c r="AV522" s="44">
        <v>0</v>
      </c>
      <c r="AW522" s="45">
        <v>0</v>
      </c>
      <c r="AX522" s="44">
        <v>0</v>
      </c>
      <c r="AY522" s="44">
        <v>0</v>
      </c>
      <c r="AZ522" s="44">
        <v>0</v>
      </c>
      <c r="BA522" s="44">
        <v>0</v>
      </c>
      <c r="BB522" s="44">
        <v>0</v>
      </c>
      <c r="BC522" s="44">
        <v>0</v>
      </c>
      <c r="BD522" s="44">
        <v>0</v>
      </c>
      <c r="BE522" s="44">
        <v>0</v>
      </c>
      <c r="BF522" s="44">
        <v>0</v>
      </c>
      <c r="BG522" s="44">
        <v>0</v>
      </c>
      <c r="BH522" s="44">
        <v>0</v>
      </c>
      <c r="BI522" s="44">
        <v>0</v>
      </c>
      <c r="BJ522" s="44">
        <v>0</v>
      </c>
      <c r="BK522" s="44">
        <v>0</v>
      </c>
      <c r="BL522" s="44">
        <v>0</v>
      </c>
      <c r="BM522" s="44">
        <v>0</v>
      </c>
      <c r="BN522" s="44">
        <v>0</v>
      </c>
      <c r="BO522" s="44">
        <v>0</v>
      </c>
      <c r="BP522" s="44">
        <v>0</v>
      </c>
      <c r="BQ522" s="44">
        <v>0</v>
      </c>
      <c r="BR522" s="44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4">
        <v>0</v>
      </c>
      <c r="CU522" s="44">
        <v>0</v>
      </c>
      <c r="CV522" s="44">
        <v>0</v>
      </c>
      <c r="CW522" s="44">
        <v>0</v>
      </c>
      <c r="CX522" s="44">
        <v>0</v>
      </c>
      <c r="CY522" s="45">
        <v>0</v>
      </c>
      <c r="CZ522" s="44">
        <v>0</v>
      </c>
      <c r="DA522" s="44">
        <v>0</v>
      </c>
      <c r="DB522" s="44">
        <v>0</v>
      </c>
      <c r="DC522" s="44">
        <v>0</v>
      </c>
      <c r="DD522" s="44">
        <v>0</v>
      </c>
      <c r="DE522" s="44">
        <v>0</v>
      </c>
      <c r="DF522" s="44">
        <v>0</v>
      </c>
      <c r="DG522" s="44">
        <v>0</v>
      </c>
      <c r="DH522" s="44">
        <v>0</v>
      </c>
      <c r="DI522" s="44">
        <v>0</v>
      </c>
    </row>
    <row r="523" spans="1:120" ht="12" outlineLevel="1">
      <c r="A523" s="1" t="s">
        <v>831</v>
      </c>
      <c r="B523" s="19" t="s">
        <v>278</v>
      </c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525">
        <v>33.299999999999997</v>
      </c>
      <c r="AQ523" s="525">
        <v>0.60000000000000009</v>
      </c>
      <c r="AR523" s="525">
        <v>-16.799999999999997</v>
      </c>
      <c r="AS523" s="525">
        <v>0</v>
      </c>
      <c r="AT523" s="525">
        <v>0</v>
      </c>
      <c r="AU523" s="525">
        <v>0</v>
      </c>
      <c r="AV523" s="525">
        <v>0</v>
      </c>
      <c r="AW523" s="523">
        <v>0</v>
      </c>
      <c r="AX523" s="46">
        <v>0</v>
      </c>
      <c r="AY523" s="46">
        <v>0</v>
      </c>
      <c r="AZ523" s="46">
        <v>0</v>
      </c>
      <c r="BA523" s="46">
        <v>0</v>
      </c>
      <c r="BB523" s="46">
        <v>0</v>
      </c>
      <c r="BC523" s="46">
        <v>0</v>
      </c>
      <c r="BD523" s="46">
        <v>0</v>
      </c>
      <c r="BE523" s="46">
        <v>0</v>
      </c>
      <c r="BF523" s="46">
        <v>0</v>
      </c>
      <c r="BG523" s="46">
        <v>0</v>
      </c>
      <c r="BH523" s="46">
        <v>0</v>
      </c>
      <c r="BI523" s="46">
        <v>0</v>
      </c>
      <c r="BJ523" s="46">
        <v>0</v>
      </c>
      <c r="BK523" s="46">
        <v>0</v>
      </c>
      <c r="BL523" s="46">
        <v>0</v>
      </c>
      <c r="BM523" s="46">
        <v>0</v>
      </c>
      <c r="BN523" s="46">
        <v>0</v>
      </c>
      <c r="BO523" s="46">
        <v>0</v>
      </c>
      <c r="BP523" s="46">
        <v>0</v>
      </c>
      <c r="BQ523" s="46">
        <v>0</v>
      </c>
      <c r="BR523" s="46"/>
      <c r="BS523" s="40"/>
      <c r="BT523" s="40"/>
      <c r="BU523" s="40"/>
      <c r="BV523" s="40"/>
      <c r="BW523" s="40"/>
      <c r="BX523" s="40"/>
      <c r="BY523" s="40"/>
      <c r="BZ523" s="40"/>
      <c r="CA523" s="40"/>
      <c r="CB523" s="40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525">
        <v>-4.8689999999999998</v>
      </c>
      <c r="CU523" s="525">
        <v>-12.744999999999999</v>
      </c>
      <c r="CV523" s="44">
        <v>33.9</v>
      </c>
      <c r="CW523" s="44">
        <v>-16.799999999999997</v>
      </c>
      <c r="CX523" s="44">
        <v>0</v>
      </c>
      <c r="CY523" s="45">
        <v>0</v>
      </c>
      <c r="CZ523" s="44">
        <v>0</v>
      </c>
      <c r="DA523" s="44">
        <v>0</v>
      </c>
      <c r="DB523" s="44">
        <v>0</v>
      </c>
      <c r="DC523" s="44">
        <v>0</v>
      </c>
      <c r="DD523" s="44">
        <v>0</v>
      </c>
      <c r="DE523" s="44">
        <v>0</v>
      </c>
      <c r="DF523" s="44">
        <v>0</v>
      </c>
      <c r="DG523" s="44">
        <v>0</v>
      </c>
      <c r="DH523" s="44">
        <v>0</v>
      </c>
      <c r="DI523" s="44">
        <v>0</v>
      </c>
    </row>
    <row r="524" spans="1:120" ht="12" outlineLevel="1">
      <c r="A524" s="1" t="s">
        <v>832</v>
      </c>
      <c r="B524" s="19" t="s">
        <v>1067</v>
      </c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525">
        <v>0</v>
      </c>
      <c r="AQ524" s="525">
        <v>0</v>
      </c>
      <c r="AR524" s="525">
        <v>0</v>
      </c>
      <c r="AS524" s="525">
        <v>0</v>
      </c>
      <c r="AT524" s="525">
        <v>0</v>
      </c>
      <c r="AU524" s="525">
        <v>0</v>
      </c>
      <c r="AV524" s="525">
        <v>0</v>
      </c>
      <c r="AW524" s="523">
        <v>0</v>
      </c>
      <c r="AX524" s="46">
        <v>0</v>
      </c>
      <c r="AY524" s="46">
        <v>0</v>
      </c>
      <c r="AZ524" s="46">
        <v>0</v>
      </c>
      <c r="BA524" s="46">
        <v>0</v>
      </c>
      <c r="BB524" s="46">
        <v>0</v>
      </c>
      <c r="BC524" s="46">
        <v>0</v>
      </c>
      <c r="BD524" s="46">
        <v>0</v>
      </c>
      <c r="BE524" s="46">
        <v>0</v>
      </c>
      <c r="BF524" s="46">
        <v>0</v>
      </c>
      <c r="BG524" s="46">
        <v>0</v>
      </c>
      <c r="BH524" s="46">
        <v>0</v>
      </c>
      <c r="BI524" s="46">
        <v>0</v>
      </c>
      <c r="BJ524" s="46">
        <v>0</v>
      </c>
      <c r="BK524" s="46">
        <v>0</v>
      </c>
      <c r="BL524" s="46">
        <v>0</v>
      </c>
      <c r="BM524" s="46">
        <v>0</v>
      </c>
      <c r="BN524" s="46">
        <v>0</v>
      </c>
      <c r="BO524" s="46">
        <v>0</v>
      </c>
      <c r="BP524" s="46">
        <v>0</v>
      </c>
      <c r="BQ524" s="46">
        <v>0</v>
      </c>
      <c r="BR524" s="44"/>
      <c r="BS524" s="40"/>
      <c r="BT524" s="40"/>
      <c r="BU524" s="40"/>
      <c r="BV524" s="40"/>
      <c r="BW524" s="40"/>
      <c r="BX524" s="40"/>
      <c r="BY524" s="40"/>
      <c r="BZ524" s="40"/>
      <c r="CA524" s="40"/>
      <c r="CB524" s="40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525">
        <v>0</v>
      </c>
      <c r="CU524" s="525">
        <v>0</v>
      </c>
      <c r="CV524" s="44">
        <v>0</v>
      </c>
      <c r="CW524" s="44">
        <v>0</v>
      </c>
      <c r="CX524" s="44">
        <v>0</v>
      </c>
      <c r="CY524" s="45">
        <v>0</v>
      </c>
      <c r="CZ524" s="44">
        <v>0</v>
      </c>
      <c r="DA524" s="44">
        <v>0</v>
      </c>
      <c r="DB524" s="44">
        <v>0</v>
      </c>
      <c r="DC524" s="44">
        <v>0</v>
      </c>
      <c r="DD524" s="44">
        <v>0</v>
      </c>
      <c r="DE524" s="44">
        <v>0</v>
      </c>
      <c r="DF524" s="44">
        <v>0</v>
      </c>
      <c r="DG524" s="44">
        <v>0</v>
      </c>
      <c r="DH524" s="44">
        <v>0</v>
      </c>
      <c r="DI524" s="44">
        <v>0</v>
      </c>
    </row>
    <row r="525" spans="1:120" s="24" customFormat="1" ht="12" outlineLevel="1">
      <c r="A525" s="1" t="s">
        <v>833</v>
      </c>
      <c r="B525" s="24" t="s">
        <v>424</v>
      </c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  <c r="AJ525" s="55"/>
      <c r="AK525" s="55"/>
      <c r="AL525" s="55"/>
      <c r="AM525" s="55"/>
      <c r="AN525" s="55"/>
      <c r="AO525" s="55"/>
      <c r="AP525" s="526">
        <v>26.800000000000004</v>
      </c>
      <c r="AQ525" s="526">
        <v>1.9000000000000044</v>
      </c>
      <c r="AR525" s="526">
        <v>-16.099999999999987</v>
      </c>
      <c r="AS525" s="526">
        <v>8.3999999999999915</v>
      </c>
      <c r="AT525" s="526">
        <v>36.099999999999987</v>
      </c>
      <c r="AU525" s="526">
        <v>37.299999999999983</v>
      </c>
      <c r="AV525" s="526">
        <v>45.900000000000006</v>
      </c>
      <c r="AW525" s="524">
        <v>24.000000000000021</v>
      </c>
      <c r="AX525" s="526">
        <v>28.582823833578175</v>
      </c>
      <c r="AY525" s="526">
        <v>51.546126683305502</v>
      </c>
      <c r="AZ525" s="526">
        <v>64.170392272501005</v>
      </c>
      <c r="BA525" s="526">
        <v>75.490043973862754</v>
      </c>
      <c r="BB525" s="526">
        <v>91.514214605721492</v>
      </c>
      <c r="BC525" s="526">
        <v>96.713894552548339</v>
      </c>
      <c r="BD525" s="526">
        <v>103.25258524299838</v>
      </c>
      <c r="BE525" s="526">
        <v>108.29511505504729</v>
      </c>
      <c r="BF525" s="526">
        <v>116.01466287862218</v>
      </c>
      <c r="BG525" s="526">
        <v>118.58211902688072</v>
      </c>
      <c r="BH525" s="526">
        <v>125.45228446427339</v>
      </c>
      <c r="BI525" s="526">
        <v>126.51327350029541</v>
      </c>
      <c r="BJ525" s="526">
        <v>132.72981213607781</v>
      </c>
      <c r="BK525" s="526">
        <v>133.83607229116643</v>
      </c>
      <c r="BL525" s="526">
        <v>140.08852665190523</v>
      </c>
      <c r="BM525" s="526">
        <v>141.84720468844864</v>
      </c>
      <c r="BN525" s="526">
        <v>147.0132749300264</v>
      </c>
      <c r="BO525" s="526">
        <v>147.85740006972685</v>
      </c>
      <c r="BP525" s="526">
        <v>153.90484664040048</v>
      </c>
      <c r="BQ525" s="526">
        <v>154.57754635181169</v>
      </c>
      <c r="BR525" s="526"/>
      <c r="BS525" s="55"/>
      <c r="BT525" s="55"/>
      <c r="BU525" s="55"/>
      <c r="BV525" s="55"/>
      <c r="BW525" s="55"/>
      <c r="BX525" s="55"/>
      <c r="BY525" s="55"/>
      <c r="BZ525" s="55"/>
      <c r="CA525" s="55"/>
      <c r="CB525" s="55"/>
      <c r="CC525" s="55"/>
      <c r="CD525" s="55"/>
      <c r="CE525" s="55"/>
      <c r="CF525" s="55"/>
      <c r="CG525" s="55"/>
      <c r="CH525" s="55"/>
      <c r="CI525" s="55"/>
      <c r="CJ525" s="55"/>
      <c r="CK525" s="55"/>
      <c r="CL525" s="55"/>
      <c r="CM525" s="55"/>
      <c r="CN525" s="55"/>
      <c r="CO525" s="55"/>
      <c r="CP525" s="55"/>
      <c r="CQ525" s="55"/>
      <c r="CR525" s="55"/>
      <c r="CS525" s="55"/>
      <c r="CT525" s="526">
        <v>-27.965009999999999</v>
      </c>
      <c r="CU525" s="526">
        <v>-50.84301</v>
      </c>
      <c r="CV525" s="526">
        <v>28.700000000000003</v>
      </c>
      <c r="CW525" s="526">
        <v>-7.6999999999999957</v>
      </c>
      <c r="CX525" s="526">
        <v>73.399999999999977</v>
      </c>
      <c r="CY525" s="524">
        <v>69.900000000000034</v>
      </c>
      <c r="CZ525" s="526">
        <v>80.128950516883677</v>
      </c>
      <c r="DA525" s="526">
        <v>139.66043624636376</v>
      </c>
      <c r="DB525" s="526">
        <v>188.22810915826983</v>
      </c>
      <c r="DC525" s="526">
        <v>211.54770029804567</v>
      </c>
      <c r="DD525" s="526">
        <v>234.59678190550289</v>
      </c>
      <c r="DE525" s="526">
        <v>251.9655579645688</v>
      </c>
      <c r="DF525" s="526">
        <v>266.56588442724421</v>
      </c>
      <c r="DG525" s="526">
        <v>281.93573134035387</v>
      </c>
      <c r="DH525" s="526">
        <v>294.87067499975325</v>
      </c>
      <c r="DI525" s="526">
        <v>308.48239299221217</v>
      </c>
      <c r="DJ525" s="550"/>
      <c r="DK525" s="550"/>
    </row>
    <row r="526" spans="1:120" ht="12" outlineLevel="1">
      <c r="A526" s="1" t="s">
        <v>834</v>
      </c>
      <c r="B526" s="19" t="s">
        <v>425</v>
      </c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525">
        <v>0</v>
      </c>
      <c r="AQ526" s="525">
        <v>0</v>
      </c>
      <c r="AR526" s="525">
        <v>0</v>
      </c>
      <c r="AS526" s="525">
        <v>0</v>
      </c>
      <c r="AT526" s="525">
        <v>0</v>
      </c>
      <c r="AU526" s="525">
        <v>0</v>
      </c>
      <c r="AV526" s="525">
        <v>0</v>
      </c>
      <c r="AW526" s="523">
        <v>0</v>
      </c>
      <c r="AX526" s="44">
        <v>0</v>
      </c>
      <c r="AY526" s="44">
        <v>0</v>
      </c>
      <c r="AZ526" s="44">
        <v>0</v>
      </c>
      <c r="BA526" s="44">
        <v>0</v>
      </c>
      <c r="BB526" s="44">
        <v>0</v>
      </c>
      <c r="BC526" s="44">
        <v>0</v>
      </c>
      <c r="BD526" s="44">
        <v>0</v>
      </c>
      <c r="BE526" s="44">
        <v>0</v>
      </c>
      <c r="BF526" s="44">
        <v>0</v>
      </c>
      <c r="BG526" s="44">
        <v>0</v>
      </c>
      <c r="BH526" s="44">
        <v>0</v>
      </c>
      <c r="BI526" s="44">
        <v>0</v>
      </c>
      <c r="BJ526" s="44">
        <v>0</v>
      </c>
      <c r="BK526" s="44">
        <v>0</v>
      </c>
      <c r="BL526" s="44">
        <v>0</v>
      </c>
      <c r="BM526" s="44">
        <v>0</v>
      </c>
      <c r="BN526" s="44">
        <v>0</v>
      </c>
      <c r="BO526" s="44">
        <v>0</v>
      </c>
      <c r="BP526" s="44">
        <v>0</v>
      </c>
      <c r="BQ526" s="44">
        <v>0</v>
      </c>
      <c r="BR526" s="44"/>
      <c r="BS526" s="40"/>
      <c r="BT526" s="40"/>
      <c r="BU526" s="40"/>
      <c r="BV526" s="40"/>
      <c r="BW526" s="40"/>
      <c r="BX526" s="40"/>
      <c r="BY526" s="40"/>
      <c r="BZ526" s="40"/>
      <c r="CA526" s="40"/>
      <c r="CB526" s="40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525">
        <v>0</v>
      </c>
      <c r="CU526" s="525">
        <v>0</v>
      </c>
      <c r="CV526" s="44">
        <v>0</v>
      </c>
      <c r="CW526" s="44">
        <v>0</v>
      </c>
      <c r="CX526" s="44">
        <v>0</v>
      </c>
      <c r="CY526" s="45">
        <v>0</v>
      </c>
      <c r="CZ526" s="44">
        <v>0</v>
      </c>
      <c r="DA526" s="44">
        <v>0</v>
      </c>
      <c r="DB526" s="44">
        <v>0</v>
      </c>
      <c r="DC526" s="44">
        <v>0</v>
      </c>
      <c r="DD526" s="44">
        <v>0</v>
      </c>
      <c r="DE526" s="44">
        <v>0</v>
      </c>
      <c r="DF526" s="44">
        <v>0</v>
      </c>
      <c r="DG526" s="44">
        <v>0</v>
      </c>
      <c r="DH526" s="44">
        <v>0</v>
      </c>
      <c r="DI526" s="44">
        <v>0</v>
      </c>
    </row>
    <row r="527" spans="1:120" ht="12" outlineLevel="1">
      <c r="A527" s="1" t="s">
        <v>835</v>
      </c>
      <c r="B527" s="19" t="s">
        <v>426</v>
      </c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/>
      <c r="AO527" s="42"/>
      <c r="AP527" s="525">
        <v>1</v>
      </c>
      <c r="AQ527" s="525">
        <v>1.6000000000001364</v>
      </c>
      <c r="AR527" s="525">
        <v>-31.500000000000455</v>
      </c>
      <c r="AS527" s="525">
        <v>-3.7999999999999545</v>
      </c>
      <c r="AT527" s="525">
        <v>1.2999999999999545</v>
      </c>
      <c r="AU527" s="525">
        <v>-2.2000000000000455</v>
      </c>
      <c r="AV527" s="525">
        <v>27.5</v>
      </c>
      <c r="AW527" s="523">
        <v>-9.2000000000000455</v>
      </c>
      <c r="AX527" s="46">
        <v>0</v>
      </c>
      <c r="AY527" s="46">
        <v>0</v>
      </c>
      <c r="AZ527" s="46">
        <v>0</v>
      </c>
      <c r="BA527" s="46">
        <v>0</v>
      </c>
      <c r="BB527" s="46">
        <v>0</v>
      </c>
      <c r="BC527" s="46">
        <v>0</v>
      </c>
      <c r="BD527" s="46">
        <v>0</v>
      </c>
      <c r="BE527" s="46">
        <v>0</v>
      </c>
      <c r="BF527" s="46">
        <v>0</v>
      </c>
      <c r="BG527" s="46">
        <v>0</v>
      </c>
      <c r="BH527" s="46">
        <v>0</v>
      </c>
      <c r="BI527" s="46">
        <v>0</v>
      </c>
      <c r="BJ527" s="46">
        <v>0</v>
      </c>
      <c r="BK527" s="46">
        <v>0</v>
      </c>
      <c r="BL527" s="46">
        <v>0</v>
      </c>
      <c r="BM527" s="46">
        <v>0</v>
      </c>
      <c r="BN527" s="46">
        <v>0</v>
      </c>
      <c r="BO527" s="46">
        <v>0</v>
      </c>
      <c r="BP527" s="46">
        <v>0</v>
      </c>
      <c r="BQ527" s="46">
        <v>0</v>
      </c>
      <c r="BR527" s="44"/>
      <c r="BS527" s="40"/>
      <c r="BT527" s="40"/>
      <c r="BU527" s="40"/>
      <c r="BV527" s="40"/>
      <c r="BW527" s="40"/>
      <c r="BX527" s="40"/>
      <c r="BY527" s="40"/>
      <c r="BZ527" s="40"/>
      <c r="CA527" s="40"/>
      <c r="CB527" s="40"/>
      <c r="CC527" s="42"/>
      <c r="CD527" s="42"/>
      <c r="CE527" s="42"/>
      <c r="CF527" s="42"/>
      <c r="CG527" s="42"/>
      <c r="CH527" s="42"/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525">
        <v>0</v>
      </c>
      <c r="CU527" s="525">
        <v>0</v>
      </c>
      <c r="CV527" s="44">
        <v>2.6000000000001364</v>
      </c>
      <c r="CW527" s="44">
        <v>-35.300000000000409</v>
      </c>
      <c r="CX527" s="44">
        <v>-0.90000000000009095</v>
      </c>
      <c r="CY527" s="45">
        <v>18.299999999999955</v>
      </c>
      <c r="CZ527" s="44">
        <v>0</v>
      </c>
      <c r="DA527" s="44">
        <v>0</v>
      </c>
      <c r="DB527" s="44">
        <v>0</v>
      </c>
      <c r="DC527" s="44">
        <v>0</v>
      </c>
      <c r="DD527" s="44">
        <v>0</v>
      </c>
      <c r="DE527" s="44">
        <v>0</v>
      </c>
      <c r="DF527" s="44">
        <v>0</v>
      </c>
      <c r="DG527" s="44">
        <v>0</v>
      </c>
      <c r="DH527" s="44">
        <v>0</v>
      </c>
      <c r="DI527" s="44">
        <v>0</v>
      </c>
    </row>
    <row r="528" spans="1:120" ht="12" outlineLevel="1">
      <c r="A528" s="1" t="s">
        <v>836</v>
      </c>
      <c r="B528" s="19" t="s">
        <v>427</v>
      </c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525">
        <v>0</v>
      </c>
      <c r="AQ528" s="525">
        <v>0</v>
      </c>
      <c r="AR528" s="525">
        <v>0</v>
      </c>
      <c r="AS528" s="525">
        <v>0</v>
      </c>
      <c r="AT528" s="525">
        <v>0</v>
      </c>
      <c r="AU528" s="525">
        <v>0</v>
      </c>
      <c r="AV528" s="525">
        <v>0</v>
      </c>
      <c r="AW528" s="523">
        <v>0</v>
      </c>
      <c r="AX528" s="46">
        <v>0</v>
      </c>
      <c r="AY528" s="46">
        <v>0</v>
      </c>
      <c r="AZ528" s="46">
        <v>0</v>
      </c>
      <c r="BA528" s="46">
        <v>0</v>
      </c>
      <c r="BB528" s="46">
        <v>0</v>
      </c>
      <c r="BC528" s="46">
        <v>0</v>
      </c>
      <c r="BD528" s="46">
        <v>0</v>
      </c>
      <c r="BE528" s="46">
        <v>0</v>
      </c>
      <c r="BF528" s="46">
        <v>0</v>
      </c>
      <c r="BG528" s="46">
        <v>0</v>
      </c>
      <c r="BH528" s="46">
        <v>0</v>
      </c>
      <c r="BI528" s="46">
        <v>0</v>
      </c>
      <c r="BJ528" s="46">
        <v>0</v>
      </c>
      <c r="BK528" s="46">
        <v>0</v>
      </c>
      <c r="BL528" s="46">
        <v>0</v>
      </c>
      <c r="BM528" s="46">
        <v>0</v>
      </c>
      <c r="BN528" s="46">
        <v>0</v>
      </c>
      <c r="BO528" s="46">
        <v>0</v>
      </c>
      <c r="BP528" s="46">
        <v>0</v>
      </c>
      <c r="BQ528" s="46">
        <v>0</v>
      </c>
      <c r="BR528" s="44"/>
      <c r="BS528" s="40"/>
      <c r="BT528" s="40"/>
      <c r="BU528" s="40"/>
      <c r="BV528" s="40"/>
      <c r="BW528" s="40"/>
      <c r="BX528" s="40"/>
      <c r="BY528" s="40"/>
      <c r="BZ528" s="40"/>
      <c r="CA528" s="40"/>
      <c r="CB528" s="40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525">
        <v>0</v>
      </c>
      <c r="CU528" s="525">
        <v>0</v>
      </c>
      <c r="CV528" s="44">
        <v>0</v>
      </c>
      <c r="CW528" s="44">
        <v>0</v>
      </c>
      <c r="CX528" s="44">
        <v>0</v>
      </c>
      <c r="CY528" s="45">
        <v>0</v>
      </c>
      <c r="CZ528" s="44">
        <v>0</v>
      </c>
      <c r="DA528" s="44">
        <v>0</v>
      </c>
      <c r="DB528" s="44">
        <v>0</v>
      </c>
      <c r="DC528" s="44">
        <v>0</v>
      </c>
      <c r="DD528" s="44">
        <v>0</v>
      </c>
      <c r="DE528" s="44">
        <v>0</v>
      </c>
      <c r="DF528" s="44">
        <v>0</v>
      </c>
      <c r="DG528" s="44">
        <v>0</v>
      </c>
      <c r="DH528" s="44">
        <v>0</v>
      </c>
      <c r="DI528" s="44">
        <v>0</v>
      </c>
    </row>
    <row r="529" spans="1:113" s="24" customFormat="1" ht="12" outlineLevel="1">
      <c r="A529" s="1" t="s">
        <v>837</v>
      </c>
      <c r="B529" s="24" t="s">
        <v>240</v>
      </c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  <c r="AJ529" s="55"/>
      <c r="AK529" s="55"/>
      <c r="AL529" s="55"/>
      <c r="AM529" s="55"/>
      <c r="AN529" s="55"/>
      <c r="AO529" s="55"/>
      <c r="AP529" s="526">
        <v>27.800000000000004</v>
      </c>
      <c r="AQ529" s="526">
        <v>3.5000000000001408</v>
      </c>
      <c r="AR529" s="526">
        <v>-47.600000000000442</v>
      </c>
      <c r="AS529" s="526">
        <v>4.6000000000000369</v>
      </c>
      <c r="AT529" s="526">
        <v>37.399999999999942</v>
      </c>
      <c r="AU529" s="526">
        <v>35.099999999999937</v>
      </c>
      <c r="AV529" s="526">
        <v>73.400000000000006</v>
      </c>
      <c r="AW529" s="524">
        <v>14.799999999999976</v>
      </c>
      <c r="AX529" s="526">
        <v>28.582823833578175</v>
      </c>
      <c r="AY529" s="526">
        <v>51.546126683305502</v>
      </c>
      <c r="AZ529" s="526">
        <v>64.170392272501005</v>
      </c>
      <c r="BA529" s="526">
        <v>75.490043973862754</v>
      </c>
      <c r="BB529" s="526">
        <v>91.514214605721492</v>
      </c>
      <c r="BC529" s="526">
        <v>96.713894552548339</v>
      </c>
      <c r="BD529" s="526">
        <v>103.25258524299838</v>
      </c>
      <c r="BE529" s="526">
        <v>108.29511505504729</v>
      </c>
      <c r="BF529" s="526">
        <v>116.01466287862218</v>
      </c>
      <c r="BG529" s="526">
        <v>118.58211902688072</v>
      </c>
      <c r="BH529" s="526">
        <v>125.45228446427339</v>
      </c>
      <c r="BI529" s="526">
        <v>126.51327350029541</v>
      </c>
      <c r="BJ529" s="526">
        <v>132.72981213607781</v>
      </c>
      <c r="BK529" s="526">
        <v>133.83607229116643</v>
      </c>
      <c r="BL529" s="526">
        <v>140.08852665190523</v>
      </c>
      <c r="BM529" s="526">
        <v>141.84720468844864</v>
      </c>
      <c r="BN529" s="526">
        <v>147.0132749300264</v>
      </c>
      <c r="BO529" s="526">
        <v>147.85740006972685</v>
      </c>
      <c r="BP529" s="526">
        <v>153.90484664040048</v>
      </c>
      <c r="BQ529" s="526">
        <v>154.57754635181169</v>
      </c>
      <c r="BR529" s="526"/>
      <c r="BS529" s="55"/>
      <c r="BT529" s="55"/>
      <c r="BU529" s="55"/>
      <c r="BV529" s="55"/>
      <c r="BW529" s="55"/>
      <c r="BX529" s="55"/>
      <c r="BY529" s="55"/>
      <c r="BZ529" s="55"/>
      <c r="CA529" s="55"/>
      <c r="CB529" s="55"/>
      <c r="CC529" s="55"/>
      <c r="CD529" s="55"/>
      <c r="CE529" s="55"/>
      <c r="CF529" s="55"/>
      <c r="CG529" s="55"/>
      <c r="CH529" s="55"/>
      <c r="CI529" s="55"/>
      <c r="CJ529" s="55"/>
      <c r="CK529" s="55"/>
      <c r="CL529" s="55"/>
      <c r="CM529" s="55"/>
      <c r="CN529" s="55"/>
      <c r="CO529" s="55"/>
      <c r="CP529" s="55"/>
      <c r="CQ529" s="55"/>
      <c r="CR529" s="55"/>
      <c r="CS529" s="55"/>
      <c r="CT529" s="526">
        <v>-27.965009999999999</v>
      </c>
      <c r="CU529" s="526">
        <v>-50.84301</v>
      </c>
      <c r="CV529" s="526">
        <v>31.300000000000139</v>
      </c>
      <c r="CW529" s="526">
        <v>-43.000000000000405</v>
      </c>
      <c r="CX529" s="526">
        <v>72.499999999999886</v>
      </c>
      <c r="CY529" s="524">
        <v>88.199999999999989</v>
      </c>
      <c r="CZ529" s="526">
        <v>80.128950516883677</v>
      </c>
      <c r="DA529" s="526">
        <v>139.66043624636376</v>
      </c>
      <c r="DB529" s="526">
        <v>188.22810915826983</v>
      </c>
      <c r="DC529" s="526">
        <v>211.54770029804567</v>
      </c>
      <c r="DD529" s="526">
        <v>234.59678190550289</v>
      </c>
      <c r="DE529" s="526">
        <v>251.9655579645688</v>
      </c>
      <c r="DF529" s="526">
        <v>266.56588442724421</v>
      </c>
      <c r="DG529" s="526">
        <v>281.93573134035387</v>
      </c>
      <c r="DH529" s="526">
        <v>294.87067499975325</v>
      </c>
      <c r="DI529" s="526">
        <v>308.48239299221217</v>
      </c>
    </row>
    <row r="530" spans="1:113"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618"/>
      <c r="AH530" s="618"/>
      <c r="AI530" s="618"/>
      <c r="AJ530" s="42"/>
      <c r="AK530" s="42"/>
      <c r="AL530" s="42"/>
      <c r="AM530" s="428"/>
      <c r="AN530" s="428"/>
      <c r="AO530" s="428"/>
      <c r="AP530" s="42"/>
      <c r="AQ530" s="42"/>
      <c r="AR530" s="42"/>
      <c r="AS530" s="42"/>
      <c r="AT530" s="42"/>
      <c r="AU530" s="42"/>
      <c r="AV530" s="42"/>
      <c r="AW530" s="43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8"/>
      <c r="CV530" s="42"/>
      <c r="CW530" s="42"/>
      <c r="CX530" s="42"/>
      <c r="CY530" s="43"/>
      <c r="CZ530" s="44"/>
      <c r="DA530" s="44"/>
      <c r="DB530" s="44"/>
      <c r="DC530" s="529"/>
      <c r="DD530" s="529"/>
      <c r="DE530" s="529"/>
      <c r="DF530" s="529"/>
      <c r="DG530" s="529"/>
      <c r="DH530" s="529"/>
      <c r="DI530" s="529"/>
    </row>
    <row r="531" spans="1:113" s="36" customFormat="1" ht="12" collapsed="1">
      <c r="A531" s="1" t="s">
        <v>838</v>
      </c>
      <c r="B531" s="2" t="s">
        <v>241</v>
      </c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  <c r="AJ531" s="55"/>
      <c r="AK531" s="55"/>
      <c r="AL531" s="55"/>
      <c r="AM531" s="55"/>
      <c r="AN531" s="55"/>
      <c r="AO531" s="55"/>
      <c r="AP531" s="527">
        <v>684.5</v>
      </c>
      <c r="AQ531" s="527">
        <v>1075.7000000000003</v>
      </c>
      <c r="AR531" s="527">
        <v>1395.1</v>
      </c>
      <c r="AS531" s="527">
        <v>1404.6000000000001</v>
      </c>
      <c r="AT531" s="527">
        <v>1442</v>
      </c>
      <c r="AU531" s="527">
        <v>1477.1</v>
      </c>
      <c r="AV531" s="527">
        <v>1550.5</v>
      </c>
      <c r="AW531" s="528">
        <v>1565.3</v>
      </c>
      <c r="AX531" s="527">
        <v>1593.8828238335782</v>
      </c>
      <c r="AY531" s="527">
        <v>1645.4289505168838</v>
      </c>
      <c r="AZ531" s="527">
        <v>1709.5993427893848</v>
      </c>
      <c r="BA531" s="527">
        <v>1785.0893867632476</v>
      </c>
      <c r="BB531" s="527">
        <v>1876.6036013689691</v>
      </c>
      <c r="BC531" s="527">
        <v>1927.8361617685173</v>
      </c>
      <c r="BD531" s="527">
        <v>1983.3888111925155</v>
      </c>
      <c r="BE531" s="527">
        <v>2040.6560879295628</v>
      </c>
      <c r="BF531" s="527">
        <v>2103.4243108241849</v>
      </c>
      <c r="BG531" s="527">
        <v>2164.3227865350655</v>
      </c>
      <c r="BH531" s="527">
        <v>2230.9821268503388</v>
      </c>
      <c r="BI531" s="527">
        <v>2295.3745537026339</v>
      </c>
      <c r="BJ531" s="527">
        <v>2364.8742183577115</v>
      </c>
      <c r="BK531" s="527">
        <v>2432.1522406688782</v>
      </c>
      <c r="BL531" s="527">
        <v>2504.5734165077833</v>
      </c>
      <c r="BM531" s="527">
        <v>2576.5346687172319</v>
      </c>
      <c r="BN531" s="527">
        <v>2652.5526903352584</v>
      </c>
      <c r="BO531" s="527">
        <v>2727.1962354269849</v>
      </c>
      <c r="BP531" s="527">
        <v>2806.7779262563854</v>
      </c>
      <c r="BQ531" s="527">
        <v>2884.8137151311971</v>
      </c>
      <c r="BR531" s="52"/>
      <c r="BS531" s="52"/>
      <c r="BT531" s="52"/>
      <c r="BU531" s="52"/>
      <c r="BV531" s="52"/>
      <c r="BW531" s="52"/>
      <c r="BX531" s="52"/>
      <c r="BY531" s="52"/>
      <c r="BZ531" s="52"/>
      <c r="CA531" s="52"/>
      <c r="CB531" s="52"/>
      <c r="CC531" s="52"/>
      <c r="CD531" s="52"/>
      <c r="CE531" s="52"/>
      <c r="CF531" s="52"/>
      <c r="CG531" s="52"/>
      <c r="CH531" s="52"/>
      <c r="CI531" s="52"/>
      <c r="CJ531" s="52"/>
      <c r="CK531" s="52"/>
      <c r="CL531" s="52"/>
      <c r="CM531" s="52"/>
      <c r="CN531" s="52"/>
      <c r="CO531" s="52"/>
      <c r="CP531" s="52"/>
      <c r="CQ531" s="52"/>
      <c r="CR531" s="52"/>
      <c r="CS531" s="52"/>
      <c r="CT531" s="527">
        <v>0</v>
      </c>
      <c r="CU531" s="527">
        <v>0</v>
      </c>
      <c r="CV531" s="527">
        <v>1075.7000000000003</v>
      </c>
      <c r="CW531" s="527">
        <v>1404.6</v>
      </c>
      <c r="CX531" s="527">
        <v>1477.1</v>
      </c>
      <c r="CY531" s="528">
        <v>1565.3</v>
      </c>
      <c r="CZ531" s="527">
        <v>1645.4289505168836</v>
      </c>
      <c r="DA531" s="527">
        <v>1785.0893867632474</v>
      </c>
      <c r="DB531" s="527">
        <v>1927.8361617685171</v>
      </c>
      <c r="DC531" s="527">
        <v>2040.6560879295628</v>
      </c>
      <c r="DD531" s="527">
        <v>2164.3227865350655</v>
      </c>
      <c r="DE531" s="527">
        <v>2295.3745537026343</v>
      </c>
      <c r="DF531" s="527">
        <v>2432.1522406688787</v>
      </c>
      <c r="DG531" s="527">
        <v>2576.5346687172323</v>
      </c>
      <c r="DH531" s="527">
        <v>2727.1962354269854</v>
      </c>
      <c r="DI531" s="527">
        <v>2884.8137151311976</v>
      </c>
    </row>
    <row r="532" spans="1:113" ht="12" outlineLevel="1"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3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3"/>
      <c r="CZ532" s="44"/>
      <c r="DA532" s="44"/>
      <c r="DB532" s="44"/>
      <c r="DC532" s="529"/>
      <c r="DD532" s="529"/>
      <c r="DE532" s="529"/>
      <c r="DF532" s="529"/>
      <c r="DG532" s="529"/>
      <c r="DH532" s="529"/>
      <c r="DI532" s="529"/>
    </row>
    <row r="533" spans="1:113" s="24" customFormat="1" ht="12" outlineLevel="1">
      <c r="A533" s="1" t="s">
        <v>839</v>
      </c>
      <c r="B533" s="24" t="s">
        <v>242</v>
      </c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55"/>
      <c r="AE533" s="55"/>
      <c r="AF533" s="55"/>
      <c r="AG533" s="55"/>
      <c r="AH533" s="55"/>
      <c r="AI533" s="55"/>
      <c r="AJ533" s="55"/>
      <c r="AK533" s="55"/>
      <c r="AL533" s="55"/>
      <c r="AM533" s="55"/>
      <c r="AN533" s="55"/>
      <c r="AO533" s="55"/>
      <c r="AP533" s="521">
        <v>543</v>
      </c>
      <c r="AQ533" s="526">
        <v>684.5</v>
      </c>
      <c r="AR533" s="526">
        <v>1075.7000000000003</v>
      </c>
      <c r="AS533" s="526">
        <v>1395.1</v>
      </c>
      <c r="AT533" s="526">
        <v>1404.6000000000001</v>
      </c>
      <c r="AU533" s="526">
        <v>1442</v>
      </c>
      <c r="AV533" s="526">
        <v>1477.1</v>
      </c>
      <c r="AW533" s="524">
        <v>1550.5</v>
      </c>
      <c r="AX533" s="526">
        <v>1565.3</v>
      </c>
      <c r="AY533" s="526">
        <v>1593.8828238335782</v>
      </c>
      <c r="AZ533" s="526">
        <v>1645.4289505168838</v>
      </c>
      <c r="BA533" s="526">
        <v>1709.5993427893848</v>
      </c>
      <c r="BB533" s="526">
        <v>1785.0893867632476</v>
      </c>
      <c r="BC533" s="526">
        <v>1876.6036013689691</v>
      </c>
      <c r="BD533" s="526">
        <v>1927.8361617685173</v>
      </c>
      <c r="BE533" s="526">
        <v>1983.3888111925155</v>
      </c>
      <c r="BF533" s="526">
        <v>2040.6560879295628</v>
      </c>
      <c r="BG533" s="526">
        <v>2103.4243108241849</v>
      </c>
      <c r="BH533" s="526">
        <v>2164.3227865350655</v>
      </c>
      <c r="BI533" s="526">
        <v>2230.9821268503388</v>
      </c>
      <c r="BJ533" s="526">
        <v>2295.3745537026339</v>
      </c>
      <c r="BK533" s="526">
        <v>2364.8742183577115</v>
      </c>
      <c r="BL533" s="526">
        <v>2432.1522406688782</v>
      </c>
      <c r="BM533" s="526">
        <v>2504.5734165077833</v>
      </c>
      <c r="BN533" s="526">
        <v>2576.5346687172319</v>
      </c>
      <c r="BO533" s="526">
        <v>2652.5526903352584</v>
      </c>
      <c r="BP533" s="526">
        <v>2727.1962354269849</v>
      </c>
      <c r="BQ533" s="526">
        <v>2806.7779262563854</v>
      </c>
      <c r="BR533" s="526"/>
      <c r="BS533" s="55"/>
      <c r="BT533" s="55"/>
      <c r="BU533" s="55"/>
      <c r="BV533" s="55"/>
      <c r="BW533" s="55"/>
      <c r="BX533" s="55"/>
      <c r="BY533" s="55"/>
      <c r="BZ533" s="55"/>
      <c r="CA533" s="55"/>
      <c r="CB533" s="55"/>
      <c r="CC533" s="55"/>
      <c r="CD533" s="55"/>
      <c r="CE533" s="55"/>
      <c r="CF533" s="55"/>
      <c r="CG533" s="55"/>
      <c r="CH533" s="55"/>
      <c r="CI533" s="55"/>
      <c r="CJ533" s="55"/>
      <c r="CK533" s="55"/>
      <c r="CL533" s="55"/>
      <c r="CM533" s="55"/>
      <c r="CN533" s="55"/>
      <c r="CO533" s="55"/>
      <c r="CP533" s="55"/>
      <c r="CQ533" s="55"/>
      <c r="CR533" s="55"/>
      <c r="CS533" s="55"/>
      <c r="CT533" s="526"/>
      <c r="CU533" s="526"/>
      <c r="CV533" s="526"/>
      <c r="CW533" s="526">
        <v>1075.7000000000003</v>
      </c>
      <c r="CX533" s="526">
        <v>1404.6</v>
      </c>
      <c r="CY533" s="524">
        <v>1477.1</v>
      </c>
      <c r="CZ533" s="526">
        <v>1565.3</v>
      </c>
      <c r="DA533" s="526">
        <v>1645.4289505168836</v>
      </c>
      <c r="DB533" s="526">
        <v>1785.0893867632474</v>
      </c>
      <c r="DC533" s="526">
        <v>1927.8361617685171</v>
      </c>
      <c r="DD533" s="526">
        <v>2040.6560879295628</v>
      </c>
      <c r="DE533" s="526">
        <v>2164.3227865350655</v>
      </c>
      <c r="DF533" s="526">
        <v>2295.3745537026343</v>
      </c>
      <c r="DG533" s="526">
        <v>2432.1522406688787</v>
      </c>
      <c r="DH533" s="526">
        <v>2576.5346687172323</v>
      </c>
      <c r="DI533" s="526">
        <v>2727.1962354269854</v>
      </c>
    </row>
    <row r="534" spans="1:113" ht="12" outlineLevel="1">
      <c r="A534" s="1" t="s">
        <v>975</v>
      </c>
      <c r="B534" s="19" t="s">
        <v>240</v>
      </c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4">
        <v>27.800000000000004</v>
      </c>
      <c r="AQ534" s="44">
        <v>3.5000000000001408</v>
      </c>
      <c r="AR534" s="44">
        <v>-47.600000000000442</v>
      </c>
      <c r="AS534" s="44">
        <v>4.6000000000000369</v>
      </c>
      <c r="AT534" s="44">
        <v>37.399999999999942</v>
      </c>
      <c r="AU534" s="44">
        <v>35.099999999999937</v>
      </c>
      <c r="AV534" s="44">
        <v>73.400000000000006</v>
      </c>
      <c r="AW534" s="45">
        <v>14.799999999999976</v>
      </c>
      <c r="AX534" s="44">
        <v>28.582823833578175</v>
      </c>
      <c r="AY534" s="44">
        <v>51.546126683305502</v>
      </c>
      <c r="AZ534" s="44">
        <v>64.170392272501005</v>
      </c>
      <c r="BA534" s="44">
        <v>75.490043973862754</v>
      </c>
      <c r="BB534" s="44">
        <v>91.514214605721492</v>
      </c>
      <c r="BC534" s="44">
        <v>96.713894552548339</v>
      </c>
      <c r="BD534" s="44">
        <v>103.25258524299838</v>
      </c>
      <c r="BE534" s="44">
        <v>108.29511505504729</v>
      </c>
      <c r="BF534" s="44">
        <v>116.01466287862218</v>
      </c>
      <c r="BG534" s="44">
        <v>118.58211902688072</v>
      </c>
      <c r="BH534" s="44">
        <v>125.45228446427339</v>
      </c>
      <c r="BI534" s="44">
        <v>126.51327350029541</v>
      </c>
      <c r="BJ534" s="44">
        <v>132.72981213607781</v>
      </c>
      <c r="BK534" s="44">
        <v>133.83607229116643</v>
      </c>
      <c r="BL534" s="44">
        <v>140.08852665190523</v>
      </c>
      <c r="BM534" s="44">
        <v>141.84720468844864</v>
      </c>
      <c r="BN534" s="44">
        <v>147.0132749300264</v>
      </c>
      <c r="BO534" s="44">
        <v>147.85740006972685</v>
      </c>
      <c r="BP534" s="44">
        <v>153.90484664040048</v>
      </c>
      <c r="BQ534" s="44">
        <v>154.57754635181169</v>
      </c>
      <c r="BR534" s="44"/>
      <c r="BS534" s="42"/>
      <c r="BT534" s="42"/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4"/>
      <c r="CU534" s="44"/>
      <c r="CV534" s="44"/>
      <c r="CW534" s="44">
        <v>-43.000000000000405</v>
      </c>
      <c r="CX534" s="44">
        <v>72.499999999999886</v>
      </c>
      <c r="CY534" s="45">
        <v>88.199999999999989</v>
      </c>
      <c r="CZ534" s="44">
        <v>80.128950516883677</v>
      </c>
      <c r="DA534" s="44">
        <v>139.66043624636376</v>
      </c>
      <c r="DB534" s="44">
        <v>188.22810915826983</v>
      </c>
      <c r="DC534" s="44">
        <v>211.54770029804567</v>
      </c>
      <c r="DD534" s="44">
        <v>234.59678190550289</v>
      </c>
      <c r="DE534" s="44">
        <v>251.9655579645688</v>
      </c>
      <c r="DF534" s="44">
        <v>266.56588442724421</v>
      </c>
      <c r="DG534" s="44">
        <v>281.93573134035387</v>
      </c>
      <c r="DH534" s="44">
        <v>294.87067499975325</v>
      </c>
      <c r="DI534" s="44">
        <v>308.48239299221217</v>
      </c>
    </row>
    <row r="535" spans="1:113" ht="12" outlineLevel="1">
      <c r="A535" s="1" t="s">
        <v>1001</v>
      </c>
      <c r="B535" s="19" t="s">
        <v>243</v>
      </c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525">
        <v>0</v>
      </c>
      <c r="AQ535" s="525">
        <v>0</v>
      </c>
      <c r="AR535" s="525">
        <v>0</v>
      </c>
      <c r="AS535" s="525">
        <v>0</v>
      </c>
      <c r="AT535" s="525">
        <v>0</v>
      </c>
      <c r="AU535" s="525">
        <v>0</v>
      </c>
      <c r="AV535" s="525">
        <v>0</v>
      </c>
      <c r="AW535" s="523">
        <v>0</v>
      </c>
      <c r="AX535" s="44">
        <v>0</v>
      </c>
      <c r="AY535" s="44">
        <v>0</v>
      </c>
      <c r="AZ535" s="44">
        <v>0</v>
      </c>
      <c r="BA535" s="44">
        <v>0</v>
      </c>
      <c r="BB535" s="44">
        <v>0</v>
      </c>
      <c r="BC535" s="44">
        <v>-45.481334153000006</v>
      </c>
      <c r="BD535" s="44">
        <v>-47.699935818999997</v>
      </c>
      <c r="BE535" s="44">
        <v>-51.027838318000001</v>
      </c>
      <c r="BF535" s="44">
        <v>-53.246439983999998</v>
      </c>
      <c r="BG535" s="44">
        <v>-57.683643316000001</v>
      </c>
      <c r="BH535" s="44">
        <v>-58.792944149</v>
      </c>
      <c r="BI535" s="44">
        <v>-62.120846648000004</v>
      </c>
      <c r="BJ535" s="44">
        <v>-63.230147481000003</v>
      </c>
      <c r="BK535" s="44">
        <v>-66.558049979999993</v>
      </c>
      <c r="BL535" s="44">
        <v>-67.667350812999999</v>
      </c>
      <c r="BM535" s="44">
        <v>-69.885952478999997</v>
      </c>
      <c r="BN535" s="44">
        <v>-70.995253312000003</v>
      </c>
      <c r="BO535" s="44">
        <v>-73.213854978000001</v>
      </c>
      <c r="BP535" s="44">
        <v>-74.323155811000007</v>
      </c>
      <c r="BQ535" s="44">
        <v>-76.541757477000004</v>
      </c>
      <c r="BR535" s="44"/>
      <c r="BS535" s="40"/>
      <c r="BT535" s="40"/>
      <c r="BU535" s="40"/>
      <c r="BV535" s="40"/>
      <c r="BW535" s="40"/>
      <c r="BX535" s="40"/>
      <c r="BY535" s="40"/>
      <c r="BZ535" s="40"/>
      <c r="CA535" s="40"/>
      <c r="CB535" s="40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525"/>
      <c r="CU535" s="525"/>
      <c r="CV535" s="525"/>
      <c r="CW535" s="44">
        <v>0</v>
      </c>
      <c r="CX535" s="44">
        <v>0</v>
      </c>
      <c r="CY535" s="45">
        <v>0</v>
      </c>
      <c r="CZ535" s="44">
        <v>0</v>
      </c>
      <c r="DA535" s="44">
        <v>0</v>
      </c>
      <c r="DB535" s="44">
        <v>-45.481334153000006</v>
      </c>
      <c r="DC535" s="44">
        <v>-98.727774136999997</v>
      </c>
      <c r="DD535" s="44">
        <v>-110.93008330000001</v>
      </c>
      <c r="DE535" s="44">
        <v>-120.913790797</v>
      </c>
      <c r="DF535" s="44">
        <v>-129.78819746099998</v>
      </c>
      <c r="DG535" s="44">
        <v>-137.55330329200001</v>
      </c>
      <c r="DH535" s="44">
        <v>-144.20910829000002</v>
      </c>
      <c r="DI535" s="44">
        <v>-150.86491328800003</v>
      </c>
    </row>
    <row r="536" spans="1:113" ht="12" outlineLevel="1">
      <c r="A536" s="1" t="s">
        <v>1002</v>
      </c>
      <c r="B536" s="19" t="s">
        <v>256</v>
      </c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/>
      <c r="AN536" s="42"/>
      <c r="AO536" s="42"/>
      <c r="AP536" s="44">
        <v>0</v>
      </c>
      <c r="AQ536" s="44">
        <v>0</v>
      </c>
      <c r="AR536" s="44">
        <v>0</v>
      </c>
      <c r="AS536" s="44">
        <v>0</v>
      </c>
      <c r="AT536" s="44">
        <v>0</v>
      </c>
      <c r="AU536" s="44">
        <v>0</v>
      </c>
      <c r="AV536" s="44">
        <v>0</v>
      </c>
      <c r="AW536" s="45">
        <v>0</v>
      </c>
      <c r="AX536" s="44">
        <v>0</v>
      </c>
      <c r="AY536" s="44">
        <v>0</v>
      </c>
      <c r="AZ536" s="44">
        <v>0</v>
      </c>
      <c r="BA536" s="44">
        <v>0</v>
      </c>
      <c r="BB536" s="44">
        <v>0</v>
      </c>
      <c r="BC536" s="44">
        <v>0</v>
      </c>
      <c r="BD536" s="44">
        <v>0</v>
      </c>
      <c r="BE536" s="44">
        <v>0</v>
      </c>
      <c r="BF536" s="44">
        <v>0</v>
      </c>
      <c r="BG536" s="44">
        <v>0</v>
      </c>
      <c r="BH536" s="44">
        <v>0</v>
      </c>
      <c r="BI536" s="44">
        <v>0</v>
      </c>
      <c r="BJ536" s="44">
        <v>0</v>
      </c>
      <c r="BK536" s="44">
        <v>0</v>
      </c>
      <c r="BL536" s="44">
        <v>0</v>
      </c>
      <c r="BM536" s="44">
        <v>0</v>
      </c>
      <c r="BN536" s="44">
        <v>0</v>
      </c>
      <c r="BO536" s="44">
        <v>0</v>
      </c>
      <c r="BP536" s="44">
        <v>0</v>
      </c>
      <c r="BQ536" s="44">
        <v>0</v>
      </c>
      <c r="BR536" s="44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4"/>
      <c r="CU536" s="44"/>
      <c r="CV536" s="44"/>
      <c r="CW536" s="44">
        <v>0</v>
      </c>
      <c r="CX536" s="44">
        <v>0</v>
      </c>
      <c r="CY536" s="45">
        <v>0</v>
      </c>
      <c r="CZ536" s="44">
        <v>0</v>
      </c>
      <c r="DA536" s="44">
        <v>0</v>
      </c>
      <c r="DB536" s="44">
        <v>0</v>
      </c>
      <c r="DC536" s="44">
        <v>0</v>
      </c>
      <c r="DD536" s="44">
        <v>0</v>
      </c>
      <c r="DE536" s="44">
        <v>0</v>
      </c>
      <c r="DF536" s="44">
        <v>0</v>
      </c>
      <c r="DG536" s="44">
        <v>0</v>
      </c>
      <c r="DH536" s="44">
        <v>0</v>
      </c>
      <c r="DI536" s="44">
        <v>0</v>
      </c>
    </row>
    <row r="537" spans="1:113" ht="12" outlineLevel="1">
      <c r="A537" s="1" t="s">
        <v>1003</v>
      </c>
      <c r="B537" s="19" t="s">
        <v>409</v>
      </c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525">
        <v>113.7</v>
      </c>
      <c r="AQ537" s="525">
        <v>387.70000000000005</v>
      </c>
      <c r="AR537" s="525">
        <v>367</v>
      </c>
      <c r="AS537" s="525">
        <v>4.8999999999999995</v>
      </c>
      <c r="AT537" s="525">
        <v>0</v>
      </c>
      <c r="AU537" s="525">
        <v>0</v>
      </c>
      <c r="AV537" s="525">
        <v>0</v>
      </c>
      <c r="AW537" s="523">
        <v>0</v>
      </c>
      <c r="AX537" s="44">
        <v>0</v>
      </c>
      <c r="AY537" s="44">
        <v>0</v>
      </c>
      <c r="AZ537" s="44">
        <v>0</v>
      </c>
      <c r="BA537" s="44">
        <v>0</v>
      </c>
      <c r="BB537" s="44">
        <v>0</v>
      </c>
      <c r="BC537" s="44">
        <v>0</v>
      </c>
      <c r="BD537" s="44">
        <v>0</v>
      </c>
      <c r="BE537" s="44">
        <v>0</v>
      </c>
      <c r="BF537" s="44">
        <v>0</v>
      </c>
      <c r="BG537" s="44">
        <v>0</v>
      </c>
      <c r="BH537" s="44">
        <v>0</v>
      </c>
      <c r="BI537" s="44">
        <v>0</v>
      </c>
      <c r="BJ537" s="44">
        <v>0</v>
      </c>
      <c r="BK537" s="44">
        <v>0</v>
      </c>
      <c r="BL537" s="44">
        <v>0</v>
      </c>
      <c r="BM537" s="44">
        <v>0</v>
      </c>
      <c r="BN537" s="44">
        <v>0</v>
      </c>
      <c r="BO537" s="44">
        <v>0</v>
      </c>
      <c r="BP537" s="44">
        <v>0</v>
      </c>
      <c r="BQ537" s="44">
        <v>0</v>
      </c>
      <c r="BR537" s="44"/>
      <c r="BS537" s="40"/>
      <c r="BT537" s="40"/>
      <c r="BU537" s="40"/>
      <c r="BV537" s="40"/>
      <c r="BW537" s="40"/>
      <c r="BX537" s="40"/>
      <c r="BY537" s="40"/>
      <c r="BZ537" s="40"/>
      <c r="CA537" s="40"/>
      <c r="CB537" s="40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525"/>
      <c r="CU537" s="525"/>
      <c r="CV537" s="525"/>
      <c r="CW537" s="44">
        <v>371.9</v>
      </c>
      <c r="CX537" s="44">
        <v>0</v>
      </c>
      <c r="CY537" s="45">
        <v>0</v>
      </c>
      <c r="CZ537" s="44">
        <v>0</v>
      </c>
      <c r="DA537" s="44">
        <v>0</v>
      </c>
      <c r="DB537" s="44">
        <v>0</v>
      </c>
      <c r="DC537" s="44">
        <v>0</v>
      </c>
      <c r="DD537" s="44">
        <v>0</v>
      </c>
      <c r="DE537" s="44">
        <v>0</v>
      </c>
      <c r="DF537" s="44">
        <v>0</v>
      </c>
      <c r="DG537" s="44">
        <v>0</v>
      </c>
      <c r="DH537" s="44">
        <v>0</v>
      </c>
      <c r="DI537" s="44">
        <v>0</v>
      </c>
    </row>
    <row r="538" spans="1:113" s="24" customFormat="1" ht="12" outlineLevel="1">
      <c r="A538" s="1" t="s">
        <v>1004</v>
      </c>
      <c r="B538" s="24" t="s">
        <v>150</v>
      </c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55"/>
      <c r="AE538" s="55"/>
      <c r="AF538" s="55"/>
      <c r="AG538" s="55"/>
      <c r="AH538" s="55"/>
      <c r="AI538" s="55"/>
      <c r="AJ538" s="55"/>
      <c r="AK538" s="55"/>
      <c r="AL538" s="55"/>
      <c r="AM538" s="55"/>
      <c r="AN538" s="55"/>
      <c r="AO538" s="55"/>
      <c r="AP538" s="526">
        <v>684.5</v>
      </c>
      <c r="AQ538" s="526">
        <v>1075.7000000000003</v>
      </c>
      <c r="AR538" s="526">
        <v>1395.1</v>
      </c>
      <c r="AS538" s="526">
        <v>1404.6000000000001</v>
      </c>
      <c r="AT538" s="526">
        <v>1442</v>
      </c>
      <c r="AU538" s="526">
        <v>1477.1</v>
      </c>
      <c r="AV538" s="526">
        <v>1550.5</v>
      </c>
      <c r="AW538" s="524">
        <v>1565.3</v>
      </c>
      <c r="AX538" s="526">
        <v>1593.8828238335782</v>
      </c>
      <c r="AY538" s="526">
        <v>1645.4289505168838</v>
      </c>
      <c r="AZ538" s="526">
        <v>1709.5993427893848</v>
      </c>
      <c r="BA538" s="526">
        <v>1785.0893867632476</v>
      </c>
      <c r="BB538" s="526">
        <v>1876.6036013689691</v>
      </c>
      <c r="BC538" s="526">
        <v>1927.8361617685173</v>
      </c>
      <c r="BD538" s="526">
        <v>1983.3888111925155</v>
      </c>
      <c r="BE538" s="526">
        <v>2040.6560879295628</v>
      </c>
      <c r="BF538" s="526">
        <v>2103.4243108241849</v>
      </c>
      <c r="BG538" s="526">
        <v>2164.3227865350655</v>
      </c>
      <c r="BH538" s="526">
        <v>2230.9821268503388</v>
      </c>
      <c r="BI538" s="526">
        <v>2295.3745537026339</v>
      </c>
      <c r="BJ538" s="526">
        <v>2364.8742183577115</v>
      </c>
      <c r="BK538" s="526">
        <v>2432.1522406688782</v>
      </c>
      <c r="BL538" s="526">
        <v>2504.5734165077833</v>
      </c>
      <c r="BM538" s="526">
        <v>2576.5346687172319</v>
      </c>
      <c r="BN538" s="526">
        <v>2652.5526903352584</v>
      </c>
      <c r="BO538" s="526">
        <v>2727.1962354269849</v>
      </c>
      <c r="BP538" s="526">
        <v>2806.7779262563854</v>
      </c>
      <c r="BQ538" s="526">
        <v>2884.8137151311971</v>
      </c>
      <c r="BR538" s="526"/>
      <c r="BS538" s="61"/>
      <c r="BT538" s="55"/>
      <c r="BU538" s="55"/>
      <c r="BV538" s="55"/>
      <c r="BW538" s="55"/>
      <c r="BX538" s="55"/>
      <c r="BY538" s="55"/>
      <c r="BZ538" s="55"/>
      <c r="CA538" s="55"/>
      <c r="CB538" s="55"/>
      <c r="CC538" s="55"/>
      <c r="CD538" s="55"/>
      <c r="CE538" s="55"/>
      <c r="CF538" s="55"/>
      <c r="CG538" s="55"/>
      <c r="CH538" s="55"/>
      <c r="CI538" s="55"/>
      <c r="CJ538" s="55"/>
      <c r="CK538" s="55"/>
      <c r="CL538" s="55"/>
      <c r="CM538" s="55"/>
      <c r="CN538" s="55"/>
      <c r="CO538" s="55"/>
      <c r="CP538" s="55"/>
      <c r="CQ538" s="55"/>
      <c r="CR538" s="55"/>
      <c r="CS538" s="55"/>
      <c r="CT538" s="526"/>
      <c r="CU538" s="526"/>
      <c r="CV538" s="526">
        <v>1075.7000000000003</v>
      </c>
      <c r="CW538" s="526">
        <v>1404.6</v>
      </c>
      <c r="CX538" s="526">
        <v>1477.1</v>
      </c>
      <c r="CY538" s="524">
        <v>1565.3</v>
      </c>
      <c r="CZ538" s="526">
        <v>1645.4289505168836</v>
      </c>
      <c r="DA538" s="526">
        <v>1785.0893867632474</v>
      </c>
      <c r="DB538" s="526">
        <v>1927.8361617685171</v>
      </c>
      <c r="DC538" s="526">
        <v>2040.6560879295628</v>
      </c>
      <c r="DD538" s="526">
        <v>2164.3227865350655</v>
      </c>
      <c r="DE538" s="526">
        <v>2295.3745537026343</v>
      </c>
      <c r="DF538" s="526">
        <v>2432.1522406688787</v>
      </c>
      <c r="DG538" s="526">
        <v>2576.5346687172323</v>
      </c>
      <c r="DH538" s="526">
        <v>2727.1962354269854</v>
      </c>
      <c r="DI538" s="526">
        <v>2884.8137151311976</v>
      </c>
    </row>
    <row r="539" spans="1:113" ht="12" outlineLevel="1">
      <c r="A539" s="1" t="s">
        <v>1005</v>
      </c>
      <c r="B539" s="19" t="s">
        <v>151</v>
      </c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525">
        <v>0</v>
      </c>
      <c r="AQ539" s="525">
        <v>0</v>
      </c>
      <c r="AR539" s="525">
        <v>0</v>
      </c>
      <c r="AS539" s="525">
        <v>0</v>
      </c>
      <c r="AT539" s="525">
        <v>0</v>
      </c>
      <c r="AU539" s="525">
        <v>0</v>
      </c>
      <c r="AV539" s="525">
        <v>0</v>
      </c>
      <c r="AW539" s="523">
        <v>0</v>
      </c>
      <c r="AX539" s="46">
        <v>0</v>
      </c>
      <c r="AY539" s="46">
        <v>0</v>
      </c>
      <c r="AZ539" s="46">
        <v>0</v>
      </c>
      <c r="BA539" s="46">
        <v>0</v>
      </c>
      <c r="BB539" s="46">
        <v>0</v>
      </c>
      <c r="BC539" s="46">
        <v>0</v>
      </c>
      <c r="BD539" s="46">
        <v>0</v>
      </c>
      <c r="BE539" s="46">
        <v>0</v>
      </c>
      <c r="BF539" s="46">
        <v>0</v>
      </c>
      <c r="BG539" s="46">
        <v>0</v>
      </c>
      <c r="BH539" s="46">
        <v>0</v>
      </c>
      <c r="BI539" s="46">
        <v>0</v>
      </c>
      <c r="BJ539" s="46">
        <v>0</v>
      </c>
      <c r="BK539" s="46">
        <v>0</v>
      </c>
      <c r="BL539" s="46">
        <v>0</v>
      </c>
      <c r="BM539" s="46">
        <v>0</v>
      </c>
      <c r="BN539" s="46">
        <v>0</v>
      </c>
      <c r="BO539" s="46">
        <v>0</v>
      </c>
      <c r="BP539" s="46">
        <v>0</v>
      </c>
      <c r="BQ539" s="46">
        <v>0</v>
      </c>
      <c r="BR539" s="44"/>
      <c r="BS539" s="40"/>
      <c r="BT539" s="40"/>
      <c r="BU539" s="40"/>
      <c r="BV539" s="40"/>
      <c r="BW539" s="40"/>
      <c r="BX539" s="40"/>
      <c r="BY539" s="40"/>
      <c r="BZ539" s="40"/>
      <c r="CA539" s="40"/>
      <c r="CB539" s="40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525"/>
      <c r="CU539" s="525"/>
      <c r="CV539" s="44">
        <v>0</v>
      </c>
      <c r="CW539" s="44">
        <v>0</v>
      </c>
      <c r="CX539" s="44">
        <v>0</v>
      </c>
      <c r="CY539" s="45">
        <v>0</v>
      </c>
      <c r="CZ539" s="44">
        <v>0</v>
      </c>
      <c r="DA539" s="44">
        <v>0</v>
      </c>
      <c r="DB539" s="44">
        <v>0</v>
      </c>
      <c r="DC539" s="44">
        <v>0</v>
      </c>
      <c r="DD539" s="44">
        <v>0</v>
      </c>
      <c r="DE539" s="44">
        <v>0</v>
      </c>
      <c r="DF539" s="44">
        <v>0</v>
      </c>
      <c r="DG539" s="44">
        <v>0</v>
      </c>
      <c r="DH539" s="44">
        <v>0</v>
      </c>
      <c r="DI539" s="44">
        <v>0</v>
      </c>
    </row>
    <row r="540" spans="1:113" ht="12" outlineLevel="1">
      <c r="A540" s="1" t="s">
        <v>1006</v>
      </c>
      <c r="B540" s="19" t="s">
        <v>158</v>
      </c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525">
        <v>0</v>
      </c>
      <c r="AQ540" s="525">
        <v>0</v>
      </c>
      <c r="AR540" s="525">
        <v>0</v>
      </c>
      <c r="AS540" s="525">
        <v>0</v>
      </c>
      <c r="AT540" s="525">
        <v>0</v>
      </c>
      <c r="AU540" s="525">
        <v>0</v>
      </c>
      <c r="AV540" s="525">
        <v>0</v>
      </c>
      <c r="AW540" s="523">
        <v>0</v>
      </c>
      <c r="AX540" s="46">
        <v>0</v>
      </c>
      <c r="AY540" s="46">
        <v>0</v>
      </c>
      <c r="AZ540" s="46">
        <v>0</v>
      </c>
      <c r="BA540" s="46">
        <v>0</v>
      </c>
      <c r="BB540" s="46">
        <v>0</v>
      </c>
      <c r="BC540" s="46">
        <v>0</v>
      </c>
      <c r="BD540" s="46">
        <v>0</v>
      </c>
      <c r="BE540" s="46">
        <v>0</v>
      </c>
      <c r="BF540" s="46">
        <v>0</v>
      </c>
      <c r="BG540" s="46">
        <v>0</v>
      </c>
      <c r="BH540" s="46">
        <v>0</v>
      </c>
      <c r="BI540" s="46">
        <v>0</v>
      </c>
      <c r="BJ540" s="46">
        <v>0</v>
      </c>
      <c r="BK540" s="46">
        <v>0</v>
      </c>
      <c r="BL540" s="46">
        <v>0</v>
      </c>
      <c r="BM540" s="46">
        <v>0</v>
      </c>
      <c r="BN540" s="46">
        <v>0</v>
      </c>
      <c r="BO540" s="46">
        <v>0</v>
      </c>
      <c r="BP540" s="46">
        <v>0</v>
      </c>
      <c r="BQ540" s="46">
        <v>0</v>
      </c>
      <c r="BR540" s="44"/>
      <c r="BS540" s="40"/>
      <c r="BT540" s="40"/>
      <c r="BU540" s="40"/>
      <c r="BV540" s="40"/>
      <c r="BW540" s="40"/>
      <c r="BX540" s="40"/>
      <c r="BY540" s="40"/>
      <c r="BZ540" s="40"/>
      <c r="CA540" s="40"/>
      <c r="CB540" s="40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525"/>
      <c r="CU540" s="525"/>
      <c r="CV540" s="44">
        <v>0</v>
      </c>
      <c r="CW540" s="44">
        <v>0</v>
      </c>
      <c r="CX540" s="44">
        <v>0</v>
      </c>
      <c r="CY540" s="45">
        <v>0</v>
      </c>
      <c r="CZ540" s="44">
        <v>0</v>
      </c>
      <c r="DA540" s="44">
        <v>0</v>
      </c>
      <c r="DB540" s="44">
        <v>0</v>
      </c>
      <c r="DC540" s="44">
        <v>0</v>
      </c>
      <c r="DD540" s="44">
        <v>0</v>
      </c>
      <c r="DE540" s="44">
        <v>0</v>
      </c>
      <c r="DF540" s="44">
        <v>0</v>
      </c>
      <c r="DG540" s="44">
        <v>0</v>
      </c>
      <c r="DH540" s="44">
        <v>0</v>
      </c>
      <c r="DI540" s="44">
        <v>0</v>
      </c>
    </row>
    <row r="541" spans="1:113" s="24" customFormat="1" ht="12" outlineLevel="1">
      <c r="A541" s="1" t="s">
        <v>979</v>
      </c>
      <c r="B541" s="24" t="s">
        <v>152</v>
      </c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55"/>
      <c r="AE541" s="55"/>
      <c r="AF541" s="55"/>
      <c r="AG541" s="55"/>
      <c r="AH541" s="55"/>
      <c r="AI541" s="55"/>
      <c r="AJ541" s="55"/>
      <c r="AK541" s="55"/>
      <c r="AL541" s="55"/>
      <c r="AM541" s="55"/>
      <c r="AN541" s="55"/>
      <c r="AO541" s="55"/>
      <c r="AP541" s="526">
        <v>684.5</v>
      </c>
      <c r="AQ541" s="526">
        <v>1075.7000000000003</v>
      </c>
      <c r="AR541" s="526">
        <v>1395.1</v>
      </c>
      <c r="AS541" s="526">
        <v>1404.6000000000001</v>
      </c>
      <c r="AT541" s="526">
        <v>1442</v>
      </c>
      <c r="AU541" s="526">
        <v>1477.1</v>
      </c>
      <c r="AV541" s="526">
        <v>1550.5</v>
      </c>
      <c r="AW541" s="524">
        <v>1565.3</v>
      </c>
      <c r="AX541" s="526">
        <v>1593.8828238335782</v>
      </c>
      <c r="AY541" s="526">
        <v>1645.4289505168838</v>
      </c>
      <c r="AZ541" s="526">
        <v>1709.5993427893848</v>
      </c>
      <c r="BA541" s="526">
        <v>1785.0893867632476</v>
      </c>
      <c r="BB541" s="526">
        <v>1876.6036013689691</v>
      </c>
      <c r="BC541" s="526">
        <v>1927.8361617685173</v>
      </c>
      <c r="BD541" s="526">
        <v>1983.3888111925155</v>
      </c>
      <c r="BE541" s="526">
        <v>2040.6560879295628</v>
      </c>
      <c r="BF541" s="526">
        <v>2103.4243108241849</v>
      </c>
      <c r="BG541" s="526">
        <v>2164.3227865350655</v>
      </c>
      <c r="BH541" s="526">
        <v>2230.9821268503388</v>
      </c>
      <c r="BI541" s="526">
        <v>2295.3745537026339</v>
      </c>
      <c r="BJ541" s="526">
        <v>2364.8742183577115</v>
      </c>
      <c r="BK541" s="526">
        <v>2432.1522406688782</v>
      </c>
      <c r="BL541" s="526">
        <v>2504.5734165077833</v>
      </c>
      <c r="BM541" s="526">
        <v>2576.5346687172319</v>
      </c>
      <c r="BN541" s="526">
        <v>2652.5526903352584</v>
      </c>
      <c r="BO541" s="526">
        <v>2727.1962354269849</v>
      </c>
      <c r="BP541" s="526">
        <v>2806.7779262563854</v>
      </c>
      <c r="BQ541" s="526">
        <v>2884.8137151311971</v>
      </c>
      <c r="BR541" s="526"/>
      <c r="BS541" s="55"/>
      <c r="BT541" s="55"/>
      <c r="BU541" s="55"/>
      <c r="BV541" s="55"/>
      <c r="BW541" s="55"/>
      <c r="BX541" s="55"/>
      <c r="BY541" s="55"/>
      <c r="BZ541" s="55"/>
      <c r="CA541" s="55"/>
      <c r="CB541" s="55"/>
      <c r="CC541" s="55"/>
      <c r="CD541" s="55"/>
      <c r="CE541" s="55"/>
      <c r="CF541" s="55"/>
      <c r="CG541" s="55"/>
      <c r="CH541" s="55"/>
      <c r="CI541" s="55"/>
      <c r="CJ541" s="55"/>
      <c r="CK541" s="55"/>
      <c r="CL541" s="55"/>
      <c r="CM541" s="55"/>
      <c r="CN541" s="55"/>
      <c r="CO541" s="55"/>
      <c r="CP541" s="55"/>
      <c r="CQ541" s="55"/>
      <c r="CR541" s="55"/>
      <c r="CS541" s="55"/>
      <c r="CT541" s="526"/>
      <c r="CU541" s="526"/>
      <c r="CV541" s="526">
        <v>1075.7000000000003</v>
      </c>
      <c r="CW541" s="526">
        <v>1404.6</v>
      </c>
      <c r="CX541" s="526">
        <v>1477.1</v>
      </c>
      <c r="CY541" s="524">
        <v>1565.3</v>
      </c>
      <c r="CZ541" s="526">
        <v>1645.4289505168836</v>
      </c>
      <c r="DA541" s="526">
        <v>1785.0893867632474</v>
      </c>
      <c r="DB541" s="526">
        <v>1927.8361617685171</v>
      </c>
      <c r="DC541" s="526">
        <v>2040.6560879295628</v>
      </c>
      <c r="DD541" s="526">
        <v>2164.3227865350655</v>
      </c>
      <c r="DE541" s="526">
        <v>2295.3745537026343</v>
      </c>
      <c r="DF541" s="526">
        <v>2432.1522406688787</v>
      </c>
      <c r="DG541" s="526">
        <v>2576.5346687172323</v>
      </c>
      <c r="DH541" s="526">
        <v>2727.1962354269854</v>
      </c>
      <c r="DI541" s="526">
        <v>2884.8137151311976</v>
      </c>
    </row>
    <row r="542" spans="1:113" ht="12" outlineLevel="1"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4"/>
      <c r="AQ542" s="44"/>
      <c r="AR542" s="44"/>
      <c r="AS542" s="44"/>
      <c r="AT542" s="44"/>
      <c r="AU542" s="44"/>
      <c r="AV542" s="44"/>
      <c r="AW542" s="45"/>
      <c r="AX542" s="44"/>
      <c r="AY542" s="44"/>
      <c r="AZ542" s="44"/>
      <c r="BA542" s="44"/>
      <c r="BB542" s="44"/>
      <c r="BC542" s="44"/>
      <c r="BD542" s="44"/>
      <c r="BE542" s="44"/>
      <c r="BF542" s="44"/>
      <c r="BG542" s="44"/>
      <c r="BH542" s="44"/>
      <c r="BI542" s="44"/>
      <c r="BJ542" s="44"/>
      <c r="BK542" s="44"/>
      <c r="BL542" s="44"/>
      <c r="BM542" s="44"/>
      <c r="BN542" s="44"/>
      <c r="BO542" s="44"/>
      <c r="BP542" s="44"/>
      <c r="BQ542" s="44"/>
      <c r="BR542" s="44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3"/>
      <c r="CZ542" s="44"/>
      <c r="DA542" s="44"/>
      <c r="DB542" s="44"/>
      <c r="DC542" s="529"/>
      <c r="DD542" s="529"/>
      <c r="DE542" s="529"/>
      <c r="DF542" s="529"/>
      <c r="DG542" s="529"/>
      <c r="DH542" s="529"/>
      <c r="DI542" s="529"/>
    </row>
    <row r="543" spans="1:113" s="24" customFormat="1" ht="12" outlineLevel="1">
      <c r="A543" s="1" t="s">
        <v>1007</v>
      </c>
      <c r="B543" s="24" t="s">
        <v>153</v>
      </c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55"/>
      <c r="AE543" s="55"/>
      <c r="AF543" s="55"/>
      <c r="AG543" s="55"/>
      <c r="AH543" s="55"/>
      <c r="AI543" s="55"/>
      <c r="AJ543" s="55"/>
      <c r="AK543" s="55"/>
      <c r="AL543" s="55"/>
      <c r="AM543" s="55"/>
      <c r="AN543" s="55"/>
      <c r="AO543" s="55"/>
      <c r="AP543" s="521">
        <v>584.07896800000003</v>
      </c>
      <c r="AQ543" s="521">
        <v>801.39065700000003</v>
      </c>
      <c r="AR543" s="521">
        <v>1105.5063729999999</v>
      </c>
      <c r="AS543" s="521">
        <v>1105.519873</v>
      </c>
      <c r="AT543" s="521">
        <v>1105.519873</v>
      </c>
      <c r="AU543" s="521">
        <v>1105.5198720000001</v>
      </c>
      <c r="AV543" s="521">
        <v>1109.300833</v>
      </c>
      <c r="AW543" s="522">
        <v>1109.300833</v>
      </c>
      <c r="AX543" s="526">
        <v>1109.300833</v>
      </c>
      <c r="AY543" s="526">
        <v>1109.300833</v>
      </c>
      <c r="AZ543" s="526">
        <v>1109.300833</v>
      </c>
      <c r="BA543" s="526">
        <v>1109.300833</v>
      </c>
      <c r="BB543" s="526">
        <v>1109.300833</v>
      </c>
      <c r="BC543" s="526">
        <v>1109.300833</v>
      </c>
      <c r="BD543" s="526">
        <v>1109.300833</v>
      </c>
      <c r="BE543" s="526">
        <v>1109.300833</v>
      </c>
      <c r="BF543" s="526">
        <v>1109.300833</v>
      </c>
      <c r="BG543" s="526">
        <v>1109.300833</v>
      </c>
      <c r="BH543" s="526">
        <v>1109.300833</v>
      </c>
      <c r="BI543" s="526">
        <v>1109.300833</v>
      </c>
      <c r="BJ543" s="526">
        <v>1109.300833</v>
      </c>
      <c r="BK543" s="526">
        <v>1109.300833</v>
      </c>
      <c r="BL543" s="526">
        <v>1109.300833</v>
      </c>
      <c r="BM543" s="526">
        <v>1109.300833</v>
      </c>
      <c r="BN543" s="526">
        <v>1109.300833</v>
      </c>
      <c r="BO543" s="526">
        <v>1109.300833</v>
      </c>
      <c r="BP543" s="526">
        <v>1109.300833</v>
      </c>
      <c r="BQ543" s="526">
        <v>1109.300833</v>
      </c>
      <c r="BR543" s="526"/>
      <c r="BS543" s="54"/>
      <c r="BT543" s="54"/>
      <c r="BU543" s="54"/>
      <c r="BV543" s="54"/>
      <c r="BW543" s="54"/>
      <c r="BX543" s="54"/>
      <c r="BY543" s="54"/>
      <c r="BZ543" s="54"/>
      <c r="CA543" s="54"/>
      <c r="CB543" s="54"/>
      <c r="CC543" s="55"/>
      <c r="CD543" s="55"/>
      <c r="CE543" s="55"/>
      <c r="CF543" s="55"/>
      <c r="CG543" s="55"/>
      <c r="CH543" s="55"/>
      <c r="CI543" s="55"/>
      <c r="CJ543" s="55"/>
      <c r="CK543" s="55"/>
      <c r="CL543" s="55"/>
      <c r="CM543" s="55"/>
      <c r="CN543" s="55"/>
      <c r="CO543" s="55"/>
      <c r="CP543" s="55"/>
      <c r="CQ543" s="55"/>
      <c r="CR543" s="55"/>
      <c r="CS543" s="55"/>
      <c r="CT543" s="521"/>
      <c r="CU543" s="521"/>
      <c r="CV543" s="526">
        <v>1105.5063729999999</v>
      </c>
      <c r="CW543" s="526">
        <v>1105.519873</v>
      </c>
      <c r="CX543" s="526">
        <v>1105.5198720000001</v>
      </c>
      <c r="CY543" s="524">
        <v>1109.300833</v>
      </c>
      <c r="CZ543" s="526">
        <v>1109.300833</v>
      </c>
      <c r="DA543" s="526">
        <v>1109.300833</v>
      </c>
      <c r="DB543" s="526">
        <v>1109.300833</v>
      </c>
      <c r="DC543" s="526">
        <v>1109.300833</v>
      </c>
      <c r="DD543" s="526">
        <v>1109.300833</v>
      </c>
      <c r="DE543" s="526">
        <v>1109.300833</v>
      </c>
      <c r="DF543" s="526">
        <v>1109.300833</v>
      </c>
      <c r="DG543" s="526">
        <v>1109.300833</v>
      </c>
      <c r="DH543" s="526">
        <v>1109.300833</v>
      </c>
      <c r="DI543" s="526">
        <v>1109.300833</v>
      </c>
    </row>
    <row r="544" spans="1:113" ht="12" outlineLevel="1">
      <c r="A544" s="1" t="s">
        <v>1008</v>
      </c>
      <c r="B544" s="19" t="s">
        <v>154</v>
      </c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525">
        <v>536.00000000000011</v>
      </c>
      <c r="AQ544" s="525">
        <v>637.34904400000005</v>
      </c>
      <c r="AR544" s="525">
        <v>894.44444444444366</v>
      </c>
      <c r="AS544" s="525">
        <v>1006.522485</v>
      </c>
      <c r="AT544" s="655">
        <v>1128.1249999999995</v>
      </c>
      <c r="AU544" s="525">
        <v>1105.5198720000001</v>
      </c>
      <c r="AV544" s="525">
        <v>1119.5121951219514</v>
      </c>
      <c r="AW544" s="523">
        <v>1097.1679988780486</v>
      </c>
      <c r="AX544" s="44">
        <v>1097.1679988780486</v>
      </c>
      <c r="AY544" s="44">
        <v>1097.1679988780486</v>
      </c>
      <c r="AZ544" s="44">
        <v>1097.1679988780486</v>
      </c>
      <c r="BA544" s="44">
        <v>1097.1679988780486</v>
      </c>
      <c r="BB544" s="44">
        <v>1097.1679988780486</v>
      </c>
      <c r="BC544" s="44">
        <v>1097.1679988780486</v>
      </c>
      <c r="BD544" s="44">
        <v>1097.1679988780486</v>
      </c>
      <c r="BE544" s="44">
        <v>1097.1679988780486</v>
      </c>
      <c r="BF544" s="44">
        <v>1097.1679988780486</v>
      </c>
      <c r="BG544" s="44">
        <v>1097.1679988780486</v>
      </c>
      <c r="BH544" s="44">
        <v>1097.1679988780486</v>
      </c>
      <c r="BI544" s="44">
        <v>1097.1679988780486</v>
      </c>
      <c r="BJ544" s="44">
        <v>1097.1679988780486</v>
      </c>
      <c r="BK544" s="44">
        <v>1097.1679988780486</v>
      </c>
      <c r="BL544" s="44">
        <v>1097.1679988780486</v>
      </c>
      <c r="BM544" s="44">
        <v>1097.1679988780486</v>
      </c>
      <c r="BN544" s="44">
        <v>1097.1679988780486</v>
      </c>
      <c r="BO544" s="44">
        <v>1097.1679988780486</v>
      </c>
      <c r="BP544" s="44">
        <v>1097.1679988780486</v>
      </c>
      <c r="BQ544" s="44">
        <v>1097.1679988780486</v>
      </c>
      <c r="BR544" s="44"/>
      <c r="BS544" s="40"/>
      <c r="BT544" s="40"/>
      <c r="BU544" s="40"/>
      <c r="BV544" s="40"/>
      <c r="BW544" s="40"/>
      <c r="BX544" s="40"/>
      <c r="BY544" s="40"/>
      <c r="BZ544" s="40"/>
      <c r="CA544" s="40"/>
      <c r="CB544" s="40"/>
      <c r="CC544" s="42"/>
      <c r="CD544" s="42"/>
      <c r="CE544" s="42"/>
      <c r="CF544" s="42"/>
      <c r="CG544" s="113"/>
      <c r="CH544" s="113"/>
      <c r="CI544" s="113"/>
      <c r="CJ544" s="113"/>
      <c r="CK544" s="113"/>
      <c r="CL544" s="113"/>
      <c r="CM544" s="113"/>
      <c r="CN544" s="113"/>
      <c r="CO544" s="113"/>
      <c r="CP544" s="113"/>
      <c r="CQ544" s="113"/>
      <c r="CR544" s="113"/>
      <c r="CS544" s="113"/>
      <c r="CT544" s="525"/>
      <c r="CU544" s="44"/>
      <c r="CV544" s="44">
        <v>587.09102492054808</v>
      </c>
      <c r="CW544" s="44">
        <v>1006.522485</v>
      </c>
      <c r="CX544" s="525">
        <v>1116.7295382136986</v>
      </c>
      <c r="CY544" s="523">
        <v>1108.340097</v>
      </c>
      <c r="CZ544" s="44">
        <v>1097.1679988780486</v>
      </c>
      <c r="DA544" s="44">
        <v>1097.1679988780486</v>
      </c>
      <c r="DB544" s="44">
        <v>1097.1679988780486</v>
      </c>
      <c r="DC544" s="44">
        <v>1097.1679988780488</v>
      </c>
      <c r="DD544" s="44">
        <v>1097.1679988780486</v>
      </c>
      <c r="DE544" s="44">
        <v>1097.1679988780486</v>
      </c>
      <c r="DF544" s="44">
        <v>1097.1679988780486</v>
      </c>
      <c r="DG544" s="44">
        <v>1097.1679988780488</v>
      </c>
      <c r="DH544" s="44">
        <v>1097.1679988780486</v>
      </c>
      <c r="DI544" s="44">
        <v>1097.1679988780486</v>
      </c>
    </row>
    <row r="545" spans="1:113" ht="12" outlineLevel="1">
      <c r="A545" s="1" t="s">
        <v>1015</v>
      </c>
      <c r="B545" s="19" t="s">
        <v>437</v>
      </c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525">
        <v>653.65853658536605</v>
      </c>
      <c r="AQ545" s="525">
        <v>750.80129199999999</v>
      </c>
      <c r="AR545" s="525">
        <v>894.44444444444366</v>
      </c>
      <c r="AS545" s="525">
        <v>1006.522485</v>
      </c>
      <c r="AT545" s="655">
        <v>1128.1249999999995</v>
      </c>
      <c r="AU545" s="525">
        <v>1167.536535</v>
      </c>
      <c r="AV545" s="525">
        <v>1185.0000000000002</v>
      </c>
      <c r="AW545" s="523">
        <v>1239.0595739999997</v>
      </c>
      <c r="AX545" s="46">
        <v>1239.0595739999997</v>
      </c>
      <c r="AY545" s="46">
        <v>1239.0595739999997</v>
      </c>
      <c r="AZ545" s="46">
        <v>1239.0595739999997</v>
      </c>
      <c r="BA545" s="46">
        <v>1239.0595739999997</v>
      </c>
      <c r="BB545" s="46">
        <v>1239.0595739999997</v>
      </c>
      <c r="BC545" s="46">
        <v>1239.0595739999997</v>
      </c>
      <c r="BD545" s="46">
        <v>1239.0595739999997</v>
      </c>
      <c r="BE545" s="46">
        <v>1239.0595739999997</v>
      </c>
      <c r="BF545" s="46">
        <v>1239.0595739999997</v>
      </c>
      <c r="BG545" s="46">
        <v>1239.0595739999997</v>
      </c>
      <c r="BH545" s="46">
        <v>1239.0595739999997</v>
      </c>
      <c r="BI545" s="46">
        <v>1239.0595739999997</v>
      </c>
      <c r="BJ545" s="46">
        <v>1239.0595739999997</v>
      </c>
      <c r="BK545" s="46">
        <v>1239.0595739999997</v>
      </c>
      <c r="BL545" s="46">
        <v>1239.0595739999997</v>
      </c>
      <c r="BM545" s="46">
        <v>1239.0595739999997</v>
      </c>
      <c r="BN545" s="46">
        <v>1239.0595739999997</v>
      </c>
      <c r="BO545" s="46">
        <v>1239.0595739999997</v>
      </c>
      <c r="BP545" s="46">
        <v>1239.0595739999997</v>
      </c>
      <c r="BQ545" s="46">
        <v>1239.0595739999997</v>
      </c>
      <c r="BR545" s="44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2"/>
      <c r="CD545" s="42"/>
      <c r="CE545" s="42"/>
      <c r="CF545" s="42"/>
      <c r="CG545" s="113"/>
      <c r="CH545" s="113"/>
      <c r="CI545" s="113"/>
      <c r="CJ545" s="113"/>
      <c r="CK545" s="113"/>
      <c r="CL545" s="113"/>
      <c r="CM545" s="113"/>
      <c r="CN545" s="113"/>
      <c r="CO545" s="113"/>
      <c r="CP545" s="113"/>
      <c r="CQ545" s="113"/>
      <c r="CR545" s="113"/>
      <c r="CS545" s="113"/>
      <c r="CT545" s="525"/>
      <c r="CU545" s="44"/>
      <c r="CV545" s="44">
        <v>702.62913109575686</v>
      </c>
      <c r="CW545" s="44">
        <v>1006.522485</v>
      </c>
      <c r="CX545" s="525">
        <v>1147.9927327123285</v>
      </c>
      <c r="CY545" s="523">
        <v>1212.0297869999999</v>
      </c>
      <c r="CZ545" s="44">
        <v>1239.0595739999997</v>
      </c>
      <c r="DA545" s="44">
        <v>1239.0595739999997</v>
      </c>
      <c r="DB545" s="44">
        <v>1239.0595739999997</v>
      </c>
      <c r="DC545" s="44">
        <v>1239.0595739999997</v>
      </c>
      <c r="DD545" s="44">
        <v>1239.0595739999997</v>
      </c>
      <c r="DE545" s="44">
        <v>1239.0595739999997</v>
      </c>
      <c r="DF545" s="44">
        <v>1239.0595739999997</v>
      </c>
      <c r="DG545" s="44">
        <v>1239.0595739999997</v>
      </c>
      <c r="DH545" s="44">
        <v>1239.0595739999997</v>
      </c>
      <c r="DI545" s="44">
        <v>1239.0595739999997</v>
      </c>
    </row>
    <row r="546" spans="1:113" ht="12" outlineLevel="1">
      <c r="A546" s="1" t="s">
        <v>1016</v>
      </c>
      <c r="B546" s="19" t="s">
        <v>438</v>
      </c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525">
        <v>0</v>
      </c>
      <c r="AQ546" s="525">
        <v>0</v>
      </c>
      <c r="AR546" s="525">
        <v>0</v>
      </c>
      <c r="AS546" s="525">
        <v>0</v>
      </c>
      <c r="AT546" s="525">
        <v>0</v>
      </c>
      <c r="AU546" s="525">
        <v>1.5</v>
      </c>
      <c r="AV546" s="525">
        <v>1.5</v>
      </c>
      <c r="AW546" s="523">
        <v>2</v>
      </c>
      <c r="AX546" s="46">
        <v>2</v>
      </c>
      <c r="AY546" s="46">
        <v>2</v>
      </c>
      <c r="AZ546" s="46">
        <v>2</v>
      </c>
      <c r="BA546" s="46">
        <v>2</v>
      </c>
      <c r="BB546" s="46">
        <v>2</v>
      </c>
      <c r="BC546" s="46">
        <v>2</v>
      </c>
      <c r="BD546" s="46">
        <v>2</v>
      </c>
      <c r="BE546" s="46">
        <v>2</v>
      </c>
      <c r="BF546" s="46">
        <v>2</v>
      </c>
      <c r="BG546" s="46">
        <v>2</v>
      </c>
      <c r="BH546" s="46">
        <v>2</v>
      </c>
      <c r="BI546" s="46">
        <v>2</v>
      </c>
      <c r="BJ546" s="46">
        <v>2</v>
      </c>
      <c r="BK546" s="46">
        <v>2</v>
      </c>
      <c r="BL546" s="46">
        <v>2</v>
      </c>
      <c r="BM546" s="46">
        <v>2</v>
      </c>
      <c r="BN546" s="46">
        <v>2</v>
      </c>
      <c r="BO546" s="46">
        <v>2</v>
      </c>
      <c r="BP546" s="46">
        <v>2</v>
      </c>
      <c r="BQ546" s="46">
        <v>2</v>
      </c>
      <c r="BR546" s="44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525"/>
      <c r="CU546" s="525"/>
      <c r="CV546" s="44">
        <v>0</v>
      </c>
      <c r="CW546" s="44">
        <v>0</v>
      </c>
      <c r="CX546" s="525">
        <v>1.5</v>
      </c>
      <c r="CY546" s="523">
        <v>3.5</v>
      </c>
      <c r="CZ546" s="44">
        <v>4</v>
      </c>
      <c r="DA546" s="44">
        <v>4</v>
      </c>
      <c r="DB546" s="44">
        <v>4</v>
      </c>
      <c r="DC546" s="44">
        <v>4</v>
      </c>
      <c r="DD546" s="44">
        <v>4</v>
      </c>
      <c r="DE546" s="44">
        <v>4</v>
      </c>
      <c r="DF546" s="44">
        <v>4</v>
      </c>
      <c r="DG546" s="44">
        <v>4</v>
      </c>
      <c r="DH546" s="44">
        <v>4</v>
      </c>
      <c r="DI546" s="44">
        <v>4</v>
      </c>
    </row>
    <row r="547" spans="1:113" ht="12"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4"/>
      <c r="AQ547" s="44"/>
      <c r="AR547" s="44"/>
      <c r="AS547" s="44"/>
      <c r="AT547" s="44"/>
      <c r="AU547" s="44"/>
      <c r="AV547" s="44"/>
      <c r="AW547" s="45"/>
      <c r="AX547" s="44"/>
      <c r="AY547" s="44"/>
      <c r="AZ547" s="44"/>
      <c r="BA547" s="44"/>
      <c r="BB547" s="44"/>
      <c r="BC547" s="44"/>
      <c r="BD547" s="44"/>
      <c r="BE547" s="44"/>
      <c r="BF547" s="44"/>
      <c r="BG547" s="44"/>
      <c r="BH547" s="44"/>
      <c r="BI547" s="44"/>
      <c r="BJ547" s="44"/>
      <c r="BK547" s="44"/>
      <c r="BL547" s="44"/>
      <c r="BM547" s="44"/>
      <c r="BN547" s="44"/>
      <c r="BO547" s="44"/>
      <c r="BP547" s="44"/>
      <c r="BQ547" s="44"/>
      <c r="BR547" s="44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4"/>
      <c r="CW547" s="44"/>
      <c r="CX547" s="44"/>
      <c r="CY547" s="45"/>
      <c r="CZ547" s="44"/>
      <c r="DA547" s="44"/>
      <c r="DB547" s="44"/>
      <c r="DC547" s="529"/>
      <c r="DD547" s="529"/>
      <c r="DE547" s="529"/>
      <c r="DF547" s="529"/>
      <c r="DG547" s="529"/>
      <c r="DH547" s="529"/>
      <c r="DI547" s="529"/>
    </row>
    <row r="548" spans="1:113" s="36" customFormat="1" ht="12" collapsed="1">
      <c r="A548" s="1" t="s">
        <v>1017</v>
      </c>
      <c r="B548" s="2" t="s">
        <v>441</v>
      </c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27">
        <v>629</v>
      </c>
      <c r="AQ548" s="527">
        <v>1004</v>
      </c>
      <c r="AR548" s="527">
        <v>1289</v>
      </c>
      <c r="AS548" s="527">
        <v>1292</v>
      </c>
      <c r="AT548" s="527">
        <v>1336</v>
      </c>
      <c r="AU548" s="527">
        <v>1366</v>
      </c>
      <c r="AV548" s="527">
        <v>1396</v>
      </c>
      <c r="AW548" s="528">
        <v>1411</v>
      </c>
      <c r="AX548" s="527">
        <v>1437.9966651034194</v>
      </c>
      <c r="AY548" s="527">
        <v>1488.228438024549</v>
      </c>
      <c r="AZ548" s="527">
        <v>1551.4230792778817</v>
      </c>
      <c r="BA548" s="527">
        <v>1625.681167142053</v>
      </c>
      <c r="BB548" s="527">
        <v>1716.2153963868861</v>
      </c>
      <c r="BC548" s="527">
        <v>1766.2440499195143</v>
      </c>
      <c r="BD548" s="527">
        <v>1820.9377437962521</v>
      </c>
      <c r="BE548" s="527">
        <v>1877.1096031970289</v>
      </c>
      <c r="BF548" s="527">
        <v>1938.985319151227</v>
      </c>
      <c r="BG548" s="527">
        <v>1998.7443310864755</v>
      </c>
      <c r="BH548" s="527">
        <v>2064.5560745101729</v>
      </c>
      <c r="BI548" s="527">
        <v>2127.8141323074337</v>
      </c>
      <c r="BJ548" s="527">
        <v>2196.4696151413973</v>
      </c>
      <c r="BK548" s="527">
        <v>2262.6108660876212</v>
      </c>
      <c r="BL548" s="527">
        <v>2334.1645741352891</v>
      </c>
      <c r="BM548" s="527">
        <v>2405.0491871786385</v>
      </c>
      <c r="BN548" s="527">
        <v>2480.1733878568975</v>
      </c>
      <c r="BO548" s="527">
        <v>2553.4943304714398</v>
      </c>
      <c r="BP548" s="527">
        <v>2632.0416965428085</v>
      </c>
      <c r="BQ548" s="527">
        <v>2708.6069838998974</v>
      </c>
      <c r="BR548" s="527"/>
      <c r="BS548" s="52"/>
      <c r="BT548" s="52"/>
      <c r="BU548" s="52"/>
      <c r="BV548" s="52"/>
      <c r="BW548" s="52"/>
      <c r="BX548" s="52"/>
      <c r="BY548" s="52"/>
      <c r="BZ548" s="52"/>
      <c r="CA548" s="52"/>
      <c r="CB548" s="52"/>
      <c r="CC548" s="52"/>
      <c r="CD548" s="52"/>
      <c r="CE548" s="52"/>
      <c r="CF548" s="52"/>
      <c r="CG548" s="52"/>
      <c r="CH548" s="52"/>
      <c r="CI548" s="52"/>
      <c r="CJ548" s="52"/>
      <c r="CK548" s="52"/>
      <c r="CL548" s="52"/>
      <c r="CM548" s="52"/>
      <c r="CN548" s="52"/>
      <c r="CO548" s="52"/>
      <c r="CP548" s="52"/>
      <c r="CQ548" s="52"/>
      <c r="CR548" s="52"/>
      <c r="CS548" s="52"/>
      <c r="CT548" s="52">
        <v>193.49680000000001</v>
      </c>
      <c r="CU548" s="52">
        <v>528.20460000000003</v>
      </c>
      <c r="CV548" s="527">
        <v>1004</v>
      </c>
      <c r="CW548" s="527">
        <v>1291.9999999999998</v>
      </c>
      <c r="CX548" s="527">
        <v>1366</v>
      </c>
      <c r="CY548" s="528">
        <v>1411</v>
      </c>
      <c r="CZ548" s="527">
        <v>1488.2284380245487</v>
      </c>
      <c r="DA548" s="527">
        <v>1625.6811671420528</v>
      </c>
      <c r="DB548" s="527">
        <v>1766.2440499195141</v>
      </c>
      <c r="DC548" s="527">
        <v>1877.1096031970289</v>
      </c>
      <c r="DD548" s="527">
        <v>1998.7443310864755</v>
      </c>
      <c r="DE548" s="527">
        <v>2127.8141323074342</v>
      </c>
      <c r="DF548" s="527">
        <v>2262.6108660876216</v>
      </c>
      <c r="DG548" s="527">
        <v>2405.0491871786389</v>
      </c>
      <c r="DH548" s="527">
        <v>2553.4943304714402</v>
      </c>
      <c r="DI548" s="527">
        <v>2708.6069838998978</v>
      </c>
    </row>
    <row r="549" spans="1:113" ht="12" outlineLevel="1"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4"/>
      <c r="AQ549" s="44"/>
      <c r="AR549" s="44"/>
      <c r="AS549" s="44"/>
      <c r="AT549" s="44"/>
      <c r="AU549" s="44"/>
      <c r="AV549" s="44"/>
      <c r="AW549" s="45"/>
      <c r="AX549" s="44"/>
      <c r="AY549" s="44"/>
      <c r="AZ549" s="44"/>
      <c r="BA549" s="44"/>
      <c r="BB549" s="44"/>
      <c r="BC549" s="44"/>
      <c r="BD549" s="44"/>
      <c r="BE549" s="44"/>
      <c r="BF549" s="44"/>
      <c r="BG549" s="44"/>
      <c r="BH549" s="44"/>
      <c r="BI549" s="44"/>
      <c r="BJ549" s="44"/>
      <c r="BK549" s="44"/>
      <c r="BL549" s="44"/>
      <c r="BM549" s="44"/>
      <c r="BN549" s="44"/>
      <c r="BO549" s="44"/>
      <c r="BP549" s="44"/>
      <c r="BQ549" s="44"/>
      <c r="BR549" s="44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4"/>
      <c r="CW549" s="44"/>
      <c r="CX549" s="44"/>
      <c r="CY549" s="45"/>
      <c r="CZ549" s="44"/>
      <c r="DA549" s="44"/>
      <c r="DB549" s="44"/>
      <c r="DC549" s="529"/>
      <c r="DD549" s="529"/>
      <c r="DE549" s="529"/>
      <c r="DF549" s="529"/>
      <c r="DG549" s="529"/>
      <c r="DH549" s="529"/>
      <c r="DI549" s="529"/>
    </row>
    <row r="550" spans="1:113" s="24" customFormat="1" ht="12" outlineLevel="1">
      <c r="A550" s="1" t="s">
        <v>1018</v>
      </c>
      <c r="B550" s="24" t="s">
        <v>152</v>
      </c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55"/>
      <c r="AE550" s="55"/>
      <c r="AF550" s="55"/>
      <c r="AG550" s="55"/>
      <c r="AH550" s="55"/>
      <c r="AI550" s="55"/>
      <c r="AJ550" s="55"/>
      <c r="AK550" s="55"/>
      <c r="AL550" s="55"/>
      <c r="AM550" s="55"/>
      <c r="AN550" s="55"/>
      <c r="AO550" s="55"/>
      <c r="AP550" s="526">
        <v>684.5</v>
      </c>
      <c r="AQ550" s="526">
        <v>1075.7000000000003</v>
      </c>
      <c r="AR550" s="526">
        <v>1395.1</v>
      </c>
      <c r="AS550" s="526">
        <v>1404.6000000000001</v>
      </c>
      <c r="AT550" s="526">
        <v>1442</v>
      </c>
      <c r="AU550" s="526">
        <v>1477.1</v>
      </c>
      <c r="AV550" s="526">
        <v>1550.5</v>
      </c>
      <c r="AW550" s="524">
        <v>1565.3</v>
      </c>
      <c r="AX550" s="526">
        <v>1593.8828238335782</v>
      </c>
      <c r="AY550" s="526">
        <v>1645.4289505168838</v>
      </c>
      <c r="AZ550" s="526">
        <v>1709.5993427893848</v>
      </c>
      <c r="BA550" s="526">
        <v>1785.0893867632476</v>
      </c>
      <c r="BB550" s="526">
        <v>1876.6036013689691</v>
      </c>
      <c r="BC550" s="526">
        <v>1927.8361617685173</v>
      </c>
      <c r="BD550" s="526">
        <v>1983.3888111925155</v>
      </c>
      <c r="BE550" s="526">
        <v>2040.6560879295628</v>
      </c>
      <c r="BF550" s="526">
        <v>2103.4243108241849</v>
      </c>
      <c r="BG550" s="526">
        <v>2164.3227865350655</v>
      </c>
      <c r="BH550" s="526">
        <v>2230.9821268503388</v>
      </c>
      <c r="BI550" s="526">
        <v>2295.3745537026339</v>
      </c>
      <c r="BJ550" s="526">
        <v>2364.8742183577115</v>
      </c>
      <c r="BK550" s="526">
        <v>2432.1522406688782</v>
      </c>
      <c r="BL550" s="526">
        <v>2504.5734165077833</v>
      </c>
      <c r="BM550" s="526">
        <v>2576.5346687172319</v>
      </c>
      <c r="BN550" s="526">
        <v>2652.5526903352584</v>
      </c>
      <c r="BO550" s="526">
        <v>2727.1962354269849</v>
      </c>
      <c r="BP550" s="526">
        <v>2806.7779262563854</v>
      </c>
      <c r="BQ550" s="526">
        <v>2884.8137151311971</v>
      </c>
      <c r="BR550" s="526"/>
      <c r="BS550" s="55"/>
      <c r="BT550" s="55"/>
      <c r="BU550" s="55"/>
      <c r="BV550" s="55"/>
      <c r="BW550" s="55"/>
      <c r="BX550" s="55"/>
      <c r="BY550" s="55"/>
      <c r="BZ550" s="55"/>
      <c r="CA550" s="55"/>
      <c r="CB550" s="55"/>
      <c r="CC550" s="55"/>
      <c r="CD550" s="55"/>
      <c r="CE550" s="55"/>
      <c r="CF550" s="55"/>
      <c r="CG550" s="55"/>
      <c r="CH550" s="55"/>
      <c r="CI550" s="55"/>
      <c r="CJ550" s="55"/>
      <c r="CK550" s="55"/>
      <c r="CL550" s="55"/>
      <c r="CM550" s="55"/>
      <c r="CN550" s="55"/>
      <c r="CO550" s="55"/>
      <c r="CP550" s="55"/>
      <c r="CQ550" s="55"/>
      <c r="CR550" s="55"/>
      <c r="CS550" s="55"/>
      <c r="CT550" s="55">
        <v>0</v>
      </c>
      <c r="CU550" s="55">
        <v>0</v>
      </c>
      <c r="CV550" s="526">
        <v>1075.7000000000003</v>
      </c>
      <c r="CW550" s="526">
        <v>1404.6</v>
      </c>
      <c r="CX550" s="526">
        <v>1477.1</v>
      </c>
      <c r="CY550" s="524">
        <v>1565.3</v>
      </c>
      <c r="CZ550" s="526">
        <v>1645.4289505168836</v>
      </c>
      <c r="DA550" s="526">
        <v>1785.0893867632474</v>
      </c>
      <c r="DB550" s="526">
        <v>1927.8361617685171</v>
      </c>
      <c r="DC550" s="526">
        <v>2040.6560879295628</v>
      </c>
      <c r="DD550" s="526">
        <v>2164.3227865350655</v>
      </c>
      <c r="DE550" s="526">
        <v>2295.3745537026343</v>
      </c>
      <c r="DF550" s="526">
        <v>2432.1522406688787</v>
      </c>
      <c r="DG550" s="526">
        <v>2576.5346687172323</v>
      </c>
      <c r="DH550" s="526">
        <v>2727.1962354269854</v>
      </c>
      <c r="DI550" s="526">
        <v>2884.8137151311976</v>
      </c>
    </row>
    <row r="551" spans="1:113" ht="12" outlineLevel="1"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4"/>
      <c r="AQ551" s="44"/>
      <c r="AR551" s="44"/>
      <c r="AS551" s="44"/>
      <c r="AT551" s="44"/>
      <c r="AU551" s="44"/>
      <c r="AV551" s="44"/>
      <c r="AW551" s="45"/>
      <c r="AX551" s="44"/>
      <c r="AY551" s="44"/>
      <c r="AZ551" s="44"/>
      <c r="BA551" s="44"/>
      <c r="BB551" s="44"/>
      <c r="BC551" s="44"/>
      <c r="BD551" s="44"/>
      <c r="BE551" s="44"/>
      <c r="BF551" s="44"/>
      <c r="BG551" s="44"/>
      <c r="BH551" s="44"/>
      <c r="BI551" s="44"/>
      <c r="BJ551" s="44"/>
      <c r="BK551" s="44"/>
      <c r="BL551" s="44"/>
      <c r="BM551" s="44"/>
      <c r="BN551" s="44"/>
      <c r="BO551" s="44"/>
      <c r="BP551" s="44"/>
      <c r="BQ551" s="44"/>
      <c r="BR551" s="44"/>
      <c r="BS551" s="42"/>
      <c r="BT551" s="42"/>
      <c r="BU551" s="42"/>
      <c r="BV551" s="42"/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4"/>
      <c r="CW551" s="44"/>
      <c r="CX551" s="44"/>
      <c r="CY551" s="45"/>
      <c r="CZ551" s="44"/>
      <c r="DA551" s="44"/>
      <c r="DB551" s="44"/>
      <c r="DC551" s="529"/>
      <c r="DD551" s="529"/>
      <c r="DE551" s="529"/>
      <c r="DF551" s="529"/>
      <c r="DG551" s="529"/>
      <c r="DH551" s="529"/>
      <c r="DI551" s="529"/>
    </row>
    <row r="552" spans="1:113" s="24" customFormat="1" ht="12" outlineLevel="1">
      <c r="A552" s="1"/>
      <c r="B552" s="62" t="s">
        <v>771</v>
      </c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55"/>
      <c r="AE552" s="55"/>
      <c r="AF552" s="55"/>
      <c r="AG552" s="55"/>
      <c r="AH552" s="55"/>
      <c r="AI552" s="55"/>
      <c r="AJ552" s="55"/>
      <c r="AK552" s="55"/>
      <c r="AL552" s="55"/>
      <c r="AM552" s="55"/>
      <c r="AN552" s="55"/>
      <c r="AO552" s="55"/>
      <c r="AP552" s="526"/>
      <c r="AQ552" s="526"/>
      <c r="AR552" s="526"/>
      <c r="AS552" s="526"/>
      <c r="AT552" s="526"/>
      <c r="AU552" s="526"/>
      <c r="AV552" s="526"/>
      <c r="AW552" s="524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5"/>
      <c r="BT552" s="55"/>
      <c r="BU552" s="55"/>
      <c r="BV552" s="55"/>
      <c r="BW552" s="55"/>
      <c r="BX552" s="55"/>
      <c r="BY552" s="55"/>
      <c r="BZ552" s="55"/>
      <c r="CA552" s="55"/>
      <c r="CB552" s="55"/>
      <c r="CC552" s="55"/>
      <c r="CD552" s="55"/>
      <c r="CE552" s="55"/>
      <c r="CF552" s="55"/>
      <c r="CG552" s="55"/>
      <c r="CH552" s="55"/>
      <c r="CI552" s="55"/>
      <c r="CJ552" s="55"/>
      <c r="CK552" s="55"/>
      <c r="CL552" s="55"/>
      <c r="CM552" s="55"/>
      <c r="CN552" s="55"/>
      <c r="CO552" s="55"/>
      <c r="CP552" s="55"/>
      <c r="CQ552" s="55"/>
      <c r="CR552" s="55"/>
      <c r="CS552" s="55"/>
      <c r="CT552" s="55"/>
      <c r="CU552" s="55"/>
      <c r="CV552" s="526"/>
      <c r="CW552" s="526"/>
      <c r="CX552" s="526"/>
      <c r="CY552" s="524"/>
      <c r="CZ552" s="526"/>
      <c r="DA552" s="526"/>
      <c r="DB552" s="526"/>
      <c r="DC552" s="541"/>
      <c r="DD552" s="541"/>
      <c r="DE552" s="541"/>
      <c r="DF552" s="541"/>
      <c r="DG552" s="541"/>
      <c r="DH552" s="541"/>
      <c r="DI552" s="541"/>
    </row>
    <row r="553" spans="1:113" ht="12" outlineLevel="1">
      <c r="A553" s="1" t="s">
        <v>1019</v>
      </c>
      <c r="B553" s="19" t="s">
        <v>442</v>
      </c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525">
        <v>0</v>
      </c>
      <c r="AQ553" s="525">
        <v>0</v>
      </c>
      <c r="AR553" s="525">
        <v>0</v>
      </c>
      <c r="AS553" s="525">
        <v>0</v>
      </c>
      <c r="AT553" s="525">
        <v>0</v>
      </c>
      <c r="AU553" s="525">
        <v>0</v>
      </c>
      <c r="AV553" s="525">
        <v>0</v>
      </c>
      <c r="AW553" s="523">
        <v>0</v>
      </c>
      <c r="AX553" s="44">
        <v>0</v>
      </c>
      <c r="AY553" s="44">
        <v>0</v>
      </c>
      <c r="AZ553" s="44">
        <v>0</v>
      </c>
      <c r="BA553" s="44">
        <v>0</v>
      </c>
      <c r="BB553" s="44">
        <v>0</v>
      </c>
      <c r="BC553" s="44">
        <v>0</v>
      </c>
      <c r="BD553" s="44">
        <v>0</v>
      </c>
      <c r="BE553" s="44">
        <v>0</v>
      </c>
      <c r="BF553" s="44">
        <v>0</v>
      </c>
      <c r="BG553" s="44">
        <v>0</v>
      </c>
      <c r="BH553" s="44">
        <v>0</v>
      </c>
      <c r="BI553" s="44">
        <v>0</v>
      </c>
      <c r="BJ553" s="44">
        <v>0</v>
      </c>
      <c r="BK553" s="44">
        <v>0</v>
      </c>
      <c r="BL553" s="44">
        <v>0</v>
      </c>
      <c r="BM553" s="44">
        <v>0</v>
      </c>
      <c r="BN553" s="44">
        <v>0</v>
      </c>
      <c r="BO553" s="44">
        <v>0</v>
      </c>
      <c r="BP553" s="44">
        <v>0</v>
      </c>
      <c r="BQ553" s="44">
        <v>0</v>
      </c>
      <c r="BR553" s="44"/>
      <c r="BS553" s="40"/>
      <c r="BT553" s="40"/>
      <c r="BU553" s="40"/>
      <c r="BV553" s="40"/>
      <c r="BW553" s="40"/>
      <c r="BX553" s="40"/>
      <c r="BY553" s="40"/>
      <c r="BZ553" s="40"/>
      <c r="CA553" s="40"/>
      <c r="CB553" s="40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113"/>
      <c r="CU553" s="113"/>
      <c r="CV553" s="44">
        <v>0</v>
      </c>
      <c r="CW553" s="44">
        <v>0</v>
      </c>
      <c r="CX553" s="44">
        <v>0</v>
      </c>
      <c r="CY553" s="45">
        <v>0</v>
      </c>
      <c r="CZ553" s="44">
        <v>0</v>
      </c>
      <c r="DA553" s="44">
        <v>0</v>
      </c>
      <c r="DB553" s="44">
        <v>0</v>
      </c>
      <c r="DC553" s="44">
        <v>0</v>
      </c>
      <c r="DD553" s="44">
        <v>0</v>
      </c>
      <c r="DE553" s="44">
        <v>0</v>
      </c>
      <c r="DF553" s="44">
        <v>0</v>
      </c>
      <c r="DG553" s="44">
        <v>0</v>
      </c>
      <c r="DH553" s="44">
        <v>0</v>
      </c>
      <c r="DI553" s="44">
        <v>0</v>
      </c>
    </row>
    <row r="554" spans="1:113" ht="12" outlineLevel="1">
      <c r="A554" s="1" t="s">
        <v>1020</v>
      </c>
      <c r="B554" s="19" t="s">
        <v>443</v>
      </c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525">
        <v>0</v>
      </c>
      <c r="AQ554" s="525">
        <v>0</v>
      </c>
      <c r="AR554" s="525">
        <v>0</v>
      </c>
      <c r="AS554" s="525">
        <v>0</v>
      </c>
      <c r="AT554" s="525">
        <v>0</v>
      </c>
      <c r="AU554" s="525">
        <v>0</v>
      </c>
      <c r="AV554" s="525">
        <v>0</v>
      </c>
      <c r="AW554" s="523">
        <v>0</v>
      </c>
      <c r="AX554" s="44">
        <v>0</v>
      </c>
      <c r="AY554" s="44">
        <v>0</v>
      </c>
      <c r="AZ554" s="44">
        <v>0</v>
      </c>
      <c r="BA554" s="44">
        <v>0</v>
      </c>
      <c r="BB554" s="44">
        <v>0</v>
      </c>
      <c r="BC554" s="44">
        <v>0</v>
      </c>
      <c r="BD554" s="44">
        <v>0</v>
      </c>
      <c r="BE554" s="44">
        <v>0</v>
      </c>
      <c r="BF554" s="44">
        <v>0</v>
      </c>
      <c r="BG554" s="44">
        <v>0</v>
      </c>
      <c r="BH554" s="44">
        <v>0</v>
      </c>
      <c r="BI554" s="44">
        <v>0</v>
      </c>
      <c r="BJ554" s="44">
        <v>0</v>
      </c>
      <c r="BK554" s="44">
        <v>0</v>
      </c>
      <c r="BL554" s="44">
        <v>0</v>
      </c>
      <c r="BM554" s="44">
        <v>0</v>
      </c>
      <c r="BN554" s="44">
        <v>0</v>
      </c>
      <c r="BO554" s="44">
        <v>0</v>
      </c>
      <c r="BP554" s="44">
        <v>0</v>
      </c>
      <c r="BQ554" s="44">
        <v>0</v>
      </c>
      <c r="BR554" s="44"/>
      <c r="BS554" s="40"/>
      <c r="BT554" s="40"/>
      <c r="BU554" s="40"/>
      <c r="BV554" s="40"/>
      <c r="BW554" s="40"/>
      <c r="BX554" s="40"/>
      <c r="BY554" s="40"/>
      <c r="BZ554" s="40"/>
      <c r="CA554" s="40"/>
      <c r="CB554" s="40"/>
      <c r="CC554" s="42"/>
      <c r="CD554" s="42"/>
      <c r="CE554" s="42"/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113"/>
      <c r="CU554" s="113"/>
      <c r="CV554" s="44">
        <v>0</v>
      </c>
      <c r="CW554" s="44">
        <v>0</v>
      </c>
      <c r="CX554" s="44">
        <v>0</v>
      </c>
      <c r="CY554" s="45">
        <v>0</v>
      </c>
      <c r="CZ554" s="44">
        <v>0</v>
      </c>
      <c r="DA554" s="44">
        <v>0</v>
      </c>
      <c r="DB554" s="44">
        <v>0</v>
      </c>
      <c r="DC554" s="44">
        <v>0</v>
      </c>
      <c r="DD554" s="44">
        <v>0</v>
      </c>
      <c r="DE554" s="44">
        <v>0</v>
      </c>
      <c r="DF554" s="44">
        <v>0</v>
      </c>
      <c r="DG554" s="44">
        <v>0</v>
      </c>
      <c r="DH554" s="44">
        <v>0</v>
      </c>
      <c r="DI554" s="44">
        <v>0</v>
      </c>
    </row>
    <row r="555" spans="1:113" ht="12" outlineLevel="1">
      <c r="A555" s="1" t="s">
        <v>1021</v>
      </c>
      <c r="B555" s="19" t="s">
        <v>267</v>
      </c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525">
        <v>0</v>
      </c>
      <c r="AQ555" s="525">
        <v>0</v>
      </c>
      <c r="AR555" s="525">
        <v>0</v>
      </c>
      <c r="AS555" s="525">
        <v>0</v>
      </c>
      <c r="AT555" s="525">
        <v>0</v>
      </c>
      <c r="AU555" s="525">
        <v>0</v>
      </c>
      <c r="AV555" s="525">
        <v>0</v>
      </c>
      <c r="AW555" s="523">
        <v>0</v>
      </c>
      <c r="AX555" s="46">
        <v>0</v>
      </c>
      <c r="AY555" s="46">
        <v>0</v>
      </c>
      <c r="AZ555" s="46">
        <v>0</v>
      </c>
      <c r="BA555" s="46">
        <v>0</v>
      </c>
      <c r="BB555" s="46">
        <v>0</v>
      </c>
      <c r="BC555" s="46">
        <v>0</v>
      </c>
      <c r="BD555" s="46">
        <v>0</v>
      </c>
      <c r="BE555" s="46">
        <v>0</v>
      </c>
      <c r="BF555" s="46">
        <v>0</v>
      </c>
      <c r="BG555" s="46">
        <v>0</v>
      </c>
      <c r="BH555" s="46">
        <v>0</v>
      </c>
      <c r="BI555" s="46">
        <v>0</v>
      </c>
      <c r="BJ555" s="46">
        <v>0</v>
      </c>
      <c r="BK555" s="46">
        <v>0</v>
      </c>
      <c r="BL555" s="46">
        <v>0</v>
      </c>
      <c r="BM555" s="46">
        <v>0</v>
      </c>
      <c r="BN555" s="46">
        <v>0</v>
      </c>
      <c r="BO555" s="46">
        <v>0</v>
      </c>
      <c r="BP555" s="46">
        <v>0</v>
      </c>
      <c r="BQ555" s="46">
        <v>0</v>
      </c>
      <c r="BR555" s="44"/>
      <c r="BS555" s="40"/>
      <c r="BT555" s="40"/>
      <c r="BU555" s="40"/>
      <c r="BV555" s="40"/>
      <c r="BW555" s="40"/>
      <c r="BX555" s="40"/>
      <c r="BY555" s="40"/>
      <c r="BZ555" s="40"/>
      <c r="CA555" s="40"/>
      <c r="CB555" s="40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/>
      <c r="CR555" s="42"/>
      <c r="CS555" s="42"/>
      <c r="CT555" s="113"/>
      <c r="CU555" s="113"/>
      <c r="CV555" s="44">
        <v>0</v>
      </c>
      <c r="CW555" s="44">
        <v>0</v>
      </c>
      <c r="CX555" s="44">
        <v>0</v>
      </c>
      <c r="CY555" s="45">
        <v>0</v>
      </c>
      <c r="CZ555" s="44">
        <v>0</v>
      </c>
      <c r="DA555" s="44">
        <v>0</v>
      </c>
      <c r="DB555" s="44">
        <v>0</v>
      </c>
      <c r="DC555" s="44">
        <v>0</v>
      </c>
      <c r="DD555" s="44">
        <v>0</v>
      </c>
      <c r="DE555" s="44">
        <v>0</v>
      </c>
      <c r="DF555" s="44">
        <v>0</v>
      </c>
      <c r="DG555" s="44">
        <v>0</v>
      </c>
      <c r="DH555" s="44">
        <v>0</v>
      </c>
      <c r="DI555" s="44">
        <v>0</v>
      </c>
    </row>
    <row r="556" spans="1:113" ht="12" outlineLevel="1">
      <c r="A556" s="1" t="s">
        <v>1022</v>
      </c>
      <c r="B556" s="19" t="s">
        <v>268</v>
      </c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525">
        <v>0</v>
      </c>
      <c r="AQ556" s="525">
        <v>0</v>
      </c>
      <c r="AR556" s="525">
        <v>0</v>
      </c>
      <c r="AS556" s="525">
        <v>0</v>
      </c>
      <c r="AT556" s="525">
        <v>0</v>
      </c>
      <c r="AU556" s="525">
        <v>0</v>
      </c>
      <c r="AV556" s="525">
        <v>0</v>
      </c>
      <c r="AW556" s="523">
        <v>0</v>
      </c>
      <c r="AX556" s="46">
        <v>0</v>
      </c>
      <c r="AY556" s="46">
        <v>0</v>
      </c>
      <c r="AZ556" s="46">
        <v>0</v>
      </c>
      <c r="BA556" s="46">
        <v>0</v>
      </c>
      <c r="BB556" s="46">
        <v>0</v>
      </c>
      <c r="BC556" s="46">
        <v>0</v>
      </c>
      <c r="BD556" s="46">
        <v>0</v>
      </c>
      <c r="BE556" s="46">
        <v>0</v>
      </c>
      <c r="BF556" s="46">
        <v>0</v>
      </c>
      <c r="BG556" s="46">
        <v>0</v>
      </c>
      <c r="BH556" s="46">
        <v>0</v>
      </c>
      <c r="BI556" s="46">
        <v>0</v>
      </c>
      <c r="BJ556" s="46">
        <v>0</v>
      </c>
      <c r="BK556" s="46">
        <v>0</v>
      </c>
      <c r="BL556" s="46">
        <v>0</v>
      </c>
      <c r="BM556" s="46">
        <v>0</v>
      </c>
      <c r="BN556" s="46">
        <v>0</v>
      </c>
      <c r="BO556" s="46">
        <v>0</v>
      </c>
      <c r="BP556" s="46">
        <v>0</v>
      </c>
      <c r="BQ556" s="46">
        <v>0</v>
      </c>
      <c r="BR556" s="44"/>
      <c r="BS556" s="40"/>
      <c r="BT556" s="40"/>
      <c r="BU556" s="40"/>
      <c r="BV556" s="40"/>
      <c r="BW556" s="40"/>
      <c r="BX556" s="40"/>
      <c r="BY556" s="40"/>
      <c r="BZ556" s="40"/>
      <c r="CA556" s="40"/>
      <c r="CB556" s="40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113"/>
      <c r="CU556" s="113"/>
      <c r="CV556" s="44">
        <v>0</v>
      </c>
      <c r="CW556" s="44">
        <v>0</v>
      </c>
      <c r="CX556" s="44">
        <v>0</v>
      </c>
      <c r="CY556" s="45">
        <v>0</v>
      </c>
      <c r="CZ556" s="44">
        <v>0</v>
      </c>
      <c r="DA556" s="44">
        <v>0</v>
      </c>
      <c r="DB556" s="44">
        <v>0</v>
      </c>
      <c r="DC556" s="44">
        <v>0</v>
      </c>
      <c r="DD556" s="44">
        <v>0</v>
      </c>
      <c r="DE556" s="44">
        <v>0</v>
      </c>
      <c r="DF556" s="44">
        <v>0</v>
      </c>
      <c r="DG556" s="44">
        <v>0</v>
      </c>
      <c r="DH556" s="44">
        <v>0</v>
      </c>
      <c r="DI556" s="44">
        <v>0</v>
      </c>
    </row>
    <row r="557" spans="1:113" ht="12" hidden="1" outlineLevel="2">
      <c r="A557" s="1" t="s">
        <v>1023</v>
      </c>
      <c r="B557" s="19" t="s">
        <v>801</v>
      </c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4"/>
      <c r="AQ557" s="44"/>
      <c r="AR557" s="44"/>
      <c r="AS557" s="44"/>
      <c r="AT557" s="44"/>
      <c r="AU557" s="44"/>
      <c r="AV557" s="44"/>
      <c r="AW557" s="45"/>
      <c r="AX557" s="44"/>
      <c r="AY557" s="44"/>
      <c r="AZ557" s="44"/>
      <c r="BA557" s="44"/>
      <c r="BB557" s="44"/>
      <c r="BC557" s="44"/>
      <c r="BD557" s="44"/>
      <c r="BE557" s="44"/>
      <c r="BF557" s="44"/>
      <c r="BG557" s="44"/>
      <c r="BH557" s="44"/>
      <c r="BI557" s="44"/>
      <c r="BJ557" s="44"/>
      <c r="BK557" s="44"/>
      <c r="BL557" s="44"/>
      <c r="BM557" s="44"/>
      <c r="BN557" s="44"/>
      <c r="BO557" s="44"/>
      <c r="BP557" s="44"/>
      <c r="BQ557" s="44"/>
      <c r="BR557" s="44"/>
      <c r="BS557" s="40"/>
      <c r="BT557" s="40"/>
      <c r="BU557" s="40"/>
      <c r="BV557" s="40"/>
      <c r="BW557" s="40"/>
      <c r="BX557" s="40"/>
      <c r="BY557" s="40"/>
      <c r="BZ557" s="40"/>
      <c r="CA557" s="40"/>
      <c r="CB557" s="40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4">
        <v>0</v>
      </c>
      <c r="CW557" s="44"/>
      <c r="CX557" s="44"/>
      <c r="CY557" s="45"/>
      <c r="CZ557" s="44"/>
      <c r="DA557" s="44">
        <v>0</v>
      </c>
      <c r="DB557" s="44">
        <v>0</v>
      </c>
      <c r="DC557" s="44">
        <v>0</v>
      </c>
      <c r="DD557" s="44">
        <v>0</v>
      </c>
      <c r="DE557" s="44">
        <v>0</v>
      </c>
      <c r="DF557" s="44">
        <v>0</v>
      </c>
      <c r="DG557" s="44">
        <v>0</v>
      </c>
      <c r="DH557" s="44">
        <v>0</v>
      </c>
      <c r="DI557" s="44">
        <v>0</v>
      </c>
    </row>
    <row r="558" spans="1:113" ht="12" hidden="1" outlineLevel="2">
      <c r="A558" s="1" t="s">
        <v>62</v>
      </c>
      <c r="B558" s="19" t="s">
        <v>801</v>
      </c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4"/>
      <c r="AQ558" s="44"/>
      <c r="AR558" s="44"/>
      <c r="AS558" s="44"/>
      <c r="AT558" s="44"/>
      <c r="AU558" s="44"/>
      <c r="AV558" s="44"/>
      <c r="AW558" s="45"/>
      <c r="AX558" s="44"/>
      <c r="AY558" s="44"/>
      <c r="AZ558" s="44"/>
      <c r="BA558" s="44"/>
      <c r="BB558" s="44"/>
      <c r="BC558" s="44"/>
      <c r="BD558" s="44"/>
      <c r="BE558" s="44"/>
      <c r="BF558" s="44"/>
      <c r="BG558" s="44"/>
      <c r="BH558" s="44"/>
      <c r="BI558" s="44"/>
      <c r="BJ558" s="44"/>
      <c r="BK558" s="44"/>
      <c r="BL558" s="44"/>
      <c r="BM558" s="44"/>
      <c r="BN558" s="44"/>
      <c r="BO558" s="44"/>
      <c r="BP558" s="44"/>
      <c r="BQ558" s="44"/>
      <c r="BR558" s="44"/>
      <c r="BS558" s="40"/>
      <c r="BT558" s="40"/>
      <c r="BU558" s="40"/>
      <c r="BV558" s="40"/>
      <c r="BW558" s="40"/>
      <c r="BX558" s="40"/>
      <c r="BY558" s="40"/>
      <c r="BZ558" s="40"/>
      <c r="CA558" s="40"/>
      <c r="CB558" s="40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4">
        <v>0</v>
      </c>
      <c r="CW558" s="44"/>
      <c r="CX558" s="44"/>
      <c r="CY558" s="45"/>
      <c r="CZ558" s="44"/>
      <c r="DA558" s="44">
        <v>0</v>
      </c>
      <c r="DB558" s="44">
        <v>0</v>
      </c>
      <c r="DC558" s="44">
        <v>0</v>
      </c>
      <c r="DD558" s="44">
        <v>0</v>
      </c>
      <c r="DE558" s="44">
        <v>0</v>
      </c>
      <c r="DF558" s="44">
        <v>0</v>
      </c>
      <c r="DG558" s="44">
        <v>0</v>
      </c>
      <c r="DH558" s="44">
        <v>0</v>
      </c>
      <c r="DI558" s="44">
        <v>0</v>
      </c>
    </row>
    <row r="559" spans="1:113" ht="12" hidden="1" outlineLevel="2">
      <c r="A559" s="1" t="s">
        <v>63</v>
      </c>
      <c r="B559" s="19" t="s">
        <v>801</v>
      </c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4"/>
      <c r="AQ559" s="44"/>
      <c r="AR559" s="44"/>
      <c r="AS559" s="44"/>
      <c r="AT559" s="44"/>
      <c r="AU559" s="44"/>
      <c r="AV559" s="44"/>
      <c r="AW559" s="45"/>
      <c r="AX559" s="44"/>
      <c r="AY559" s="44"/>
      <c r="AZ559" s="44"/>
      <c r="BA559" s="44"/>
      <c r="BB559" s="44"/>
      <c r="BC559" s="44"/>
      <c r="BD559" s="44"/>
      <c r="BE559" s="44"/>
      <c r="BF559" s="44"/>
      <c r="BG559" s="44"/>
      <c r="BH559" s="44"/>
      <c r="BI559" s="44"/>
      <c r="BJ559" s="44"/>
      <c r="BK559" s="44"/>
      <c r="BL559" s="44"/>
      <c r="BM559" s="44"/>
      <c r="BN559" s="44"/>
      <c r="BO559" s="44"/>
      <c r="BP559" s="44"/>
      <c r="BQ559" s="44"/>
      <c r="BR559" s="44"/>
      <c r="BS559" s="40"/>
      <c r="BT559" s="40"/>
      <c r="BU559" s="40"/>
      <c r="BV559" s="40"/>
      <c r="BW559" s="40"/>
      <c r="BX559" s="40"/>
      <c r="BY559" s="40"/>
      <c r="BZ559" s="40"/>
      <c r="CA559" s="40"/>
      <c r="CB559" s="40"/>
      <c r="CC559" s="42"/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/>
      <c r="CT559" s="42"/>
      <c r="CU559" s="42"/>
      <c r="CV559" s="44">
        <v>0</v>
      </c>
      <c r="CW559" s="44"/>
      <c r="CX559" s="44"/>
      <c r="CY559" s="45"/>
      <c r="CZ559" s="44"/>
      <c r="DA559" s="44">
        <v>0</v>
      </c>
      <c r="DB559" s="44">
        <v>0</v>
      </c>
      <c r="DC559" s="44">
        <v>0</v>
      </c>
      <c r="DD559" s="44">
        <v>0</v>
      </c>
      <c r="DE559" s="44">
        <v>0</v>
      </c>
      <c r="DF559" s="44">
        <v>0</v>
      </c>
      <c r="DG559" s="44">
        <v>0</v>
      </c>
      <c r="DH559" s="44">
        <v>0</v>
      </c>
      <c r="DI559" s="44">
        <v>0</v>
      </c>
    </row>
    <row r="560" spans="1:113" ht="12" hidden="1" outlineLevel="2">
      <c r="A560" s="1" t="s">
        <v>64</v>
      </c>
      <c r="B560" s="19" t="s">
        <v>801</v>
      </c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4"/>
      <c r="AQ560" s="44"/>
      <c r="AR560" s="44"/>
      <c r="AS560" s="44"/>
      <c r="AT560" s="44"/>
      <c r="AU560" s="44"/>
      <c r="AV560" s="44"/>
      <c r="AW560" s="45"/>
      <c r="AX560" s="44"/>
      <c r="AY560" s="44"/>
      <c r="AZ560" s="44"/>
      <c r="BA560" s="44"/>
      <c r="BB560" s="44"/>
      <c r="BC560" s="44"/>
      <c r="BD560" s="44"/>
      <c r="BE560" s="44"/>
      <c r="BF560" s="44"/>
      <c r="BG560" s="44"/>
      <c r="BH560" s="44"/>
      <c r="BI560" s="44"/>
      <c r="BJ560" s="44"/>
      <c r="BK560" s="44"/>
      <c r="BL560" s="44"/>
      <c r="BM560" s="44"/>
      <c r="BN560" s="44"/>
      <c r="BO560" s="44"/>
      <c r="BP560" s="44"/>
      <c r="BQ560" s="44"/>
      <c r="BR560" s="44"/>
      <c r="BS560" s="40"/>
      <c r="BT560" s="40"/>
      <c r="BU560" s="40"/>
      <c r="BV560" s="40"/>
      <c r="BW560" s="40"/>
      <c r="BX560" s="40"/>
      <c r="BY560" s="40"/>
      <c r="BZ560" s="40"/>
      <c r="CA560" s="40"/>
      <c r="CB560" s="40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4">
        <v>0</v>
      </c>
      <c r="CW560" s="44"/>
      <c r="CX560" s="44"/>
      <c r="CY560" s="45"/>
      <c r="CZ560" s="44"/>
      <c r="DA560" s="44">
        <v>0</v>
      </c>
      <c r="DB560" s="44">
        <v>0</v>
      </c>
      <c r="DC560" s="44">
        <v>0</v>
      </c>
      <c r="DD560" s="44">
        <v>0</v>
      </c>
      <c r="DE560" s="44">
        <v>0</v>
      </c>
      <c r="DF560" s="44">
        <v>0</v>
      </c>
      <c r="DG560" s="44">
        <v>0</v>
      </c>
      <c r="DH560" s="44">
        <v>0</v>
      </c>
      <c r="DI560" s="44">
        <v>0</v>
      </c>
    </row>
    <row r="561" spans="1:113" ht="12" outlineLevel="1" collapsed="1">
      <c r="A561" s="1" t="s">
        <v>1024</v>
      </c>
      <c r="B561" s="19" t="s">
        <v>269</v>
      </c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4">
        <v>0</v>
      </c>
      <c r="AQ561" s="44">
        <v>0</v>
      </c>
      <c r="AR561" s="44">
        <v>0</v>
      </c>
      <c r="AS561" s="44">
        <v>0</v>
      </c>
      <c r="AT561" s="44">
        <v>0</v>
      </c>
      <c r="AU561" s="44">
        <v>0</v>
      </c>
      <c r="AV561" s="44">
        <v>0</v>
      </c>
      <c r="AW561" s="45">
        <v>0</v>
      </c>
      <c r="AX561" s="46">
        <v>0</v>
      </c>
      <c r="AY561" s="46">
        <v>0</v>
      </c>
      <c r="AZ561" s="46">
        <v>0</v>
      </c>
      <c r="BA561" s="46">
        <v>0</v>
      </c>
      <c r="BB561" s="46">
        <v>0</v>
      </c>
      <c r="BC561" s="46">
        <v>0</v>
      </c>
      <c r="BD561" s="46">
        <v>0</v>
      </c>
      <c r="BE561" s="46">
        <v>0</v>
      </c>
      <c r="BF561" s="46">
        <v>0</v>
      </c>
      <c r="BG561" s="46">
        <v>0</v>
      </c>
      <c r="BH561" s="46">
        <v>0</v>
      </c>
      <c r="BI561" s="46">
        <v>0</v>
      </c>
      <c r="BJ561" s="46">
        <v>0</v>
      </c>
      <c r="BK561" s="46">
        <v>0</v>
      </c>
      <c r="BL561" s="46">
        <v>0</v>
      </c>
      <c r="BM561" s="46">
        <v>0</v>
      </c>
      <c r="BN561" s="46">
        <v>0</v>
      </c>
      <c r="BO561" s="46">
        <v>0</v>
      </c>
      <c r="BP561" s="46">
        <v>0</v>
      </c>
      <c r="BQ561" s="46">
        <v>0</v>
      </c>
      <c r="BR561" s="44"/>
      <c r="BS561" s="40"/>
      <c r="BT561" s="40"/>
      <c r="BU561" s="40"/>
      <c r="BV561" s="40"/>
      <c r="BW561" s="40"/>
      <c r="BX561" s="40"/>
      <c r="BY561" s="40"/>
      <c r="BZ561" s="40"/>
      <c r="CA561" s="40"/>
      <c r="CB561" s="40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4">
        <v>0</v>
      </c>
      <c r="CW561" s="44">
        <v>0</v>
      </c>
      <c r="CX561" s="44">
        <v>0</v>
      </c>
      <c r="CY561" s="45">
        <v>0</v>
      </c>
      <c r="CZ561" s="44">
        <v>0</v>
      </c>
      <c r="DA561" s="44">
        <v>0</v>
      </c>
      <c r="DB561" s="44">
        <v>0</v>
      </c>
      <c r="DC561" s="44">
        <v>0</v>
      </c>
      <c r="DD561" s="44">
        <v>0</v>
      </c>
      <c r="DE561" s="44">
        <v>0</v>
      </c>
      <c r="DF561" s="44">
        <v>0</v>
      </c>
      <c r="DG561" s="44">
        <v>0</v>
      </c>
      <c r="DH561" s="44">
        <v>0</v>
      </c>
      <c r="DI561" s="44">
        <v>0</v>
      </c>
    </row>
    <row r="562" spans="1:113" s="24" customFormat="1" ht="12" outlineLevel="1">
      <c r="A562" s="1" t="s">
        <v>1025</v>
      </c>
      <c r="B562" s="24" t="s">
        <v>166</v>
      </c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55"/>
      <c r="AE562" s="55"/>
      <c r="AF562" s="55"/>
      <c r="AG562" s="55"/>
      <c r="AH562" s="55"/>
      <c r="AI562" s="55"/>
      <c r="AJ562" s="55"/>
      <c r="AK562" s="55"/>
      <c r="AL562" s="55"/>
      <c r="AM562" s="55"/>
      <c r="AN562" s="55"/>
      <c r="AO562" s="55"/>
      <c r="AP562" s="521">
        <v>0</v>
      </c>
      <c r="AQ562" s="521">
        <v>0</v>
      </c>
      <c r="AR562" s="521">
        <v>0</v>
      </c>
      <c r="AS562" s="521">
        <v>0</v>
      </c>
      <c r="AT562" s="521">
        <v>0</v>
      </c>
      <c r="AU562" s="521">
        <v>0</v>
      </c>
      <c r="AV562" s="521">
        <v>0</v>
      </c>
      <c r="AW562" s="522">
        <v>0</v>
      </c>
      <c r="AX562" s="526">
        <v>0</v>
      </c>
      <c r="AY562" s="526">
        <v>0</v>
      </c>
      <c r="AZ562" s="526">
        <v>0</v>
      </c>
      <c r="BA562" s="526">
        <v>0</v>
      </c>
      <c r="BB562" s="526">
        <v>0</v>
      </c>
      <c r="BC562" s="526">
        <v>0</v>
      </c>
      <c r="BD562" s="526">
        <v>0</v>
      </c>
      <c r="BE562" s="526">
        <v>0</v>
      </c>
      <c r="BF562" s="526">
        <v>0</v>
      </c>
      <c r="BG562" s="526">
        <v>0</v>
      </c>
      <c r="BH562" s="526">
        <v>0</v>
      </c>
      <c r="BI562" s="526">
        <v>0</v>
      </c>
      <c r="BJ562" s="526">
        <v>0</v>
      </c>
      <c r="BK562" s="526">
        <v>0</v>
      </c>
      <c r="BL562" s="526">
        <v>0</v>
      </c>
      <c r="BM562" s="526">
        <v>0</v>
      </c>
      <c r="BN562" s="526">
        <v>0</v>
      </c>
      <c r="BO562" s="526">
        <v>0</v>
      </c>
      <c r="BP562" s="526">
        <v>0</v>
      </c>
      <c r="BQ562" s="526">
        <v>0</v>
      </c>
      <c r="BR562" s="526"/>
      <c r="BS562" s="55"/>
      <c r="BT562" s="55"/>
      <c r="BU562" s="55"/>
      <c r="BV562" s="55"/>
      <c r="BW562" s="55"/>
      <c r="BX562" s="55"/>
      <c r="BY562" s="55"/>
      <c r="BZ562" s="55"/>
      <c r="CA562" s="55"/>
      <c r="CB562" s="55"/>
      <c r="CC562" s="55"/>
      <c r="CD562" s="55"/>
      <c r="CE562" s="55"/>
      <c r="CF562" s="55"/>
      <c r="CG562" s="55"/>
      <c r="CH562" s="55"/>
      <c r="CI562" s="55"/>
      <c r="CJ562" s="55"/>
      <c r="CK562" s="55"/>
      <c r="CL562" s="55"/>
      <c r="CM562" s="55"/>
      <c r="CN562" s="55"/>
      <c r="CO562" s="55"/>
      <c r="CP562" s="55"/>
      <c r="CQ562" s="55"/>
      <c r="CR562" s="55"/>
      <c r="CS562" s="55"/>
      <c r="CT562" s="117"/>
      <c r="CU562" s="117"/>
      <c r="CV562" s="526">
        <v>0</v>
      </c>
      <c r="CW562" s="526">
        <v>0</v>
      </c>
      <c r="CX562" s="526">
        <v>0</v>
      </c>
      <c r="CY562" s="524">
        <v>0</v>
      </c>
      <c r="CZ562" s="526">
        <v>0</v>
      </c>
      <c r="DA562" s="526">
        <v>0</v>
      </c>
      <c r="DB562" s="526">
        <v>0</v>
      </c>
      <c r="DC562" s="526">
        <v>0</v>
      </c>
      <c r="DD562" s="526">
        <v>0</v>
      </c>
      <c r="DE562" s="526">
        <v>0</v>
      </c>
      <c r="DF562" s="526">
        <v>0</v>
      </c>
      <c r="DG562" s="526">
        <v>0</v>
      </c>
      <c r="DH562" s="526">
        <v>0</v>
      </c>
      <c r="DI562" s="526">
        <v>0</v>
      </c>
    </row>
    <row r="563" spans="1:113" ht="12" outlineLevel="1"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4"/>
      <c r="AQ563" s="44"/>
      <c r="AR563" s="44"/>
      <c r="AS563" s="44"/>
      <c r="AT563" s="44"/>
      <c r="AU563" s="44"/>
      <c r="AV563" s="44"/>
      <c r="AW563" s="45"/>
      <c r="AX563" s="44"/>
      <c r="AY563" s="44"/>
      <c r="AZ563" s="44"/>
      <c r="BA563" s="44"/>
      <c r="BB563" s="44"/>
      <c r="BC563" s="44"/>
      <c r="BD563" s="44"/>
      <c r="BE563" s="44"/>
      <c r="BF563" s="44"/>
      <c r="BG563" s="44"/>
      <c r="BH563" s="44"/>
      <c r="BI563" s="44"/>
      <c r="BJ563" s="44"/>
      <c r="BK563" s="44"/>
      <c r="BL563" s="44"/>
      <c r="BM563" s="44"/>
      <c r="BN563" s="44"/>
      <c r="BO563" s="44"/>
      <c r="BP563" s="44"/>
      <c r="BQ563" s="44"/>
      <c r="BR563" s="44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4"/>
      <c r="CW563" s="44"/>
      <c r="CX563" s="44"/>
      <c r="CY563" s="45"/>
      <c r="CZ563" s="44"/>
      <c r="DA563" s="44"/>
      <c r="DB563" s="44"/>
      <c r="DC563" s="529"/>
      <c r="DD563" s="529"/>
      <c r="DE563" s="529"/>
      <c r="DF563" s="529"/>
      <c r="DG563" s="529"/>
      <c r="DH563" s="529"/>
      <c r="DI563" s="529"/>
    </row>
    <row r="564" spans="1:113" s="24" customFormat="1" ht="12" outlineLevel="1">
      <c r="A564" s="1" t="s">
        <v>1026</v>
      </c>
      <c r="B564" s="62" t="s">
        <v>906</v>
      </c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55"/>
      <c r="AE564" s="55"/>
      <c r="AF564" s="55"/>
      <c r="AG564" s="55"/>
      <c r="AH564" s="55"/>
      <c r="AI564" s="55"/>
      <c r="AJ564" s="55"/>
      <c r="AK564" s="55"/>
      <c r="AL564" s="55"/>
      <c r="AM564" s="55"/>
      <c r="AN564" s="55"/>
      <c r="AO564" s="55"/>
      <c r="AP564" s="526">
        <v>684.5</v>
      </c>
      <c r="AQ564" s="526">
        <v>1075.7000000000003</v>
      </c>
      <c r="AR564" s="526">
        <v>1395.1</v>
      </c>
      <c r="AS564" s="526">
        <v>1404.6000000000001</v>
      </c>
      <c r="AT564" s="526">
        <v>1442</v>
      </c>
      <c r="AU564" s="526">
        <v>1477.1</v>
      </c>
      <c r="AV564" s="526">
        <v>1550.5</v>
      </c>
      <c r="AW564" s="524">
        <v>1565.3</v>
      </c>
      <c r="AX564" s="526">
        <v>1593.8828238335782</v>
      </c>
      <c r="AY564" s="526">
        <v>1645.4289505168838</v>
      </c>
      <c r="AZ564" s="526">
        <v>1709.5993427893848</v>
      </c>
      <c r="BA564" s="526">
        <v>1785.0893867632476</v>
      </c>
      <c r="BB564" s="526">
        <v>1876.6036013689691</v>
      </c>
      <c r="BC564" s="526">
        <v>1927.8361617685173</v>
      </c>
      <c r="BD564" s="526">
        <v>1983.3888111925155</v>
      </c>
      <c r="BE564" s="526">
        <v>2040.6560879295628</v>
      </c>
      <c r="BF564" s="526">
        <v>2103.4243108241849</v>
      </c>
      <c r="BG564" s="526">
        <v>2164.3227865350655</v>
      </c>
      <c r="BH564" s="526">
        <v>2230.9821268503388</v>
      </c>
      <c r="BI564" s="526">
        <v>2295.3745537026339</v>
      </c>
      <c r="BJ564" s="526">
        <v>2364.8742183577115</v>
      </c>
      <c r="BK564" s="526">
        <v>2432.1522406688782</v>
      </c>
      <c r="BL564" s="526">
        <v>2504.5734165077833</v>
      </c>
      <c r="BM564" s="526">
        <v>2576.5346687172319</v>
      </c>
      <c r="BN564" s="526">
        <v>2652.5526903352584</v>
      </c>
      <c r="BO564" s="526">
        <v>2727.1962354269849</v>
      </c>
      <c r="BP564" s="526">
        <v>2806.7779262563854</v>
      </c>
      <c r="BQ564" s="526">
        <v>2884.8137151311971</v>
      </c>
      <c r="BR564" s="526"/>
      <c r="BS564" s="55"/>
      <c r="BT564" s="55"/>
      <c r="BU564" s="55"/>
      <c r="BV564" s="55"/>
      <c r="BW564" s="55"/>
      <c r="BX564" s="55"/>
      <c r="BY564" s="55"/>
      <c r="BZ564" s="55"/>
      <c r="CA564" s="55"/>
      <c r="CB564" s="55"/>
      <c r="CC564" s="55"/>
      <c r="CD564" s="55"/>
      <c r="CE564" s="55"/>
      <c r="CF564" s="55"/>
      <c r="CG564" s="55"/>
      <c r="CH564" s="55"/>
      <c r="CI564" s="55"/>
      <c r="CJ564" s="55"/>
      <c r="CK564" s="55"/>
      <c r="CL564" s="55"/>
      <c r="CM564" s="55"/>
      <c r="CN564" s="55"/>
      <c r="CO564" s="55"/>
      <c r="CP564" s="55"/>
      <c r="CQ564" s="55"/>
      <c r="CR564" s="55"/>
      <c r="CS564" s="55"/>
      <c r="CT564" s="55"/>
      <c r="CU564" s="55"/>
      <c r="CV564" s="526">
        <v>1075.7000000000003</v>
      </c>
      <c r="CW564" s="526">
        <v>1404.6</v>
      </c>
      <c r="CX564" s="526">
        <v>1477.1</v>
      </c>
      <c r="CY564" s="524">
        <v>1565.3</v>
      </c>
      <c r="CZ564" s="526">
        <v>1645.4289505168836</v>
      </c>
      <c r="DA564" s="526">
        <v>1785.0893867632474</v>
      </c>
      <c r="DB564" s="526">
        <v>1927.8361617685171</v>
      </c>
      <c r="DC564" s="526">
        <v>2040.6560879295628</v>
      </c>
      <c r="DD564" s="526">
        <v>2164.3227865350655</v>
      </c>
      <c r="DE564" s="526">
        <v>2295.3745537026343</v>
      </c>
      <c r="DF564" s="526">
        <v>2432.1522406688787</v>
      </c>
      <c r="DG564" s="526">
        <v>2576.5346687172323</v>
      </c>
      <c r="DH564" s="526">
        <v>2727.1962354269854</v>
      </c>
      <c r="DI564" s="526">
        <v>2884.8137151311976</v>
      </c>
    </row>
    <row r="565" spans="1:113" ht="12" outlineLevel="1">
      <c r="A565" s="1" t="s">
        <v>1027</v>
      </c>
      <c r="B565" s="63" t="s">
        <v>907</v>
      </c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525">
        <v>0</v>
      </c>
      <c r="AQ565" s="525">
        <v>0</v>
      </c>
      <c r="AR565" s="525">
        <v>0</v>
      </c>
      <c r="AS565" s="525">
        <v>0</v>
      </c>
      <c r="AT565" s="525">
        <v>0</v>
      </c>
      <c r="AU565" s="525">
        <v>0</v>
      </c>
      <c r="AV565" s="525">
        <v>75</v>
      </c>
      <c r="AW565" s="523">
        <v>75</v>
      </c>
      <c r="AX565" s="46">
        <v>75</v>
      </c>
      <c r="AY565" s="46">
        <v>75</v>
      </c>
      <c r="AZ565" s="46">
        <v>75</v>
      </c>
      <c r="BA565" s="46">
        <v>75</v>
      </c>
      <c r="BB565" s="46">
        <v>75</v>
      </c>
      <c r="BC565" s="46">
        <v>75</v>
      </c>
      <c r="BD565" s="46">
        <v>75</v>
      </c>
      <c r="BE565" s="46">
        <v>75</v>
      </c>
      <c r="BF565" s="46">
        <v>75</v>
      </c>
      <c r="BG565" s="46">
        <v>75</v>
      </c>
      <c r="BH565" s="46">
        <v>75</v>
      </c>
      <c r="BI565" s="46">
        <v>75</v>
      </c>
      <c r="BJ565" s="46">
        <v>75</v>
      </c>
      <c r="BK565" s="46">
        <v>75</v>
      </c>
      <c r="BL565" s="46">
        <v>75</v>
      </c>
      <c r="BM565" s="46">
        <v>75</v>
      </c>
      <c r="BN565" s="46">
        <v>75</v>
      </c>
      <c r="BO565" s="46">
        <v>75</v>
      </c>
      <c r="BP565" s="46">
        <v>75</v>
      </c>
      <c r="BQ565" s="46">
        <v>75</v>
      </c>
      <c r="BR565" s="44"/>
      <c r="BS565" s="40"/>
      <c r="BT565" s="40"/>
      <c r="BU565" s="40"/>
      <c r="BV565" s="40"/>
      <c r="BW565" s="40"/>
      <c r="BX565" s="40"/>
      <c r="BY565" s="40"/>
      <c r="BZ565" s="40"/>
      <c r="CA565" s="40"/>
      <c r="CB565" s="40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113"/>
      <c r="CU565" s="113"/>
      <c r="CV565" s="44">
        <v>0</v>
      </c>
      <c r="CW565" s="44">
        <v>0</v>
      </c>
      <c r="CX565" s="44">
        <v>0</v>
      </c>
      <c r="CY565" s="45">
        <v>75</v>
      </c>
      <c r="CZ565" s="44">
        <v>75</v>
      </c>
      <c r="DA565" s="44">
        <v>75</v>
      </c>
      <c r="DB565" s="44">
        <v>75</v>
      </c>
      <c r="DC565" s="44">
        <v>75</v>
      </c>
      <c r="DD565" s="44">
        <v>75</v>
      </c>
      <c r="DE565" s="44">
        <v>75</v>
      </c>
      <c r="DF565" s="44">
        <v>75</v>
      </c>
      <c r="DG565" s="44">
        <v>75</v>
      </c>
      <c r="DH565" s="44">
        <v>75</v>
      </c>
      <c r="DI565" s="44">
        <v>75</v>
      </c>
    </row>
    <row r="566" spans="1:113" ht="12" outlineLevel="1">
      <c r="A566" s="1" t="s">
        <v>1028</v>
      </c>
      <c r="B566" s="63" t="s">
        <v>908</v>
      </c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525">
        <v>0</v>
      </c>
      <c r="AQ566" s="525">
        <v>0</v>
      </c>
      <c r="AR566" s="525">
        <v>0</v>
      </c>
      <c r="AS566" s="525">
        <v>0</v>
      </c>
      <c r="AT566" s="525">
        <v>0</v>
      </c>
      <c r="AU566" s="525">
        <v>0</v>
      </c>
      <c r="AV566" s="525">
        <v>0</v>
      </c>
      <c r="AW566" s="523">
        <v>0</v>
      </c>
      <c r="AX566" s="46">
        <v>0</v>
      </c>
      <c r="AY566" s="46">
        <v>0</v>
      </c>
      <c r="AZ566" s="46">
        <v>0</v>
      </c>
      <c r="BA566" s="46">
        <v>0</v>
      </c>
      <c r="BB566" s="46">
        <v>0</v>
      </c>
      <c r="BC566" s="46">
        <v>0</v>
      </c>
      <c r="BD566" s="46">
        <v>0</v>
      </c>
      <c r="BE566" s="46">
        <v>0</v>
      </c>
      <c r="BF566" s="46">
        <v>0</v>
      </c>
      <c r="BG566" s="46">
        <v>0</v>
      </c>
      <c r="BH566" s="46">
        <v>0</v>
      </c>
      <c r="BI566" s="46">
        <v>0</v>
      </c>
      <c r="BJ566" s="46">
        <v>0</v>
      </c>
      <c r="BK566" s="46">
        <v>0</v>
      </c>
      <c r="BL566" s="46">
        <v>0</v>
      </c>
      <c r="BM566" s="46">
        <v>0</v>
      </c>
      <c r="BN566" s="46">
        <v>0</v>
      </c>
      <c r="BO566" s="46">
        <v>0</v>
      </c>
      <c r="BP566" s="46">
        <v>0</v>
      </c>
      <c r="BQ566" s="46">
        <v>0</v>
      </c>
      <c r="BR566" s="44"/>
      <c r="BS566" s="40"/>
      <c r="BT566" s="40"/>
      <c r="BU566" s="40"/>
      <c r="BV566" s="40"/>
      <c r="BW566" s="40"/>
      <c r="BX566" s="40"/>
      <c r="BY566" s="40"/>
      <c r="BZ566" s="40"/>
      <c r="CA566" s="40"/>
      <c r="CB566" s="40"/>
      <c r="CC566" s="42"/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113"/>
      <c r="CU566" s="113"/>
      <c r="CV566" s="44">
        <v>0</v>
      </c>
      <c r="CW566" s="44">
        <v>0</v>
      </c>
      <c r="CX566" s="44">
        <v>0</v>
      </c>
      <c r="CY566" s="45">
        <v>0</v>
      </c>
      <c r="CZ566" s="44">
        <v>0</v>
      </c>
      <c r="DA566" s="44">
        <v>0</v>
      </c>
      <c r="DB566" s="44">
        <v>0</v>
      </c>
      <c r="DC566" s="44">
        <v>0</v>
      </c>
      <c r="DD566" s="44">
        <v>0</v>
      </c>
      <c r="DE566" s="44">
        <v>0</v>
      </c>
      <c r="DF566" s="44">
        <v>0</v>
      </c>
      <c r="DG566" s="44">
        <v>0</v>
      </c>
      <c r="DH566" s="44">
        <v>0</v>
      </c>
      <c r="DI566" s="44">
        <v>0</v>
      </c>
    </row>
    <row r="567" spans="1:113" ht="12" outlineLevel="1">
      <c r="A567" s="1" t="s">
        <v>1029</v>
      </c>
      <c r="B567" s="63" t="s">
        <v>524</v>
      </c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/>
      <c r="AM567" s="42"/>
      <c r="AN567" s="42"/>
      <c r="AO567" s="42"/>
      <c r="AP567" s="525">
        <v>0</v>
      </c>
      <c r="AQ567" s="525">
        <v>0</v>
      </c>
      <c r="AR567" s="525">
        <v>0</v>
      </c>
      <c r="AS567" s="525">
        <v>0</v>
      </c>
      <c r="AT567" s="525">
        <v>0</v>
      </c>
      <c r="AU567" s="525">
        <v>0</v>
      </c>
      <c r="AV567" s="525">
        <v>0</v>
      </c>
      <c r="AW567" s="523">
        <v>0</v>
      </c>
      <c r="AX567" s="44">
        <v>0</v>
      </c>
      <c r="AY567" s="44">
        <v>0</v>
      </c>
      <c r="AZ567" s="44">
        <v>0</v>
      </c>
      <c r="BA567" s="44">
        <v>0</v>
      </c>
      <c r="BB567" s="44">
        <v>0</v>
      </c>
      <c r="BC567" s="44">
        <v>0</v>
      </c>
      <c r="BD567" s="44">
        <v>0</v>
      </c>
      <c r="BE567" s="44">
        <v>0</v>
      </c>
      <c r="BF567" s="44">
        <v>0</v>
      </c>
      <c r="BG567" s="44">
        <v>0</v>
      </c>
      <c r="BH567" s="44">
        <v>0</v>
      </c>
      <c r="BI567" s="44">
        <v>0</v>
      </c>
      <c r="BJ567" s="44">
        <v>0</v>
      </c>
      <c r="BK567" s="44">
        <v>0</v>
      </c>
      <c r="BL567" s="44">
        <v>0</v>
      </c>
      <c r="BM567" s="44">
        <v>0</v>
      </c>
      <c r="BN567" s="44">
        <v>0</v>
      </c>
      <c r="BO567" s="44">
        <v>0</v>
      </c>
      <c r="BP567" s="44">
        <v>0</v>
      </c>
      <c r="BQ567" s="44">
        <v>0</v>
      </c>
      <c r="BR567" s="44"/>
      <c r="BS567" s="40"/>
      <c r="BT567" s="40"/>
      <c r="BU567" s="40"/>
      <c r="BV567" s="40"/>
      <c r="BW567" s="40"/>
      <c r="BX567" s="40"/>
      <c r="BY567" s="40"/>
      <c r="BZ567" s="40"/>
      <c r="CA567" s="40"/>
      <c r="CB567" s="40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113"/>
      <c r="CU567" s="113"/>
      <c r="CV567" s="44">
        <v>0</v>
      </c>
      <c r="CW567" s="44">
        <v>0</v>
      </c>
      <c r="CX567" s="44">
        <v>0</v>
      </c>
      <c r="CY567" s="45">
        <v>0</v>
      </c>
      <c r="CZ567" s="44">
        <v>0</v>
      </c>
      <c r="DA567" s="44">
        <v>0</v>
      </c>
      <c r="DB567" s="44">
        <v>0</v>
      </c>
      <c r="DC567" s="44">
        <v>0</v>
      </c>
      <c r="DD567" s="44">
        <v>0</v>
      </c>
      <c r="DE567" s="44">
        <v>0</v>
      </c>
      <c r="DF567" s="44">
        <v>0</v>
      </c>
      <c r="DG567" s="44">
        <v>0</v>
      </c>
      <c r="DH567" s="44">
        <v>0</v>
      </c>
      <c r="DI567" s="44">
        <v>0</v>
      </c>
    </row>
    <row r="568" spans="1:113" s="24" customFormat="1" ht="12" outlineLevel="1">
      <c r="A568" s="1" t="s">
        <v>1030</v>
      </c>
      <c r="B568" s="62" t="s">
        <v>633</v>
      </c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55"/>
      <c r="AE568" s="55"/>
      <c r="AF568" s="55"/>
      <c r="AG568" s="55"/>
      <c r="AH568" s="55"/>
      <c r="AI568" s="55"/>
      <c r="AJ568" s="55"/>
      <c r="AK568" s="55"/>
      <c r="AL568" s="55"/>
      <c r="AM568" s="55"/>
      <c r="AN568" s="55"/>
      <c r="AO568" s="55"/>
      <c r="AP568" s="526">
        <v>684.5</v>
      </c>
      <c r="AQ568" s="526">
        <v>1075.7000000000003</v>
      </c>
      <c r="AR568" s="526">
        <v>1395.1</v>
      </c>
      <c r="AS568" s="526">
        <v>1404.6000000000001</v>
      </c>
      <c r="AT568" s="526">
        <v>1442</v>
      </c>
      <c r="AU568" s="526">
        <v>1477.1</v>
      </c>
      <c r="AV568" s="526">
        <v>1625.5</v>
      </c>
      <c r="AW568" s="524">
        <v>1640.3</v>
      </c>
      <c r="AX568" s="526">
        <v>1668.8828238335782</v>
      </c>
      <c r="AY568" s="526">
        <v>1720.4289505168838</v>
      </c>
      <c r="AZ568" s="526">
        <v>1784.5993427893848</v>
      </c>
      <c r="BA568" s="526">
        <v>1860.0893867632476</v>
      </c>
      <c r="BB568" s="526">
        <v>1951.6036013689691</v>
      </c>
      <c r="BC568" s="526">
        <v>2002.8361617685173</v>
      </c>
      <c r="BD568" s="526">
        <v>2058.3888111925153</v>
      </c>
      <c r="BE568" s="526">
        <v>2115.656087929563</v>
      </c>
      <c r="BF568" s="526">
        <v>2178.4243108241849</v>
      </c>
      <c r="BG568" s="526">
        <v>2239.3227865350655</v>
      </c>
      <c r="BH568" s="526">
        <v>2305.9821268503388</v>
      </c>
      <c r="BI568" s="526">
        <v>2370.3745537026339</v>
      </c>
      <c r="BJ568" s="526">
        <v>2439.8742183577115</v>
      </c>
      <c r="BK568" s="526">
        <v>2507.1522406688782</v>
      </c>
      <c r="BL568" s="526">
        <v>2579.5734165077833</v>
      </c>
      <c r="BM568" s="526">
        <v>2651.5346687172319</v>
      </c>
      <c r="BN568" s="526">
        <v>2727.5526903352584</v>
      </c>
      <c r="BO568" s="526">
        <v>2802.1962354269849</v>
      </c>
      <c r="BP568" s="526">
        <v>2881.7779262563854</v>
      </c>
      <c r="BQ568" s="526">
        <v>2959.8137151311971</v>
      </c>
      <c r="BR568" s="526"/>
      <c r="BS568" s="55"/>
      <c r="BT568" s="55"/>
      <c r="BU568" s="55"/>
      <c r="BV568" s="55"/>
      <c r="BW568" s="55"/>
      <c r="BX568" s="55"/>
      <c r="BY568" s="55"/>
      <c r="BZ568" s="55"/>
      <c r="CA568" s="55"/>
      <c r="CB568" s="55"/>
      <c r="CC568" s="55"/>
      <c r="CD568" s="55"/>
      <c r="CE568" s="55"/>
      <c r="CF568" s="55"/>
      <c r="CG568" s="55"/>
      <c r="CH568" s="55"/>
      <c r="CI568" s="55"/>
      <c r="CJ568" s="55"/>
      <c r="CK568" s="55"/>
      <c r="CL568" s="55"/>
      <c r="CM568" s="55"/>
      <c r="CN568" s="55"/>
      <c r="CO568" s="55"/>
      <c r="CP568" s="55"/>
      <c r="CQ568" s="55"/>
      <c r="CR568" s="55"/>
      <c r="CS568" s="55"/>
      <c r="CT568" s="55"/>
      <c r="CU568" s="55"/>
      <c r="CV568" s="526">
        <v>1075.7000000000003</v>
      </c>
      <c r="CW568" s="526">
        <v>1404.6</v>
      </c>
      <c r="CX568" s="526">
        <v>1477.1</v>
      </c>
      <c r="CY568" s="524">
        <v>1640.3</v>
      </c>
      <c r="CZ568" s="526">
        <v>1720.4289505168836</v>
      </c>
      <c r="DA568" s="526">
        <v>1860.0893867632474</v>
      </c>
      <c r="DB568" s="526">
        <v>2002.8361617685171</v>
      </c>
      <c r="DC568" s="526">
        <v>2115.656087929563</v>
      </c>
      <c r="DD568" s="526">
        <v>2239.3227865350655</v>
      </c>
      <c r="DE568" s="526">
        <v>2370.3745537026343</v>
      </c>
      <c r="DF568" s="526">
        <v>2507.1522406688787</v>
      </c>
      <c r="DG568" s="526">
        <v>2651.5346687172323</v>
      </c>
      <c r="DH568" s="526">
        <v>2802.1962354269854</v>
      </c>
      <c r="DI568" s="526">
        <v>2959.8137151311976</v>
      </c>
    </row>
    <row r="569" spans="1:113" ht="12" outlineLevel="1"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4"/>
      <c r="AQ569" s="44"/>
      <c r="AR569" s="44"/>
      <c r="AS569" s="44"/>
      <c r="AT569" s="44"/>
      <c r="AU569" s="44"/>
      <c r="AV569" s="44"/>
      <c r="AW569" s="45"/>
      <c r="AX569" s="44"/>
      <c r="AY569" s="44"/>
      <c r="AZ569" s="44"/>
      <c r="BA569" s="44"/>
      <c r="BB569" s="44"/>
      <c r="BC569" s="44"/>
      <c r="BD569" s="44"/>
      <c r="BE569" s="44"/>
      <c r="BF569" s="44"/>
      <c r="BG569" s="44"/>
      <c r="BH569" s="44"/>
      <c r="BI569" s="44"/>
      <c r="BJ569" s="44"/>
      <c r="BK569" s="44"/>
      <c r="BL569" s="44"/>
      <c r="BM569" s="44"/>
      <c r="BN569" s="44"/>
      <c r="BO569" s="44"/>
      <c r="BP569" s="44"/>
      <c r="BQ569" s="44"/>
      <c r="BR569" s="44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4"/>
      <c r="CW569" s="44"/>
      <c r="CX569" s="44"/>
      <c r="CY569" s="45"/>
      <c r="CZ569" s="44"/>
      <c r="DA569" s="44"/>
      <c r="DB569" s="44"/>
      <c r="DC569" s="529"/>
      <c r="DD569" s="529"/>
      <c r="DE569" s="529"/>
      <c r="DF569" s="529"/>
      <c r="DG569" s="529"/>
      <c r="DH569" s="529"/>
      <c r="DI569" s="529"/>
    </row>
    <row r="570" spans="1:113" s="24" customFormat="1" ht="12" outlineLevel="1">
      <c r="A570" s="1"/>
      <c r="B570" s="62" t="s">
        <v>634</v>
      </c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55"/>
      <c r="AE570" s="55"/>
      <c r="AF570" s="55"/>
      <c r="AG570" s="515"/>
      <c r="AH570" s="515"/>
      <c r="AI570" s="515"/>
      <c r="AJ570" s="55"/>
      <c r="AK570" s="55"/>
      <c r="AL570" s="55"/>
      <c r="AM570" s="55"/>
      <c r="AN570" s="55"/>
      <c r="AO570" s="55"/>
      <c r="AP570" s="570"/>
      <c r="AQ570" s="570"/>
      <c r="AR570" s="570"/>
      <c r="AS570" s="570"/>
      <c r="AT570" s="570"/>
      <c r="AU570" s="570"/>
      <c r="AV570" s="570"/>
      <c r="AW570" s="571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5"/>
      <c r="BT570" s="55"/>
      <c r="BU570" s="55"/>
      <c r="BV570" s="55"/>
      <c r="BW570" s="55"/>
      <c r="BX570" s="55"/>
      <c r="BY570" s="55"/>
      <c r="BZ570" s="55"/>
      <c r="CA570" s="55"/>
      <c r="CB570" s="55"/>
      <c r="CC570" s="55"/>
      <c r="CD570" s="55"/>
      <c r="CE570" s="55"/>
      <c r="CF570" s="55"/>
      <c r="CG570" s="55"/>
      <c r="CH570" s="55"/>
      <c r="CI570" s="55"/>
      <c r="CJ570" s="55"/>
      <c r="CK570" s="55"/>
      <c r="CL570" s="55"/>
      <c r="CM570" s="55"/>
      <c r="CN570" s="55"/>
      <c r="CO570" s="55"/>
      <c r="CP570" s="55"/>
      <c r="CQ570" s="55"/>
      <c r="CR570" s="55"/>
      <c r="CS570" s="55"/>
      <c r="CT570" s="55"/>
      <c r="CU570" s="55"/>
      <c r="CV570" s="549"/>
      <c r="CW570" s="549"/>
      <c r="CX570" s="549"/>
      <c r="CY570" s="588"/>
      <c r="CZ570" s="526"/>
      <c r="DA570" s="526"/>
      <c r="DB570" s="526"/>
      <c r="DC570" s="541"/>
      <c r="DD570" s="541"/>
      <c r="DE570" s="541"/>
      <c r="DF570" s="541"/>
      <c r="DG570" s="541"/>
      <c r="DH570" s="541"/>
      <c r="DI570" s="541"/>
    </row>
    <row r="571" spans="1:113" ht="12" outlineLevel="1">
      <c r="A571" s="1" t="s">
        <v>1031</v>
      </c>
      <c r="B571" s="19" t="s">
        <v>365</v>
      </c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525">
        <v>-10.9</v>
      </c>
      <c r="AQ571" s="525">
        <v>-16.100000000000001</v>
      </c>
      <c r="AR571" s="525">
        <v>-17.3</v>
      </c>
      <c r="AS571" s="525">
        <v>-23.8</v>
      </c>
      <c r="AT571" s="525">
        <v>-31</v>
      </c>
      <c r="AU571" s="525">
        <v>-38.299999999999997</v>
      </c>
      <c r="AV571" s="525">
        <v>-45</v>
      </c>
      <c r="AW571" s="523">
        <v>-48.3</v>
      </c>
      <c r="AX571" s="44">
        <v>-48.3</v>
      </c>
      <c r="AY571" s="44">
        <v>-48.3</v>
      </c>
      <c r="AZ571" s="44">
        <v>-48.3</v>
      </c>
      <c r="BA571" s="44">
        <v>-48.3</v>
      </c>
      <c r="BB571" s="44">
        <v>-48.3</v>
      </c>
      <c r="BC571" s="44">
        <v>-48.3</v>
      </c>
      <c r="BD571" s="44">
        <v>-48.3</v>
      </c>
      <c r="BE571" s="44">
        <v>-48.3</v>
      </c>
      <c r="BF571" s="44">
        <v>-48.3</v>
      </c>
      <c r="BG571" s="44">
        <v>-48.3</v>
      </c>
      <c r="BH571" s="44">
        <v>-48.3</v>
      </c>
      <c r="BI571" s="44">
        <v>-48.3</v>
      </c>
      <c r="BJ571" s="44">
        <v>-48.3</v>
      </c>
      <c r="BK571" s="44">
        <v>-48.3</v>
      </c>
      <c r="BL571" s="44">
        <v>-48.3</v>
      </c>
      <c r="BM571" s="44">
        <v>-48.3</v>
      </c>
      <c r="BN571" s="44">
        <v>-48.3</v>
      </c>
      <c r="BO571" s="44">
        <v>-48.3</v>
      </c>
      <c r="BP571" s="44">
        <v>-48.3</v>
      </c>
      <c r="BQ571" s="44">
        <v>-48.3</v>
      </c>
      <c r="BR571" s="44"/>
      <c r="BS571" s="40"/>
      <c r="BT571" s="40"/>
      <c r="BU571" s="40"/>
      <c r="BV571" s="40"/>
      <c r="BW571" s="40"/>
      <c r="BX571" s="40"/>
      <c r="BY571" s="40"/>
      <c r="BZ571" s="40"/>
      <c r="CA571" s="40"/>
      <c r="CB571" s="40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113"/>
      <c r="CU571" s="113"/>
      <c r="CV571" s="44">
        <v>-16.100000000000001</v>
      </c>
      <c r="CW571" s="44">
        <v>-23.8</v>
      </c>
      <c r="CX571" s="44">
        <v>-38.299999999999997</v>
      </c>
      <c r="CY571" s="45">
        <v>-48.3</v>
      </c>
      <c r="CZ571" s="44">
        <v>-48.3</v>
      </c>
      <c r="DA571" s="44">
        <v>-48.3</v>
      </c>
      <c r="DB571" s="44">
        <v>-48.3</v>
      </c>
      <c r="DC571" s="44">
        <v>-48.3</v>
      </c>
      <c r="DD571" s="44">
        <v>-48.3</v>
      </c>
      <c r="DE571" s="44">
        <v>-48.3</v>
      </c>
      <c r="DF571" s="44">
        <v>-48.3</v>
      </c>
      <c r="DG571" s="44">
        <v>-48.3</v>
      </c>
      <c r="DH571" s="44">
        <v>-48.3</v>
      </c>
      <c r="DI571" s="44">
        <v>-48.3</v>
      </c>
    </row>
    <row r="572" spans="1:113" ht="12" outlineLevel="1">
      <c r="A572" s="1" t="s">
        <v>1032</v>
      </c>
      <c r="B572" s="19" t="s">
        <v>366</v>
      </c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525">
        <v>0</v>
      </c>
      <c r="AQ572" s="525">
        <v>0</v>
      </c>
      <c r="AR572" s="525">
        <v>0</v>
      </c>
      <c r="AS572" s="525">
        <v>0</v>
      </c>
      <c r="AT572" s="525">
        <v>0</v>
      </c>
      <c r="AU572" s="525">
        <v>0</v>
      </c>
      <c r="AV572" s="525">
        <v>0</v>
      </c>
      <c r="AW572" s="523">
        <v>0</v>
      </c>
      <c r="AX572" s="46">
        <v>-1.5861587301587292</v>
      </c>
      <c r="AY572" s="46">
        <v>-2.9005124923349257</v>
      </c>
      <c r="AZ572" s="46">
        <v>-3.8762635115031046</v>
      </c>
      <c r="BA572" s="46">
        <v>-5.1082196211945643</v>
      </c>
      <c r="BB572" s="46">
        <v>-6.0882049820828925</v>
      </c>
      <c r="BC572" s="46">
        <v>-7.2921118490031418</v>
      </c>
      <c r="BD572" s="46">
        <v>-8.1510673962632438</v>
      </c>
      <c r="BE572" s="46">
        <v>-9.2464847325340145</v>
      </c>
      <c r="BF572" s="46">
        <v>-10.138991672957872</v>
      </c>
      <c r="BG572" s="46">
        <v>-11.278455448589838</v>
      </c>
      <c r="BH572" s="46">
        <v>-12.12605234016582</v>
      </c>
      <c r="BI572" s="46">
        <v>-13.260421395199998</v>
      </c>
      <c r="BJ572" s="46">
        <v>-14.104603216314374</v>
      </c>
      <c r="BK572" s="46">
        <v>-15.24137458125707</v>
      </c>
      <c r="BL572" s="46">
        <v>-16.108842372494379</v>
      </c>
      <c r="BM572" s="46">
        <v>-17.185481538593237</v>
      </c>
      <c r="BN572" s="46">
        <v>-18.079302478361114</v>
      </c>
      <c r="BO572" s="46">
        <v>-19.401904955545376</v>
      </c>
      <c r="BP572" s="46">
        <v>-20.436229713576807</v>
      </c>
      <c r="BQ572" s="46">
        <v>-21.906731231299659</v>
      </c>
      <c r="BR572" s="44"/>
      <c r="BS572" s="40"/>
      <c r="BT572" s="40"/>
      <c r="BU572" s="40"/>
      <c r="BV572" s="40"/>
      <c r="BW572" s="40"/>
      <c r="BX572" s="40"/>
      <c r="BY572" s="40"/>
      <c r="BZ572" s="40"/>
      <c r="CA572" s="40"/>
      <c r="CB572" s="40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113"/>
      <c r="CU572" s="113"/>
      <c r="CV572" s="44">
        <v>0</v>
      </c>
      <c r="CW572" s="44">
        <v>0</v>
      </c>
      <c r="CX572" s="44">
        <v>0</v>
      </c>
      <c r="CY572" s="45">
        <v>0</v>
      </c>
      <c r="CZ572" s="44">
        <v>-2.9005124923349257</v>
      </c>
      <c r="DA572" s="44">
        <v>-5.1082196211945643</v>
      </c>
      <c r="DB572" s="44">
        <v>-7.2921118490031418</v>
      </c>
      <c r="DC572" s="44">
        <v>-9.2464847325340145</v>
      </c>
      <c r="DD572" s="44">
        <v>-11.278455448589838</v>
      </c>
      <c r="DE572" s="44">
        <v>-13.260421395199998</v>
      </c>
      <c r="DF572" s="44">
        <v>-15.24137458125707</v>
      </c>
      <c r="DG572" s="44">
        <v>-17.185481538593237</v>
      </c>
      <c r="DH572" s="44">
        <v>-19.401904955545376</v>
      </c>
      <c r="DI572" s="44">
        <v>-21.906731231299659</v>
      </c>
    </row>
    <row r="573" spans="1:113" ht="12" outlineLevel="1">
      <c r="A573" s="1" t="s">
        <v>1033</v>
      </c>
      <c r="B573" s="19" t="s">
        <v>299</v>
      </c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525">
        <v>0</v>
      </c>
      <c r="AQ573" s="525">
        <v>0</v>
      </c>
      <c r="AR573" s="525">
        <v>0</v>
      </c>
      <c r="AS573" s="525">
        <v>0</v>
      </c>
      <c r="AT573" s="525">
        <v>0</v>
      </c>
      <c r="AU573" s="525">
        <v>0</v>
      </c>
      <c r="AV573" s="525">
        <v>0</v>
      </c>
      <c r="AW573" s="523">
        <v>0</v>
      </c>
      <c r="AX573" s="46">
        <v>0</v>
      </c>
      <c r="AY573" s="46">
        <v>0</v>
      </c>
      <c r="AZ573" s="46">
        <v>0</v>
      </c>
      <c r="BA573" s="46">
        <v>0</v>
      </c>
      <c r="BB573" s="46">
        <v>0</v>
      </c>
      <c r="BC573" s="46">
        <v>0</v>
      </c>
      <c r="BD573" s="46">
        <v>0</v>
      </c>
      <c r="BE573" s="46">
        <v>0</v>
      </c>
      <c r="BF573" s="46">
        <v>0</v>
      </c>
      <c r="BG573" s="46">
        <v>0</v>
      </c>
      <c r="BH573" s="46">
        <v>0</v>
      </c>
      <c r="BI573" s="46">
        <v>0</v>
      </c>
      <c r="BJ573" s="46">
        <v>0</v>
      </c>
      <c r="BK573" s="46">
        <v>0</v>
      </c>
      <c r="BL573" s="46">
        <v>0</v>
      </c>
      <c r="BM573" s="46">
        <v>0</v>
      </c>
      <c r="BN573" s="46">
        <v>0</v>
      </c>
      <c r="BO573" s="46">
        <v>0</v>
      </c>
      <c r="BP573" s="46">
        <v>0</v>
      </c>
      <c r="BQ573" s="46">
        <v>0</v>
      </c>
      <c r="BR573" s="44"/>
      <c r="BS573" s="40"/>
      <c r="BT573" s="40"/>
      <c r="BU573" s="40"/>
      <c r="BV573" s="40"/>
      <c r="BW573" s="40"/>
      <c r="BX573" s="40"/>
      <c r="BY573" s="40"/>
      <c r="BZ573" s="40"/>
      <c r="CA573" s="40"/>
      <c r="CB573" s="40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113"/>
      <c r="CU573" s="113"/>
      <c r="CV573" s="44">
        <v>0</v>
      </c>
      <c r="CW573" s="44">
        <v>0</v>
      </c>
      <c r="CX573" s="44">
        <v>0</v>
      </c>
      <c r="CY573" s="45">
        <v>0</v>
      </c>
      <c r="CZ573" s="44">
        <v>0</v>
      </c>
      <c r="DA573" s="44">
        <v>0</v>
      </c>
      <c r="DB573" s="44">
        <v>0</v>
      </c>
      <c r="DC573" s="44">
        <v>0</v>
      </c>
      <c r="DD573" s="44">
        <v>0</v>
      </c>
      <c r="DE573" s="44">
        <v>0</v>
      </c>
      <c r="DF573" s="44">
        <v>0</v>
      </c>
      <c r="DG573" s="44">
        <v>0</v>
      </c>
      <c r="DH573" s="44">
        <v>0</v>
      </c>
      <c r="DI573" s="44">
        <v>0</v>
      </c>
    </row>
    <row r="574" spans="1:113" ht="12" outlineLevel="1">
      <c r="A574" s="1" t="s">
        <v>1034</v>
      </c>
      <c r="B574" s="19" t="s">
        <v>300</v>
      </c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525">
        <v>-31.3</v>
      </c>
      <c r="AQ574" s="525">
        <v>-32.200000000000003</v>
      </c>
      <c r="AR574" s="525">
        <v>-62.2</v>
      </c>
      <c r="AS574" s="525">
        <v>-56.6</v>
      </c>
      <c r="AT574" s="525">
        <v>-50.1</v>
      </c>
      <c r="AU574" s="525">
        <v>-63.9</v>
      </c>
      <c r="AV574" s="525">
        <v>-55.4</v>
      </c>
      <c r="AW574" s="523">
        <v>-68.3</v>
      </c>
      <c r="AX574" s="46">
        <v>-68.3</v>
      </c>
      <c r="AY574" s="46">
        <v>-68.3</v>
      </c>
      <c r="AZ574" s="46">
        <v>-68.3</v>
      </c>
      <c r="BA574" s="46">
        <v>-68.3</v>
      </c>
      <c r="BB574" s="46">
        <v>-68.3</v>
      </c>
      <c r="BC574" s="46">
        <v>-68.3</v>
      </c>
      <c r="BD574" s="46">
        <v>-68.3</v>
      </c>
      <c r="BE574" s="46">
        <v>-68.3</v>
      </c>
      <c r="BF574" s="46">
        <v>-68.3</v>
      </c>
      <c r="BG574" s="46">
        <v>-68.3</v>
      </c>
      <c r="BH574" s="46">
        <v>-68.3</v>
      </c>
      <c r="BI574" s="46">
        <v>-68.3</v>
      </c>
      <c r="BJ574" s="46">
        <v>-68.3</v>
      </c>
      <c r="BK574" s="46">
        <v>-68.3</v>
      </c>
      <c r="BL574" s="46">
        <v>-68.3</v>
      </c>
      <c r="BM574" s="46">
        <v>-68.3</v>
      </c>
      <c r="BN574" s="46">
        <v>-68.3</v>
      </c>
      <c r="BO574" s="46">
        <v>-68.3</v>
      </c>
      <c r="BP574" s="46">
        <v>-68.3</v>
      </c>
      <c r="BQ574" s="46">
        <v>-68.3</v>
      </c>
      <c r="BR574" s="44"/>
      <c r="BS574" s="40"/>
      <c r="BT574" s="40"/>
      <c r="BU574" s="40"/>
      <c r="BV574" s="40"/>
      <c r="BW574" s="40"/>
      <c r="BX574" s="40"/>
      <c r="BY574" s="40"/>
      <c r="BZ574" s="40"/>
      <c r="CA574" s="40"/>
      <c r="CB574" s="40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113"/>
      <c r="CU574" s="113"/>
      <c r="CV574" s="44">
        <v>-32.200000000000003</v>
      </c>
      <c r="CW574" s="44">
        <v>-56.6</v>
      </c>
      <c r="CX574" s="44">
        <v>-63.9</v>
      </c>
      <c r="CY574" s="45">
        <v>-68.3</v>
      </c>
      <c r="CZ574" s="44">
        <v>-68.3</v>
      </c>
      <c r="DA574" s="44">
        <v>-68.3</v>
      </c>
      <c r="DB574" s="44">
        <v>-68.3</v>
      </c>
      <c r="DC574" s="44">
        <v>-68.3</v>
      </c>
      <c r="DD574" s="44">
        <v>-68.3</v>
      </c>
      <c r="DE574" s="44">
        <v>-68.3</v>
      </c>
      <c r="DF574" s="44">
        <v>-68.3</v>
      </c>
      <c r="DG574" s="44">
        <v>-68.3</v>
      </c>
      <c r="DH574" s="44">
        <v>-68.3</v>
      </c>
      <c r="DI574" s="44">
        <v>-68.3</v>
      </c>
    </row>
    <row r="575" spans="1:113" ht="12" outlineLevel="1">
      <c r="A575" s="1" t="s">
        <v>1035</v>
      </c>
      <c r="B575" s="19" t="s">
        <v>2551</v>
      </c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525">
        <v>0</v>
      </c>
      <c r="AQ575" s="525">
        <v>0</v>
      </c>
      <c r="AR575" s="525">
        <v>0</v>
      </c>
      <c r="AS575" s="525">
        <v>0</v>
      </c>
      <c r="AT575" s="525">
        <v>0</v>
      </c>
      <c r="AU575" s="525">
        <v>0</v>
      </c>
      <c r="AV575" s="525">
        <v>0</v>
      </c>
      <c r="AW575" s="523">
        <v>0</v>
      </c>
      <c r="AX575" s="46">
        <v>0</v>
      </c>
      <c r="AY575" s="46">
        <v>0</v>
      </c>
      <c r="AZ575" s="46">
        <v>0</v>
      </c>
      <c r="BA575" s="46">
        <v>0</v>
      </c>
      <c r="BB575" s="46">
        <v>0</v>
      </c>
      <c r="BC575" s="46">
        <v>0</v>
      </c>
      <c r="BD575" s="46">
        <v>0</v>
      </c>
      <c r="BE575" s="46">
        <v>0</v>
      </c>
      <c r="BF575" s="46">
        <v>0</v>
      </c>
      <c r="BG575" s="46">
        <v>0</v>
      </c>
      <c r="BH575" s="46">
        <v>0</v>
      </c>
      <c r="BI575" s="46">
        <v>0</v>
      </c>
      <c r="BJ575" s="46">
        <v>0</v>
      </c>
      <c r="BK575" s="46">
        <v>0</v>
      </c>
      <c r="BL575" s="46">
        <v>0</v>
      </c>
      <c r="BM575" s="46">
        <v>0</v>
      </c>
      <c r="BN575" s="46">
        <v>0</v>
      </c>
      <c r="BO575" s="46">
        <v>0</v>
      </c>
      <c r="BP575" s="46">
        <v>0</v>
      </c>
      <c r="BQ575" s="46">
        <v>0</v>
      </c>
      <c r="BR575" s="44"/>
      <c r="BS575" s="40"/>
      <c r="BT575" s="40"/>
      <c r="BU575" s="40"/>
      <c r="BV575" s="40"/>
      <c r="BW575" s="40"/>
      <c r="BX575" s="40"/>
      <c r="BY575" s="40"/>
      <c r="BZ575" s="40"/>
      <c r="CA575" s="40"/>
      <c r="CB575" s="40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113"/>
      <c r="CU575" s="113"/>
      <c r="CV575" s="44">
        <v>0</v>
      </c>
      <c r="CW575" s="44">
        <v>0</v>
      </c>
      <c r="CX575" s="44">
        <v>0</v>
      </c>
      <c r="CY575" s="45">
        <v>0</v>
      </c>
      <c r="CZ575" s="44">
        <v>0</v>
      </c>
      <c r="DA575" s="44">
        <v>0</v>
      </c>
      <c r="DB575" s="44">
        <v>0</v>
      </c>
      <c r="DC575" s="44">
        <v>0</v>
      </c>
      <c r="DD575" s="44">
        <v>0</v>
      </c>
      <c r="DE575" s="44">
        <v>0</v>
      </c>
      <c r="DF575" s="44">
        <v>0</v>
      </c>
      <c r="DG575" s="44">
        <v>0</v>
      </c>
      <c r="DH575" s="44">
        <v>0</v>
      </c>
      <c r="DI575" s="44">
        <v>0</v>
      </c>
    </row>
    <row r="576" spans="1:113" ht="12" outlineLevel="1">
      <c r="A576" s="1" t="s">
        <v>1036</v>
      </c>
      <c r="B576" s="19" t="s">
        <v>2552</v>
      </c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525">
        <v>0</v>
      </c>
      <c r="AQ576" s="525">
        <v>0</v>
      </c>
      <c r="AR576" s="525">
        <v>0</v>
      </c>
      <c r="AS576" s="525">
        <v>0</v>
      </c>
      <c r="AT576" s="525">
        <v>0</v>
      </c>
      <c r="AU576" s="525">
        <v>0</v>
      </c>
      <c r="AV576" s="525">
        <v>0</v>
      </c>
      <c r="AW576" s="523">
        <v>0</v>
      </c>
      <c r="AX576" s="46">
        <v>0</v>
      </c>
      <c r="AY576" s="46">
        <v>0</v>
      </c>
      <c r="AZ576" s="46">
        <v>0</v>
      </c>
      <c r="BA576" s="46">
        <v>0</v>
      </c>
      <c r="BB576" s="46">
        <v>0</v>
      </c>
      <c r="BC576" s="46">
        <v>0</v>
      </c>
      <c r="BD576" s="46">
        <v>0</v>
      </c>
      <c r="BE576" s="46">
        <v>0</v>
      </c>
      <c r="BF576" s="46">
        <v>0</v>
      </c>
      <c r="BG576" s="46">
        <v>0</v>
      </c>
      <c r="BH576" s="46">
        <v>0</v>
      </c>
      <c r="BI576" s="46">
        <v>0</v>
      </c>
      <c r="BJ576" s="46">
        <v>0</v>
      </c>
      <c r="BK576" s="46">
        <v>0</v>
      </c>
      <c r="BL576" s="46">
        <v>0</v>
      </c>
      <c r="BM576" s="46">
        <v>0</v>
      </c>
      <c r="BN576" s="46">
        <v>0</v>
      </c>
      <c r="BO576" s="46">
        <v>0</v>
      </c>
      <c r="BP576" s="46">
        <v>0</v>
      </c>
      <c r="BQ576" s="46">
        <v>0</v>
      </c>
      <c r="BR576" s="44"/>
      <c r="BS576" s="40"/>
      <c r="BT576" s="40"/>
      <c r="BU576" s="40"/>
      <c r="BV576" s="40"/>
      <c r="BW576" s="40"/>
      <c r="BX576" s="40"/>
      <c r="BY576" s="40"/>
      <c r="BZ576" s="40"/>
      <c r="CA576" s="40"/>
      <c r="CB576" s="40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113"/>
      <c r="CU576" s="113"/>
      <c r="CV576" s="44">
        <v>0</v>
      </c>
      <c r="CW576" s="44">
        <v>0</v>
      </c>
      <c r="CX576" s="44">
        <v>0</v>
      </c>
      <c r="CY576" s="45">
        <v>0</v>
      </c>
      <c r="CZ576" s="44">
        <v>0</v>
      </c>
      <c r="DA576" s="44">
        <v>0</v>
      </c>
      <c r="DB576" s="44">
        <v>0</v>
      </c>
      <c r="DC576" s="44">
        <v>0</v>
      </c>
      <c r="DD576" s="44">
        <v>0</v>
      </c>
      <c r="DE576" s="44">
        <v>0</v>
      </c>
      <c r="DF576" s="44">
        <v>0</v>
      </c>
      <c r="DG576" s="44">
        <v>0</v>
      </c>
      <c r="DH576" s="44">
        <v>0</v>
      </c>
      <c r="DI576" s="44">
        <v>0</v>
      </c>
    </row>
    <row r="577" spans="1:113" ht="12" outlineLevel="1">
      <c r="A577" s="1" t="s">
        <v>1037</v>
      </c>
      <c r="B577" s="19" t="s">
        <v>2553</v>
      </c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525">
        <v>0</v>
      </c>
      <c r="AQ577" s="525">
        <v>0</v>
      </c>
      <c r="AR577" s="525">
        <v>0</v>
      </c>
      <c r="AS577" s="525">
        <v>0</v>
      </c>
      <c r="AT577" s="525">
        <v>0</v>
      </c>
      <c r="AU577" s="525">
        <v>0</v>
      </c>
      <c r="AV577" s="525">
        <v>0</v>
      </c>
      <c r="AW577" s="523">
        <v>0</v>
      </c>
      <c r="AX577" s="46">
        <v>0</v>
      </c>
      <c r="AY577" s="46">
        <v>0</v>
      </c>
      <c r="AZ577" s="46">
        <v>0</v>
      </c>
      <c r="BA577" s="46">
        <v>0</v>
      </c>
      <c r="BB577" s="46">
        <v>0</v>
      </c>
      <c r="BC577" s="46">
        <v>0</v>
      </c>
      <c r="BD577" s="46">
        <v>0</v>
      </c>
      <c r="BE577" s="46">
        <v>0</v>
      </c>
      <c r="BF577" s="46">
        <v>0</v>
      </c>
      <c r="BG577" s="46">
        <v>0</v>
      </c>
      <c r="BH577" s="46">
        <v>0</v>
      </c>
      <c r="BI577" s="46">
        <v>0</v>
      </c>
      <c r="BJ577" s="46">
        <v>0</v>
      </c>
      <c r="BK577" s="46">
        <v>0</v>
      </c>
      <c r="BL577" s="46">
        <v>0</v>
      </c>
      <c r="BM577" s="46">
        <v>0</v>
      </c>
      <c r="BN577" s="46">
        <v>0</v>
      </c>
      <c r="BO577" s="46">
        <v>0</v>
      </c>
      <c r="BP577" s="46">
        <v>0</v>
      </c>
      <c r="BQ577" s="46">
        <v>0</v>
      </c>
      <c r="BR577" s="44"/>
      <c r="BS577" s="40"/>
      <c r="BT577" s="40"/>
      <c r="BU577" s="40"/>
      <c r="BV577" s="40"/>
      <c r="BW577" s="40"/>
      <c r="BX577" s="40"/>
      <c r="BY577" s="40"/>
      <c r="BZ577" s="40"/>
      <c r="CA577" s="40"/>
      <c r="CB577" s="40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113"/>
      <c r="CU577" s="113"/>
      <c r="CV577" s="44">
        <v>0</v>
      </c>
      <c r="CW577" s="44">
        <v>0</v>
      </c>
      <c r="CX577" s="44">
        <v>0</v>
      </c>
      <c r="CY577" s="45">
        <v>0</v>
      </c>
      <c r="CZ577" s="44">
        <v>0</v>
      </c>
      <c r="DA577" s="44">
        <v>0</v>
      </c>
      <c r="DB577" s="44">
        <v>0</v>
      </c>
      <c r="DC577" s="44">
        <v>0</v>
      </c>
      <c r="DD577" s="44">
        <v>0</v>
      </c>
      <c r="DE577" s="44">
        <v>0</v>
      </c>
      <c r="DF577" s="44">
        <v>0</v>
      </c>
      <c r="DG577" s="44">
        <v>0</v>
      </c>
      <c r="DH577" s="44">
        <v>0</v>
      </c>
      <c r="DI577" s="44">
        <v>0</v>
      </c>
    </row>
    <row r="578" spans="1:113" ht="12" outlineLevel="1">
      <c r="A578" s="1" t="s">
        <v>1038</v>
      </c>
      <c r="B578" s="19" t="s">
        <v>473</v>
      </c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525">
        <v>0</v>
      </c>
      <c r="AQ578" s="525">
        <v>0</v>
      </c>
      <c r="AR578" s="525">
        <v>0</v>
      </c>
      <c r="AS578" s="525">
        <v>0</v>
      </c>
      <c r="AT578" s="525">
        <v>0</v>
      </c>
      <c r="AU578" s="525">
        <v>0</v>
      </c>
      <c r="AV578" s="525">
        <v>0</v>
      </c>
      <c r="AW578" s="523">
        <v>0</v>
      </c>
      <c r="AX578" s="46">
        <v>0</v>
      </c>
      <c r="AY578" s="46">
        <v>0</v>
      </c>
      <c r="AZ578" s="46">
        <v>0</v>
      </c>
      <c r="BA578" s="46">
        <v>0</v>
      </c>
      <c r="BB578" s="46">
        <v>0</v>
      </c>
      <c r="BC578" s="46">
        <v>0</v>
      </c>
      <c r="BD578" s="46">
        <v>0</v>
      </c>
      <c r="BE578" s="46">
        <v>0</v>
      </c>
      <c r="BF578" s="46">
        <v>0</v>
      </c>
      <c r="BG578" s="46">
        <v>0</v>
      </c>
      <c r="BH578" s="46">
        <v>0</v>
      </c>
      <c r="BI578" s="46">
        <v>0</v>
      </c>
      <c r="BJ578" s="46">
        <v>0</v>
      </c>
      <c r="BK578" s="46">
        <v>0</v>
      </c>
      <c r="BL578" s="46">
        <v>0</v>
      </c>
      <c r="BM578" s="46">
        <v>0</v>
      </c>
      <c r="BN578" s="46">
        <v>0</v>
      </c>
      <c r="BO578" s="46">
        <v>0</v>
      </c>
      <c r="BP578" s="46">
        <v>0</v>
      </c>
      <c r="BQ578" s="46">
        <v>0</v>
      </c>
      <c r="BR578" s="44"/>
      <c r="BS578" s="40"/>
      <c r="BT578" s="40"/>
      <c r="BU578" s="40"/>
      <c r="BV578" s="40"/>
      <c r="BW578" s="40"/>
      <c r="BX578" s="40"/>
      <c r="BY578" s="40"/>
      <c r="BZ578" s="40"/>
      <c r="CA578" s="40"/>
      <c r="CB578" s="40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113"/>
      <c r="CU578" s="113"/>
      <c r="CV578" s="44">
        <v>0</v>
      </c>
      <c r="CW578" s="44">
        <v>0</v>
      </c>
      <c r="CX578" s="44">
        <v>0</v>
      </c>
      <c r="CY578" s="45">
        <v>0</v>
      </c>
      <c r="CZ578" s="44">
        <v>0</v>
      </c>
      <c r="DA578" s="44">
        <v>0</v>
      </c>
      <c r="DB578" s="44">
        <v>0</v>
      </c>
      <c r="DC578" s="44">
        <v>0</v>
      </c>
      <c r="DD578" s="44">
        <v>0</v>
      </c>
      <c r="DE578" s="44">
        <v>0</v>
      </c>
      <c r="DF578" s="44">
        <v>0</v>
      </c>
      <c r="DG578" s="44">
        <v>0</v>
      </c>
      <c r="DH578" s="44">
        <v>0</v>
      </c>
      <c r="DI578" s="44">
        <v>0</v>
      </c>
    </row>
    <row r="579" spans="1:113" ht="12" hidden="1" outlineLevel="2">
      <c r="A579" s="1" t="s">
        <v>1039</v>
      </c>
      <c r="B579" s="19" t="s">
        <v>1111</v>
      </c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6">
        <v>0</v>
      </c>
      <c r="AQ579" s="46">
        <v>0</v>
      </c>
      <c r="AR579" s="46">
        <v>0</v>
      </c>
      <c r="AS579" s="46">
        <v>0</v>
      </c>
      <c r="AT579" s="46">
        <v>0</v>
      </c>
      <c r="AU579" s="46">
        <v>0</v>
      </c>
      <c r="AV579" s="46">
        <v>0</v>
      </c>
      <c r="AW579" s="531">
        <v>0</v>
      </c>
      <c r="AX579" s="46"/>
      <c r="AY579" s="46"/>
      <c r="AZ579" s="46"/>
      <c r="BA579" s="46"/>
      <c r="BB579" s="46"/>
      <c r="BC579" s="46"/>
      <c r="BD579" s="46"/>
      <c r="BE579" s="46"/>
      <c r="BF579" s="46"/>
      <c r="BG579" s="46"/>
      <c r="BH579" s="46"/>
      <c r="BI579" s="46"/>
      <c r="BJ579" s="46"/>
      <c r="BK579" s="46"/>
      <c r="BL579" s="46"/>
      <c r="BM579" s="46"/>
      <c r="BN579" s="46"/>
      <c r="BO579" s="46"/>
      <c r="BP579" s="46"/>
      <c r="BQ579" s="46"/>
      <c r="BR579" s="44"/>
      <c r="BS579" s="40"/>
      <c r="BT579" s="40"/>
      <c r="BU579" s="40"/>
      <c r="BV579" s="40"/>
      <c r="BW579" s="40"/>
      <c r="BX579" s="40"/>
      <c r="BY579" s="40"/>
      <c r="BZ579" s="40"/>
      <c r="CA579" s="40"/>
      <c r="CB579" s="40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1"/>
      <c r="CU579" s="41"/>
      <c r="CV579" s="44">
        <v>0</v>
      </c>
      <c r="CW579" s="44"/>
      <c r="CX579" s="44"/>
      <c r="CY579" s="45"/>
      <c r="CZ579" s="44"/>
      <c r="DA579" s="44"/>
      <c r="DB579" s="44"/>
      <c r="DC579" s="529"/>
      <c r="DD579" s="529"/>
      <c r="DE579" s="529"/>
      <c r="DF579" s="529"/>
      <c r="DG579" s="529"/>
      <c r="DH579" s="529"/>
      <c r="DI579" s="529"/>
    </row>
    <row r="580" spans="1:113" ht="12" hidden="1" outlineLevel="2">
      <c r="A580" s="1" t="s">
        <v>65</v>
      </c>
      <c r="B580" s="19" t="s">
        <v>801</v>
      </c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6">
        <v>0</v>
      </c>
      <c r="AQ580" s="46">
        <v>0</v>
      </c>
      <c r="AR580" s="46">
        <v>0</v>
      </c>
      <c r="AS580" s="46">
        <v>0</v>
      </c>
      <c r="AT580" s="46">
        <v>0</v>
      </c>
      <c r="AU580" s="46">
        <v>0</v>
      </c>
      <c r="AV580" s="46">
        <v>0</v>
      </c>
      <c r="AW580" s="531">
        <v>0</v>
      </c>
      <c r="AX580" s="46"/>
      <c r="AY580" s="46"/>
      <c r="AZ580" s="46"/>
      <c r="BA580" s="46"/>
      <c r="BB580" s="46"/>
      <c r="BC580" s="46"/>
      <c r="BD580" s="46"/>
      <c r="BE580" s="46"/>
      <c r="BF580" s="46"/>
      <c r="BG580" s="46"/>
      <c r="BH580" s="46"/>
      <c r="BI580" s="46"/>
      <c r="BJ580" s="46"/>
      <c r="BK580" s="46"/>
      <c r="BL580" s="46"/>
      <c r="BM580" s="46"/>
      <c r="BN580" s="46"/>
      <c r="BO580" s="46"/>
      <c r="BP580" s="46"/>
      <c r="BQ580" s="46"/>
      <c r="BR580" s="44"/>
      <c r="BS580" s="40"/>
      <c r="BT580" s="40"/>
      <c r="BU580" s="40"/>
      <c r="BV580" s="40"/>
      <c r="BW580" s="40"/>
      <c r="BX580" s="40"/>
      <c r="BY580" s="40"/>
      <c r="BZ580" s="40"/>
      <c r="CA580" s="40"/>
      <c r="CB580" s="40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1"/>
      <c r="CU580" s="41"/>
      <c r="CV580" s="44">
        <v>0</v>
      </c>
      <c r="CW580" s="44"/>
      <c r="CX580" s="44"/>
      <c r="CY580" s="45"/>
      <c r="CZ580" s="44"/>
      <c r="DA580" s="44"/>
      <c r="DB580" s="44"/>
      <c r="DC580" s="529"/>
      <c r="DD580" s="529"/>
      <c r="DE580" s="529"/>
      <c r="DF580" s="529"/>
      <c r="DG580" s="529"/>
      <c r="DH580" s="529"/>
      <c r="DI580" s="529"/>
    </row>
    <row r="581" spans="1:113" ht="12" hidden="1" outlineLevel="2">
      <c r="A581" s="1" t="s">
        <v>66</v>
      </c>
      <c r="B581" s="19" t="s">
        <v>801</v>
      </c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6">
        <v>0</v>
      </c>
      <c r="AQ581" s="46">
        <v>0</v>
      </c>
      <c r="AR581" s="46">
        <v>0</v>
      </c>
      <c r="AS581" s="46">
        <v>0</v>
      </c>
      <c r="AT581" s="46">
        <v>0</v>
      </c>
      <c r="AU581" s="46">
        <v>0</v>
      </c>
      <c r="AV581" s="46">
        <v>0</v>
      </c>
      <c r="AW581" s="531">
        <v>0</v>
      </c>
      <c r="AX581" s="46"/>
      <c r="AY581" s="46"/>
      <c r="AZ581" s="46"/>
      <c r="BA581" s="46"/>
      <c r="BB581" s="46"/>
      <c r="BC581" s="46"/>
      <c r="BD581" s="46"/>
      <c r="BE581" s="46"/>
      <c r="BF581" s="46"/>
      <c r="BG581" s="46"/>
      <c r="BH581" s="46"/>
      <c r="BI581" s="46"/>
      <c r="BJ581" s="46"/>
      <c r="BK581" s="46"/>
      <c r="BL581" s="46"/>
      <c r="BM581" s="46"/>
      <c r="BN581" s="46"/>
      <c r="BO581" s="46"/>
      <c r="BP581" s="46"/>
      <c r="BQ581" s="46"/>
      <c r="BR581" s="44"/>
      <c r="BS581" s="40"/>
      <c r="BT581" s="40"/>
      <c r="BU581" s="40"/>
      <c r="BV581" s="40"/>
      <c r="BW581" s="40"/>
      <c r="BX581" s="40"/>
      <c r="BY581" s="40"/>
      <c r="BZ581" s="40"/>
      <c r="CA581" s="40"/>
      <c r="CB581" s="40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1"/>
      <c r="CU581" s="41"/>
      <c r="CV581" s="44">
        <v>0</v>
      </c>
      <c r="CW581" s="44"/>
      <c r="CX581" s="44"/>
      <c r="CY581" s="45"/>
      <c r="CZ581" s="44"/>
      <c r="DA581" s="44"/>
      <c r="DB581" s="44"/>
      <c r="DC581" s="529"/>
      <c r="DD581" s="529"/>
      <c r="DE581" s="529"/>
      <c r="DF581" s="529"/>
      <c r="DG581" s="529"/>
      <c r="DH581" s="529"/>
      <c r="DI581" s="529"/>
    </row>
    <row r="582" spans="1:113" ht="12" hidden="1" outlineLevel="2">
      <c r="A582" s="1" t="s">
        <v>11</v>
      </c>
      <c r="B582" s="19" t="s">
        <v>801</v>
      </c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6">
        <v>0</v>
      </c>
      <c r="AQ582" s="46">
        <v>0</v>
      </c>
      <c r="AR582" s="46">
        <v>0</v>
      </c>
      <c r="AS582" s="46">
        <v>0</v>
      </c>
      <c r="AT582" s="46">
        <v>0</v>
      </c>
      <c r="AU582" s="46">
        <v>0</v>
      </c>
      <c r="AV582" s="46">
        <v>0</v>
      </c>
      <c r="AW582" s="531">
        <v>0</v>
      </c>
      <c r="AX582" s="46"/>
      <c r="AY582" s="46"/>
      <c r="AZ582" s="46"/>
      <c r="BA582" s="46"/>
      <c r="BB582" s="46"/>
      <c r="BC582" s="46"/>
      <c r="BD582" s="46"/>
      <c r="BE582" s="46"/>
      <c r="BF582" s="46"/>
      <c r="BG582" s="46"/>
      <c r="BH582" s="46"/>
      <c r="BI582" s="46"/>
      <c r="BJ582" s="46"/>
      <c r="BK582" s="46"/>
      <c r="BL582" s="46"/>
      <c r="BM582" s="46"/>
      <c r="BN582" s="46"/>
      <c r="BO582" s="46"/>
      <c r="BP582" s="46"/>
      <c r="BQ582" s="46"/>
      <c r="BR582" s="44"/>
      <c r="BS582" s="40"/>
      <c r="BT582" s="40"/>
      <c r="BU582" s="40"/>
      <c r="BV582" s="40"/>
      <c r="BW582" s="40"/>
      <c r="BX582" s="40"/>
      <c r="BY582" s="40"/>
      <c r="BZ582" s="40"/>
      <c r="CA582" s="40"/>
      <c r="CB582" s="40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1"/>
      <c r="CU582" s="41"/>
      <c r="CV582" s="44">
        <v>0</v>
      </c>
      <c r="CW582" s="44"/>
      <c r="CX582" s="44"/>
      <c r="CY582" s="45"/>
      <c r="CZ582" s="44"/>
      <c r="DA582" s="44"/>
      <c r="DB582" s="44"/>
      <c r="DC582" s="529"/>
      <c r="DD582" s="529"/>
      <c r="DE582" s="529"/>
      <c r="DF582" s="529"/>
      <c r="DG582" s="529"/>
      <c r="DH582" s="529"/>
      <c r="DI582" s="529"/>
    </row>
    <row r="583" spans="1:113" ht="12" outlineLevel="1" collapsed="1">
      <c r="A583" s="1" t="s">
        <v>1040</v>
      </c>
      <c r="B583" s="19" t="s">
        <v>474</v>
      </c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4">
        <v>-13.299999999999997</v>
      </c>
      <c r="AQ583" s="44">
        <v>-23.400000000000269</v>
      </c>
      <c r="AR583" s="44">
        <v>-26.599999999999909</v>
      </c>
      <c r="AS583" s="44">
        <v>-32.200000000000131</v>
      </c>
      <c r="AT583" s="44">
        <v>-24.900000000000006</v>
      </c>
      <c r="AU583" s="44">
        <v>-8.8999999999999204</v>
      </c>
      <c r="AV583" s="44">
        <v>-54.099999999999994</v>
      </c>
      <c r="AW583" s="45">
        <v>-37.69999999999996</v>
      </c>
      <c r="AX583" s="46">
        <v>-37.69999999999996</v>
      </c>
      <c r="AY583" s="46">
        <v>-37.69999999999996</v>
      </c>
      <c r="AZ583" s="46">
        <v>-37.69999999999996</v>
      </c>
      <c r="BA583" s="46">
        <v>-37.69999999999996</v>
      </c>
      <c r="BB583" s="46">
        <v>-37.69999999999996</v>
      </c>
      <c r="BC583" s="46">
        <v>-37.69999999999996</v>
      </c>
      <c r="BD583" s="46">
        <v>-37.69999999999996</v>
      </c>
      <c r="BE583" s="46">
        <v>-37.69999999999996</v>
      </c>
      <c r="BF583" s="46">
        <v>-37.69999999999996</v>
      </c>
      <c r="BG583" s="46">
        <v>-37.69999999999996</v>
      </c>
      <c r="BH583" s="46">
        <v>-37.69999999999996</v>
      </c>
      <c r="BI583" s="46">
        <v>-37.69999999999996</v>
      </c>
      <c r="BJ583" s="46">
        <v>-37.69999999999996</v>
      </c>
      <c r="BK583" s="46">
        <v>-37.69999999999996</v>
      </c>
      <c r="BL583" s="46">
        <v>-37.69999999999996</v>
      </c>
      <c r="BM583" s="46">
        <v>-37.69999999999996</v>
      </c>
      <c r="BN583" s="46">
        <v>-37.69999999999996</v>
      </c>
      <c r="BO583" s="46">
        <v>-37.69999999999996</v>
      </c>
      <c r="BP583" s="46">
        <v>-37.69999999999996</v>
      </c>
      <c r="BQ583" s="46">
        <v>-37.69999999999996</v>
      </c>
      <c r="BR583" s="44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113"/>
      <c r="CU583" s="113"/>
      <c r="CV583" s="44">
        <v>-23.400000000000269</v>
      </c>
      <c r="CW583" s="44">
        <v>-32.200000000000131</v>
      </c>
      <c r="CX583" s="44">
        <v>-8.8999999999999204</v>
      </c>
      <c r="CY583" s="45">
        <v>-37.69999999999996</v>
      </c>
      <c r="CZ583" s="44">
        <v>-37.69999999999996</v>
      </c>
      <c r="DA583" s="44">
        <v>-37.69999999999996</v>
      </c>
      <c r="DB583" s="44">
        <v>-37.69999999999996</v>
      </c>
      <c r="DC583" s="44">
        <v>-37.69999999999996</v>
      </c>
      <c r="DD583" s="44">
        <v>-37.69999999999996</v>
      </c>
      <c r="DE583" s="44">
        <v>-37.69999999999996</v>
      </c>
      <c r="DF583" s="44">
        <v>-37.69999999999996</v>
      </c>
      <c r="DG583" s="44">
        <v>-37.69999999999996</v>
      </c>
      <c r="DH583" s="44">
        <v>-37.69999999999996</v>
      </c>
      <c r="DI583" s="44">
        <v>-37.69999999999996</v>
      </c>
    </row>
    <row r="584" spans="1:113" ht="12" outlineLevel="1">
      <c r="A584" s="1" t="s">
        <v>1041</v>
      </c>
      <c r="B584" s="19" t="s">
        <v>572</v>
      </c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525">
        <v>0</v>
      </c>
      <c r="AQ584" s="525">
        <v>0</v>
      </c>
      <c r="AR584" s="525">
        <v>0</v>
      </c>
      <c r="AS584" s="525">
        <v>0</v>
      </c>
      <c r="AT584" s="525">
        <v>0</v>
      </c>
      <c r="AU584" s="525">
        <v>0</v>
      </c>
      <c r="AV584" s="525">
        <v>0</v>
      </c>
      <c r="AW584" s="523">
        <v>0</v>
      </c>
      <c r="AX584" s="46">
        <v>0</v>
      </c>
      <c r="AY584" s="46">
        <v>0</v>
      </c>
      <c r="AZ584" s="46">
        <v>0</v>
      </c>
      <c r="BA584" s="46">
        <v>0</v>
      </c>
      <c r="BB584" s="46">
        <v>0</v>
      </c>
      <c r="BC584" s="46">
        <v>0</v>
      </c>
      <c r="BD584" s="46">
        <v>0</v>
      </c>
      <c r="BE584" s="46">
        <v>0</v>
      </c>
      <c r="BF584" s="46">
        <v>0</v>
      </c>
      <c r="BG584" s="46">
        <v>0</v>
      </c>
      <c r="BH584" s="46">
        <v>0</v>
      </c>
      <c r="BI584" s="46">
        <v>0</v>
      </c>
      <c r="BJ584" s="46">
        <v>0</v>
      </c>
      <c r="BK584" s="46">
        <v>0</v>
      </c>
      <c r="BL584" s="46">
        <v>0</v>
      </c>
      <c r="BM584" s="46">
        <v>0</v>
      </c>
      <c r="BN584" s="46">
        <v>0</v>
      </c>
      <c r="BO584" s="46">
        <v>0</v>
      </c>
      <c r="BP584" s="46">
        <v>0</v>
      </c>
      <c r="BQ584" s="46">
        <v>0</v>
      </c>
      <c r="BR584" s="44"/>
      <c r="BS584" s="40"/>
      <c r="BT584" s="40"/>
      <c r="BU584" s="40"/>
      <c r="BV584" s="40"/>
      <c r="BW584" s="40"/>
      <c r="BX584" s="40"/>
      <c r="BY584" s="40"/>
      <c r="BZ584" s="40"/>
      <c r="CA584" s="40"/>
      <c r="CB584" s="40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4">
        <v>0</v>
      </c>
      <c r="CW584" s="44">
        <v>0</v>
      </c>
      <c r="CX584" s="44">
        <v>0</v>
      </c>
      <c r="CY584" s="45">
        <v>0</v>
      </c>
      <c r="CZ584" s="44">
        <v>0</v>
      </c>
      <c r="DA584" s="44">
        <v>0</v>
      </c>
      <c r="DB584" s="44">
        <v>0</v>
      </c>
      <c r="DC584" s="44">
        <v>0</v>
      </c>
      <c r="DD584" s="44">
        <v>0</v>
      </c>
      <c r="DE584" s="44">
        <v>0</v>
      </c>
      <c r="DF584" s="44">
        <v>0</v>
      </c>
      <c r="DG584" s="44">
        <v>0</v>
      </c>
      <c r="DH584" s="44">
        <v>0</v>
      </c>
      <c r="DI584" s="44">
        <v>0</v>
      </c>
    </row>
    <row r="585" spans="1:113" s="24" customFormat="1" ht="12" outlineLevel="1">
      <c r="A585" s="1" t="s">
        <v>1042</v>
      </c>
      <c r="B585" s="24" t="s">
        <v>166</v>
      </c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55"/>
      <c r="AE585" s="55"/>
      <c r="AF585" s="55"/>
      <c r="AG585" s="55"/>
      <c r="AH585" s="55"/>
      <c r="AI585" s="55"/>
      <c r="AJ585" s="55"/>
      <c r="AK585" s="55"/>
      <c r="AL585" s="55"/>
      <c r="AM585" s="55"/>
      <c r="AN585" s="55"/>
      <c r="AO585" s="55"/>
      <c r="AP585" s="521">
        <v>-55.5</v>
      </c>
      <c r="AQ585" s="521">
        <v>-71.700000000000273</v>
      </c>
      <c r="AR585" s="521">
        <v>-106.09999999999991</v>
      </c>
      <c r="AS585" s="521">
        <v>-112.60000000000014</v>
      </c>
      <c r="AT585" s="521">
        <v>-106</v>
      </c>
      <c r="AU585" s="521">
        <v>-111.09999999999991</v>
      </c>
      <c r="AV585" s="521">
        <v>-154.5</v>
      </c>
      <c r="AW585" s="522">
        <v>-154.29999999999995</v>
      </c>
      <c r="AX585" s="526">
        <v>-155.88615873015868</v>
      </c>
      <c r="AY585" s="526">
        <v>-157.20051249233489</v>
      </c>
      <c r="AZ585" s="526">
        <v>-158.17626351150307</v>
      </c>
      <c r="BA585" s="526">
        <v>-159.40821962119452</v>
      </c>
      <c r="BB585" s="526">
        <v>-160.38820498208284</v>
      </c>
      <c r="BC585" s="526">
        <v>-161.59211184900309</v>
      </c>
      <c r="BD585" s="526">
        <v>-162.4510673962632</v>
      </c>
      <c r="BE585" s="526">
        <v>-163.54648473253397</v>
      </c>
      <c r="BF585" s="526">
        <v>-164.43899167295783</v>
      </c>
      <c r="BG585" s="526">
        <v>-165.57845544858981</v>
      </c>
      <c r="BH585" s="526">
        <v>-166.42605234016577</v>
      </c>
      <c r="BI585" s="526">
        <v>-167.56042139519994</v>
      </c>
      <c r="BJ585" s="526">
        <v>-168.40460321631431</v>
      </c>
      <c r="BK585" s="526">
        <v>-169.54137458125703</v>
      </c>
      <c r="BL585" s="526">
        <v>-170.40884237249432</v>
      </c>
      <c r="BM585" s="526">
        <v>-171.48548153859318</v>
      </c>
      <c r="BN585" s="526">
        <v>-172.37930247836107</v>
      </c>
      <c r="BO585" s="526">
        <v>-173.70190495554533</v>
      </c>
      <c r="BP585" s="526">
        <v>-174.73622971357676</v>
      </c>
      <c r="BQ585" s="526">
        <v>-176.20673123129961</v>
      </c>
      <c r="BR585" s="526"/>
      <c r="BS585" s="54"/>
      <c r="BT585" s="54"/>
      <c r="BU585" s="54"/>
      <c r="BV585" s="54"/>
      <c r="BW585" s="54"/>
      <c r="BX585" s="54"/>
      <c r="BY585" s="54"/>
      <c r="BZ585" s="54"/>
      <c r="CA585" s="54"/>
      <c r="CB585" s="54"/>
      <c r="CC585" s="55"/>
      <c r="CD585" s="55"/>
      <c r="CE585" s="55"/>
      <c r="CF585" s="55"/>
      <c r="CG585" s="55"/>
      <c r="CH585" s="55"/>
      <c r="CI585" s="55"/>
      <c r="CJ585" s="55"/>
      <c r="CK585" s="55"/>
      <c r="CL585" s="55"/>
      <c r="CM585" s="55"/>
      <c r="CN585" s="55"/>
      <c r="CO585" s="55"/>
      <c r="CP585" s="55"/>
      <c r="CQ585" s="55"/>
      <c r="CR585" s="55"/>
      <c r="CS585" s="55"/>
      <c r="CT585" s="117"/>
      <c r="CU585" s="117"/>
      <c r="CV585" s="526">
        <v>-71.700000000000273</v>
      </c>
      <c r="CW585" s="526">
        <v>-112.60000000000014</v>
      </c>
      <c r="CX585" s="526">
        <v>-111.09999999999991</v>
      </c>
      <c r="CY585" s="524">
        <v>-154.29999999999995</v>
      </c>
      <c r="CZ585" s="526">
        <v>-157.20051249233489</v>
      </c>
      <c r="DA585" s="526">
        <v>-159.40821962119452</v>
      </c>
      <c r="DB585" s="526">
        <v>-161.59211184900309</v>
      </c>
      <c r="DC585" s="526">
        <v>-163.54648473253397</v>
      </c>
      <c r="DD585" s="526">
        <v>-165.57845544858981</v>
      </c>
      <c r="DE585" s="526">
        <v>-167.56042139519994</v>
      </c>
      <c r="DF585" s="526">
        <v>-169.54137458125703</v>
      </c>
      <c r="DG585" s="526">
        <v>-171.48548153859318</v>
      </c>
      <c r="DH585" s="526">
        <v>-173.70190495554533</v>
      </c>
      <c r="DI585" s="526">
        <v>-176.20673123129961</v>
      </c>
    </row>
    <row r="586" spans="1:113" ht="12" outlineLevel="1"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4"/>
      <c r="AQ586" s="44"/>
      <c r="AR586" s="44"/>
      <c r="AS586" s="44"/>
      <c r="AT586" s="44"/>
      <c r="AU586" s="44"/>
      <c r="AV586" s="44"/>
      <c r="AW586" s="45"/>
      <c r="AX586" s="44"/>
      <c r="AY586" s="44"/>
      <c r="AZ586" s="44"/>
      <c r="BA586" s="44"/>
      <c r="BB586" s="44"/>
      <c r="BC586" s="44"/>
      <c r="BD586" s="44"/>
      <c r="BE586" s="44">
        <v>-115.24648473253397</v>
      </c>
      <c r="BF586" s="44"/>
      <c r="BG586" s="44">
        <v>-117.2784554485898</v>
      </c>
      <c r="BH586" s="44">
        <v>-118.12605234016578</v>
      </c>
      <c r="BI586" s="44">
        <v>-119.26042139519996</v>
      </c>
      <c r="BJ586" s="44">
        <v>-120.10460321631433</v>
      </c>
      <c r="BK586" s="44">
        <v>-121.24137458125702</v>
      </c>
      <c r="BL586" s="44">
        <v>-122.10884237249434</v>
      </c>
      <c r="BM586" s="44">
        <v>-123.18548153859319</v>
      </c>
      <c r="BN586" s="44">
        <v>-124.07930247836107</v>
      </c>
      <c r="BO586" s="44">
        <v>-125.40190495554533</v>
      </c>
      <c r="BP586" s="44">
        <v>-126.43622971357676</v>
      </c>
      <c r="BQ586" s="44">
        <v>-127.90673123129962</v>
      </c>
      <c r="BR586" s="44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4"/>
      <c r="CW586" s="44"/>
      <c r="CX586" s="44"/>
      <c r="CY586" s="45"/>
      <c r="CZ586" s="44"/>
      <c r="DA586" s="44"/>
      <c r="DB586" s="44"/>
      <c r="DC586" s="529"/>
      <c r="DD586" s="529"/>
      <c r="DE586" s="529"/>
      <c r="DF586" s="529"/>
      <c r="DG586" s="529"/>
      <c r="DH586" s="529"/>
      <c r="DI586" s="529"/>
    </row>
    <row r="587" spans="1:113" s="24" customFormat="1" ht="12" outlineLevel="1">
      <c r="A587" s="1" t="s">
        <v>1043</v>
      </c>
      <c r="B587" s="24" t="s">
        <v>635</v>
      </c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55"/>
      <c r="AE587" s="55"/>
      <c r="AF587" s="55"/>
      <c r="AG587" s="55"/>
      <c r="AH587" s="55"/>
      <c r="AI587" s="55"/>
      <c r="AJ587" s="55"/>
      <c r="AK587" s="55"/>
      <c r="AL587" s="55"/>
      <c r="AM587" s="55"/>
      <c r="AN587" s="55"/>
      <c r="AO587" s="55"/>
      <c r="AP587" s="526">
        <v>629</v>
      </c>
      <c r="AQ587" s="526">
        <v>1004</v>
      </c>
      <c r="AR587" s="526">
        <v>1289</v>
      </c>
      <c r="AS587" s="526">
        <v>1292</v>
      </c>
      <c r="AT587" s="526">
        <v>1336</v>
      </c>
      <c r="AU587" s="526">
        <v>1366</v>
      </c>
      <c r="AV587" s="526">
        <v>1471</v>
      </c>
      <c r="AW587" s="524">
        <v>1486</v>
      </c>
      <c r="AX587" s="526">
        <v>1512.9966651034194</v>
      </c>
      <c r="AY587" s="526">
        <v>1563.228438024549</v>
      </c>
      <c r="AZ587" s="526">
        <v>1626.4230792778817</v>
      </c>
      <c r="BA587" s="526">
        <v>1700.681167142053</v>
      </c>
      <c r="BB587" s="526">
        <v>1791.2153963868861</v>
      </c>
      <c r="BC587" s="526">
        <v>1841.2440499195143</v>
      </c>
      <c r="BD587" s="526">
        <v>1895.9377437962521</v>
      </c>
      <c r="BE587" s="526">
        <v>1952.1096031970289</v>
      </c>
      <c r="BF587" s="526">
        <v>2013.985319151227</v>
      </c>
      <c r="BG587" s="526">
        <v>2073.7443310864755</v>
      </c>
      <c r="BH587" s="526">
        <v>2139.5560745101729</v>
      </c>
      <c r="BI587" s="526">
        <v>2202.8141323074337</v>
      </c>
      <c r="BJ587" s="526">
        <v>2271.4696151413973</v>
      </c>
      <c r="BK587" s="526">
        <v>2337.6108660876212</v>
      </c>
      <c r="BL587" s="526">
        <v>2409.1645741352891</v>
      </c>
      <c r="BM587" s="526">
        <v>2480.0491871786385</v>
      </c>
      <c r="BN587" s="526">
        <v>2555.1733878568975</v>
      </c>
      <c r="BO587" s="526">
        <v>2628.4943304714398</v>
      </c>
      <c r="BP587" s="526">
        <v>2707.0416965428085</v>
      </c>
      <c r="BQ587" s="526">
        <v>2783.6069838998974</v>
      </c>
      <c r="BR587" s="526"/>
      <c r="BS587" s="55"/>
      <c r="BT587" s="55"/>
      <c r="BU587" s="55"/>
      <c r="BV587" s="55"/>
      <c r="BW587" s="55"/>
      <c r="BX587" s="55"/>
      <c r="BY587" s="55"/>
      <c r="BZ587" s="55"/>
      <c r="CA587" s="55"/>
      <c r="CB587" s="55"/>
      <c r="CC587" s="55"/>
      <c r="CD587" s="55"/>
      <c r="CE587" s="55"/>
      <c r="CF587" s="55"/>
      <c r="CG587" s="55"/>
      <c r="CH587" s="55"/>
      <c r="CI587" s="55"/>
      <c r="CJ587" s="55"/>
      <c r="CK587" s="55"/>
      <c r="CL587" s="55"/>
      <c r="CM587" s="55"/>
      <c r="CN587" s="55"/>
      <c r="CO587" s="55"/>
      <c r="CP587" s="55"/>
      <c r="CQ587" s="55"/>
      <c r="CR587" s="55"/>
      <c r="CS587" s="55"/>
      <c r="CT587" s="521">
        <v>193.49680000000001</v>
      </c>
      <c r="CU587" s="521">
        <v>528.20460000000003</v>
      </c>
      <c r="CV587" s="526">
        <v>1004</v>
      </c>
      <c r="CW587" s="526">
        <v>1291.9999999999998</v>
      </c>
      <c r="CX587" s="526">
        <v>1366</v>
      </c>
      <c r="CY587" s="524">
        <v>1486</v>
      </c>
      <c r="CZ587" s="526">
        <v>1563.2284380245487</v>
      </c>
      <c r="DA587" s="526">
        <v>1700.6811671420528</v>
      </c>
      <c r="DB587" s="526">
        <v>1841.2440499195141</v>
      </c>
      <c r="DC587" s="526">
        <v>1952.1096031970289</v>
      </c>
      <c r="DD587" s="526">
        <v>2073.7443310864755</v>
      </c>
      <c r="DE587" s="526">
        <v>2202.8141323074342</v>
      </c>
      <c r="DF587" s="526">
        <v>2337.6108660876216</v>
      </c>
      <c r="DG587" s="526">
        <v>2480.0491871786389</v>
      </c>
      <c r="DH587" s="526">
        <v>2628.4943304714402</v>
      </c>
      <c r="DI587" s="526">
        <v>2783.6069838998978</v>
      </c>
    </row>
    <row r="588" spans="1:113" ht="12" outlineLevel="1">
      <c r="A588" s="1" t="s">
        <v>1044</v>
      </c>
      <c r="B588" s="19" t="s">
        <v>573</v>
      </c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4">
        <v>0</v>
      </c>
      <c r="AQ588" s="44">
        <v>0</v>
      </c>
      <c r="AR588" s="44">
        <v>0</v>
      </c>
      <c r="AS588" s="44">
        <v>0</v>
      </c>
      <c r="AT588" s="44">
        <v>0</v>
      </c>
      <c r="AU588" s="44">
        <v>0</v>
      </c>
      <c r="AV588" s="44">
        <v>0</v>
      </c>
      <c r="AW588" s="45">
        <v>0</v>
      </c>
      <c r="AX588" s="44">
        <v>0</v>
      </c>
      <c r="AY588" s="44">
        <v>0</v>
      </c>
      <c r="AZ588" s="44">
        <v>0</v>
      </c>
      <c r="BA588" s="44">
        <v>0</v>
      </c>
      <c r="BB588" s="44">
        <v>0</v>
      </c>
      <c r="BC588" s="44">
        <v>0</v>
      </c>
      <c r="BD588" s="44">
        <v>0</v>
      </c>
      <c r="BE588" s="44">
        <v>0</v>
      </c>
      <c r="BF588" s="44">
        <v>0</v>
      </c>
      <c r="BG588" s="44">
        <v>0</v>
      </c>
      <c r="BH588" s="44">
        <v>0</v>
      </c>
      <c r="BI588" s="44">
        <v>0</v>
      </c>
      <c r="BJ588" s="44">
        <v>0</v>
      </c>
      <c r="BK588" s="44">
        <v>0</v>
      </c>
      <c r="BL588" s="44">
        <v>0</v>
      </c>
      <c r="BM588" s="44">
        <v>0</v>
      </c>
      <c r="BN588" s="44">
        <v>0</v>
      </c>
      <c r="BO588" s="44">
        <v>0</v>
      </c>
      <c r="BP588" s="44">
        <v>0</v>
      </c>
      <c r="BQ588" s="44">
        <v>0</v>
      </c>
      <c r="BR588" s="44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4">
        <v>0</v>
      </c>
      <c r="CU588" s="44">
        <v>0</v>
      </c>
      <c r="CV588" s="44">
        <v>0</v>
      </c>
      <c r="CW588" s="44">
        <v>0</v>
      </c>
      <c r="CX588" s="44">
        <v>0</v>
      </c>
      <c r="CY588" s="45">
        <v>0</v>
      </c>
      <c r="CZ588" s="44">
        <v>0</v>
      </c>
      <c r="DA588" s="44">
        <v>0</v>
      </c>
      <c r="DB588" s="44">
        <v>0</v>
      </c>
      <c r="DC588" s="44">
        <v>0</v>
      </c>
      <c r="DD588" s="44">
        <v>0</v>
      </c>
      <c r="DE588" s="44">
        <v>0</v>
      </c>
      <c r="DF588" s="44">
        <v>0</v>
      </c>
      <c r="DG588" s="44">
        <v>0</v>
      </c>
      <c r="DH588" s="44">
        <v>0</v>
      </c>
      <c r="DI588" s="44">
        <v>0</v>
      </c>
    </row>
    <row r="589" spans="1:113" ht="12" outlineLevel="1">
      <c r="A589" s="1" t="s">
        <v>1045</v>
      </c>
      <c r="B589" s="19" t="s">
        <v>574</v>
      </c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4">
        <v>0</v>
      </c>
      <c r="AQ589" s="44">
        <v>0</v>
      </c>
      <c r="AR589" s="44">
        <v>0</v>
      </c>
      <c r="AS589" s="44">
        <v>0</v>
      </c>
      <c r="AT589" s="44">
        <v>0</v>
      </c>
      <c r="AU589" s="44">
        <v>0</v>
      </c>
      <c r="AV589" s="44">
        <v>-75</v>
      </c>
      <c r="AW589" s="45">
        <v>-75</v>
      </c>
      <c r="AX589" s="44">
        <v>-75</v>
      </c>
      <c r="AY589" s="44">
        <v>-75</v>
      </c>
      <c r="AZ589" s="44">
        <v>-75</v>
      </c>
      <c r="BA589" s="44">
        <v>-75</v>
      </c>
      <c r="BB589" s="44">
        <v>-75</v>
      </c>
      <c r="BC589" s="44">
        <v>-75</v>
      </c>
      <c r="BD589" s="44">
        <v>-75</v>
      </c>
      <c r="BE589" s="44">
        <v>-75</v>
      </c>
      <c r="BF589" s="44">
        <v>-75</v>
      </c>
      <c r="BG589" s="44">
        <v>-75</v>
      </c>
      <c r="BH589" s="44">
        <v>-75</v>
      </c>
      <c r="BI589" s="44">
        <v>-75</v>
      </c>
      <c r="BJ589" s="44">
        <v>-75</v>
      </c>
      <c r="BK589" s="44">
        <v>-75</v>
      </c>
      <c r="BL589" s="44">
        <v>-75</v>
      </c>
      <c r="BM589" s="44">
        <v>-75</v>
      </c>
      <c r="BN589" s="44">
        <v>-75</v>
      </c>
      <c r="BO589" s="44">
        <v>-75</v>
      </c>
      <c r="BP589" s="44">
        <v>-75</v>
      </c>
      <c r="BQ589" s="44">
        <v>-75</v>
      </c>
      <c r="BR589" s="44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4">
        <v>0</v>
      </c>
      <c r="CU589" s="44">
        <v>0</v>
      </c>
      <c r="CV589" s="44">
        <v>0</v>
      </c>
      <c r="CW589" s="44">
        <v>0</v>
      </c>
      <c r="CX589" s="44">
        <v>0</v>
      </c>
      <c r="CY589" s="45">
        <v>-75</v>
      </c>
      <c r="CZ589" s="44">
        <v>-75</v>
      </c>
      <c r="DA589" s="44">
        <v>-75</v>
      </c>
      <c r="DB589" s="44">
        <v>-75</v>
      </c>
      <c r="DC589" s="44">
        <v>-75</v>
      </c>
      <c r="DD589" s="44">
        <v>-75</v>
      </c>
      <c r="DE589" s="44">
        <v>-75</v>
      </c>
      <c r="DF589" s="44">
        <v>-75</v>
      </c>
      <c r="DG589" s="44">
        <v>-75</v>
      </c>
      <c r="DH589" s="44">
        <v>-75</v>
      </c>
      <c r="DI589" s="44">
        <v>-75</v>
      </c>
    </row>
    <row r="590" spans="1:113" s="24" customFormat="1" ht="12" outlineLevel="1">
      <c r="A590" s="1" t="s">
        <v>932</v>
      </c>
      <c r="B590" s="24" t="s">
        <v>575</v>
      </c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55"/>
      <c r="AE590" s="55"/>
      <c r="AF590" s="55"/>
      <c r="AG590" s="55"/>
      <c r="AH590" s="55"/>
      <c r="AI590" s="55"/>
      <c r="AJ590" s="55"/>
      <c r="AK590" s="55"/>
      <c r="AL590" s="55"/>
      <c r="AM590" s="55"/>
      <c r="AN590" s="55"/>
      <c r="AO590" s="55"/>
      <c r="AP590" s="526">
        <v>629</v>
      </c>
      <c r="AQ590" s="526">
        <v>1004</v>
      </c>
      <c r="AR590" s="526">
        <v>1289</v>
      </c>
      <c r="AS590" s="526">
        <v>1292</v>
      </c>
      <c r="AT590" s="526">
        <v>1336</v>
      </c>
      <c r="AU590" s="526">
        <v>1366</v>
      </c>
      <c r="AV590" s="526">
        <v>1396</v>
      </c>
      <c r="AW590" s="524">
        <v>1411</v>
      </c>
      <c r="AX590" s="526">
        <v>1437.9966651034194</v>
      </c>
      <c r="AY590" s="526">
        <v>1488.228438024549</v>
      </c>
      <c r="AZ590" s="526">
        <v>1551.4230792778817</v>
      </c>
      <c r="BA590" s="526">
        <v>1625.681167142053</v>
      </c>
      <c r="BB590" s="526">
        <v>1716.2153963868861</v>
      </c>
      <c r="BC590" s="526">
        <v>1766.2440499195143</v>
      </c>
      <c r="BD590" s="526">
        <v>1820.9377437962521</v>
      </c>
      <c r="BE590" s="526">
        <v>1877.1096031970289</v>
      </c>
      <c r="BF590" s="526">
        <v>1938.985319151227</v>
      </c>
      <c r="BG590" s="526">
        <v>1998.7443310864755</v>
      </c>
      <c r="BH590" s="526">
        <v>2064.5560745101729</v>
      </c>
      <c r="BI590" s="526">
        <v>2127.8141323074337</v>
      </c>
      <c r="BJ590" s="526">
        <v>2196.4696151413973</v>
      </c>
      <c r="BK590" s="526">
        <v>2262.6108660876212</v>
      </c>
      <c r="BL590" s="526">
        <v>2334.1645741352891</v>
      </c>
      <c r="BM590" s="526">
        <v>2405.0491871786385</v>
      </c>
      <c r="BN590" s="526">
        <v>2480.1733878568975</v>
      </c>
      <c r="BO590" s="526">
        <v>2553.4943304714398</v>
      </c>
      <c r="BP590" s="526">
        <v>2632.0416965428085</v>
      </c>
      <c r="BQ590" s="526">
        <v>2708.6069838998974</v>
      </c>
      <c r="BR590" s="526"/>
      <c r="BS590" s="55"/>
      <c r="BT590" s="55"/>
      <c r="BU590" s="55"/>
      <c r="BV590" s="55"/>
      <c r="BW590" s="55"/>
      <c r="BX590" s="55"/>
      <c r="BY590" s="55"/>
      <c r="BZ590" s="55"/>
      <c r="CA590" s="55"/>
      <c r="CB590" s="55"/>
      <c r="CC590" s="55"/>
      <c r="CD590" s="55"/>
      <c r="CE590" s="55"/>
      <c r="CF590" s="55"/>
      <c r="CG590" s="55"/>
      <c r="CH590" s="55"/>
      <c r="CI590" s="55"/>
      <c r="CJ590" s="55"/>
      <c r="CK590" s="55"/>
      <c r="CL590" s="55"/>
      <c r="CM590" s="55"/>
      <c r="CN590" s="55"/>
      <c r="CO590" s="55"/>
      <c r="CP590" s="55"/>
      <c r="CQ590" s="55"/>
      <c r="CR590" s="55"/>
      <c r="CS590" s="55"/>
      <c r="CT590" s="526">
        <v>193.49680000000001</v>
      </c>
      <c r="CU590" s="526">
        <v>528.20460000000003</v>
      </c>
      <c r="CV590" s="526">
        <v>1004</v>
      </c>
      <c r="CW590" s="526">
        <v>1291.9999999999998</v>
      </c>
      <c r="CX590" s="526">
        <v>1366</v>
      </c>
      <c r="CY590" s="524">
        <v>1411</v>
      </c>
      <c r="CZ590" s="526">
        <v>1488.2284380245487</v>
      </c>
      <c r="DA590" s="526">
        <v>1625.6811671420528</v>
      </c>
      <c r="DB590" s="526">
        <v>1766.2440499195141</v>
      </c>
      <c r="DC590" s="526">
        <v>1877.1096031970289</v>
      </c>
      <c r="DD590" s="526">
        <v>1998.7443310864755</v>
      </c>
      <c r="DE590" s="526">
        <v>2127.8141323074342</v>
      </c>
      <c r="DF590" s="526">
        <v>2262.6108660876216</v>
      </c>
      <c r="DG590" s="526">
        <v>2405.0491871786389</v>
      </c>
      <c r="DH590" s="526">
        <v>2553.4943304714402</v>
      </c>
      <c r="DI590" s="526">
        <v>2708.6069838998978</v>
      </c>
    </row>
    <row r="591" spans="1:113" s="24" customFormat="1" ht="12" outlineLevel="1">
      <c r="A591" s="1" t="s">
        <v>2424</v>
      </c>
      <c r="B591" s="19" t="s">
        <v>2425</v>
      </c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4">
        <v>0</v>
      </c>
      <c r="AQ591" s="44">
        <v>0</v>
      </c>
      <c r="AR591" s="44">
        <v>0</v>
      </c>
      <c r="AS591" s="44">
        <v>0</v>
      </c>
      <c r="AT591" s="44">
        <v>0</v>
      </c>
      <c r="AU591" s="44">
        <v>0</v>
      </c>
      <c r="AV591" s="44">
        <v>0</v>
      </c>
      <c r="AW591" s="45">
        <v>0</v>
      </c>
      <c r="AX591" s="44">
        <v>0</v>
      </c>
      <c r="AY591" s="44">
        <v>0</v>
      </c>
      <c r="AZ591" s="44">
        <v>0</v>
      </c>
      <c r="BA591" s="44">
        <v>0</v>
      </c>
      <c r="BB591" s="44">
        <v>0</v>
      </c>
      <c r="BC591" s="44">
        <v>0</v>
      </c>
      <c r="BD591" s="44">
        <v>0</v>
      </c>
      <c r="BE591" s="44">
        <v>0</v>
      </c>
      <c r="BF591" s="44">
        <v>0</v>
      </c>
      <c r="BG591" s="44">
        <v>0</v>
      </c>
      <c r="BH591" s="44">
        <v>0</v>
      </c>
      <c r="BI591" s="44">
        <v>0</v>
      </c>
      <c r="BJ591" s="44">
        <v>0</v>
      </c>
      <c r="BK591" s="44">
        <v>0</v>
      </c>
      <c r="BL591" s="44">
        <v>0</v>
      </c>
      <c r="BM591" s="44">
        <v>0</v>
      </c>
      <c r="BN591" s="44">
        <v>0</v>
      </c>
      <c r="BO591" s="44">
        <v>0</v>
      </c>
      <c r="BP591" s="44">
        <v>0</v>
      </c>
      <c r="BQ591" s="44">
        <v>0</v>
      </c>
      <c r="BR591" s="526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4">
        <v>0</v>
      </c>
      <c r="CU591" s="44">
        <v>0</v>
      </c>
      <c r="CV591" s="44">
        <v>0</v>
      </c>
      <c r="CW591" s="44">
        <v>0</v>
      </c>
      <c r="CX591" s="44">
        <v>0</v>
      </c>
      <c r="CY591" s="45">
        <v>0</v>
      </c>
      <c r="CZ591" s="44">
        <v>0</v>
      </c>
      <c r="DA591" s="44">
        <v>0</v>
      </c>
      <c r="DB591" s="44">
        <v>0</v>
      </c>
      <c r="DC591" s="44">
        <v>0</v>
      </c>
      <c r="DD591" s="44">
        <v>0</v>
      </c>
      <c r="DE591" s="44">
        <v>0</v>
      </c>
      <c r="DF591" s="44">
        <v>0</v>
      </c>
      <c r="DG591" s="44">
        <v>0</v>
      </c>
      <c r="DH591" s="44">
        <v>0</v>
      </c>
      <c r="DI591" s="44">
        <v>0</v>
      </c>
    </row>
    <row r="592" spans="1:113" s="24" customFormat="1" ht="12" outlineLevel="1">
      <c r="A592" s="1" t="s">
        <v>2426</v>
      </c>
      <c r="B592" s="19" t="s">
        <v>2427</v>
      </c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2"/>
      <c r="AK592" s="42"/>
      <c r="AL592" s="42"/>
      <c r="AM592" s="42"/>
      <c r="AN592" s="42"/>
      <c r="AO592" s="42"/>
      <c r="AP592" s="44">
        <v>0</v>
      </c>
      <c r="AQ592" s="44">
        <v>0</v>
      </c>
      <c r="AR592" s="44">
        <v>0</v>
      </c>
      <c r="AS592" s="44">
        <v>0</v>
      </c>
      <c r="AT592" s="44">
        <v>0</v>
      </c>
      <c r="AU592" s="44">
        <v>0</v>
      </c>
      <c r="AV592" s="44">
        <v>0</v>
      </c>
      <c r="AW592" s="45">
        <v>0</v>
      </c>
      <c r="AX592" s="44">
        <v>0</v>
      </c>
      <c r="AY592" s="44">
        <v>0</v>
      </c>
      <c r="AZ592" s="44">
        <v>0</v>
      </c>
      <c r="BA592" s="44">
        <v>0</v>
      </c>
      <c r="BB592" s="44">
        <v>0</v>
      </c>
      <c r="BC592" s="44">
        <v>0</v>
      </c>
      <c r="BD592" s="44">
        <v>0</v>
      </c>
      <c r="BE592" s="44">
        <v>0</v>
      </c>
      <c r="BF592" s="44">
        <v>0</v>
      </c>
      <c r="BG592" s="44">
        <v>0</v>
      </c>
      <c r="BH592" s="44">
        <v>0</v>
      </c>
      <c r="BI592" s="44">
        <v>0</v>
      </c>
      <c r="BJ592" s="44">
        <v>0</v>
      </c>
      <c r="BK592" s="44">
        <v>0</v>
      </c>
      <c r="BL592" s="44">
        <v>0</v>
      </c>
      <c r="BM592" s="44">
        <v>0</v>
      </c>
      <c r="BN592" s="44">
        <v>0</v>
      </c>
      <c r="BO592" s="44">
        <v>0</v>
      </c>
      <c r="BP592" s="44">
        <v>0</v>
      </c>
      <c r="BQ592" s="44">
        <v>0</v>
      </c>
      <c r="BR592" s="526"/>
      <c r="BS592" s="55"/>
      <c r="BT592" s="55"/>
      <c r="BU592" s="55"/>
      <c r="BV592" s="55"/>
      <c r="BW592" s="55"/>
      <c r="BX592" s="55"/>
      <c r="BY592" s="55"/>
      <c r="BZ592" s="55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4">
        <v>0</v>
      </c>
      <c r="CU592" s="44">
        <v>0</v>
      </c>
      <c r="CV592" s="44">
        <v>0</v>
      </c>
      <c r="CW592" s="44">
        <v>0</v>
      </c>
      <c r="CX592" s="44">
        <v>0</v>
      </c>
      <c r="CY592" s="45">
        <v>0</v>
      </c>
      <c r="CZ592" s="44">
        <v>0</v>
      </c>
      <c r="DA592" s="44">
        <v>0</v>
      </c>
      <c r="DB592" s="44">
        <v>0</v>
      </c>
      <c r="DC592" s="44">
        <v>0</v>
      </c>
      <c r="DD592" s="44">
        <v>0</v>
      </c>
      <c r="DE592" s="44">
        <v>0</v>
      </c>
      <c r="DF592" s="44">
        <v>0</v>
      </c>
      <c r="DG592" s="44">
        <v>0</v>
      </c>
      <c r="DH592" s="44">
        <v>0</v>
      </c>
      <c r="DI592" s="44">
        <v>0</v>
      </c>
    </row>
    <row r="593" spans="1:113" s="24" customFormat="1" ht="12" outlineLevel="1">
      <c r="A593" s="1" t="s">
        <v>2428</v>
      </c>
      <c r="B593" s="24" t="s">
        <v>2429</v>
      </c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55"/>
      <c r="AE593" s="55"/>
      <c r="AF593" s="55"/>
      <c r="AG593" s="55"/>
      <c r="AH593" s="55"/>
      <c r="AI593" s="55"/>
      <c r="AJ593" s="55"/>
      <c r="AK593" s="55"/>
      <c r="AL593" s="55"/>
      <c r="AM593" s="55"/>
      <c r="AN593" s="55"/>
      <c r="AO593" s="55"/>
      <c r="AP593" s="521">
        <v>629</v>
      </c>
      <c r="AQ593" s="521">
        <v>1004</v>
      </c>
      <c r="AR593" s="521">
        <v>1289</v>
      </c>
      <c r="AS593" s="521">
        <v>1292</v>
      </c>
      <c r="AT593" s="521">
        <v>1336</v>
      </c>
      <c r="AU593" s="521">
        <v>1366</v>
      </c>
      <c r="AV593" s="521">
        <v>1396</v>
      </c>
      <c r="AW593" s="522">
        <v>1411</v>
      </c>
      <c r="AX593" s="526">
        <v>1437.9966651034194</v>
      </c>
      <c r="AY593" s="526">
        <v>1488.228438024549</v>
      </c>
      <c r="AZ593" s="526">
        <v>1551.4230792778817</v>
      </c>
      <c r="BA593" s="526">
        <v>1625.681167142053</v>
      </c>
      <c r="BB593" s="526">
        <v>1716.2153963868861</v>
      </c>
      <c r="BC593" s="526">
        <v>1766.2440499195143</v>
      </c>
      <c r="BD593" s="526">
        <v>1820.9377437962521</v>
      </c>
      <c r="BE593" s="526">
        <v>1877.1096031970289</v>
      </c>
      <c r="BF593" s="526">
        <v>1938.985319151227</v>
      </c>
      <c r="BG593" s="526">
        <v>1998.7443310864755</v>
      </c>
      <c r="BH593" s="526">
        <v>2064.5560745101729</v>
      </c>
      <c r="BI593" s="526">
        <v>2127.8141323074337</v>
      </c>
      <c r="BJ593" s="526">
        <v>2196.4696151413973</v>
      </c>
      <c r="BK593" s="526">
        <v>2262.6108660876212</v>
      </c>
      <c r="BL593" s="526">
        <v>2334.1645741352891</v>
      </c>
      <c r="BM593" s="526">
        <v>2405.0491871786385</v>
      </c>
      <c r="BN593" s="526">
        <v>2480.1733878568975</v>
      </c>
      <c r="BO593" s="526">
        <v>2553.4943304714398</v>
      </c>
      <c r="BP593" s="526">
        <v>2632.0416965428085</v>
      </c>
      <c r="BQ593" s="526">
        <v>2708.6069838998974</v>
      </c>
      <c r="BR593" s="526"/>
      <c r="BS593" s="55"/>
      <c r="BT593" s="55"/>
      <c r="BU593" s="55"/>
      <c r="BV593" s="55"/>
      <c r="BW593" s="55"/>
      <c r="BX593" s="55"/>
      <c r="BY593" s="55"/>
      <c r="BZ593" s="55"/>
      <c r="CA593" s="55"/>
      <c r="CB593" s="55"/>
      <c r="CC593" s="55"/>
      <c r="CD593" s="55"/>
      <c r="CE593" s="55"/>
      <c r="CF593" s="55"/>
      <c r="CG593" s="55"/>
      <c r="CH593" s="55"/>
      <c r="CI593" s="55"/>
      <c r="CJ593" s="55"/>
      <c r="CK593" s="55"/>
      <c r="CL593" s="55"/>
      <c r="CM593" s="55"/>
      <c r="CN593" s="55"/>
      <c r="CO593" s="55"/>
      <c r="CP593" s="55"/>
      <c r="CQ593" s="55"/>
      <c r="CR593" s="55"/>
      <c r="CS593" s="55"/>
      <c r="CT593" s="521">
        <v>193.49680000000001</v>
      </c>
      <c r="CU593" s="521">
        <v>528.20460000000003</v>
      </c>
      <c r="CV593" s="526">
        <v>1004</v>
      </c>
      <c r="CW593" s="526">
        <v>1291.9999999999998</v>
      </c>
      <c r="CX593" s="526">
        <v>1366</v>
      </c>
      <c r="CY593" s="524">
        <v>1411</v>
      </c>
      <c r="CZ593" s="526">
        <v>1488.2284380245487</v>
      </c>
      <c r="DA593" s="526">
        <v>1625.6811671420528</v>
      </c>
      <c r="DB593" s="526">
        <v>1766.2440499195141</v>
      </c>
      <c r="DC593" s="526">
        <v>1877.1096031970289</v>
      </c>
      <c r="DD593" s="526">
        <v>1998.7443310864755</v>
      </c>
      <c r="DE593" s="526">
        <v>2127.8141323074342</v>
      </c>
      <c r="DF593" s="526">
        <v>2262.6108660876216</v>
      </c>
      <c r="DG593" s="526">
        <v>2405.0491871786389</v>
      </c>
      <c r="DH593" s="526">
        <v>2553.4943304714402</v>
      </c>
      <c r="DI593" s="526">
        <v>2708.6069838998978</v>
      </c>
    </row>
    <row r="594" spans="1:113" ht="12" outlineLevel="1"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4"/>
      <c r="AQ594" s="44"/>
      <c r="AR594" s="44"/>
      <c r="AS594" s="44"/>
      <c r="AT594" s="44"/>
      <c r="AU594" s="44"/>
      <c r="AV594" s="44"/>
      <c r="AW594" s="45"/>
      <c r="AX594" s="44"/>
      <c r="AY594" s="44"/>
      <c r="AZ594" s="44"/>
      <c r="BA594" s="44"/>
      <c r="BB594" s="44"/>
      <c r="BC594" s="44"/>
      <c r="BD594" s="44"/>
      <c r="BE594" s="44"/>
      <c r="BF594" s="44"/>
      <c r="BG594" s="44"/>
      <c r="BH594" s="44"/>
      <c r="BI594" s="44"/>
      <c r="BJ594" s="44"/>
      <c r="BK594" s="44"/>
      <c r="BL594" s="44"/>
      <c r="BM594" s="44"/>
      <c r="BN594" s="44"/>
      <c r="BO594" s="44"/>
      <c r="BP594" s="44"/>
      <c r="BQ594" s="44"/>
      <c r="BR594" s="44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4"/>
      <c r="CW594" s="44"/>
      <c r="CX594" s="44"/>
      <c r="CY594" s="45"/>
      <c r="CZ594" s="44"/>
      <c r="DA594" s="44"/>
      <c r="DB594" s="44"/>
      <c r="DC594" s="529"/>
      <c r="DD594" s="529"/>
      <c r="DE594" s="529"/>
      <c r="DF594" s="529"/>
      <c r="DG594" s="529"/>
      <c r="DH594" s="529"/>
      <c r="DI594" s="529"/>
    </row>
    <row r="595" spans="1:113" s="24" customFormat="1" ht="12" outlineLevel="1">
      <c r="A595" s="1" t="s">
        <v>933</v>
      </c>
      <c r="B595" s="24" t="s">
        <v>576</v>
      </c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55"/>
      <c r="AE595" s="55"/>
      <c r="AF595" s="55"/>
      <c r="AG595" s="55"/>
      <c r="AH595" s="55"/>
      <c r="AI595" s="55"/>
      <c r="AJ595" s="55"/>
      <c r="AK595" s="55"/>
      <c r="AL595" s="55"/>
      <c r="AM595" s="55"/>
      <c r="AN595" s="55"/>
      <c r="AO595" s="55"/>
      <c r="AP595" s="526">
        <v>258.08000000000004</v>
      </c>
      <c r="AQ595" s="526">
        <v>512.72</v>
      </c>
      <c r="AR595" s="526">
        <v>626.6</v>
      </c>
      <c r="AS595" s="526">
        <v>534.68000000000006</v>
      </c>
      <c r="AT595" s="526">
        <v>407.92000000000007</v>
      </c>
      <c r="AU595" s="526">
        <v>425.41499999999996</v>
      </c>
      <c r="AV595" s="526">
        <v>407.80499999999995</v>
      </c>
      <c r="AW595" s="524">
        <v>305.7349999999999</v>
      </c>
      <c r="AX595" s="526">
        <v>225.27161939823395</v>
      </c>
      <c r="AY595" s="526">
        <v>157.59149646942706</v>
      </c>
      <c r="AZ595" s="526">
        <v>110.5083834676368</v>
      </c>
      <c r="BA595" s="526">
        <v>67.062410289756826</v>
      </c>
      <c r="BB595" s="526">
        <v>84.827083420426789</v>
      </c>
      <c r="BC595" s="526">
        <v>58.686248276902006</v>
      </c>
      <c r="BD595" s="526">
        <v>33.651563838362335</v>
      </c>
      <c r="BE595" s="526">
        <v>6.3697618917535692</v>
      </c>
      <c r="BF595" s="526">
        <v>8.9534532926566044</v>
      </c>
      <c r="BG595" s="526">
        <v>7.5383304696345022</v>
      </c>
      <c r="BH595" s="526">
        <v>30.146062939121748</v>
      </c>
      <c r="BI595" s="526">
        <v>49.259644401607147</v>
      </c>
      <c r="BJ595" s="526">
        <v>72.80965723066538</v>
      </c>
      <c r="BK595" s="526">
        <v>92.863467091742677</v>
      </c>
      <c r="BL595" s="526">
        <v>117.32632659851561</v>
      </c>
      <c r="BM595" s="526">
        <v>140.09477824332589</v>
      </c>
      <c r="BN595" s="526">
        <v>166.05511995521829</v>
      </c>
      <c r="BO595" s="526">
        <v>189.14163150944341</v>
      </c>
      <c r="BP595" s="526">
        <v>216.36061934611189</v>
      </c>
      <c r="BQ595" s="526">
        <v>240.47969468520614</v>
      </c>
      <c r="BR595" s="526"/>
      <c r="BS595" s="55"/>
      <c r="BT595" s="55"/>
      <c r="BU595" s="55"/>
      <c r="BV595" s="55"/>
      <c r="BW595" s="55"/>
      <c r="BX595" s="55"/>
      <c r="BY595" s="55"/>
      <c r="BZ595" s="55"/>
      <c r="CA595" s="55"/>
      <c r="CB595" s="55"/>
      <c r="CC595" s="55"/>
      <c r="CD595" s="55"/>
      <c r="CE595" s="55"/>
      <c r="CF595" s="55"/>
      <c r="CG595" s="55"/>
      <c r="CH595" s="55"/>
      <c r="CI595" s="55"/>
      <c r="CJ595" s="55"/>
      <c r="CK595" s="55"/>
      <c r="CL595" s="55"/>
      <c r="CM595" s="55"/>
      <c r="CN595" s="55"/>
      <c r="CO595" s="55"/>
      <c r="CP595" s="55"/>
      <c r="CQ595" s="55"/>
      <c r="CR595" s="55"/>
      <c r="CS595" s="55"/>
      <c r="CT595" s="526">
        <v>135.80279999999999</v>
      </c>
      <c r="CU595" s="526">
        <v>230.94660000000005</v>
      </c>
      <c r="CV595" s="526">
        <v>512.72</v>
      </c>
      <c r="CW595" s="526">
        <v>534.67999999999984</v>
      </c>
      <c r="CX595" s="526">
        <v>425.41499999999996</v>
      </c>
      <c r="CY595" s="524">
        <v>305.7349999999999</v>
      </c>
      <c r="CZ595" s="526">
        <v>157.59149646942683</v>
      </c>
      <c r="DA595" s="526">
        <v>67.062410289756599</v>
      </c>
      <c r="DB595" s="526">
        <v>58.686248276901779</v>
      </c>
      <c r="DC595" s="526">
        <v>6.3697618917535692</v>
      </c>
      <c r="DD595" s="526">
        <v>7.5383304696345022</v>
      </c>
      <c r="DE595" s="526">
        <v>49.259644401607602</v>
      </c>
      <c r="DF595" s="526">
        <v>92.863467091743132</v>
      </c>
      <c r="DG595" s="526">
        <v>140.09477824332635</v>
      </c>
      <c r="DH595" s="526">
        <v>189.14163150944387</v>
      </c>
      <c r="DI595" s="526">
        <v>240.4796946852066</v>
      </c>
    </row>
    <row r="596" spans="1:113" ht="12" outlineLevel="1"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4"/>
      <c r="AQ596" s="44"/>
      <c r="AR596" s="44"/>
      <c r="AS596" s="44"/>
      <c r="AT596" s="44"/>
      <c r="AU596" s="44"/>
      <c r="AV596" s="44"/>
      <c r="AW596" s="45"/>
      <c r="AX596" s="44"/>
      <c r="AY596" s="44"/>
      <c r="AZ596" s="44"/>
      <c r="BA596" s="44"/>
      <c r="BB596" s="44"/>
      <c r="BC596" s="44"/>
      <c r="BD596" s="44"/>
      <c r="BE596" s="44"/>
      <c r="BF596" s="44"/>
      <c r="BG596" s="44"/>
      <c r="BH596" s="44"/>
      <c r="BI596" s="44"/>
      <c r="BJ596" s="44"/>
      <c r="BK596" s="44"/>
      <c r="BL596" s="44"/>
      <c r="BM596" s="44"/>
      <c r="BN596" s="44"/>
      <c r="BO596" s="44"/>
      <c r="BP596" s="44"/>
      <c r="BQ596" s="44"/>
      <c r="BR596" s="44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4"/>
      <c r="CW596" s="44"/>
      <c r="CX596" s="44"/>
      <c r="CY596" s="45"/>
      <c r="CZ596" s="44"/>
      <c r="DA596" s="44"/>
      <c r="DB596" s="44"/>
      <c r="DC596" s="529"/>
      <c r="DD596" s="529"/>
      <c r="DE596" s="529"/>
      <c r="DF596" s="529"/>
      <c r="DG596" s="529"/>
      <c r="DH596" s="529"/>
      <c r="DI596" s="529"/>
    </row>
    <row r="597" spans="1:113" s="24" customFormat="1" ht="12" outlineLevel="1">
      <c r="A597" s="1"/>
      <c r="B597" s="24" t="s">
        <v>577</v>
      </c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55"/>
      <c r="AE597" s="55"/>
      <c r="AF597" s="55"/>
      <c r="AG597" s="55"/>
      <c r="AH597" s="55"/>
      <c r="AI597" s="55"/>
      <c r="AJ597" s="55"/>
      <c r="AK597" s="55"/>
      <c r="AL597" s="55"/>
      <c r="AM597" s="55"/>
      <c r="AN597" s="55"/>
      <c r="AO597" s="55"/>
      <c r="AP597" s="526"/>
      <c r="AQ597" s="526"/>
      <c r="AR597" s="526"/>
      <c r="AS597" s="526"/>
      <c r="AT597" s="526"/>
      <c r="AU597" s="526"/>
      <c r="AV597" s="526"/>
      <c r="AW597" s="524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5"/>
      <c r="BT597" s="55"/>
      <c r="BU597" s="55"/>
      <c r="BV597" s="55"/>
      <c r="BW597" s="55"/>
      <c r="BX597" s="55"/>
      <c r="BY597" s="55"/>
      <c r="BZ597" s="55"/>
      <c r="CA597" s="55"/>
      <c r="CB597" s="55"/>
      <c r="CC597" s="55"/>
      <c r="CD597" s="55"/>
      <c r="CE597" s="55"/>
      <c r="CF597" s="55"/>
      <c r="CG597" s="55"/>
      <c r="CH597" s="55"/>
      <c r="CI597" s="55"/>
      <c r="CJ597" s="55"/>
      <c r="CK597" s="55"/>
      <c r="CL597" s="55"/>
      <c r="CM597" s="55"/>
      <c r="CN597" s="55"/>
      <c r="CO597" s="55"/>
      <c r="CP597" s="55"/>
      <c r="CQ597" s="55"/>
      <c r="CR597" s="55"/>
      <c r="CS597" s="55"/>
      <c r="CT597" s="55"/>
      <c r="CU597" s="55"/>
      <c r="CV597" s="526"/>
      <c r="CW597" s="526"/>
      <c r="CX597" s="526"/>
      <c r="CY597" s="524"/>
      <c r="CZ597" s="526"/>
      <c r="DA597" s="526"/>
      <c r="DB597" s="526"/>
      <c r="DC597" s="541"/>
      <c r="DD597" s="541"/>
      <c r="DE597" s="541"/>
      <c r="DF597" s="541"/>
      <c r="DG597" s="541"/>
      <c r="DH597" s="541"/>
      <c r="DI597" s="541"/>
    </row>
    <row r="598" spans="1:113" ht="12" outlineLevel="1">
      <c r="A598" s="1" t="s">
        <v>934</v>
      </c>
      <c r="B598" s="19" t="s">
        <v>403</v>
      </c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525">
        <v>19</v>
      </c>
      <c r="AQ598" s="525">
        <v>26</v>
      </c>
      <c r="AR598" s="525">
        <v>35</v>
      </c>
      <c r="AS598" s="525">
        <v>40</v>
      </c>
      <c r="AT598" s="525">
        <v>49</v>
      </c>
      <c r="AU598" s="525">
        <v>68</v>
      </c>
      <c r="AV598" s="525">
        <v>72</v>
      </c>
      <c r="AW598" s="523">
        <v>81</v>
      </c>
      <c r="AX598" s="44">
        <v>88.875273081224904</v>
      </c>
      <c r="AY598" s="44">
        <v>97.516516189298372</v>
      </c>
      <c r="AZ598" s="44">
        <v>105.598286710092</v>
      </c>
      <c r="BA598" s="44">
        <v>114.22429852120169</v>
      </c>
      <c r="BB598" s="44">
        <v>119.55725853101582</v>
      </c>
      <c r="BC598" s="44">
        <v>125.13938461188184</v>
      </c>
      <c r="BD598" s="44">
        <v>130.98232602732293</v>
      </c>
      <c r="BE598" s="44">
        <v>137.09827701567252</v>
      </c>
      <c r="BF598" s="44">
        <v>141.44352814442163</v>
      </c>
      <c r="BG598" s="44">
        <v>145.92671083402089</v>
      </c>
      <c r="BH598" s="44">
        <v>149.09294235975548</v>
      </c>
      <c r="BI598" s="44">
        <v>152.32809644779485</v>
      </c>
      <c r="BJ598" s="44">
        <v>155.63367752599541</v>
      </c>
      <c r="BK598" s="44">
        <v>159.01122293627878</v>
      </c>
      <c r="BL598" s="44">
        <v>162.46230365611743</v>
      </c>
      <c r="BM598" s="44">
        <v>165.98852503586048</v>
      </c>
      <c r="BN598" s="44">
        <v>169.59152755224858</v>
      </c>
      <c r="BO598" s="44">
        <v>173.27298757847367</v>
      </c>
      <c r="BP598" s="44">
        <v>177.03461817114663</v>
      </c>
      <c r="BQ598" s="44">
        <v>180.8781698745459</v>
      </c>
      <c r="BR598" s="44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2"/>
      <c r="CD598" s="42"/>
      <c r="CE598" s="42"/>
      <c r="CF598" s="42"/>
      <c r="CG598" s="42"/>
      <c r="CH598" s="42"/>
      <c r="CI598" s="42"/>
      <c r="CJ598" s="42"/>
      <c r="CK598" s="42"/>
      <c r="CL598" s="42"/>
      <c r="CM598" s="42"/>
      <c r="CN598" s="42"/>
      <c r="CO598" s="42"/>
      <c r="CP598" s="42"/>
      <c r="CQ598" s="42"/>
      <c r="CR598" s="42"/>
      <c r="CS598" s="42"/>
      <c r="CT598" s="525">
        <v>2.6628000000000043</v>
      </c>
      <c r="CU598" s="525">
        <v>16.006200000000035</v>
      </c>
      <c r="CV598" s="44">
        <v>26</v>
      </c>
      <c r="CW598" s="44">
        <v>40</v>
      </c>
      <c r="CX598" s="44">
        <v>68</v>
      </c>
      <c r="CY598" s="45">
        <v>81</v>
      </c>
      <c r="CZ598" s="44">
        <v>97.516516189298372</v>
      </c>
      <c r="DA598" s="44">
        <v>114.22429852120169</v>
      </c>
      <c r="DB598" s="44">
        <v>125.13938461188184</v>
      </c>
      <c r="DC598" s="44">
        <v>137.09827701567252</v>
      </c>
      <c r="DD598" s="44">
        <v>145.92671083402089</v>
      </c>
      <c r="DE598" s="44">
        <v>152.32809644779485</v>
      </c>
      <c r="DF598" s="44">
        <v>159.01122293627878</v>
      </c>
      <c r="DG598" s="44">
        <v>165.98852503586048</v>
      </c>
      <c r="DH598" s="44">
        <v>173.27298757847367</v>
      </c>
      <c r="DI598" s="44">
        <v>180.8781698745459</v>
      </c>
    </row>
    <row r="599" spans="1:113" ht="12" outlineLevel="1">
      <c r="A599" s="1" t="s">
        <v>935</v>
      </c>
      <c r="B599" s="19" t="s">
        <v>404</v>
      </c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4">
        <v>0</v>
      </c>
      <c r="AQ599" s="44">
        <v>0</v>
      </c>
      <c r="AR599" s="44">
        <v>0</v>
      </c>
      <c r="AS599" s="44">
        <v>0</v>
      </c>
      <c r="AT599" s="44">
        <v>0</v>
      </c>
      <c r="AU599" s="44">
        <v>0</v>
      </c>
      <c r="AV599" s="44">
        <v>0</v>
      </c>
      <c r="AW599" s="45">
        <v>0</v>
      </c>
      <c r="AX599" s="44">
        <v>0</v>
      </c>
      <c r="AY599" s="44">
        <v>0</v>
      </c>
      <c r="AZ599" s="44">
        <v>0</v>
      </c>
      <c r="BA599" s="44">
        <v>0</v>
      </c>
      <c r="BB599" s="44">
        <v>0</v>
      </c>
      <c r="BC599" s="44">
        <v>0</v>
      </c>
      <c r="BD599" s="44">
        <v>0</v>
      </c>
      <c r="BE599" s="44">
        <v>0</v>
      </c>
      <c r="BF599" s="44">
        <v>0</v>
      </c>
      <c r="BG599" s="44">
        <v>0</v>
      </c>
      <c r="BH599" s="44">
        <v>0</v>
      </c>
      <c r="BI599" s="44">
        <v>0</v>
      </c>
      <c r="BJ599" s="44">
        <v>0</v>
      </c>
      <c r="BK599" s="44">
        <v>0</v>
      </c>
      <c r="BL599" s="44">
        <v>0</v>
      </c>
      <c r="BM599" s="44">
        <v>0</v>
      </c>
      <c r="BN599" s="44">
        <v>0</v>
      </c>
      <c r="BO599" s="44">
        <v>0</v>
      </c>
      <c r="BP599" s="44">
        <v>0</v>
      </c>
      <c r="BQ599" s="44">
        <v>0</v>
      </c>
      <c r="BR599" s="44"/>
      <c r="BS599" s="40"/>
      <c r="BT599" s="40"/>
      <c r="BU599" s="40"/>
      <c r="BV599" s="40"/>
      <c r="BW599" s="40"/>
      <c r="BX599" s="40"/>
      <c r="BY599" s="40"/>
      <c r="BZ599" s="40"/>
      <c r="CA599" s="40"/>
      <c r="CB599" s="40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4">
        <v>0</v>
      </c>
      <c r="CU599" s="44">
        <v>0</v>
      </c>
      <c r="CV599" s="44">
        <v>0</v>
      </c>
      <c r="CW599" s="44">
        <v>0</v>
      </c>
      <c r="CX599" s="44">
        <v>0</v>
      </c>
      <c r="CY599" s="45">
        <v>0</v>
      </c>
      <c r="CZ599" s="44">
        <v>0</v>
      </c>
      <c r="DA599" s="44">
        <v>0</v>
      </c>
      <c r="DB599" s="44">
        <v>0</v>
      </c>
      <c r="DC599" s="44">
        <v>0</v>
      </c>
      <c r="DD599" s="44">
        <v>0</v>
      </c>
      <c r="DE599" s="44">
        <v>0</v>
      </c>
      <c r="DF599" s="44">
        <v>0</v>
      </c>
      <c r="DG599" s="44">
        <v>0</v>
      </c>
      <c r="DH599" s="44">
        <v>0</v>
      </c>
      <c r="DI599" s="44">
        <v>0</v>
      </c>
    </row>
    <row r="600" spans="1:113" ht="12" outlineLevel="1">
      <c r="A600" s="1" t="s">
        <v>936</v>
      </c>
      <c r="B600" s="19" t="s">
        <v>860</v>
      </c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525">
        <v>0</v>
      </c>
      <c r="AQ600" s="525">
        <v>50</v>
      </c>
      <c r="AR600" s="525">
        <v>50</v>
      </c>
      <c r="AS600" s="525">
        <v>50</v>
      </c>
      <c r="AT600" s="525">
        <v>50</v>
      </c>
      <c r="AU600" s="525">
        <v>115</v>
      </c>
      <c r="AV600" s="525">
        <v>115</v>
      </c>
      <c r="AW600" s="523">
        <v>115</v>
      </c>
      <c r="AX600" s="46">
        <v>115</v>
      </c>
      <c r="AY600" s="46">
        <v>115</v>
      </c>
      <c r="AZ600" s="46">
        <v>115</v>
      </c>
      <c r="BA600" s="46">
        <v>115</v>
      </c>
      <c r="BB600" s="46">
        <v>115</v>
      </c>
      <c r="BC600" s="46">
        <v>115</v>
      </c>
      <c r="BD600" s="46">
        <v>115</v>
      </c>
      <c r="BE600" s="46">
        <v>115</v>
      </c>
      <c r="BF600" s="46">
        <v>115</v>
      </c>
      <c r="BG600" s="46">
        <v>115</v>
      </c>
      <c r="BH600" s="46">
        <v>115</v>
      </c>
      <c r="BI600" s="46">
        <v>115</v>
      </c>
      <c r="BJ600" s="46">
        <v>115</v>
      </c>
      <c r="BK600" s="46">
        <v>115</v>
      </c>
      <c r="BL600" s="46">
        <v>115</v>
      </c>
      <c r="BM600" s="46">
        <v>115</v>
      </c>
      <c r="BN600" s="46">
        <v>115</v>
      </c>
      <c r="BO600" s="46">
        <v>115</v>
      </c>
      <c r="BP600" s="46">
        <v>115</v>
      </c>
      <c r="BQ600" s="46">
        <v>115</v>
      </c>
      <c r="BR600" s="44"/>
      <c r="BS600" s="40"/>
      <c r="BT600" s="40"/>
      <c r="BU600" s="40"/>
      <c r="BV600" s="40"/>
      <c r="BW600" s="40"/>
      <c r="BX600" s="40"/>
      <c r="BY600" s="40"/>
      <c r="BZ600" s="40"/>
      <c r="CA600" s="40"/>
      <c r="CB600" s="40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525">
        <v>0</v>
      </c>
      <c r="CU600" s="525">
        <v>0</v>
      </c>
      <c r="CV600" s="44">
        <v>50</v>
      </c>
      <c r="CW600" s="44">
        <v>50</v>
      </c>
      <c r="CX600" s="44">
        <v>115</v>
      </c>
      <c r="CY600" s="45">
        <v>115</v>
      </c>
      <c r="CZ600" s="44">
        <v>115</v>
      </c>
      <c r="DA600" s="44">
        <v>115</v>
      </c>
      <c r="DB600" s="44">
        <v>115</v>
      </c>
      <c r="DC600" s="44">
        <v>115</v>
      </c>
      <c r="DD600" s="44">
        <v>115</v>
      </c>
      <c r="DE600" s="44">
        <v>115</v>
      </c>
      <c r="DF600" s="44">
        <v>115</v>
      </c>
      <c r="DG600" s="44">
        <v>115</v>
      </c>
      <c r="DH600" s="44">
        <v>115</v>
      </c>
      <c r="DI600" s="44">
        <v>115</v>
      </c>
    </row>
    <row r="601" spans="1:113" ht="12" outlineLevel="1">
      <c r="A601" s="1" t="s">
        <v>737</v>
      </c>
      <c r="B601" s="19" t="s">
        <v>716</v>
      </c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/>
      <c r="AN601" s="42"/>
      <c r="AO601" s="42"/>
      <c r="AP601" s="525">
        <v>0</v>
      </c>
      <c r="AQ601" s="525">
        <v>0</v>
      </c>
      <c r="AR601" s="525">
        <v>0</v>
      </c>
      <c r="AS601" s="525">
        <v>0</v>
      </c>
      <c r="AT601" s="525">
        <v>0</v>
      </c>
      <c r="AU601" s="525">
        <v>0</v>
      </c>
      <c r="AV601" s="525">
        <v>0</v>
      </c>
      <c r="AW601" s="523">
        <v>0</v>
      </c>
      <c r="AX601" s="46">
        <v>0</v>
      </c>
      <c r="AY601" s="46">
        <v>0</v>
      </c>
      <c r="AZ601" s="46">
        <v>0</v>
      </c>
      <c r="BA601" s="46">
        <v>0</v>
      </c>
      <c r="BB601" s="46">
        <v>0</v>
      </c>
      <c r="BC601" s="46">
        <v>0</v>
      </c>
      <c r="BD601" s="46">
        <v>0</v>
      </c>
      <c r="BE601" s="46">
        <v>0</v>
      </c>
      <c r="BF601" s="46">
        <v>0</v>
      </c>
      <c r="BG601" s="46">
        <v>0</v>
      </c>
      <c r="BH601" s="46">
        <v>0</v>
      </c>
      <c r="BI601" s="46">
        <v>0</v>
      </c>
      <c r="BJ601" s="46">
        <v>0</v>
      </c>
      <c r="BK601" s="46">
        <v>0</v>
      </c>
      <c r="BL601" s="46">
        <v>0</v>
      </c>
      <c r="BM601" s="46">
        <v>0</v>
      </c>
      <c r="BN601" s="46">
        <v>0</v>
      </c>
      <c r="BO601" s="46">
        <v>0</v>
      </c>
      <c r="BP601" s="46">
        <v>0</v>
      </c>
      <c r="BQ601" s="46">
        <v>0</v>
      </c>
      <c r="BR601" s="44"/>
      <c r="BS601" s="40"/>
      <c r="BT601" s="40"/>
      <c r="BU601" s="40"/>
      <c r="BV601" s="40"/>
      <c r="BW601" s="40"/>
      <c r="BX601" s="40"/>
      <c r="BY601" s="40"/>
      <c r="BZ601" s="40"/>
      <c r="CA601" s="40"/>
      <c r="CB601" s="40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525">
        <v>0</v>
      </c>
      <c r="CU601" s="525">
        <v>0</v>
      </c>
      <c r="CV601" s="44">
        <v>0</v>
      </c>
      <c r="CW601" s="44">
        <v>0</v>
      </c>
      <c r="CX601" s="44">
        <v>0</v>
      </c>
      <c r="CY601" s="45">
        <v>0</v>
      </c>
      <c r="CZ601" s="44">
        <v>0</v>
      </c>
      <c r="DA601" s="44">
        <v>0</v>
      </c>
      <c r="DB601" s="44">
        <v>0</v>
      </c>
      <c r="DC601" s="44">
        <v>0</v>
      </c>
      <c r="DD601" s="44">
        <v>0</v>
      </c>
      <c r="DE601" s="44">
        <v>0</v>
      </c>
      <c r="DF601" s="44">
        <v>0</v>
      </c>
      <c r="DG601" s="44">
        <v>0</v>
      </c>
      <c r="DH601" s="44">
        <v>0</v>
      </c>
      <c r="DI601" s="44">
        <v>0</v>
      </c>
    </row>
    <row r="602" spans="1:113" ht="12" outlineLevel="1">
      <c r="A602" s="1" t="s">
        <v>738</v>
      </c>
      <c r="B602" s="19" t="s">
        <v>717</v>
      </c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4">
        <v>0</v>
      </c>
      <c r="AQ602" s="44">
        <v>0</v>
      </c>
      <c r="AR602" s="44">
        <v>0</v>
      </c>
      <c r="AS602" s="44">
        <v>0</v>
      </c>
      <c r="AT602" s="44">
        <v>0</v>
      </c>
      <c r="AU602" s="44">
        <v>0</v>
      </c>
      <c r="AV602" s="44">
        <v>0</v>
      </c>
      <c r="AW602" s="45">
        <v>0</v>
      </c>
      <c r="AX602" s="44">
        <v>0</v>
      </c>
      <c r="AY602" s="44">
        <v>0</v>
      </c>
      <c r="AZ602" s="44">
        <v>0</v>
      </c>
      <c r="BA602" s="44">
        <v>0</v>
      </c>
      <c r="BB602" s="44">
        <v>0</v>
      </c>
      <c r="BC602" s="44">
        <v>0</v>
      </c>
      <c r="BD602" s="44">
        <v>0</v>
      </c>
      <c r="BE602" s="44">
        <v>0</v>
      </c>
      <c r="BF602" s="44">
        <v>0</v>
      </c>
      <c r="BG602" s="44">
        <v>0</v>
      </c>
      <c r="BH602" s="44">
        <v>0</v>
      </c>
      <c r="BI602" s="44">
        <v>0</v>
      </c>
      <c r="BJ602" s="44">
        <v>0</v>
      </c>
      <c r="BK602" s="44">
        <v>0</v>
      </c>
      <c r="BL602" s="44">
        <v>0</v>
      </c>
      <c r="BM602" s="44">
        <v>0</v>
      </c>
      <c r="BN602" s="44">
        <v>0</v>
      </c>
      <c r="BO602" s="44">
        <v>0</v>
      </c>
      <c r="BP602" s="44">
        <v>0</v>
      </c>
      <c r="BQ602" s="44">
        <v>0</v>
      </c>
      <c r="BR602" s="44"/>
      <c r="BS602" s="40"/>
      <c r="BT602" s="40"/>
      <c r="BU602" s="40"/>
      <c r="BV602" s="40"/>
      <c r="BW602" s="40"/>
      <c r="BX602" s="40"/>
      <c r="BY602" s="40"/>
      <c r="BZ602" s="40"/>
      <c r="CA602" s="40"/>
      <c r="CB602" s="40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4">
        <v>0</v>
      </c>
      <c r="CU602" s="44">
        <v>0</v>
      </c>
      <c r="CV602" s="44">
        <v>0</v>
      </c>
      <c r="CW602" s="44">
        <v>0</v>
      </c>
      <c r="CX602" s="44">
        <v>0</v>
      </c>
      <c r="CY602" s="45">
        <v>0</v>
      </c>
      <c r="CZ602" s="44">
        <v>0</v>
      </c>
      <c r="DA602" s="44">
        <v>0</v>
      </c>
      <c r="DB602" s="44">
        <v>0</v>
      </c>
      <c r="DC602" s="44">
        <v>0</v>
      </c>
      <c r="DD602" s="44">
        <v>0</v>
      </c>
      <c r="DE602" s="44">
        <v>0</v>
      </c>
      <c r="DF602" s="44">
        <v>0</v>
      </c>
      <c r="DG602" s="44">
        <v>0</v>
      </c>
      <c r="DH602" s="44">
        <v>0</v>
      </c>
      <c r="DI602" s="44">
        <v>0</v>
      </c>
    </row>
    <row r="603" spans="1:113" ht="12" outlineLevel="1">
      <c r="A603" s="1" t="s">
        <v>739</v>
      </c>
      <c r="B603" s="19" t="s">
        <v>269</v>
      </c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4">
        <v>0</v>
      </c>
      <c r="AQ603" s="44">
        <v>0</v>
      </c>
      <c r="AR603" s="44">
        <v>0</v>
      </c>
      <c r="AS603" s="44">
        <v>0</v>
      </c>
      <c r="AT603" s="44">
        <v>0</v>
      </c>
      <c r="AU603" s="44">
        <v>0</v>
      </c>
      <c r="AV603" s="44">
        <v>0</v>
      </c>
      <c r="AW603" s="45">
        <v>0</v>
      </c>
      <c r="AX603" s="46">
        <v>0</v>
      </c>
      <c r="AY603" s="46">
        <v>0</v>
      </c>
      <c r="AZ603" s="46">
        <v>0</v>
      </c>
      <c r="BA603" s="46">
        <v>0</v>
      </c>
      <c r="BB603" s="46">
        <v>0</v>
      </c>
      <c r="BC603" s="46">
        <v>0</v>
      </c>
      <c r="BD603" s="46">
        <v>0</v>
      </c>
      <c r="BE603" s="46">
        <v>0</v>
      </c>
      <c r="BF603" s="46">
        <v>0</v>
      </c>
      <c r="BG603" s="46">
        <v>0</v>
      </c>
      <c r="BH603" s="46">
        <v>0</v>
      </c>
      <c r="BI603" s="46">
        <v>0</v>
      </c>
      <c r="BJ603" s="46">
        <v>0</v>
      </c>
      <c r="BK603" s="46">
        <v>0</v>
      </c>
      <c r="BL603" s="46">
        <v>0</v>
      </c>
      <c r="BM603" s="46">
        <v>0</v>
      </c>
      <c r="BN603" s="46">
        <v>0</v>
      </c>
      <c r="BO603" s="46">
        <v>0</v>
      </c>
      <c r="BP603" s="46">
        <v>0</v>
      </c>
      <c r="BQ603" s="46">
        <v>0</v>
      </c>
      <c r="BR603" s="44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4">
        <v>0</v>
      </c>
      <c r="CU603" s="44">
        <v>0</v>
      </c>
      <c r="CV603" s="44">
        <v>0</v>
      </c>
      <c r="CW603" s="44">
        <v>0</v>
      </c>
      <c r="CX603" s="44">
        <v>0</v>
      </c>
      <c r="CY603" s="45">
        <v>0</v>
      </c>
      <c r="CZ603" s="44">
        <v>0</v>
      </c>
      <c r="DA603" s="44">
        <v>0</v>
      </c>
      <c r="DB603" s="44">
        <v>0</v>
      </c>
      <c r="DC603" s="44">
        <v>0</v>
      </c>
      <c r="DD603" s="44">
        <v>0</v>
      </c>
      <c r="DE603" s="44">
        <v>0</v>
      </c>
      <c r="DF603" s="44">
        <v>0</v>
      </c>
      <c r="DG603" s="44">
        <v>0</v>
      </c>
      <c r="DH603" s="44">
        <v>0</v>
      </c>
      <c r="DI603" s="44">
        <v>0</v>
      </c>
    </row>
    <row r="604" spans="1:113" s="24" customFormat="1" ht="12" outlineLevel="1">
      <c r="A604" s="1" t="s">
        <v>740</v>
      </c>
      <c r="B604" s="24" t="s">
        <v>166</v>
      </c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55"/>
      <c r="AE604" s="55"/>
      <c r="AF604" s="55"/>
      <c r="AG604" s="55"/>
      <c r="AH604" s="55"/>
      <c r="AI604" s="55"/>
      <c r="AJ604" s="55"/>
      <c r="AK604" s="55"/>
      <c r="AL604" s="55"/>
      <c r="AM604" s="55"/>
      <c r="AN604" s="55"/>
      <c r="AO604" s="55"/>
      <c r="AP604" s="521">
        <v>19</v>
      </c>
      <c r="AQ604" s="521">
        <v>76</v>
      </c>
      <c r="AR604" s="521">
        <v>85</v>
      </c>
      <c r="AS604" s="521">
        <v>90</v>
      </c>
      <c r="AT604" s="521">
        <v>99</v>
      </c>
      <c r="AU604" s="521">
        <v>183</v>
      </c>
      <c r="AV604" s="521">
        <v>187</v>
      </c>
      <c r="AW604" s="522">
        <v>196</v>
      </c>
      <c r="AX604" s="526">
        <v>203.87527308122492</v>
      </c>
      <c r="AY604" s="526">
        <v>212.51651618929839</v>
      </c>
      <c r="AZ604" s="526">
        <v>220.598286710092</v>
      </c>
      <c r="BA604" s="526">
        <v>229.22429852120169</v>
      </c>
      <c r="BB604" s="526">
        <v>234.5572585310158</v>
      </c>
      <c r="BC604" s="526">
        <v>240.13938461188184</v>
      </c>
      <c r="BD604" s="526">
        <v>245.98232602732293</v>
      </c>
      <c r="BE604" s="526">
        <v>252.09827701567252</v>
      </c>
      <c r="BF604" s="526">
        <v>256.44352814442163</v>
      </c>
      <c r="BG604" s="526">
        <v>260.92671083402092</v>
      </c>
      <c r="BH604" s="526">
        <v>264.09294235975551</v>
      </c>
      <c r="BI604" s="526">
        <v>267.32809644779485</v>
      </c>
      <c r="BJ604" s="526">
        <v>270.63367752599538</v>
      </c>
      <c r="BK604" s="526">
        <v>274.01122293627878</v>
      </c>
      <c r="BL604" s="526">
        <v>277.46230365611746</v>
      </c>
      <c r="BM604" s="526">
        <v>280.98852503586045</v>
      </c>
      <c r="BN604" s="526">
        <v>284.59152755224858</v>
      </c>
      <c r="BO604" s="526">
        <v>288.2729875784737</v>
      </c>
      <c r="BP604" s="526">
        <v>292.03461817114663</v>
      </c>
      <c r="BQ604" s="526">
        <v>295.8781698745459</v>
      </c>
      <c r="BR604" s="526"/>
      <c r="BS604" s="54"/>
      <c r="BT604" s="54"/>
      <c r="BU604" s="54"/>
      <c r="BV604" s="54"/>
      <c r="BW604" s="54"/>
      <c r="BX604" s="54"/>
      <c r="BY604" s="54"/>
      <c r="BZ604" s="54"/>
      <c r="CA604" s="54"/>
      <c r="CB604" s="54"/>
      <c r="CC604" s="55"/>
      <c r="CD604" s="55"/>
      <c r="CE604" s="55"/>
      <c r="CF604" s="55"/>
      <c r="CG604" s="55"/>
      <c r="CH604" s="55"/>
      <c r="CI604" s="55"/>
      <c r="CJ604" s="55"/>
      <c r="CK604" s="55"/>
      <c r="CL604" s="55"/>
      <c r="CM604" s="55"/>
      <c r="CN604" s="55"/>
      <c r="CO604" s="55"/>
      <c r="CP604" s="55"/>
      <c r="CQ604" s="55"/>
      <c r="CR604" s="55"/>
      <c r="CS604" s="55"/>
      <c r="CT604" s="521">
        <v>2.6628000000000043</v>
      </c>
      <c r="CU604" s="521">
        <v>16.006200000000035</v>
      </c>
      <c r="CV604" s="526">
        <v>76</v>
      </c>
      <c r="CW604" s="526">
        <v>90</v>
      </c>
      <c r="CX604" s="526">
        <v>183</v>
      </c>
      <c r="CY604" s="524">
        <v>196</v>
      </c>
      <c r="CZ604" s="526">
        <v>212.51651618929839</v>
      </c>
      <c r="DA604" s="526">
        <v>229.22429852120169</v>
      </c>
      <c r="DB604" s="526">
        <v>240.13938461188184</v>
      </c>
      <c r="DC604" s="526">
        <v>252.09827701567252</v>
      </c>
      <c r="DD604" s="526">
        <v>260.92671083402092</v>
      </c>
      <c r="DE604" s="526">
        <v>267.32809644779485</v>
      </c>
      <c r="DF604" s="526">
        <v>274.01122293627878</v>
      </c>
      <c r="DG604" s="526">
        <v>280.98852503586045</v>
      </c>
      <c r="DH604" s="526">
        <v>288.2729875784737</v>
      </c>
      <c r="DI604" s="526">
        <v>295.8781698745459</v>
      </c>
    </row>
    <row r="605" spans="1:113" ht="12" outlineLevel="1"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4"/>
      <c r="AQ605" s="44"/>
      <c r="AR605" s="44"/>
      <c r="AS605" s="44"/>
      <c r="AT605" s="44"/>
      <c r="AU605" s="44"/>
      <c r="AV605" s="44"/>
      <c r="AW605" s="45"/>
      <c r="AX605" s="44"/>
      <c r="AY605" s="44"/>
      <c r="AZ605" s="44"/>
      <c r="BA605" s="44"/>
      <c r="BB605" s="44"/>
      <c r="BC605" s="44"/>
      <c r="BD605" s="44"/>
      <c r="BE605" s="44"/>
      <c r="BF605" s="44"/>
      <c r="BG605" s="44"/>
      <c r="BH605" s="44"/>
      <c r="BI605" s="44"/>
      <c r="BJ605" s="44"/>
      <c r="BK605" s="44"/>
      <c r="BL605" s="44"/>
      <c r="BM605" s="44"/>
      <c r="BN605" s="44"/>
      <c r="BO605" s="44"/>
      <c r="BP605" s="44"/>
      <c r="BQ605" s="44"/>
      <c r="BR605" s="44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4"/>
      <c r="CW605" s="44"/>
      <c r="CX605" s="44"/>
      <c r="CY605" s="45"/>
      <c r="CZ605" s="44"/>
      <c r="DA605" s="44"/>
      <c r="DB605" s="44"/>
      <c r="DC605" s="529"/>
      <c r="DD605" s="529"/>
      <c r="DE605" s="529"/>
      <c r="DF605" s="529"/>
      <c r="DG605" s="529"/>
      <c r="DH605" s="529"/>
      <c r="DI605" s="529"/>
    </row>
    <row r="606" spans="1:113" ht="12" outlineLevel="1">
      <c r="A606" s="1" t="s">
        <v>741</v>
      </c>
      <c r="B606" s="19" t="s">
        <v>718</v>
      </c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525">
        <v>0</v>
      </c>
      <c r="AQ606" s="525">
        <v>0</v>
      </c>
      <c r="AR606" s="525">
        <v>0</v>
      </c>
      <c r="AS606" s="525">
        <v>0</v>
      </c>
      <c r="AT606" s="525">
        <v>0</v>
      </c>
      <c r="AU606" s="525">
        <v>0</v>
      </c>
      <c r="AV606" s="525">
        <v>0</v>
      </c>
      <c r="AW606" s="523">
        <v>0</v>
      </c>
      <c r="AX606" s="44">
        <v>0</v>
      </c>
      <c r="AY606" s="44">
        <v>0</v>
      </c>
      <c r="AZ606" s="44">
        <v>0</v>
      </c>
      <c r="BA606" s="44">
        <v>0</v>
      </c>
      <c r="BB606" s="44">
        <v>0</v>
      </c>
      <c r="BC606" s="44">
        <v>0</v>
      </c>
      <c r="BD606" s="44">
        <v>0</v>
      </c>
      <c r="BE606" s="44">
        <v>0</v>
      </c>
      <c r="BF606" s="44">
        <v>0</v>
      </c>
      <c r="BG606" s="44">
        <v>0</v>
      </c>
      <c r="BH606" s="44">
        <v>0</v>
      </c>
      <c r="BI606" s="44">
        <v>0</v>
      </c>
      <c r="BJ606" s="44">
        <v>0</v>
      </c>
      <c r="BK606" s="44">
        <v>0</v>
      </c>
      <c r="BL606" s="44">
        <v>0</v>
      </c>
      <c r="BM606" s="44">
        <v>0</v>
      </c>
      <c r="BN606" s="44">
        <v>0</v>
      </c>
      <c r="BO606" s="44">
        <v>0</v>
      </c>
      <c r="BP606" s="44">
        <v>0</v>
      </c>
      <c r="BQ606" s="44">
        <v>0</v>
      </c>
      <c r="BR606" s="44"/>
      <c r="BS606" s="40"/>
      <c r="BT606" s="40"/>
      <c r="BU606" s="40"/>
      <c r="BV606" s="40"/>
      <c r="BW606" s="40"/>
      <c r="BX606" s="40"/>
      <c r="BY606" s="40"/>
      <c r="BZ606" s="40"/>
      <c r="CA606" s="40"/>
      <c r="CB606" s="40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/>
      <c r="CQ606" s="42"/>
      <c r="CR606" s="42"/>
      <c r="CS606" s="42"/>
      <c r="CT606" s="113">
        <v>0</v>
      </c>
      <c r="CU606" s="113">
        <v>0</v>
      </c>
      <c r="CV606" s="44">
        <v>0</v>
      </c>
      <c r="CW606" s="44">
        <v>0</v>
      </c>
      <c r="CX606" s="44">
        <v>0</v>
      </c>
      <c r="CY606" s="45">
        <v>0</v>
      </c>
      <c r="CZ606" s="44">
        <v>0</v>
      </c>
      <c r="DA606" s="44">
        <v>0</v>
      </c>
      <c r="DB606" s="44">
        <v>0</v>
      </c>
      <c r="DC606" s="44">
        <v>0</v>
      </c>
      <c r="DD606" s="44">
        <v>0</v>
      </c>
      <c r="DE606" s="44">
        <v>0</v>
      </c>
      <c r="DF606" s="44">
        <v>0</v>
      </c>
      <c r="DG606" s="44">
        <v>0</v>
      </c>
      <c r="DH606" s="44">
        <v>0</v>
      </c>
      <c r="DI606" s="44">
        <v>0</v>
      </c>
    </row>
    <row r="607" spans="1:113" s="24" customFormat="1" ht="12" outlineLevel="1">
      <c r="A607" s="1" t="s">
        <v>742</v>
      </c>
      <c r="B607" s="24" t="s">
        <v>719</v>
      </c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55"/>
      <c r="AE607" s="55"/>
      <c r="AF607" s="55"/>
      <c r="AG607" s="55"/>
      <c r="AH607" s="55"/>
      <c r="AI607" s="55"/>
      <c r="AJ607" s="55"/>
      <c r="AK607" s="55"/>
      <c r="AL607" s="55"/>
      <c r="AM607" s="55"/>
      <c r="AN607" s="55"/>
      <c r="AO607" s="55"/>
      <c r="AP607" s="526">
        <v>648</v>
      </c>
      <c r="AQ607" s="526">
        <v>1080</v>
      </c>
      <c r="AR607" s="526">
        <v>1374</v>
      </c>
      <c r="AS607" s="526">
        <v>1382</v>
      </c>
      <c r="AT607" s="526">
        <v>1435</v>
      </c>
      <c r="AU607" s="526">
        <v>1549</v>
      </c>
      <c r="AV607" s="526">
        <v>1658</v>
      </c>
      <c r="AW607" s="524">
        <v>1682</v>
      </c>
      <c r="AX607" s="526">
        <v>1716.8719381846445</v>
      </c>
      <c r="AY607" s="526">
        <v>1775.7449542138474</v>
      </c>
      <c r="AZ607" s="526">
        <v>1847.0213659879737</v>
      </c>
      <c r="BA607" s="526">
        <v>1929.9054656632547</v>
      </c>
      <c r="BB607" s="526">
        <v>2025.7726549179019</v>
      </c>
      <c r="BC607" s="526">
        <v>2081.3834345313962</v>
      </c>
      <c r="BD607" s="526">
        <v>2141.920069823575</v>
      </c>
      <c r="BE607" s="526">
        <v>2204.2078802127016</v>
      </c>
      <c r="BF607" s="526">
        <v>2270.4288472956487</v>
      </c>
      <c r="BG607" s="526">
        <v>2334.6710419204965</v>
      </c>
      <c r="BH607" s="526">
        <v>2403.6490168699283</v>
      </c>
      <c r="BI607" s="526">
        <v>2470.1422287552286</v>
      </c>
      <c r="BJ607" s="526">
        <v>2542.1032926673925</v>
      </c>
      <c r="BK607" s="526">
        <v>2611.6220890239001</v>
      </c>
      <c r="BL607" s="526">
        <v>2686.6268777914065</v>
      </c>
      <c r="BM607" s="526">
        <v>2761.0377122144992</v>
      </c>
      <c r="BN607" s="526">
        <v>2839.7649154091459</v>
      </c>
      <c r="BO607" s="526">
        <v>2916.7673180499132</v>
      </c>
      <c r="BP607" s="526">
        <v>2999.0763147139551</v>
      </c>
      <c r="BQ607" s="526">
        <v>3079.4851537744435</v>
      </c>
      <c r="BR607" s="526"/>
      <c r="BS607" s="55"/>
      <c r="BT607" s="55"/>
      <c r="BU607" s="55"/>
      <c r="BV607" s="55"/>
      <c r="BW607" s="55"/>
      <c r="BX607" s="55"/>
      <c r="BY607" s="55"/>
      <c r="BZ607" s="55"/>
      <c r="CA607" s="55"/>
      <c r="CB607" s="55"/>
      <c r="CC607" s="55"/>
      <c r="CD607" s="55"/>
      <c r="CE607" s="55"/>
      <c r="CF607" s="55"/>
      <c r="CG607" s="55"/>
      <c r="CH607" s="55"/>
      <c r="CI607" s="55"/>
      <c r="CJ607" s="55"/>
      <c r="CK607" s="55"/>
      <c r="CL607" s="55"/>
      <c r="CM607" s="55"/>
      <c r="CN607" s="55"/>
      <c r="CO607" s="55"/>
      <c r="CP607" s="55"/>
      <c r="CQ607" s="55"/>
      <c r="CR607" s="55"/>
      <c r="CS607" s="55"/>
      <c r="CT607" s="521">
        <v>196.15960000000001</v>
      </c>
      <c r="CU607" s="521">
        <v>544.21080000000006</v>
      </c>
      <c r="CV607" s="526">
        <v>1080</v>
      </c>
      <c r="CW607" s="526">
        <v>1381.9999999999998</v>
      </c>
      <c r="CX607" s="526">
        <v>1549</v>
      </c>
      <c r="CY607" s="524">
        <v>1682</v>
      </c>
      <c r="CZ607" s="526">
        <v>1775.744954213847</v>
      </c>
      <c r="DA607" s="526">
        <v>1929.9054656632545</v>
      </c>
      <c r="DB607" s="526">
        <v>2081.3834345313958</v>
      </c>
      <c r="DC607" s="526">
        <v>2204.2078802127016</v>
      </c>
      <c r="DD607" s="526">
        <v>2334.6710419204965</v>
      </c>
      <c r="DE607" s="526">
        <v>2470.1422287552291</v>
      </c>
      <c r="DF607" s="526">
        <v>2611.6220890239006</v>
      </c>
      <c r="DG607" s="526">
        <v>2761.0377122144992</v>
      </c>
      <c r="DH607" s="526">
        <v>2916.7673180499141</v>
      </c>
      <c r="DI607" s="526">
        <v>3079.4851537744439</v>
      </c>
    </row>
    <row r="608" spans="1:113" ht="12" outlineLevel="1"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P608" s="44"/>
      <c r="AQ608" s="44"/>
      <c r="AR608" s="44"/>
      <c r="AS608" s="44"/>
      <c r="AT608" s="44"/>
      <c r="AU608" s="44"/>
      <c r="AV608" s="44"/>
      <c r="AW608" s="45"/>
      <c r="AX608" s="44"/>
      <c r="AY608" s="44"/>
      <c r="AZ608" s="44"/>
      <c r="BA608" s="44"/>
      <c r="BB608" s="44"/>
      <c r="BC608" s="44"/>
      <c r="BD608" s="44"/>
      <c r="BE608" s="44"/>
      <c r="BF608" s="44"/>
      <c r="BG608" s="44"/>
      <c r="BH608" s="44"/>
      <c r="BI608" s="44"/>
      <c r="BJ608" s="44"/>
      <c r="BK608" s="44"/>
      <c r="BL608" s="44"/>
      <c r="BM608" s="44"/>
      <c r="BN608" s="44"/>
      <c r="BO608" s="44"/>
      <c r="BP608" s="44"/>
      <c r="BQ608" s="44"/>
      <c r="BR608" s="44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V608" s="44"/>
      <c r="CW608" s="44"/>
      <c r="CX608" s="44"/>
      <c r="CY608" s="45"/>
      <c r="CZ608" s="44"/>
      <c r="DA608" s="44"/>
      <c r="DB608" s="44"/>
      <c r="DC608" s="529"/>
      <c r="DD608" s="529"/>
      <c r="DE608" s="529"/>
      <c r="DF608" s="529"/>
      <c r="DG608" s="529"/>
      <c r="DH608" s="529"/>
      <c r="DI608" s="529"/>
    </row>
    <row r="609" spans="1:113" s="24" customFormat="1" ht="12" outlineLevel="1">
      <c r="A609" s="1"/>
      <c r="B609" s="24" t="s">
        <v>720</v>
      </c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609"/>
      <c r="AA609" s="555"/>
      <c r="AB609" s="55"/>
      <c r="AC609" s="42"/>
      <c r="AD609" s="606"/>
      <c r="AE609" s="606"/>
      <c r="AF609" s="606"/>
      <c r="AG609" s="42"/>
      <c r="AH609" s="42"/>
      <c r="AK609" s="42"/>
      <c r="AL609" s="42"/>
      <c r="AM609" s="42"/>
      <c r="AN609" s="42"/>
      <c r="AO609" s="42"/>
      <c r="AP609" s="525"/>
      <c r="AQ609" s="525"/>
      <c r="AR609" s="525"/>
      <c r="AS609" s="525"/>
      <c r="AT609" s="525"/>
      <c r="AU609" s="525"/>
      <c r="AV609" s="525"/>
      <c r="AW609" s="523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5"/>
      <c r="BT609" s="55"/>
      <c r="BU609" s="55"/>
      <c r="BV609" s="55"/>
      <c r="BW609" s="55"/>
      <c r="BX609" s="55"/>
      <c r="BY609" s="55"/>
      <c r="BZ609" s="55"/>
      <c r="CA609" s="55"/>
      <c r="CB609" s="55"/>
      <c r="CC609" s="55"/>
      <c r="CD609" s="55"/>
      <c r="CE609" s="55"/>
      <c r="CF609" s="55"/>
      <c r="CG609" s="55"/>
      <c r="CH609" s="55"/>
      <c r="CI609" s="55"/>
      <c r="CJ609" s="55"/>
      <c r="CK609" s="55"/>
      <c r="CL609" s="55"/>
      <c r="CM609" s="55"/>
      <c r="CN609" s="55"/>
      <c r="CO609" s="55"/>
      <c r="CP609" s="55"/>
      <c r="CQ609" s="55"/>
      <c r="CR609" s="55"/>
      <c r="CS609" s="55"/>
      <c r="CT609" s="113"/>
      <c r="CU609" s="113"/>
      <c r="CV609" s="634"/>
      <c r="CW609" s="634"/>
      <c r="CX609" s="634"/>
      <c r="CY609" s="547"/>
      <c r="CZ609" s="526"/>
      <c r="DA609" s="526"/>
      <c r="DB609" s="526"/>
      <c r="DC609" s="541"/>
      <c r="DD609" s="541"/>
      <c r="DE609" s="541"/>
      <c r="DF609" s="541"/>
      <c r="DG609" s="541"/>
      <c r="DH609" s="541"/>
      <c r="DI609" s="541"/>
    </row>
    <row r="610" spans="1:113" ht="12" outlineLevel="1">
      <c r="A610" s="1" t="s">
        <v>743</v>
      </c>
      <c r="B610" s="19" t="s">
        <v>762</v>
      </c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525">
        <v>0</v>
      </c>
      <c r="AQ610" s="525">
        <v>0</v>
      </c>
      <c r="AR610" s="525">
        <v>0</v>
      </c>
      <c r="AS610" s="525">
        <v>0</v>
      </c>
      <c r="AT610" s="525">
        <v>0</v>
      </c>
      <c r="AU610" s="525">
        <v>0</v>
      </c>
      <c r="AV610" s="525">
        <v>0</v>
      </c>
      <c r="AW610" s="523">
        <v>0</v>
      </c>
      <c r="AX610" s="44">
        <v>0</v>
      </c>
      <c r="AY610" s="44">
        <v>0</v>
      </c>
      <c r="AZ610" s="44">
        <v>0</v>
      </c>
      <c r="BA610" s="44">
        <v>0</v>
      </c>
      <c r="BB610" s="44">
        <v>0</v>
      </c>
      <c r="BC610" s="44">
        <v>0</v>
      </c>
      <c r="BD610" s="44">
        <v>0</v>
      </c>
      <c r="BE610" s="44">
        <v>0</v>
      </c>
      <c r="BF610" s="44">
        <v>0</v>
      </c>
      <c r="BG610" s="44">
        <v>0</v>
      </c>
      <c r="BH610" s="44">
        <v>0</v>
      </c>
      <c r="BI610" s="44">
        <v>0</v>
      </c>
      <c r="BJ610" s="44">
        <v>0</v>
      </c>
      <c r="BK610" s="44">
        <v>0</v>
      </c>
      <c r="BL610" s="44">
        <v>0</v>
      </c>
      <c r="BM610" s="44">
        <v>0</v>
      </c>
      <c r="BN610" s="44">
        <v>0</v>
      </c>
      <c r="BO610" s="44">
        <v>0</v>
      </c>
      <c r="BP610" s="44">
        <v>0</v>
      </c>
      <c r="BQ610" s="44">
        <v>0</v>
      </c>
      <c r="BR610" s="44"/>
      <c r="BS610" s="40"/>
      <c r="BT610" s="40"/>
      <c r="BU610" s="40"/>
      <c r="BV610" s="40"/>
      <c r="BW610" s="40"/>
      <c r="BX610" s="40"/>
      <c r="BY610" s="40"/>
      <c r="BZ610" s="40"/>
      <c r="CA610" s="40"/>
      <c r="CB610" s="40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525">
        <v>0</v>
      </c>
      <c r="CU610" s="525">
        <v>0</v>
      </c>
      <c r="CV610" s="44">
        <v>0</v>
      </c>
      <c r="CW610" s="44">
        <v>0</v>
      </c>
      <c r="CX610" s="44">
        <v>0</v>
      </c>
      <c r="CY610" s="45">
        <v>0</v>
      </c>
      <c r="CZ610" s="44">
        <v>0</v>
      </c>
      <c r="DA610" s="44">
        <v>0</v>
      </c>
      <c r="DB610" s="44">
        <v>0</v>
      </c>
      <c r="DC610" s="44">
        <v>0</v>
      </c>
      <c r="DD610" s="44">
        <v>0</v>
      </c>
      <c r="DE610" s="44">
        <v>0</v>
      </c>
      <c r="DF610" s="44">
        <v>0</v>
      </c>
      <c r="DG610" s="44">
        <v>0</v>
      </c>
      <c r="DH610" s="44">
        <v>0</v>
      </c>
      <c r="DI610" s="44">
        <v>0</v>
      </c>
    </row>
    <row r="611" spans="1:113" ht="12" outlineLevel="1">
      <c r="A611" s="1" t="s">
        <v>890</v>
      </c>
      <c r="B611" s="19" t="s">
        <v>623</v>
      </c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643">
        <v>2443.11</v>
      </c>
      <c r="AQ611" s="643">
        <v>3236.56</v>
      </c>
      <c r="AR611" s="525">
        <v>4943</v>
      </c>
      <c r="AS611" s="525">
        <v>5662</v>
      </c>
      <c r="AT611" s="525">
        <v>7012</v>
      </c>
      <c r="AU611" s="525">
        <v>7436</v>
      </c>
      <c r="AV611" s="525">
        <v>7812</v>
      </c>
      <c r="AW611" s="523">
        <v>8737</v>
      </c>
      <c r="AX611" s="44">
        <v>9586.4600112427397</v>
      </c>
      <c r="AY611" s="44">
        <v>10518.540764764195</v>
      </c>
      <c r="AZ611" s="44">
        <v>11390.274456618195</v>
      </c>
      <c r="BA611" s="44">
        <v>12320.712298515298</v>
      </c>
      <c r="BB611" s="44">
        <v>12895.94775043809</v>
      </c>
      <c r="BC611" s="44">
        <v>13498.059300666813</v>
      </c>
      <c r="BD611" s="44">
        <v>14128.303487663215</v>
      </c>
      <c r="BE611" s="44">
        <v>14787.995633159642</v>
      </c>
      <c r="BF611" s="44">
        <v>15256.692659232249</v>
      </c>
      <c r="BG611" s="44">
        <v>15740.267562430134</v>
      </c>
      <c r="BH611" s="44">
        <v>16081.790585150418</v>
      </c>
      <c r="BI611" s="44">
        <v>16430.747884745477</v>
      </c>
      <c r="BJ611" s="44">
        <v>16787.301735118788</v>
      </c>
      <c r="BK611" s="44">
        <v>17151.61796042306</v>
      </c>
      <c r="BL611" s="44">
        <v>17523.866012882696</v>
      </c>
      <c r="BM611" s="44">
        <v>17904.219052324854</v>
      </c>
      <c r="BN611" s="44">
        <v>18292.854027456742</v>
      </c>
      <c r="BO611" s="44">
        <v>18689.951758927466</v>
      </c>
      <c r="BP611" s="44">
        <v>19095.697024213685</v>
      </c>
      <c r="BQ611" s="44">
        <v>19510.278644369231</v>
      </c>
      <c r="BR611" s="44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525">
        <v>219.21024</v>
      </c>
      <c r="CU611" s="525">
        <v>1681.2774199999999</v>
      </c>
      <c r="CV611" s="44">
        <v>3236.56</v>
      </c>
      <c r="CW611" s="44">
        <v>5662</v>
      </c>
      <c r="CX611" s="44">
        <v>7436</v>
      </c>
      <c r="CY611" s="45">
        <v>8737</v>
      </c>
      <c r="CZ611" s="44">
        <v>10518.540764764195</v>
      </c>
      <c r="DA611" s="44">
        <v>12320.712298515298</v>
      </c>
      <c r="DB611" s="44">
        <v>13498.059300666813</v>
      </c>
      <c r="DC611" s="44">
        <v>14787.995633159642</v>
      </c>
      <c r="DD611" s="44">
        <v>15740.267562430134</v>
      </c>
      <c r="DE611" s="44">
        <v>16430.747884745477</v>
      </c>
      <c r="DF611" s="44">
        <v>17151.61796042306</v>
      </c>
      <c r="DG611" s="44">
        <v>17904.219052324854</v>
      </c>
      <c r="DH611" s="44">
        <v>18689.951758927466</v>
      </c>
      <c r="DI611" s="44">
        <v>19510.278644369231</v>
      </c>
    </row>
    <row r="612" spans="1:113" ht="12" outlineLevel="1">
      <c r="A612" s="1" t="s">
        <v>891</v>
      </c>
      <c r="B612" s="19" t="s">
        <v>411</v>
      </c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4">
        <v>647.88999999999987</v>
      </c>
      <c r="AQ612" s="44">
        <v>857.44</v>
      </c>
      <c r="AR612" s="44">
        <v>577</v>
      </c>
      <c r="AS612" s="44">
        <v>649</v>
      </c>
      <c r="AT612" s="44">
        <v>722</v>
      </c>
      <c r="AU612" s="44">
        <v>743</v>
      </c>
      <c r="AV612" s="44">
        <v>781</v>
      </c>
      <c r="AW612" s="45">
        <v>874</v>
      </c>
      <c r="AX612" s="44">
        <v>958.9751688023523</v>
      </c>
      <c r="AY612" s="44">
        <v>1052.2152487586022</v>
      </c>
      <c r="AZ612" s="44">
        <v>1139.4185504274124</v>
      </c>
      <c r="BA612" s="44">
        <v>1232.4942828090154</v>
      </c>
      <c r="BB612" s="44">
        <v>1290.0375797050337</v>
      </c>
      <c r="BC612" s="44">
        <v>1350.269409268946</v>
      </c>
      <c r="BD612" s="44">
        <v>1413.315468492347</v>
      </c>
      <c r="BE612" s="44">
        <v>1479.3073347123168</v>
      </c>
      <c r="BF612" s="44">
        <v>1526.1931308422763</v>
      </c>
      <c r="BG612" s="44">
        <v>1574.5672255423965</v>
      </c>
      <c r="BH612" s="44">
        <v>1608.7312545978534</v>
      </c>
      <c r="BI612" s="44">
        <v>1643.6389666095365</v>
      </c>
      <c r="BJ612" s="44">
        <v>1679.3065945397498</v>
      </c>
      <c r="BK612" s="44">
        <v>1715.7507264976221</v>
      </c>
      <c r="BL612" s="44">
        <v>1752.9883135240293</v>
      </c>
      <c r="BM612" s="44">
        <v>1791.036677547429</v>
      </c>
      <c r="BN612" s="44">
        <v>1829.9135195143829</v>
      </c>
      <c r="BO612" s="44">
        <v>1869.6369276985897</v>
      </c>
      <c r="BP612" s="44">
        <v>1910.2253861923703</v>
      </c>
      <c r="BQ612" s="44">
        <v>1951.6977835846035</v>
      </c>
      <c r="BR612" s="44"/>
      <c r="BS612" s="40"/>
      <c r="BT612" s="40"/>
      <c r="BU612" s="40"/>
      <c r="BV612" s="40"/>
      <c r="BW612" s="40"/>
      <c r="BX612" s="40"/>
      <c r="BY612" s="40"/>
      <c r="BZ612" s="40"/>
      <c r="CA612" s="40"/>
      <c r="CB612" s="40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4">
        <v>224.58976000000001</v>
      </c>
      <c r="CU612" s="44">
        <v>605.32258000000002</v>
      </c>
      <c r="CV612" s="44">
        <v>857.44</v>
      </c>
      <c r="CW612" s="44">
        <v>649</v>
      </c>
      <c r="CX612" s="44">
        <v>743</v>
      </c>
      <c r="CY612" s="45">
        <v>874</v>
      </c>
      <c r="CZ612" s="44">
        <v>1052.2152487586022</v>
      </c>
      <c r="DA612" s="44">
        <v>1232.4942828090154</v>
      </c>
      <c r="DB612" s="44">
        <v>1350.269409268946</v>
      </c>
      <c r="DC612" s="44">
        <v>1479.3073347123168</v>
      </c>
      <c r="DD612" s="44">
        <v>1574.5672255423965</v>
      </c>
      <c r="DE612" s="44">
        <v>1643.6389666095365</v>
      </c>
      <c r="DF612" s="44">
        <v>1715.7507264976221</v>
      </c>
      <c r="DG612" s="44">
        <v>1791.036677547429</v>
      </c>
      <c r="DH612" s="44">
        <v>1869.6369276985897</v>
      </c>
      <c r="DI612" s="44">
        <v>1951.6977835846035</v>
      </c>
    </row>
    <row r="613" spans="1:113" s="24" customFormat="1" ht="12" outlineLevel="1">
      <c r="A613" s="1" t="s">
        <v>892</v>
      </c>
      <c r="B613" s="24" t="s">
        <v>166</v>
      </c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55"/>
      <c r="AE613" s="55"/>
      <c r="AF613" s="55"/>
      <c r="AG613" s="55"/>
      <c r="AH613" s="55"/>
      <c r="AI613" s="55"/>
      <c r="AJ613" s="55"/>
      <c r="AK613" s="55"/>
      <c r="AL613" s="55"/>
      <c r="AM613" s="55"/>
      <c r="AN613" s="55"/>
      <c r="AO613" s="55"/>
      <c r="AP613" s="521">
        <v>3091</v>
      </c>
      <c r="AQ613" s="521">
        <v>4094</v>
      </c>
      <c r="AR613" s="521">
        <v>5520</v>
      </c>
      <c r="AS613" s="521">
        <v>6311</v>
      </c>
      <c r="AT613" s="521">
        <v>7734</v>
      </c>
      <c r="AU613" s="521">
        <v>8179</v>
      </c>
      <c r="AV613" s="521">
        <v>8593</v>
      </c>
      <c r="AW613" s="522">
        <v>9611</v>
      </c>
      <c r="AX613" s="526">
        <v>10545.435180045091</v>
      </c>
      <c r="AY613" s="526">
        <v>11570.756013522798</v>
      </c>
      <c r="AZ613" s="526">
        <v>12529.693007045607</v>
      </c>
      <c r="BA613" s="526">
        <v>13553.206581324313</v>
      </c>
      <c r="BB613" s="526">
        <v>14185.985330143125</v>
      </c>
      <c r="BC613" s="526">
        <v>14848.328709935759</v>
      </c>
      <c r="BD613" s="526">
        <v>15541.618956155562</v>
      </c>
      <c r="BE613" s="526">
        <v>16267.302967871959</v>
      </c>
      <c r="BF613" s="526">
        <v>16782.885790074524</v>
      </c>
      <c r="BG613" s="526">
        <v>17314.83478797253</v>
      </c>
      <c r="BH613" s="526">
        <v>17690.521839748271</v>
      </c>
      <c r="BI613" s="526">
        <v>18074.386851355011</v>
      </c>
      <c r="BJ613" s="526">
        <v>18466.608329658538</v>
      </c>
      <c r="BK613" s="526">
        <v>18867.368686920683</v>
      </c>
      <c r="BL613" s="526">
        <v>19276.854326406727</v>
      </c>
      <c r="BM613" s="526">
        <v>19695.255729872282</v>
      </c>
      <c r="BN613" s="526">
        <v>20122.767546971125</v>
      </c>
      <c r="BO613" s="526">
        <v>20559.588686626055</v>
      </c>
      <c r="BP613" s="526">
        <v>21005.922410406056</v>
      </c>
      <c r="BQ613" s="526">
        <v>21461.976427953836</v>
      </c>
      <c r="BR613" s="526"/>
      <c r="BS613" s="54"/>
      <c r="BT613" s="54"/>
      <c r="BU613" s="54"/>
      <c r="BV613" s="54"/>
      <c r="BW613" s="54"/>
      <c r="BX613" s="54"/>
      <c r="BY613" s="54"/>
      <c r="BZ613" s="54"/>
      <c r="CA613" s="54"/>
      <c r="CB613" s="54"/>
      <c r="CC613" s="55"/>
      <c r="CD613" s="55"/>
      <c r="CE613" s="55"/>
      <c r="CF613" s="55"/>
      <c r="CG613" s="55"/>
      <c r="CH613" s="55"/>
      <c r="CI613" s="55"/>
      <c r="CJ613" s="55"/>
      <c r="CK613" s="55"/>
      <c r="CL613" s="55"/>
      <c r="CM613" s="55"/>
      <c r="CN613" s="55"/>
      <c r="CO613" s="55"/>
      <c r="CP613" s="55"/>
      <c r="CQ613" s="55"/>
      <c r="CR613" s="55"/>
      <c r="CS613" s="55"/>
      <c r="CT613" s="521">
        <v>443.8</v>
      </c>
      <c r="CU613" s="521">
        <v>2286.6</v>
      </c>
      <c r="CV613" s="526">
        <v>4094</v>
      </c>
      <c r="CW613" s="526">
        <v>6311</v>
      </c>
      <c r="CX613" s="526">
        <v>8179</v>
      </c>
      <c r="CY613" s="524">
        <v>9611</v>
      </c>
      <c r="CZ613" s="526">
        <v>11570.756013522798</v>
      </c>
      <c r="DA613" s="526">
        <v>13553.206581324313</v>
      </c>
      <c r="DB613" s="526">
        <v>14848.328709935759</v>
      </c>
      <c r="DC613" s="526">
        <v>16267.302967871959</v>
      </c>
      <c r="DD613" s="526">
        <v>17314.83478797253</v>
      </c>
      <c r="DE613" s="526">
        <v>18074.386851355011</v>
      </c>
      <c r="DF613" s="526">
        <v>18867.368686920683</v>
      </c>
      <c r="DG613" s="526">
        <v>19695.255729872282</v>
      </c>
      <c r="DH613" s="526">
        <v>20559.588686626055</v>
      </c>
      <c r="DI613" s="526">
        <v>21461.976427953836</v>
      </c>
    </row>
    <row r="614" spans="1:113" s="24" customFormat="1" ht="12" outlineLevel="1">
      <c r="A614" s="1" t="s">
        <v>2430</v>
      </c>
      <c r="B614" s="19" t="s">
        <v>2431</v>
      </c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525">
        <v>0</v>
      </c>
      <c r="AQ614" s="525">
        <v>0</v>
      </c>
      <c r="AR614" s="525">
        <v>0</v>
      </c>
      <c r="AS614" s="525">
        <v>0</v>
      </c>
      <c r="AT614" s="525">
        <v>0</v>
      </c>
      <c r="AU614" s="525">
        <v>0</v>
      </c>
      <c r="AV614" s="525">
        <v>0</v>
      </c>
      <c r="AW614" s="523">
        <v>0</v>
      </c>
      <c r="AX614" s="44">
        <v>0</v>
      </c>
      <c r="AY614" s="44">
        <v>0</v>
      </c>
      <c r="AZ614" s="44">
        <v>0</v>
      </c>
      <c r="BA614" s="44">
        <v>0</v>
      </c>
      <c r="BB614" s="44">
        <v>0</v>
      </c>
      <c r="BC614" s="44">
        <v>0</v>
      </c>
      <c r="BD614" s="44">
        <v>0</v>
      </c>
      <c r="BE614" s="44">
        <v>0</v>
      </c>
      <c r="BF614" s="44">
        <v>0</v>
      </c>
      <c r="BG614" s="44">
        <v>0</v>
      </c>
      <c r="BH614" s="44">
        <v>0</v>
      </c>
      <c r="BI614" s="44">
        <v>0</v>
      </c>
      <c r="BJ614" s="44">
        <v>0</v>
      </c>
      <c r="BK614" s="44">
        <v>0</v>
      </c>
      <c r="BL614" s="44">
        <v>0</v>
      </c>
      <c r="BM614" s="44">
        <v>0</v>
      </c>
      <c r="BN614" s="44">
        <v>0</v>
      </c>
      <c r="BO614" s="44">
        <v>0</v>
      </c>
      <c r="BP614" s="44">
        <v>0</v>
      </c>
      <c r="BQ614" s="44">
        <v>0</v>
      </c>
      <c r="BR614" s="526"/>
      <c r="BS614" s="54"/>
      <c r="BT614" s="54"/>
      <c r="BU614" s="54"/>
      <c r="BV614" s="54"/>
      <c r="BW614" s="54"/>
      <c r="BX614" s="54"/>
      <c r="BY614" s="54"/>
      <c r="BZ614" s="54"/>
      <c r="CA614" s="54"/>
      <c r="CB614" s="54"/>
      <c r="CC614" s="55"/>
      <c r="CD614" s="55"/>
      <c r="CE614" s="55"/>
      <c r="CF614" s="55"/>
      <c r="CG614" s="55"/>
      <c r="CH614" s="55"/>
      <c r="CI614" s="55"/>
      <c r="CJ614" s="55"/>
      <c r="CK614" s="55"/>
      <c r="CL614" s="55"/>
      <c r="CM614" s="55"/>
      <c r="CN614" s="42"/>
      <c r="CO614" s="42"/>
      <c r="CP614" s="42"/>
      <c r="CQ614" s="42"/>
      <c r="CR614" s="42"/>
      <c r="CS614" s="42"/>
      <c r="CT614" s="525">
        <v>0</v>
      </c>
      <c r="CU614" s="525">
        <v>0</v>
      </c>
      <c r="CV614" s="44">
        <v>0</v>
      </c>
      <c r="CW614" s="44">
        <v>0</v>
      </c>
      <c r="CX614" s="44">
        <v>0</v>
      </c>
      <c r="CY614" s="45">
        <v>0</v>
      </c>
      <c r="CZ614" s="44">
        <v>0</v>
      </c>
      <c r="DA614" s="44">
        <v>0</v>
      </c>
      <c r="DB614" s="44">
        <v>0</v>
      </c>
      <c r="DC614" s="44">
        <v>0</v>
      </c>
      <c r="DD614" s="44">
        <v>0</v>
      </c>
      <c r="DE614" s="44">
        <v>0</v>
      </c>
      <c r="DF614" s="44">
        <v>0</v>
      </c>
      <c r="DG614" s="44">
        <v>0</v>
      </c>
      <c r="DH614" s="44">
        <v>0</v>
      </c>
      <c r="DI614" s="44">
        <v>0</v>
      </c>
    </row>
    <row r="615" spans="1:113" s="24" customFormat="1" ht="12" outlineLevel="1">
      <c r="A615" s="1" t="s">
        <v>2432</v>
      </c>
      <c r="B615" s="19" t="s">
        <v>2427</v>
      </c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4">
        <v>0</v>
      </c>
      <c r="AQ615" s="44">
        <v>0</v>
      </c>
      <c r="AR615" s="44">
        <v>0</v>
      </c>
      <c r="AS615" s="44">
        <v>0</v>
      </c>
      <c r="AT615" s="44">
        <v>0</v>
      </c>
      <c r="AU615" s="44">
        <v>0</v>
      </c>
      <c r="AV615" s="44">
        <v>0</v>
      </c>
      <c r="AW615" s="45">
        <v>0</v>
      </c>
      <c r="AX615" s="46">
        <v>0</v>
      </c>
      <c r="AY615" s="46">
        <v>0</v>
      </c>
      <c r="AZ615" s="46">
        <v>0</v>
      </c>
      <c r="BA615" s="46">
        <v>0</v>
      </c>
      <c r="BB615" s="46">
        <v>0</v>
      </c>
      <c r="BC615" s="46">
        <v>0</v>
      </c>
      <c r="BD615" s="46">
        <v>0</v>
      </c>
      <c r="BE615" s="46">
        <v>0</v>
      </c>
      <c r="BF615" s="46">
        <v>0</v>
      </c>
      <c r="BG615" s="46">
        <v>0</v>
      </c>
      <c r="BH615" s="46">
        <v>0</v>
      </c>
      <c r="BI615" s="46">
        <v>0</v>
      </c>
      <c r="BJ615" s="46">
        <v>0</v>
      </c>
      <c r="BK615" s="46">
        <v>0</v>
      </c>
      <c r="BL615" s="46">
        <v>0</v>
      </c>
      <c r="BM615" s="46">
        <v>0</v>
      </c>
      <c r="BN615" s="46">
        <v>0</v>
      </c>
      <c r="BO615" s="46">
        <v>0</v>
      </c>
      <c r="BP615" s="46">
        <v>0</v>
      </c>
      <c r="BQ615" s="46">
        <v>0</v>
      </c>
      <c r="BR615" s="526"/>
      <c r="BS615" s="54"/>
      <c r="BT615" s="54"/>
      <c r="BU615" s="54"/>
      <c r="BV615" s="54"/>
      <c r="BW615" s="54"/>
      <c r="BX615" s="54"/>
      <c r="BY615" s="54"/>
      <c r="BZ615" s="54"/>
      <c r="CA615" s="54"/>
      <c r="CB615" s="54"/>
      <c r="CC615" s="55"/>
      <c r="CD615" s="55"/>
      <c r="CE615" s="55"/>
      <c r="CF615" s="55"/>
      <c r="CG615" s="55"/>
      <c r="CH615" s="55"/>
      <c r="CI615" s="55"/>
      <c r="CJ615" s="55"/>
      <c r="CK615" s="55"/>
      <c r="CL615" s="55"/>
      <c r="CM615" s="55"/>
      <c r="CN615" s="42"/>
      <c r="CO615" s="42"/>
      <c r="CP615" s="42"/>
      <c r="CQ615" s="42"/>
      <c r="CR615" s="42"/>
      <c r="CS615" s="42"/>
      <c r="CT615" s="44">
        <v>0</v>
      </c>
      <c r="CU615" s="44">
        <v>0</v>
      </c>
      <c r="CV615" s="44">
        <v>0</v>
      </c>
      <c r="CW615" s="44">
        <v>0</v>
      </c>
      <c r="CX615" s="44">
        <v>0</v>
      </c>
      <c r="CY615" s="45">
        <v>0</v>
      </c>
      <c r="CZ615" s="44">
        <v>0</v>
      </c>
      <c r="DA615" s="44">
        <v>0</v>
      </c>
      <c r="DB615" s="44">
        <v>0</v>
      </c>
      <c r="DC615" s="44">
        <v>0</v>
      </c>
      <c r="DD615" s="44">
        <v>0</v>
      </c>
      <c r="DE615" s="44">
        <v>0</v>
      </c>
      <c r="DF615" s="44">
        <v>0</v>
      </c>
      <c r="DG615" s="44">
        <v>0</v>
      </c>
      <c r="DH615" s="44">
        <v>0</v>
      </c>
      <c r="DI615" s="44">
        <v>0</v>
      </c>
    </row>
    <row r="616" spans="1:113" s="24" customFormat="1" ht="12" outlineLevel="1">
      <c r="A616" s="1" t="s">
        <v>2433</v>
      </c>
      <c r="B616" s="24" t="s">
        <v>2434</v>
      </c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/>
      <c r="AD616" s="55"/>
      <c r="AE616" s="55"/>
      <c r="AF616" s="55"/>
      <c r="AG616" s="55"/>
      <c r="AH616" s="55"/>
      <c r="AI616" s="55"/>
      <c r="AJ616" s="55"/>
      <c r="AK616" s="55"/>
      <c r="AL616" s="55"/>
      <c r="AM616" s="55"/>
      <c r="AN616" s="55"/>
      <c r="AO616" s="55"/>
      <c r="AP616" s="521">
        <v>3091</v>
      </c>
      <c r="AQ616" s="521">
        <v>4094</v>
      </c>
      <c r="AR616" s="521">
        <v>5520</v>
      </c>
      <c r="AS616" s="521">
        <v>6311</v>
      </c>
      <c r="AT616" s="521">
        <v>7734</v>
      </c>
      <c r="AU616" s="521">
        <v>8179</v>
      </c>
      <c r="AV616" s="521">
        <v>8593</v>
      </c>
      <c r="AW616" s="522">
        <v>9611</v>
      </c>
      <c r="AX616" s="526">
        <v>10545.435180045091</v>
      </c>
      <c r="AY616" s="526">
        <v>11570.756013522798</v>
      </c>
      <c r="AZ616" s="526">
        <v>12529.693007045607</v>
      </c>
      <c r="BA616" s="526">
        <v>13553.206581324313</v>
      </c>
      <c r="BB616" s="526">
        <v>14185.985330143125</v>
      </c>
      <c r="BC616" s="526">
        <v>14848.328709935759</v>
      </c>
      <c r="BD616" s="526">
        <v>15541.618956155562</v>
      </c>
      <c r="BE616" s="526">
        <v>16267.302967871959</v>
      </c>
      <c r="BF616" s="526">
        <v>16782.885790074524</v>
      </c>
      <c r="BG616" s="526">
        <v>17314.83478797253</v>
      </c>
      <c r="BH616" s="526">
        <v>17690.521839748271</v>
      </c>
      <c r="BI616" s="526">
        <v>18074.386851355011</v>
      </c>
      <c r="BJ616" s="526">
        <v>18466.608329658538</v>
      </c>
      <c r="BK616" s="526">
        <v>18867.368686920683</v>
      </c>
      <c r="BL616" s="526">
        <v>19276.854326406727</v>
      </c>
      <c r="BM616" s="526">
        <v>19695.255729872282</v>
      </c>
      <c r="BN616" s="526">
        <v>20122.767546971125</v>
      </c>
      <c r="BO616" s="526">
        <v>20559.588686626055</v>
      </c>
      <c r="BP616" s="526">
        <v>21005.922410406056</v>
      </c>
      <c r="BQ616" s="526">
        <v>21461.976427953836</v>
      </c>
      <c r="BR616" s="526"/>
      <c r="BS616" s="54"/>
      <c r="BT616" s="54"/>
      <c r="BU616" s="54"/>
      <c r="BV616" s="54"/>
      <c r="BW616" s="54"/>
      <c r="BX616" s="54"/>
      <c r="BY616" s="54"/>
      <c r="BZ616" s="54"/>
      <c r="CA616" s="54"/>
      <c r="CB616" s="54"/>
      <c r="CC616" s="55"/>
      <c r="CD616" s="55"/>
      <c r="CE616" s="55"/>
      <c r="CF616" s="55"/>
      <c r="CG616" s="55"/>
      <c r="CH616" s="55"/>
      <c r="CI616" s="55"/>
      <c r="CJ616" s="55"/>
      <c r="CK616" s="55"/>
      <c r="CL616" s="55"/>
      <c r="CM616" s="55"/>
      <c r="CN616" s="55"/>
      <c r="CO616" s="55"/>
      <c r="CP616" s="55"/>
      <c r="CQ616" s="55"/>
      <c r="CR616" s="55"/>
      <c r="CS616" s="55"/>
      <c r="CT616" s="521">
        <v>443.8</v>
      </c>
      <c r="CU616" s="521">
        <v>2286.6</v>
      </c>
      <c r="CV616" s="526">
        <v>4094</v>
      </c>
      <c r="CW616" s="526">
        <v>6311</v>
      </c>
      <c r="CX616" s="526">
        <v>8179</v>
      </c>
      <c r="CY616" s="524">
        <v>9611</v>
      </c>
      <c r="CZ616" s="526">
        <v>11570.756013522798</v>
      </c>
      <c r="DA616" s="526">
        <v>13553.206581324313</v>
      </c>
      <c r="DB616" s="526">
        <v>14848.328709935759</v>
      </c>
      <c r="DC616" s="526">
        <v>16267.302967871959</v>
      </c>
      <c r="DD616" s="526">
        <v>17314.83478797253</v>
      </c>
      <c r="DE616" s="526">
        <v>18074.386851355011</v>
      </c>
      <c r="DF616" s="526">
        <v>18867.368686920683</v>
      </c>
      <c r="DG616" s="526">
        <v>19695.255729872282</v>
      </c>
      <c r="DH616" s="526">
        <v>20559.588686626055</v>
      </c>
      <c r="DI616" s="526">
        <v>21461.976427953836</v>
      </c>
    </row>
    <row r="617" spans="1:113" ht="12"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165"/>
      <c r="Y617" s="42"/>
      <c r="Z617" s="165"/>
      <c r="AA617" s="157"/>
      <c r="AB617" s="95"/>
      <c r="AC617" s="95"/>
      <c r="AD617" s="95"/>
      <c r="AE617" s="95"/>
      <c r="AF617" s="95"/>
      <c r="AG617" s="95"/>
      <c r="AH617" s="95"/>
      <c r="AI617" s="95"/>
      <c r="AJ617" s="95"/>
      <c r="AK617" s="95"/>
      <c r="AL617" s="95"/>
      <c r="AM617" s="157"/>
      <c r="AN617" s="157"/>
      <c r="AO617" s="157"/>
      <c r="AP617" s="44"/>
      <c r="AQ617" s="44"/>
      <c r="AR617" s="44"/>
      <c r="AS617" s="44"/>
      <c r="AT617" s="44"/>
      <c r="AU617" s="44"/>
      <c r="AV617" s="44"/>
      <c r="AW617" s="45"/>
      <c r="AX617" s="44"/>
      <c r="AY617" s="44"/>
      <c r="AZ617" s="44"/>
      <c r="BA617" s="44"/>
      <c r="BB617" s="44"/>
      <c r="BC617" s="44"/>
      <c r="BD617" s="44"/>
      <c r="BE617" s="44"/>
      <c r="BF617" s="44"/>
      <c r="BG617" s="44"/>
      <c r="BH617" s="44"/>
      <c r="BI617" s="44"/>
      <c r="BJ617" s="44"/>
      <c r="BK617" s="44"/>
      <c r="BL617" s="44"/>
      <c r="BM617" s="44"/>
      <c r="BN617" s="44"/>
      <c r="BO617" s="44"/>
      <c r="BP617" s="44"/>
      <c r="BQ617" s="44"/>
      <c r="BR617" s="44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285"/>
      <c r="CS617" s="285"/>
      <c r="CT617" s="157"/>
      <c r="CU617" s="157"/>
      <c r="CV617" s="285"/>
      <c r="CW617" s="285"/>
      <c r="CX617" s="285"/>
      <c r="CY617" s="286"/>
      <c r="CZ617" s="44"/>
      <c r="DA617" s="44"/>
      <c r="DB617" s="44"/>
      <c r="DC617" s="529"/>
      <c r="DD617" s="529"/>
      <c r="DE617" s="529"/>
      <c r="DF617" s="529"/>
      <c r="DG617" s="529"/>
      <c r="DH617" s="529"/>
      <c r="DI617" s="529"/>
    </row>
    <row r="618" spans="1:113" s="36" customFormat="1" ht="12" collapsed="1">
      <c r="A618" s="1" t="s">
        <v>26</v>
      </c>
      <c r="B618" s="2" t="s">
        <v>412</v>
      </c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/>
      <c r="AD618" s="55"/>
      <c r="AE618" s="55"/>
      <c r="AF618" s="55"/>
      <c r="AG618" s="55"/>
      <c r="AH618" s="55"/>
      <c r="AI618" s="55"/>
      <c r="AJ618" s="55"/>
      <c r="AK618" s="55"/>
      <c r="AL618" s="55"/>
      <c r="AM618" s="55"/>
      <c r="AN618" s="55"/>
      <c r="AO618" s="55"/>
      <c r="AP618" s="527">
        <v>-656.69999999999993</v>
      </c>
      <c r="AQ618" s="527">
        <v>-387.70000000000016</v>
      </c>
      <c r="AR618" s="527">
        <v>-367.00000000000011</v>
      </c>
      <c r="AS618" s="527">
        <v>-4.9000000000001762</v>
      </c>
      <c r="AT618" s="527">
        <v>0</v>
      </c>
      <c r="AU618" s="527">
        <v>0</v>
      </c>
      <c r="AV618" s="527">
        <v>-7.1054273576010019E-14</v>
      </c>
      <c r="AW618" s="528">
        <v>0</v>
      </c>
      <c r="AX618" s="527">
        <v>0</v>
      </c>
      <c r="AY618" s="527">
        <v>-1.9895196601282805E-13</v>
      </c>
      <c r="AZ618" s="527">
        <v>7.815970093361102E-14</v>
      </c>
      <c r="BA618" s="527">
        <v>0</v>
      </c>
      <c r="BB618" s="527">
        <v>4.9737991503207013E-14</v>
      </c>
      <c r="BC618" s="527">
        <v>45.481334152999949</v>
      </c>
      <c r="BD618" s="527">
        <v>47.699935819000451</v>
      </c>
      <c r="BE618" s="527">
        <v>51.027838317999681</v>
      </c>
      <c r="BF618" s="527">
        <v>53.246439984000233</v>
      </c>
      <c r="BG618" s="527">
        <v>57.683643316000243</v>
      </c>
      <c r="BH618" s="527">
        <v>58.792944148999993</v>
      </c>
      <c r="BI618" s="527">
        <v>62.120846648000452</v>
      </c>
      <c r="BJ618" s="527">
        <v>63.230147480999875</v>
      </c>
      <c r="BK618" s="527">
        <v>66.558049979999879</v>
      </c>
      <c r="BL618" s="527">
        <v>67.667350813000013</v>
      </c>
      <c r="BM618" s="527">
        <v>69.885952479000366</v>
      </c>
      <c r="BN618" s="527">
        <v>70.995253311999463</v>
      </c>
      <c r="BO618" s="527">
        <v>73.21385497800037</v>
      </c>
      <c r="BP618" s="527">
        <v>74.323155811000305</v>
      </c>
      <c r="BQ618" s="527">
        <v>76.541757476999948</v>
      </c>
      <c r="BR618" s="527"/>
      <c r="BS618" s="52"/>
      <c r="BT618" s="52"/>
      <c r="BU618" s="52"/>
      <c r="BV618" s="52"/>
      <c r="BW618" s="52"/>
      <c r="BX618" s="52"/>
      <c r="BY618" s="52"/>
      <c r="BZ618" s="52"/>
      <c r="CA618" s="52"/>
      <c r="CB618" s="52"/>
      <c r="CC618" s="52"/>
      <c r="CD618" s="52"/>
      <c r="CE618" s="52"/>
      <c r="CF618" s="52"/>
      <c r="CG618" s="52"/>
      <c r="CH618" s="52"/>
      <c r="CI618" s="52"/>
      <c r="CJ618" s="52"/>
      <c r="CK618" s="52"/>
      <c r="CL618" s="52"/>
      <c r="CM618" s="52"/>
      <c r="CN618" s="52"/>
      <c r="CO618" s="52"/>
      <c r="CP618" s="52"/>
      <c r="CQ618" s="52"/>
      <c r="CR618" s="52"/>
      <c r="CS618" s="52"/>
      <c r="CT618" s="52">
        <v>0</v>
      </c>
      <c r="CU618" s="52">
        <v>0</v>
      </c>
      <c r="CV618" s="527">
        <v>-516.19540000000006</v>
      </c>
      <c r="CW618" s="527">
        <v>-371.90000000000026</v>
      </c>
      <c r="CX618" s="527">
        <v>1.1368683772161603E-13</v>
      </c>
      <c r="CY618" s="528">
        <v>0</v>
      </c>
      <c r="CZ618" s="527">
        <v>-2.2737367544323206E-13</v>
      </c>
      <c r="DA618" s="527">
        <v>0</v>
      </c>
      <c r="DB618" s="527">
        <v>45.48133415299997</v>
      </c>
      <c r="DC618" s="527">
        <v>98.727774137000125</v>
      </c>
      <c r="DD618" s="527">
        <v>110.93008330000053</v>
      </c>
      <c r="DE618" s="527">
        <v>120.91379079700047</v>
      </c>
      <c r="DF618" s="527">
        <v>129.78819746099973</v>
      </c>
      <c r="DG618" s="527">
        <v>137.55330329200038</v>
      </c>
      <c r="DH618" s="527">
        <v>144.20910828999985</v>
      </c>
      <c r="DI618" s="527">
        <v>150.86491328800025</v>
      </c>
    </row>
    <row r="619" spans="1:113" ht="12" outlineLevel="1"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M619" s="42"/>
      <c r="AN619" s="42"/>
      <c r="AO619" s="42"/>
      <c r="AP619" s="44"/>
      <c r="AQ619" s="44"/>
      <c r="AR619" s="44"/>
      <c r="AS619" s="44"/>
      <c r="AT619" s="44"/>
      <c r="AU619" s="44"/>
      <c r="AV619" s="44"/>
      <c r="AW619" s="45"/>
      <c r="AX619" s="44"/>
      <c r="AY619" s="44"/>
      <c r="AZ619" s="44"/>
      <c r="BA619" s="44"/>
      <c r="BB619" s="44"/>
      <c r="BC619" s="44"/>
      <c r="BD619" s="44"/>
      <c r="BE619" s="44"/>
      <c r="BF619" s="44"/>
      <c r="BG619" s="44"/>
      <c r="BH619" s="44"/>
      <c r="BI619" s="44"/>
      <c r="BJ619" s="44"/>
      <c r="BK619" s="44"/>
      <c r="BL619" s="44"/>
      <c r="BM619" s="44"/>
      <c r="BN619" s="44"/>
      <c r="BO619" s="44"/>
      <c r="BP619" s="44"/>
      <c r="BQ619" s="44"/>
      <c r="BR619" s="44"/>
      <c r="BS619" s="42"/>
      <c r="BT619" s="42"/>
      <c r="BU619" s="42"/>
      <c r="BV619" s="42"/>
      <c r="BW619" s="42"/>
      <c r="BX619" s="42"/>
      <c r="BY619" s="42"/>
      <c r="BZ619" s="42"/>
      <c r="CA619" s="42"/>
      <c r="CB619" s="42"/>
      <c r="CC619" s="42"/>
      <c r="CD619" s="42"/>
      <c r="CE619" s="42"/>
      <c r="CF619" s="42"/>
      <c r="CG619" s="42"/>
      <c r="CH619" s="42"/>
      <c r="CI619" s="42"/>
      <c r="CJ619" s="42"/>
      <c r="CK619" s="42"/>
      <c r="CL619" s="42"/>
      <c r="CM619" s="42"/>
      <c r="CN619" s="42"/>
      <c r="CO619" s="42"/>
      <c r="CP619" s="42"/>
      <c r="CQ619" s="42"/>
      <c r="CR619" s="42"/>
      <c r="CS619" s="42"/>
      <c r="CT619" s="42"/>
      <c r="CU619" s="42"/>
      <c r="CV619" s="44"/>
      <c r="CW619" s="44"/>
      <c r="CX619" s="44"/>
      <c r="CY619" s="45"/>
      <c r="CZ619" s="44"/>
      <c r="DA619" s="44"/>
      <c r="DB619" s="44"/>
      <c r="DC619" s="529"/>
      <c r="DD619" s="529"/>
      <c r="DE619" s="529"/>
      <c r="DF619" s="529"/>
      <c r="DG619" s="529"/>
      <c r="DH619" s="529"/>
      <c r="DI619" s="529"/>
    </row>
    <row r="620" spans="1:113" s="24" customFormat="1" ht="12" outlineLevel="1">
      <c r="A620" s="1" t="s">
        <v>58</v>
      </c>
      <c r="B620" s="24" t="s">
        <v>354</v>
      </c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  <c r="AA620" s="55"/>
      <c r="AB620" s="55"/>
      <c r="AC620" s="55"/>
      <c r="AD620" s="55"/>
      <c r="AE620" s="55"/>
      <c r="AF620" s="55"/>
      <c r="AG620" s="55"/>
      <c r="AH620" s="55"/>
      <c r="AI620" s="55"/>
      <c r="AJ620" s="55"/>
      <c r="AK620" s="55"/>
      <c r="AL620" s="55"/>
      <c r="AM620" s="55"/>
      <c r="AN620" s="55"/>
      <c r="AO620" s="55"/>
      <c r="AP620" s="526">
        <v>-6.4999999999999947</v>
      </c>
      <c r="AQ620" s="526">
        <v>1.3000000000000043</v>
      </c>
      <c r="AR620" s="526">
        <v>0.70000000000000906</v>
      </c>
      <c r="AS620" s="526">
        <v>8.3999999999999915</v>
      </c>
      <c r="AT620" s="526">
        <v>36.099999999999987</v>
      </c>
      <c r="AU620" s="526">
        <v>37.299999999999983</v>
      </c>
      <c r="AV620" s="526">
        <v>45.900000000000006</v>
      </c>
      <c r="AW620" s="524">
        <v>24.000000000000021</v>
      </c>
      <c r="AX620" s="526">
        <v>28.582823833578175</v>
      </c>
      <c r="AY620" s="526">
        <v>51.546126683305502</v>
      </c>
      <c r="AZ620" s="526">
        <v>64.170392272501005</v>
      </c>
      <c r="BA620" s="526">
        <v>75.490043973862754</v>
      </c>
      <c r="BB620" s="526">
        <v>91.514214605721492</v>
      </c>
      <c r="BC620" s="526">
        <v>96.713894552548339</v>
      </c>
      <c r="BD620" s="526">
        <v>103.25258524299838</v>
      </c>
      <c r="BE620" s="526">
        <v>108.29511505504729</v>
      </c>
      <c r="BF620" s="526">
        <v>116.01466287862218</v>
      </c>
      <c r="BG620" s="526">
        <v>118.58211902688072</v>
      </c>
      <c r="BH620" s="526">
        <v>125.45228446427339</v>
      </c>
      <c r="BI620" s="526">
        <v>126.51327350029541</v>
      </c>
      <c r="BJ620" s="526">
        <v>132.72981213607781</v>
      </c>
      <c r="BK620" s="526">
        <v>133.83607229116643</v>
      </c>
      <c r="BL620" s="526">
        <v>140.08852665190523</v>
      </c>
      <c r="BM620" s="526">
        <v>141.84720468844864</v>
      </c>
      <c r="BN620" s="526">
        <v>147.0132749300264</v>
      </c>
      <c r="BO620" s="526">
        <v>147.85740006972685</v>
      </c>
      <c r="BP620" s="526">
        <v>153.90484664040048</v>
      </c>
      <c r="BQ620" s="526">
        <v>154.57754635181169</v>
      </c>
      <c r="BR620" s="526"/>
      <c r="BS620" s="55"/>
      <c r="BT620" s="55"/>
      <c r="BU620" s="55"/>
      <c r="BV620" s="55"/>
      <c r="BW620" s="55"/>
      <c r="BX620" s="55"/>
      <c r="BY620" s="55"/>
      <c r="BZ620" s="55"/>
      <c r="CA620" s="55"/>
      <c r="CB620" s="55"/>
      <c r="CC620" s="55"/>
      <c r="CD620" s="55"/>
      <c r="CE620" s="55"/>
      <c r="CF620" s="55"/>
      <c r="CG620" s="55"/>
      <c r="CH620" s="55"/>
      <c r="CI620" s="55"/>
      <c r="CJ620" s="55"/>
      <c r="CK620" s="55"/>
      <c r="CL620" s="55"/>
      <c r="CM620" s="55"/>
      <c r="CN620" s="55"/>
      <c r="CO620" s="55"/>
      <c r="CP620" s="55"/>
      <c r="CQ620" s="55"/>
      <c r="CR620" s="55"/>
      <c r="CS620" s="55"/>
      <c r="CT620" s="55"/>
      <c r="CU620" s="55"/>
      <c r="CV620" s="526">
        <v>-5.1999999999999975</v>
      </c>
      <c r="CW620" s="526">
        <v>9.1000000000000014</v>
      </c>
      <c r="CX620" s="526">
        <v>73.400000000000006</v>
      </c>
      <c r="CY620" s="524">
        <v>69.899999999999977</v>
      </c>
      <c r="CZ620" s="526">
        <v>80.128950516883648</v>
      </c>
      <c r="DA620" s="526">
        <v>139.66043624636376</v>
      </c>
      <c r="DB620" s="526">
        <v>188.2281091582698</v>
      </c>
      <c r="DC620" s="526">
        <v>211.54770029804567</v>
      </c>
      <c r="DD620" s="526">
        <v>234.59678190550295</v>
      </c>
      <c r="DE620" s="526">
        <v>251.96555796456883</v>
      </c>
      <c r="DF620" s="526">
        <v>266.56588442724421</v>
      </c>
      <c r="DG620" s="526">
        <v>281.93573134035387</v>
      </c>
      <c r="DH620" s="526">
        <v>294.87067499975325</v>
      </c>
      <c r="DI620" s="526">
        <v>308.48239299221217</v>
      </c>
    </row>
    <row r="621" spans="1:113" ht="12" outlineLevel="1">
      <c r="A621" s="1" t="s">
        <v>59</v>
      </c>
      <c r="B621" s="19" t="s">
        <v>425</v>
      </c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M621" s="42"/>
      <c r="AN621" s="42"/>
      <c r="AO621" s="42"/>
      <c r="AP621" s="44">
        <v>0</v>
      </c>
      <c r="AQ621" s="44">
        <v>0</v>
      </c>
      <c r="AR621" s="44">
        <v>0</v>
      </c>
      <c r="AS621" s="44">
        <v>0</v>
      </c>
      <c r="AT621" s="44">
        <v>0</v>
      </c>
      <c r="AU621" s="44">
        <v>0</v>
      </c>
      <c r="AV621" s="44">
        <v>0</v>
      </c>
      <c r="AW621" s="45">
        <v>0</v>
      </c>
      <c r="AX621" s="44">
        <v>0</v>
      </c>
      <c r="AY621" s="44">
        <v>0</v>
      </c>
      <c r="AZ621" s="44">
        <v>0</v>
      </c>
      <c r="BA621" s="44">
        <v>0</v>
      </c>
      <c r="BB621" s="44">
        <v>0</v>
      </c>
      <c r="BC621" s="44">
        <v>0</v>
      </c>
      <c r="BD621" s="44">
        <v>0</v>
      </c>
      <c r="BE621" s="44">
        <v>0</v>
      </c>
      <c r="BF621" s="44">
        <v>0</v>
      </c>
      <c r="BG621" s="44">
        <v>0</v>
      </c>
      <c r="BH621" s="44">
        <v>0</v>
      </c>
      <c r="BI621" s="44">
        <v>0</v>
      </c>
      <c r="BJ621" s="44">
        <v>0</v>
      </c>
      <c r="BK621" s="44">
        <v>0</v>
      </c>
      <c r="BL621" s="44">
        <v>0</v>
      </c>
      <c r="BM621" s="44">
        <v>0</v>
      </c>
      <c r="BN621" s="44">
        <v>0</v>
      </c>
      <c r="BO621" s="44">
        <v>0</v>
      </c>
      <c r="BP621" s="44">
        <v>0</v>
      </c>
      <c r="BQ621" s="44">
        <v>0</v>
      </c>
      <c r="BR621" s="44"/>
      <c r="BS621" s="42"/>
      <c r="BT621" s="42"/>
      <c r="BU621" s="42"/>
      <c r="BV621" s="42"/>
      <c r="BW621" s="42"/>
      <c r="BX621" s="42"/>
      <c r="BY621" s="42"/>
      <c r="BZ621" s="42"/>
      <c r="CA621" s="42"/>
      <c r="CB621" s="42"/>
      <c r="CC621" s="42"/>
      <c r="CD621" s="42"/>
      <c r="CE621" s="42"/>
      <c r="CF621" s="42"/>
      <c r="CG621" s="42"/>
      <c r="CH621" s="42"/>
      <c r="CI621" s="42"/>
      <c r="CJ621" s="42"/>
      <c r="CK621" s="42"/>
      <c r="CL621" s="42"/>
      <c r="CM621" s="42"/>
      <c r="CN621" s="42"/>
      <c r="CO621" s="42"/>
      <c r="CP621" s="42"/>
      <c r="CQ621" s="42"/>
      <c r="CR621" s="42"/>
      <c r="CS621" s="42"/>
      <c r="CT621" s="42"/>
      <c r="CU621" s="42"/>
      <c r="CV621" s="44">
        <v>0</v>
      </c>
      <c r="CW621" s="44">
        <v>0</v>
      </c>
      <c r="CX621" s="44">
        <v>0</v>
      </c>
      <c r="CY621" s="45">
        <v>0</v>
      </c>
      <c r="CZ621" s="44">
        <v>0</v>
      </c>
      <c r="DA621" s="44">
        <v>0</v>
      </c>
      <c r="DB621" s="44">
        <v>0</v>
      </c>
      <c r="DC621" s="44">
        <v>0</v>
      </c>
      <c r="DD621" s="44">
        <v>0</v>
      </c>
      <c r="DE621" s="44">
        <v>0</v>
      </c>
      <c r="DF621" s="44">
        <v>0</v>
      </c>
      <c r="DG621" s="44">
        <v>0</v>
      </c>
      <c r="DH621" s="44">
        <v>0</v>
      </c>
      <c r="DI621" s="44">
        <v>0</v>
      </c>
    </row>
    <row r="622" spans="1:113" ht="12" outlineLevel="1">
      <c r="A622" s="1" t="s">
        <v>60</v>
      </c>
      <c r="B622" s="19" t="s">
        <v>426</v>
      </c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M622" s="42"/>
      <c r="AN622" s="42"/>
      <c r="AO622" s="42"/>
      <c r="AP622" s="44">
        <v>1</v>
      </c>
      <c r="AQ622" s="44">
        <v>1.6000000000001364</v>
      </c>
      <c r="AR622" s="44">
        <v>-31.500000000000455</v>
      </c>
      <c r="AS622" s="44">
        <v>-3.7999999999999545</v>
      </c>
      <c r="AT622" s="44">
        <v>1.2999999999999545</v>
      </c>
      <c r="AU622" s="44">
        <v>-2.2000000000000455</v>
      </c>
      <c r="AV622" s="44">
        <v>27.5</v>
      </c>
      <c r="AW622" s="45">
        <v>-9.2000000000000455</v>
      </c>
      <c r="AX622" s="44">
        <v>0</v>
      </c>
      <c r="AY622" s="44">
        <v>0</v>
      </c>
      <c r="AZ622" s="44">
        <v>0</v>
      </c>
      <c r="BA622" s="44">
        <v>0</v>
      </c>
      <c r="BB622" s="44">
        <v>0</v>
      </c>
      <c r="BC622" s="44">
        <v>0</v>
      </c>
      <c r="BD622" s="44">
        <v>0</v>
      </c>
      <c r="BE622" s="44">
        <v>0</v>
      </c>
      <c r="BF622" s="44">
        <v>0</v>
      </c>
      <c r="BG622" s="44">
        <v>0</v>
      </c>
      <c r="BH622" s="44">
        <v>0</v>
      </c>
      <c r="BI622" s="44">
        <v>0</v>
      </c>
      <c r="BJ622" s="44">
        <v>0</v>
      </c>
      <c r="BK622" s="44">
        <v>0</v>
      </c>
      <c r="BL622" s="44">
        <v>0</v>
      </c>
      <c r="BM622" s="44">
        <v>0</v>
      </c>
      <c r="BN622" s="44">
        <v>0</v>
      </c>
      <c r="BO622" s="44">
        <v>0</v>
      </c>
      <c r="BP622" s="44">
        <v>0</v>
      </c>
      <c r="BQ622" s="44">
        <v>0</v>
      </c>
      <c r="BR622" s="44"/>
      <c r="BS622" s="42"/>
      <c r="BT622" s="42"/>
      <c r="BU622" s="42"/>
      <c r="BV622" s="42"/>
      <c r="BW622" s="42"/>
      <c r="BX622" s="42"/>
      <c r="BY622" s="42"/>
      <c r="BZ622" s="42"/>
      <c r="CA622" s="42"/>
      <c r="CB622" s="42"/>
      <c r="CC622" s="42"/>
      <c r="CD622" s="42"/>
      <c r="CE622" s="42"/>
      <c r="CF622" s="42"/>
      <c r="CG622" s="42"/>
      <c r="CH622" s="42"/>
      <c r="CI622" s="42"/>
      <c r="CJ622" s="42"/>
      <c r="CK622" s="42"/>
      <c r="CL622" s="42"/>
      <c r="CM622" s="42"/>
      <c r="CN622" s="42"/>
      <c r="CO622" s="42"/>
      <c r="CP622" s="42"/>
      <c r="CQ622" s="42"/>
      <c r="CR622" s="42"/>
      <c r="CS622" s="42"/>
      <c r="CT622" s="42"/>
      <c r="CU622" s="42"/>
      <c r="CV622" s="44">
        <v>2.6000000000001364</v>
      </c>
      <c r="CW622" s="44">
        <v>-35.300000000000409</v>
      </c>
      <c r="CX622" s="44">
        <v>-0.90000000000009095</v>
      </c>
      <c r="CY622" s="45">
        <v>18.299999999999955</v>
      </c>
      <c r="CZ622" s="44">
        <v>0</v>
      </c>
      <c r="DA622" s="44">
        <v>0</v>
      </c>
      <c r="DB622" s="44">
        <v>0</v>
      </c>
      <c r="DC622" s="44">
        <v>0</v>
      </c>
      <c r="DD622" s="44">
        <v>0</v>
      </c>
      <c r="DE622" s="44">
        <v>0</v>
      </c>
      <c r="DF622" s="44">
        <v>0</v>
      </c>
      <c r="DG622" s="44">
        <v>0</v>
      </c>
      <c r="DH622" s="44">
        <v>0</v>
      </c>
      <c r="DI622" s="44">
        <v>0</v>
      </c>
    </row>
    <row r="623" spans="1:113" ht="12" outlineLevel="1">
      <c r="A623" s="1" t="s">
        <v>61</v>
      </c>
      <c r="B623" s="19" t="s">
        <v>278</v>
      </c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M623" s="42"/>
      <c r="AN623" s="42"/>
      <c r="AO623" s="42"/>
      <c r="AP623" s="44">
        <v>33.299999999999997</v>
      </c>
      <c r="AQ623" s="44">
        <v>0.60000000000000009</v>
      </c>
      <c r="AR623" s="44">
        <v>-16.799999999999997</v>
      </c>
      <c r="AS623" s="44">
        <v>0</v>
      </c>
      <c r="AT623" s="44">
        <v>0</v>
      </c>
      <c r="AU623" s="44">
        <v>0</v>
      </c>
      <c r="AV623" s="44">
        <v>0</v>
      </c>
      <c r="AW623" s="45">
        <v>0</v>
      </c>
      <c r="AX623" s="44">
        <v>0</v>
      </c>
      <c r="AY623" s="44">
        <v>0</v>
      </c>
      <c r="AZ623" s="44">
        <v>0</v>
      </c>
      <c r="BA623" s="44">
        <v>0</v>
      </c>
      <c r="BB623" s="44">
        <v>0</v>
      </c>
      <c r="BC623" s="44">
        <v>0</v>
      </c>
      <c r="BD623" s="44">
        <v>0</v>
      </c>
      <c r="BE623" s="44">
        <v>0</v>
      </c>
      <c r="BF623" s="44">
        <v>0</v>
      </c>
      <c r="BG623" s="44">
        <v>0</v>
      </c>
      <c r="BH623" s="44">
        <v>0</v>
      </c>
      <c r="BI623" s="44">
        <v>0</v>
      </c>
      <c r="BJ623" s="44">
        <v>0</v>
      </c>
      <c r="BK623" s="44">
        <v>0</v>
      </c>
      <c r="BL623" s="44">
        <v>0</v>
      </c>
      <c r="BM623" s="44">
        <v>0</v>
      </c>
      <c r="BN623" s="44">
        <v>0</v>
      </c>
      <c r="BO623" s="44">
        <v>0</v>
      </c>
      <c r="BP623" s="44">
        <v>0</v>
      </c>
      <c r="BQ623" s="44">
        <v>0</v>
      </c>
      <c r="BR623" s="44"/>
      <c r="BS623" s="42"/>
      <c r="BT623" s="42"/>
      <c r="BU623" s="42"/>
      <c r="BV623" s="42"/>
      <c r="BW623" s="42"/>
      <c r="BX623" s="42"/>
      <c r="BY623" s="42"/>
      <c r="BZ623" s="42"/>
      <c r="CA623" s="42"/>
      <c r="CB623" s="42"/>
      <c r="CC623" s="42"/>
      <c r="CD623" s="42"/>
      <c r="CE623" s="42"/>
      <c r="CF623" s="42"/>
      <c r="CG623" s="42"/>
      <c r="CH623" s="42"/>
      <c r="CI623" s="42"/>
      <c r="CJ623" s="42"/>
      <c r="CK623" s="42"/>
      <c r="CL623" s="42"/>
      <c r="CM623" s="42"/>
      <c r="CN623" s="42"/>
      <c r="CO623" s="42"/>
      <c r="CP623" s="42"/>
      <c r="CQ623" s="42"/>
      <c r="CR623" s="42"/>
      <c r="CS623" s="42"/>
      <c r="CT623" s="42"/>
      <c r="CU623" s="42"/>
      <c r="CV623" s="44">
        <v>33.9</v>
      </c>
      <c r="CW623" s="44">
        <v>-16.799999999999997</v>
      </c>
      <c r="CX623" s="44">
        <v>0</v>
      </c>
      <c r="CY623" s="45">
        <v>0</v>
      </c>
      <c r="CZ623" s="44">
        <v>0</v>
      </c>
      <c r="DA623" s="44">
        <v>0</v>
      </c>
      <c r="DB623" s="44">
        <v>0</v>
      </c>
      <c r="DC623" s="44">
        <v>0</v>
      </c>
      <c r="DD623" s="44">
        <v>0</v>
      </c>
      <c r="DE623" s="44">
        <v>0</v>
      </c>
      <c r="DF623" s="44">
        <v>0</v>
      </c>
      <c r="DG623" s="44">
        <v>0</v>
      </c>
      <c r="DH623" s="44">
        <v>0</v>
      </c>
      <c r="DI623" s="44">
        <v>0</v>
      </c>
    </row>
    <row r="624" spans="1:113" s="24" customFormat="1" ht="12" outlineLevel="1">
      <c r="A624" s="1" t="s">
        <v>20</v>
      </c>
      <c r="B624" s="24" t="s">
        <v>413</v>
      </c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  <c r="AA624" s="55"/>
      <c r="AB624" s="55"/>
      <c r="AC624" s="55"/>
      <c r="AD624" s="55"/>
      <c r="AE624" s="55"/>
      <c r="AF624" s="55"/>
      <c r="AG624" s="55"/>
      <c r="AH624" s="55"/>
      <c r="AI624" s="55"/>
      <c r="AJ624" s="55"/>
      <c r="AK624" s="55"/>
      <c r="AL624" s="55"/>
      <c r="AM624" s="55"/>
      <c r="AN624" s="55"/>
      <c r="AO624" s="55"/>
      <c r="AP624" s="526">
        <v>27.800000000000004</v>
      </c>
      <c r="AQ624" s="526">
        <v>3.5000000000001408</v>
      </c>
      <c r="AR624" s="526">
        <v>-47.600000000000442</v>
      </c>
      <c r="AS624" s="526">
        <v>4.6000000000000369</v>
      </c>
      <c r="AT624" s="526">
        <v>37.399999999999942</v>
      </c>
      <c r="AU624" s="526">
        <v>35.099999999999937</v>
      </c>
      <c r="AV624" s="526">
        <v>73.400000000000006</v>
      </c>
      <c r="AW624" s="524">
        <v>14.799999999999976</v>
      </c>
      <c r="AX624" s="526">
        <v>28.582823833578175</v>
      </c>
      <c r="AY624" s="526">
        <v>51.546126683305502</v>
      </c>
      <c r="AZ624" s="526">
        <v>64.170392272501005</v>
      </c>
      <c r="BA624" s="526">
        <v>75.490043973862754</v>
      </c>
      <c r="BB624" s="526">
        <v>91.514214605721492</v>
      </c>
      <c r="BC624" s="526">
        <v>96.713894552548339</v>
      </c>
      <c r="BD624" s="526">
        <v>103.25258524299838</v>
      </c>
      <c r="BE624" s="526">
        <v>108.29511505504729</v>
      </c>
      <c r="BF624" s="526">
        <v>116.01466287862218</v>
      </c>
      <c r="BG624" s="526">
        <v>118.58211902688072</v>
      </c>
      <c r="BH624" s="526">
        <v>125.45228446427339</v>
      </c>
      <c r="BI624" s="526">
        <v>126.51327350029541</v>
      </c>
      <c r="BJ624" s="526">
        <v>132.72981213607781</v>
      </c>
      <c r="BK624" s="526">
        <v>133.83607229116643</v>
      </c>
      <c r="BL624" s="526">
        <v>140.08852665190523</v>
      </c>
      <c r="BM624" s="526">
        <v>141.84720468844864</v>
      </c>
      <c r="BN624" s="526">
        <v>147.0132749300264</v>
      </c>
      <c r="BO624" s="526">
        <v>147.85740006972685</v>
      </c>
      <c r="BP624" s="526">
        <v>153.90484664040048</v>
      </c>
      <c r="BQ624" s="526">
        <v>154.57754635181169</v>
      </c>
      <c r="BR624" s="526"/>
      <c r="BS624" s="55"/>
      <c r="BT624" s="55"/>
      <c r="BU624" s="55"/>
      <c r="BV624" s="55"/>
      <c r="BW624" s="55"/>
      <c r="BX624" s="55"/>
      <c r="BY624" s="55"/>
      <c r="BZ624" s="55"/>
      <c r="CA624" s="55"/>
      <c r="CB624" s="55"/>
      <c r="CC624" s="55"/>
      <c r="CD624" s="55"/>
      <c r="CE624" s="55"/>
      <c r="CF624" s="55"/>
      <c r="CG624" s="55"/>
      <c r="CH624" s="55"/>
      <c r="CI624" s="55"/>
      <c r="CJ624" s="55"/>
      <c r="CK624" s="55"/>
      <c r="CL624" s="55"/>
      <c r="CM624" s="55"/>
      <c r="CN624" s="55"/>
      <c r="CO624" s="55"/>
      <c r="CP624" s="55"/>
      <c r="CQ624" s="55"/>
      <c r="CR624" s="55"/>
      <c r="CS624" s="55"/>
      <c r="CT624" s="55"/>
      <c r="CU624" s="55"/>
      <c r="CV624" s="526">
        <v>31.300000000000139</v>
      </c>
      <c r="CW624" s="526">
        <v>-43.000000000000405</v>
      </c>
      <c r="CX624" s="526">
        <v>72.499999999999915</v>
      </c>
      <c r="CY624" s="524">
        <v>88.199999999999932</v>
      </c>
      <c r="CZ624" s="526">
        <v>80.128950516883648</v>
      </c>
      <c r="DA624" s="526">
        <v>139.66043624636376</v>
      </c>
      <c r="DB624" s="526">
        <v>188.2281091582698</v>
      </c>
      <c r="DC624" s="526">
        <v>211.54770029804567</v>
      </c>
      <c r="DD624" s="526">
        <v>234.59678190550295</v>
      </c>
      <c r="DE624" s="526">
        <v>251.96555796456883</v>
      </c>
      <c r="DF624" s="526">
        <v>266.56588442724421</v>
      </c>
      <c r="DG624" s="526">
        <v>281.93573134035387</v>
      </c>
      <c r="DH624" s="526">
        <v>294.87067499975325</v>
      </c>
      <c r="DI624" s="526">
        <v>308.48239299221217</v>
      </c>
    </row>
    <row r="625" spans="1:113" ht="12" outlineLevel="1">
      <c r="A625" s="1" t="s">
        <v>21</v>
      </c>
      <c r="B625" s="19" t="s">
        <v>541</v>
      </c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M625" s="42"/>
      <c r="AN625" s="42"/>
      <c r="AO625" s="42"/>
      <c r="AP625" s="44">
        <v>-370.91999999999996</v>
      </c>
      <c r="AQ625" s="44">
        <v>-120.36000000000001</v>
      </c>
      <c r="AR625" s="44">
        <v>-171.12</v>
      </c>
      <c r="AS625" s="44">
        <v>-94.919999999999959</v>
      </c>
      <c r="AT625" s="44">
        <v>-170.76</v>
      </c>
      <c r="AU625" s="44">
        <v>-12.505000000000109</v>
      </c>
      <c r="AV625" s="44">
        <v>-47.610000000000014</v>
      </c>
      <c r="AW625" s="45">
        <v>-117.07000000000005</v>
      </c>
      <c r="AX625" s="44">
        <v>-107.46004570518539</v>
      </c>
      <c r="AY625" s="44">
        <v>-117.9118958499364</v>
      </c>
      <c r="AZ625" s="44">
        <v>-110.277754255123</v>
      </c>
      <c r="BA625" s="44">
        <v>-117.70406104205131</v>
      </c>
      <c r="BB625" s="44">
        <v>-72.769556114163152</v>
      </c>
      <c r="BC625" s="44">
        <v>-76.169488676152923</v>
      </c>
      <c r="BD625" s="44">
        <v>-79.728378315277496</v>
      </c>
      <c r="BE625" s="44">
        <v>-83.453661347385605</v>
      </c>
      <c r="BF625" s="44">
        <v>-59.29202455329505</v>
      </c>
      <c r="BG625" s="44">
        <v>-61.174134758270611</v>
      </c>
      <c r="BH625" s="44">
        <v>-43.204010954210162</v>
      </c>
      <c r="BI625" s="44">
        <v>-44.144476334775391</v>
      </c>
      <c r="BJ625" s="44">
        <v>-45.105470004905328</v>
      </c>
      <c r="BK625" s="44">
        <v>-46.087441085146565</v>
      </c>
      <c r="BL625" s="44">
        <v>-47.090848540894967</v>
      </c>
      <c r="BM625" s="44">
        <v>-48.116161398539134</v>
      </c>
      <c r="BN625" s="44">
        <v>-49.163858966366661</v>
      </c>
      <c r="BO625" s="44">
        <v>-50.234431060317092</v>
      </c>
      <c r="BP625" s="44">
        <v>-51.328378234700267</v>
      </c>
      <c r="BQ625" s="44">
        <v>-52.44621201799464</v>
      </c>
      <c r="BR625" s="44"/>
      <c r="BS625" s="42"/>
      <c r="BT625" s="42"/>
      <c r="BU625" s="42"/>
      <c r="BV625" s="42"/>
      <c r="BW625" s="42"/>
      <c r="BX625" s="42"/>
      <c r="BY625" s="42"/>
      <c r="BZ625" s="42"/>
      <c r="CA625" s="42"/>
      <c r="CB625" s="42"/>
      <c r="CC625" s="42"/>
      <c r="CD625" s="42"/>
      <c r="CE625" s="42"/>
      <c r="CF625" s="42"/>
      <c r="CG625" s="42"/>
      <c r="CH625" s="42"/>
      <c r="CI625" s="42"/>
      <c r="CJ625" s="42"/>
      <c r="CK625" s="42"/>
      <c r="CL625" s="42"/>
      <c r="CM625" s="42"/>
      <c r="CN625" s="42"/>
      <c r="CO625" s="42"/>
      <c r="CP625" s="42"/>
      <c r="CQ625" s="42"/>
      <c r="CR625" s="42"/>
      <c r="CS625" s="42"/>
      <c r="CT625" s="42"/>
      <c r="CU625" s="42"/>
      <c r="CV625" s="44">
        <v>-194.02199999999999</v>
      </c>
      <c r="CW625" s="44">
        <v>-266.03999999999996</v>
      </c>
      <c r="CX625" s="44">
        <v>-183.2650000000001</v>
      </c>
      <c r="CY625" s="45">
        <v>-164.68000000000006</v>
      </c>
      <c r="CZ625" s="44">
        <v>-225.37194155512179</v>
      </c>
      <c r="DA625" s="44">
        <v>-227.98181529717431</v>
      </c>
      <c r="DB625" s="44">
        <v>-148.93904479031607</v>
      </c>
      <c r="DC625" s="44">
        <v>-163.1820396626631</v>
      </c>
      <c r="DD625" s="44">
        <v>-120.46615931156566</v>
      </c>
      <c r="DE625" s="44">
        <v>-87.348487288985552</v>
      </c>
      <c r="DF625" s="44">
        <v>-91.192911090051894</v>
      </c>
      <c r="DG625" s="44">
        <v>-95.207009939434101</v>
      </c>
      <c r="DH625" s="44">
        <v>-99.398290026683753</v>
      </c>
      <c r="DI625" s="44">
        <v>-103.77459025269491</v>
      </c>
    </row>
    <row r="626" spans="1:113" ht="12" outlineLevel="1">
      <c r="A626" s="1" t="s">
        <v>22</v>
      </c>
      <c r="B626" s="19" t="s">
        <v>542</v>
      </c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M626" s="42"/>
      <c r="AN626" s="42"/>
      <c r="AO626" s="42"/>
      <c r="AP626" s="44">
        <v>0</v>
      </c>
      <c r="AQ626" s="44">
        <v>0</v>
      </c>
      <c r="AR626" s="44">
        <v>0</v>
      </c>
      <c r="AS626" s="44">
        <v>0</v>
      </c>
      <c r="AT626" s="44">
        <v>0</v>
      </c>
      <c r="AU626" s="44">
        <v>0</v>
      </c>
      <c r="AV626" s="44">
        <v>0</v>
      </c>
      <c r="AW626" s="45">
        <v>0</v>
      </c>
      <c r="AX626" s="44">
        <v>0</v>
      </c>
      <c r="AY626" s="44">
        <v>0</v>
      </c>
      <c r="AZ626" s="44">
        <v>0</v>
      </c>
      <c r="BA626" s="44">
        <v>0</v>
      </c>
      <c r="BB626" s="44">
        <v>0</v>
      </c>
      <c r="BC626" s="44">
        <v>0</v>
      </c>
      <c r="BD626" s="44">
        <v>0</v>
      </c>
      <c r="BE626" s="44">
        <v>0</v>
      </c>
      <c r="BF626" s="44">
        <v>0</v>
      </c>
      <c r="BG626" s="44">
        <v>0</v>
      </c>
      <c r="BH626" s="44">
        <v>0</v>
      </c>
      <c r="BI626" s="44">
        <v>0</v>
      </c>
      <c r="BJ626" s="44">
        <v>0</v>
      </c>
      <c r="BK626" s="44">
        <v>0</v>
      </c>
      <c r="BL626" s="44">
        <v>0</v>
      </c>
      <c r="BM626" s="44">
        <v>0</v>
      </c>
      <c r="BN626" s="44">
        <v>0</v>
      </c>
      <c r="BO626" s="44">
        <v>0</v>
      </c>
      <c r="BP626" s="44">
        <v>0</v>
      </c>
      <c r="BQ626" s="44">
        <v>0</v>
      </c>
      <c r="BR626" s="44"/>
      <c r="BS626" s="42"/>
      <c r="BT626" s="42"/>
      <c r="BU626" s="42"/>
      <c r="BV626" s="42"/>
      <c r="BW626" s="42"/>
      <c r="BX626" s="42"/>
      <c r="BY626" s="42"/>
      <c r="BZ626" s="42"/>
      <c r="CA626" s="42"/>
      <c r="CB626" s="42"/>
      <c r="CC626" s="42"/>
      <c r="CD626" s="42"/>
      <c r="CE626" s="42"/>
      <c r="CF626" s="42"/>
      <c r="CG626" s="42"/>
      <c r="CH626" s="42"/>
      <c r="CI626" s="42"/>
      <c r="CJ626" s="42"/>
      <c r="CK626" s="42"/>
      <c r="CL626" s="42"/>
      <c r="CM626" s="42"/>
      <c r="CN626" s="42"/>
      <c r="CO626" s="42"/>
      <c r="CP626" s="42"/>
      <c r="CQ626" s="42"/>
      <c r="CR626" s="42"/>
      <c r="CS626" s="42"/>
      <c r="CT626" s="42"/>
      <c r="CU626" s="42"/>
      <c r="CV626" s="44">
        <v>0</v>
      </c>
      <c r="CW626" s="44">
        <v>0</v>
      </c>
      <c r="CX626" s="44">
        <v>0</v>
      </c>
      <c r="CY626" s="45">
        <v>0</v>
      </c>
      <c r="CZ626" s="44">
        <v>0</v>
      </c>
      <c r="DA626" s="44">
        <v>0</v>
      </c>
      <c r="DB626" s="44">
        <v>0</v>
      </c>
      <c r="DC626" s="44">
        <v>0</v>
      </c>
      <c r="DD626" s="44">
        <v>0</v>
      </c>
      <c r="DE626" s="44">
        <v>0</v>
      </c>
      <c r="DF626" s="44">
        <v>0</v>
      </c>
      <c r="DG626" s="44">
        <v>0</v>
      </c>
      <c r="DH626" s="44">
        <v>0</v>
      </c>
      <c r="DI626" s="44">
        <v>0</v>
      </c>
    </row>
    <row r="627" spans="1:113" ht="12" outlineLevel="1">
      <c r="A627" s="1" t="s">
        <v>23</v>
      </c>
      <c r="B627" s="19" t="s">
        <v>781</v>
      </c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M627" s="42"/>
      <c r="AN627" s="42"/>
      <c r="AO627" s="42"/>
      <c r="AP627" s="44">
        <v>-10.9</v>
      </c>
      <c r="AQ627" s="44">
        <v>-5.2000000000000011</v>
      </c>
      <c r="AR627" s="44">
        <v>-1.1999999999999993</v>
      </c>
      <c r="AS627" s="44">
        <v>-6.5</v>
      </c>
      <c r="AT627" s="44">
        <v>-7.1999999999999993</v>
      </c>
      <c r="AU627" s="44">
        <v>-7.2999999999999972</v>
      </c>
      <c r="AV627" s="44">
        <v>-6.7000000000000028</v>
      </c>
      <c r="AW627" s="45">
        <v>-3.2999999999999972</v>
      </c>
      <c r="AX627" s="44">
        <v>-1.5861587301587292</v>
      </c>
      <c r="AY627" s="44">
        <v>-1.3143537621761965</v>
      </c>
      <c r="AZ627" s="44">
        <v>-0.97575101916817886</v>
      </c>
      <c r="BA627" s="44">
        <v>-1.2319561096914597</v>
      </c>
      <c r="BB627" s="44">
        <v>-0.97998536088832822</v>
      </c>
      <c r="BC627" s="44">
        <v>-1.2039068669202493</v>
      </c>
      <c r="BD627" s="44">
        <v>-0.85895554726010204</v>
      </c>
      <c r="BE627" s="44">
        <v>-1.0954173362707706</v>
      </c>
      <c r="BF627" s="44">
        <v>-0.89250694042385703</v>
      </c>
      <c r="BG627" s="44">
        <v>-1.1394637756319668</v>
      </c>
      <c r="BH627" s="44">
        <v>-0.84759689157598217</v>
      </c>
      <c r="BI627" s="44">
        <v>-1.1343690550341776</v>
      </c>
      <c r="BJ627" s="44">
        <v>-0.84418182111437545</v>
      </c>
      <c r="BK627" s="44">
        <v>-1.136771364942696</v>
      </c>
      <c r="BL627" s="44">
        <v>-0.86746779123730988</v>
      </c>
      <c r="BM627" s="44">
        <v>-1.0766391660988575</v>
      </c>
      <c r="BN627" s="44">
        <v>-0.89382093976787758</v>
      </c>
      <c r="BO627" s="44">
        <v>-1.3226024771842617</v>
      </c>
      <c r="BP627" s="44">
        <v>-1.0343247580314312</v>
      </c>
      <c r="BQ627" s="44">
        <v>-1.4705015177228518</v>
      </c>
      <c r="BR627" s="44"/>
      <c r="BS627" s="42"/>
      <c r="BT627" s="42"/>
      <c r="BU627" s="42"/>
      <c r="BV627" s="42"/>
      <c r="BW627" s="42"/>
      <c r="BX627" s="42"/>
      <c r="BY627" s="42"/>
      <c r="BZ627" s="42"/>
      <c r="CA627" s="42"/>
      <c r="CB627" s="42"/>
      <c r="CC627" s="42"/>
      <c r="CD627" s="42"/>
      <c r="CE627" s="42"/>
      <c r="CF627" s="42"/>
      <c r="CG627" s="42"/>
      <c r="CH627" s="42"/>
      <c r="CI627" s="42"/>
      <c r="CJ627" s="42"/>
      <c r="CK627" s="42"/>
      <c r="CL627" s="42"/>
      <c r="CM627" s="42"/>
      <c r="CN627" s="42"/>
      <c r="CO627" s="42"/>
      <c r="CP627" s="42"/>
      <c r="CQ627" s="42"/>
      <c r="CR627" s="42"/>
      <c r="CS627" s="42"/>
      <c r="CT627" s="42"/>
      <c r="CU627" s="42"/>
      <c r="CV627" s="44">
        <v>-16.100000000000001</v>
      </c>
      <c r="CW627" s="44">
        <v>-7.6999999999999993</v>
      </c>
      <c r="CX627" s="44">
        <v>-14.499999999999996</v>
      </c>
      <c r="CY627" s="45">
        <v>-10</v>
      </c>
      <c r="CZ627" s="44">
        <v>-2.9005124923349257</v>
      </c>
      <c r="DA627" s="44">
        <v>-2.2077071288596386</v>
      </c>
      <c r="DB627" s="44">
        <v>-2.1838922278085775</v>
      </c>
      <c r="DC627" s="44">
        <v>-1.9543728835308727</v>
      </c>
      <c r="DD627" s="44">
        <v>-2.0319707160558238</v>
      </c>
      <c r="DE627" s="44">
        <v>-1.9819659466101598</v>
      </c>
      <c r="DF627" s="44">
        <v>-1.9809531860570715</v>
      </c>
      <c r="DG627" s="44">
        <v>-1.9441069573361673</v>
      </c>
      <c r="DH627" s="44">
        <v>-2.2164234169521393</v>
      </c>
      <c r="DI627" s="44">
        <v>-2.504826275754283</v>
      </c>
    </row>
    <row r="628" spans="1:113" ht="12" outlineLevel="1">
      <c r="A628" s="1" t="s">
        <v>24</v>
      </c>
      <c r="B628" s="19" t="s">
        <v>782</v>
      </c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M628" s="42"/>
      <c r="AN628" s="42"/>
      <c r="AO628" s="42"/>
      <c r="AP628" s="44">
        <v>-44.599999999999994</v>
      </c>
      <c r="AQ628" s="44">
        <v>-11.000000000000277</v>
      </c>
      <c r="AR628" s="44">
        <v>-33.19999999999964</v>
      </c>
      <c r="AS628" s="44">
        <v>-2.1316282072803006E-13</v>
      </c>
      <c r="AT628" s="44">
        <v>13.800000000000125</v>
      </c>
      <c r="AU628" s="44">
        <v>2.2000000000000739</v>
      </c>
      <c r="AV628" s="44">
        <v>-36.700000000000074</v>
      </c>
      <c r="AW628" s="45">
        <v>3.5000000000000426</v>
      </c>
      <c r="AX628" s="44">
        <v>0</v>
      </c>
      <c r="AY628" s="44">
        <v>0</v>
      </c>
      <c r="AZ628" s="44">
        <v>0</v>
      </c>
      <c r="BA628" s="44">
        <v>0</v>
      </c>
      <c r="BB628" s="44">
        <v>0</v>
      </c>
      <c r="BC628" s="44">
        <v>0</v>
      </c>
      <c r="BD628" s="44">
        <v>0</v>
      </c>
      <c r="BE628" s="44">
        <v>0</v>
      </c>
      <c r="BF628" s="44">
        <v>0</v>
      </c>
      <c r="BG628" s="44">
        <v>0</v>
      </c>
      <c r="BH628" s="44">
        <v>0</v>
      </c>
      <c r="BI628" s="44">
        <v>0</v>
      </c>
      <c r="BJ628" s="44">
        <v>0</v>
      </c>
      <c r="BK628" s="44">
        <v>0</v>
      </c>
      <c r="BL628" s="44">
        <v>0</v>
      </c>
      <c r="BM628" s="44">
        <v>0</v>
      </c>
      <c r="BN628" s="44">
        <v>0</v>
      </c>
      <c r="BO628" s="44">
        <v>0</v>
      </c>
      <c r="BP628" s="44">
        <v>0</v>
      </c>
      <c r="BQ628" s="44">
        <v>0</v>
      </c>
      <c r="BR628" s="44"/>
      <c r="BS628" s="42"/>
      <c r="BT628" s="42"/>
      <c r="BU628" s="42"/>
      <c r="BV628" s="42"/>
      <c r="BW628" s="42"/>
      <c r="BX628" s="42"/>
      <c r="BY628" s="42"/>
      <c r="BZ628" s="42"/>
      <c r="CA628" s="42"/>
      <c r="CB628" s="42"/>
      <c r="CC628" s="42"/>
      <c r="CD628" s="42"/>
      <c r="CE628" s="42"/>
      <c r="CF628" s="42"/>
      <c r="CG628" s="42"/>
      <c r="CH628" s="42"/>
      <c r="CI628" s="42"/>
      <c r="CJ628" s="42"/>
      <c r="CK628" s="42"/>
      <c r="CL628" s="42"/>
      <c r="CM628" s="42"/>
      <c r="CN628" s="42"/>
      <c r="CO628" s="42"/>
      <c r="CP628" s="42"/>
      <c r="CQ628" s="42"/>
      <c r="CR628" s="42"/>
      <c r="CS628" s="42"/>
      <c r="CT628" s="42"/>
      <c r="CU628" s="42"/>
      <c r="CV628" s="44">
        <v>-55.600000000000271</v>
      </c>
      <c r="CW628" s="44">
        <v>-33.199999999999854</v>
      </c>
      <c r="CX628" s="44">
        <v>16.000000000000199</v>
      </c>
      <c r="CY628" s="45">
        <v>-33.200000000000031</v>
      </c>
      <c r="CZ628" s="44">
        <v>0</v>
      </c>
      <c r="DA628" s="44">
        <v>0</v>
      </c>
      <c r="DB628" s="44">
        <v>0</v>
      </c>
      <c r="DC628" s="44">
        <v>0</v>
      </c>
      <c r="DD628" s="44">
        <v>0</v>
      </c>
      <c r="DE628" s="44">
        <v>0</v>
      </c>
      <c r="DF628" s="44">
        <v>0</v>
      </c>
      <c r="DG628" s="44">
        <v>0</v>
      </c>
      <c r="DH628" s="44">
        <v>0</v>
      </c>
      <c r="DI628" s="44">
        <v>0</v>
      </c>
    </row>
    <row r="629" spans="1:113" s="24" customFormat="1" ht="12" outlineLevel="1">
      <c r="A629" s="1" t="s">
        <v>893</v>
      </c>
      <c r="B629" s="24" t="s">
        <v>783</v>
      </c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  <c r="AA629" s="55"/>
      <c r="AB629" s="55"/>
      <c r="AC629" s="55"/>
      <c r="AD629" s="55"/>
      <c r="AE629" s="55"/>
      <c r="AF629" s="55"/>
      <c r="AG629" s="55"/>
      <c r="AH629" s="55"/>
      <c r="AI629" s="55"/>
      <c r="AJ629" s="55"/>
      <c r="AK629" s="55"/>
      <c r="AL629" s="55"/>
      <c r="AM629" s="55"/>
      <c r="AN629" s="55"/>
      <c r="AO629" s="55"/>
      <c r="AP629" s="526">
        <v>-398.61999999999989</v>
      </c>
      <c r="AQ629" s="526">
        <v>-133.06000000000014</v>
      </c>
      <c r="AR629" s="526">
        <v>-253.12000000000009</v>
      </c>
      <c r="AS629" s="526">
        <v>-96.820000000000135</v>
      </c>
      <c r="AT629" s="526">
        <v>-126.75999999999991</v>
      </c>
      <c r="AU629" s="526">
        <v>17.494999999999905</v>
      </c>
      <c r="AV629" s="526">
        <v>-17.610000000000085</v>
      </c>
      <c r="AW629" s="524">
        <v>-102.07000000000002</v>
      </c>
      <c r="AX629" s="526">
        <v>-80.463380601765948</v>
      </c>
      <c r="AY629" s="526">
        <v>-67.680122928807094</v>
      </c>
      <c r="AZ629" s="526">
        <v>-47.083113001790174</v>
      </c>
      <c r="BA629" s="526">
        <v>-43.445973177880013</v>
      </c>
      <c r="BB629" s="526">
        <v>17.764673130670012</v>
      </c>
      <c r="BC629" s="526">
        <v>19.340499009475167</v>
      </c>
      <c r="BD629" s="526">
        <v>22.665251380460781</v>
      </c>
      <c r="BE629" s="526">
        <v>23.746036371390915</v>
      </c>
      <c r="BF629" s="526">
        <v>55.830131384903268</v>
      </c>
      <c r="BG629" s="526">
        <v>56.268520492978141</v>
      </c>
      <c r="BH629" s="526">
        <v>81.400676618487239</v>
      </c>
      <c r="BI629" s="526">
        <v>81.234428110485851</v>
      </c>
      <c r="BJ629" s="526">
        <v>86.780160310058108</v>
      </c>
      <c r="BK629" s="526">
        <v>86.611859841077177</v>
      </c>
      <c r="BL629" s="526">
        <v>92.130210319772942</v>
      </c>
      <c r="BM629" s="526">
        <v>92.65440412381065</v>
      </c>
      <c r="BN629" s="526">
        <v>96.95559502389186</v>
      </c>
      <c r="BO629" s="526">
        <v>96.300366532225496</v>
      </c>
      <c r="BP629" s="526">
        <v>101.54214364766878</v>
      </c>
      <c r="BQ629" s="526">
        <v>100.6608328160942</v>
      </c>
      <c r="BR629" s="526"/>
      <c r="BS629" s="55"/>
      <c r="BT629" s="55"/>
      <c r="BU629" s="55"/>
      <c r="BV629" s="55"/>
      <c r="BW629" s="55"/>
      <c r="BX629" s="55"/>
      <c r="BY629" s="55"/>
      <c r="BZ629" s="55"/>
      <c r="CA629" s="55"/>
      <c r="CB629" s="55"/>
      <c r="CC629" s="55"/>
      <c r="CD629" s="55"/>
      <c r="CE629" s="55"/>
      <c r="CF629" s="55"/>
      <c r="CG629" s="55"/>
      <c r="CH629" s="55"/>
      <c r="CI629" s="55"/>
      <c r="CJ629" s="55"/>
      <c r="CK629" s="55"/>
      <c r="CL629" s="55"/>
      <c r="CM629" s="55"/>
      <c r="CN629" s="55"/>
      <c r="CO629" s="55"/>
      <c r="CP629" s="55"/>
      <c r="CQ629" s="55"/>
      <c r="CR629" s="55"/>
      <c r="CS629" s="55"/>
      <c r="CT629" s="55"/>
      <c r="CU629" s="55"/>
      <c r="CV629" s="526">
        <v>-234.42200000000014</v>
      </c>
      <c r="CW629" s="526">
        <v>-349.94000000000023</v>
      </c>
      <c r="CX629" s="526">
        <v>-109.26499999999999</v>
      </c>
      <c r="CY629" s="524">
        <v>-119.68000000000016</v>
      </c>
      <c r="CZ629" s="526">
        <v>-148.14350353057307</v>
      </c>
      <c r="DA629" s="526">
        <v>-90.529086179670188</v>
      </c>
      <c r="DB629" s="526">
        <v>37.10517214014515</v>
      </c>
      <c r="DC629" s="526">
        <v>46.411287751851695</v>
      </c>
      <c r="DD629" s="526">
        <v>112.09865187788147</v>
      </c>
      <c r="DE629" s="526">
        <v>162.63510472897312</v>
      </c>
      <c r="DF629" s="526">
        <v>173.39202015113526</v>
      </c>
      <c r="DG629" s="526">
        <v>184.78461444358359</v>
      </c>
      <c r="DH629" s="526">
        <v>193.25596155611737</v>
      </c>
      <c r="DI629" s="526">
        <v>202.20297646376298</v>
      </c>
    </row>
    <row r="630" spans="1:113" ht="12" outlineLevel="1">
      <c r="A630" s="1" t="s">
        <v>25</v>
      </c>
      <c r="B630" s="19" t="s">
        <v>784</v>
      </c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M630" s="42"/>
      <c r="AN630" s="42"/>
      <c r="AO630" s="42"/>
      <c r="AP630" s="44">
        <v>-258.08000000000004</v>
      </c>
      <c r="AQ630" s="44">
        <v>-254.64</v>
      </c>
      <c r="AR630" s="44">
        <v>-113.88</v>
      </c>
      <c r="AS630" s="44">
        <v>91.919999999999959</v>
      </c>
      <c r="AT630" s="44">
        <v>126.75999999999999</v>
      </c>
      <c r="AU630" s="44">
        <v>-17.494999999999891</v>
      </c>
      <c r="AV630" s="44">
        <v>17.610000000000014</v>
      </c>
      <c r="AW630" s="45">
        <v>102.07000000000005</v>
      </c>
      <c r="AX630" s="44">
        <v>80.463380601765948</v>
      </c>
      <c r="AY630" s="44">
        <v>67.680122928806895</v>
      </c>
      <c r="AZ630" s="44">
        <v>47.083113001790252</v>
      </c>
      <c r="BA630" s="44">
        <v>43.445973177879978</v>
      </c>
      <c r="BB630" s="44">
        <v>-17.764673130669962</v>
      </c>
      <c r="BC630" s="44">
        <v>26.140835143524782</v>
      </c>
      <c r="BD630" s="44">
        <v>25.034684438539671</v>
      </c>
      <c r="BE630" s="44">
        <v>27.281801946608766</v>
      </c>
      <c r="BF630" s="44">
        <v>-2.5836914009030352</v>
      </c>
      <c r="BG630" s="44">
        <v>1.4151228230221022</v>
      </c>
      <c r="BH630" s="44">
        <v>-22.607732469487246</v>
      </c>
      <c r="BI630" s="44">
        <v>-19.113581462485399</v>
      </c>
      <c r="BJ630" s="44">
        <v>-23.550012829058232</v>
      </c>
      <c r="BK630" s="44">
        <v>-20.053809861077298</v>
      </c>
      <c r="BL630" s="44">
        <v>-24.462859506772929</v>
      </c>
      <c r="BM630" s="44">
        <v>-22.768451644810284</v>
      </c>
      <c r="BN630" s="44">
        <v>-25.960341711892397</v>
      </c>
      <c r="BO630" s="44">
        <v>-23.086511554225126</v>
      </c>
      <c r="BP630" s="44">
        <v>-27.218987836668475</v>
      </c>
      <c r="BQ630" s="44">
        <v>-24.119075339094252</v>
      </c>
      <c r="BR630" s="44"/>
      <c r="BS630" s="42"/>
      <c r="BT630" s="42"/>
      <c r="BU630" s="42"/>
      <c r="BV630" s="42"/>
      <c r="BW630" s="42"/>
      <c r="BX630" s="42"/>
      <c r="BY630" s="42"/>
      <c r="BZ630" s="42"/>
      <c r="CA630" s="42"/>
      <c r="CB630" s="42"/>
      <c r="CC630" s="42"/>
      <c r="CD630" s="42"/>
      <c r="CE630" s="42"/>
      <c r="CF630" s="42"/>
      <c r="CG630" s="42"/>
      <c r="CH630" s="42"/>
      <c r="CI630" s="42"/>
      <c r="CJ630" s="42"/>
      <c r="CK630" s="42"/>
      <c r="CL630" s="42"/>
      <c r="CM630" s="42"/>
      <c r="CN630" s="42"/>
      <c r="CO630" s="42"/>
      <c r="CP630" s="42"/>
      <c r="CQ630" s="42"/>
      <c r="CR630" s="42"/>
      <c r="CS630" s="42"/>
      <c r="CT630" s="42"/>
      <c r="CU630" s="42"/>
      <c r="CV630" s="44">
        <v>-281.77339999999998</v>
      </c>
      <c r="CW630" s="44">
        <v>-21.960000000000036</v>
      </c>
      <c r="CX630" s="44">
        <v>109.2650000000001</v>
      </c>
      <c r="CY630" s="45">
        <v>119.68000000000006</v>
      </c>
      <c r="CZ630" s="44">
        <v>148.14350353057284</v>
      </c>
      <c r="DA630" s="44">
        <v>90.52908617967023</v>
      </c>
      <c r="DB630" s="44">
        <v>8.3761620128548202</v>
      </c>
      <c r="DC630" s="44">
        <v>52.316486385148437</v>
      </c>
      <c r="DD630" s="44">
        <v>-1.1685685778809329</v>
      </c>
      <c r="DE630" s="44">
        <v>-41.721313931972645</v>
      </c>
      <c r="DF630" s="44">
        <v>-43.60382269013553</v>
      </c>
      <c r="DG630" s="44">
        <v>-47.231311151583213</v>
      </c>
      <c r="DH630" s="44">
        <v>-49.046853266117523</v>
      </c>
      <c r="DI630" s="44">
        <v>-51.338063175762727</v>
      </c>
    </row>
    <row r="631" spans="1:113" s="24" customFormat="1" ht="12" outlineLevel="1">
      <c r="A631" s="1" t="s">
        <v>894</v>
      </c>
      <c r="B631" s="24" t="s">
        <v>650</v>
      </c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  <c r="AA631" s="55"/>
      <c r="AB631" s="55"/>
      <c r="AC631" s="55"/>
      <c r="AD631" s="55"/>
      <c r="AE631" s="55"/>
      <c r="AF631" s="55"/>
      <c r="AG631" s="55"/>
      <c r="AH631" s="55"/>
      <c r="AI631" s="55"/>
      <c r="AJ631" s="55"/>
      <c r="AK631" s="55"/>
      <c r="AL631" s="55"/>
      <c r="AM631" s="55"/>
      <c r="AN631" s="55"/>
      <c r="AO631" s="55"/>
      <c r="AP631" s="526">
        <v>-656.69999999999993</v>
      </c>
      <c r="AQ631" s="526">
        <v>-387.70000000000016</v>
      </c>
      <c r="AR631" s="526">
        <v>-367.00000000000011</v>
      </c>
      <c r="AS631" s="526">
        <v>-4.9000000000001762</v>
      </c>
      <c r="AT631" s="526">
        <v>0</v>
      </c>
      <c r="AU631" s="526">
        <v>0</v>
      </c>
      <c r="AV631" s="526">
        <v>-7.1054273576010019E-14</v>
      </c>
      <c r="AW631" s="524">
        <v>0</v>
      </c>
      <c r="AX631" s="526">
        <v>0</v>
      </c>
      <c r="AY631" s="526">
        <v>-1.9895196601282805E-13</v>
      </c>
      <c r="AZ631" s="526">
        <v>7.815970093361102E-14</v>
      </c>
      <c r="BA631" s="526">
        <v>0</v>
      </c>
      <c r="BB631" s="526">
        <v>4.9737991503207013E-14</v>
      </c>
      <c r="BC631" s="526">
        <v>45.481334152999949</v>
      </c>
      <c r="BD631" s="526">
        <v>47.699935819000451</v>
      </c>
      <c r="BE631" s="526">
        <v>51.027838317999681</v>
      </c>
      <c r="BF631" s="526">
        <v>53.246439984000233</v>
      </c>
      <c r="BG631" s="526">
        <v>57.683643316000243</v>
      </c>
      <c r="BH631" s="526">
        <v>58.792944148999993</v>
      </c>
      <c r="BI631" s="526">
        <v>62.120846648000452</v>
      </c>
      <c r="BJ631" s="526">
        <v>63.230147480999875</v>
      </c>
      <c r="BK631" s="526">
        <v>66.558049979999879</v>
      </c>
      <c r="BL631" s="526">
        <v>67.667350813000013</v>
      </c>
      <c r="BM631" s="526">
        <v>69.885952479000366</v>
      </c>
      <c r="BN631" s="526">
        <v>70.995253311999463</v>
      </c>
      <c r="BO631" s="526">
        <v>73.21385497800037</v>
      </c>
      <c r="BP631" s="526">
        <v>74.323155811000305</v>
      </c>
      <c r="BQ631" s="526">
        <v>76.541757476999948</v>
      </c>
      <c r="BR631" s="526"/>
      <c r="BS631" s="55"/>
      <c r="BT631" s="55"/>
      <c r="BU631" s="55"/>
      <c r="BV631" s="55"/>
      <c r="BW631" s="55"/>
      <c r="BX631" s="55"/>
      <c r="BY631" s="55"/>
      <c r="BZ631" s="55"/>
      <c r="CA631" s="55"/>
      <c r="CB631" s="55"/>
      <c r="CC631" s="55"/>
      <c r="CD631" s="55"/>
      <c r="CE631" s="55"/>
      <c r="CF631" s="55"/>
      <c r="CG631" s="55"/>
      <c r="CH631" s="55"/>
      <c r="CI631" s="55"/>
      <c r="CJ631" s="55"/>
      <c r="CK631" s="55"/>
      <c r="CL631" s="55"/>
      <c r="CM631" s="55"/>
      <c r="CN631" s="55"/>
      <c r="CO631" s="55"/>
      <c r="CP631" s="55"/>
      <c r="CQ631" s="55"/>
      <c r="CR631" s="55"/>
      <c r="CS631" s="55"/>
      <c r="CT631" s="55"/>
      <c r="CU631" s="55"/>
      <c r="CV631" s="526">
        <v>-516.19540000000006</v>
      </c>
      <c r="CW631" s="526">
        <v>-371.90000000000026</v>
      </c>
      <c r="CX631" s="526">
        <v>1.1368683772161603E-13</v>
      </c>
      <c r="CY631" s="524">
        <v>0</v>
      </c>
      <c r="CZ631" s="526">
        <v>-2.2737367544323206E-13</v>
      </c>
      <c r="DA631" s="526">
        <v>0</v>
      </c>
      <c r="DB631" s="526">
        <v>45.48133415299997</v>
      </c>
      <c r="DC631" s="526">
        <v>98.727774137000125</v>
      </c>
      <c r="DD631" s="526">
        <v>110.93008330000053</v>
      </c>
      <c r="DE631" s="526">
        <v>120.91379079700047</v>
      </c>
      <c r="DF631" s="526">
        <v>129.78819746099973</v>
      </c>
      <c r="DG631" s="526">
        <v>137.55330329200038</v>
      </c>
      <c r="DH631" s="526">
        <v>144.20910828999985</v>
      </c>
      <c r="DI631" s="526">
        <v>150.86491328800025</v>
      </c>
    </row>
    <row r="632" spans="1:113" ht="12" outlineLevel="1"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4"/>
      <c r="AQ632" s="44"/>
      <c r="AR632" s="44"/>
      <c r="AS632" s="44"/>
      <c r="AT632" s="44"/>
      <c r="AU632" s="44"/>
      <c r="AV632" s="44"/>
      <c r="AW632" s="45"/>
      <c r="AX632" s="44"/>
      <c r="AY632" s="44"/>
      <c r="AZ632" s="44"/>
      <c r="BA632" s="44"/>
      <c r="BB632" s="44"/>
      <c r="BC632" s="44"/>
      <c r="BD632" s="44"/>
      <c r="BE632" s="44"/>
      <c r="BF632" s="44"/>
      <c r="BG632" s="44"/>
      <c r="BH632" s="44"/>
      <c r="BI632" s="44"/>
      <c r="BJ632" s="44"/>
      <c r="BK632" s="44"/>
      <c r="BL632" s="44"/>
      <c r="BM632" s="44"/>
      <c r="BN632" s="44"/>
      <c r="BO632" s="44"/>
      <c r="BP632" s="44"/>
      <c r="BQ632" s="44"/>
      <c r="BR632" s="44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4"/>
      <c r="CW632" s="44"/>
      <c r="CX632" s="44"/>
      <c r="CY632" s="45"/>
      <c r="CZ632" s="44"/>
      <c r="DA632" s="44"/>
      <c r="DB632" s="44"/>
      <c r="DC632" s="529"/>
      <c r="DD632" s="529"/>
      <c r="DE632" s="529"/>
      <c r="DF632" s="529"/>
      <c r="DG632" s="529"/>
      <c r="DH632" s="529"/>
      <c r="DI632" s="529"/>
    </row>
    <row r="633" spans="1:113" ht="12" outlineLevel="1">
      <c r="A633" s="1" t="s">
        <v>604</v>
      </c>
      <c r="B633" s="19" t="s">
        <v>651</v>
      </c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4">
        <v>0</v>
      </c>
      <c r="AQ633" s="44">
        <v>0</v>
      </c>
      <c r="AR633" s="44">
        <v>0</v>
      </c>
      <c r="AS633" s="44">
        <v>0</v>
      </c>
      <c r="AT633" s="44">
        <v>0</v>
      </c>
      <c r="AU633" s="44">
        <v>0</v>
      </c>
      <c r="AV633" s="44">
        <v>0</v>
      </c>
      <c r="AW633" s="45">
        <v>0</v>
      </c>
      <c r="AX633" s="44">
        <v>0</v>
      </c>
      <c r="AY633" s="44">
        <v>0</v>
      </c>
      <c r="AZ633" s="44">
        <v>0</v>
      </c>
      <c r="BA633" s="44">
        <v>0</v>
      </c>
      <c r="BB633" s="44">
        <v>0</v>
      </c>
      <c r="BC633" s="44">
        <v>45.481334153000006</v>
      </c>
      <c r="BD633" s="44">
        <v>47.699935818999997</v>
      </c>
      <c r="BE633" s="44">
        <v>51.027838318000001</v>
      </c>
      <c r="BF633" s="44">
        <v>53.246439983999998</v>
      </c>
      <c r="BG633" s="44">
        <v>57.683643316000001</v>
      </c>
      <c r="BH633" s="44">
        <v>58.792944149</v>
      </c>
      <c r="BI633" s="44">
        <v>62.120846648000004</v>
      </c>
      <c r="BJ633" s="44">
        <v>63.230147481000003</v>
      </c>
      <c r="BK633" s="44">
        <v>66.558049979999993</v>
      </c>
      <c r="BL633" s="44">
        <v>67.667350812999999</v>
      </c>
      <c r="BM633" s="44">
        <v>69.885952478999997</v>
      </c>
      <c r="BN633" s="44">
        <v>70.995253312000003</v>
      </c>
      <c r="BO633" s="44">
        <v>73.213854978000001</v>
      </c>
      <c r="BP633" s="44">
        <v>74.323155811000007</v>
      </c>
      <c r="BQ633" s="44">
        <v>76.541757477000004</v>
      </c>
      <c r="BR633" s="44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4">
        <v>0</v>
      </c>
      <c r="CW633" s="44">
        <v>0</v>
      </c>
      <c r="CX633" s="44">
        <v>0</v>
      </c>
      <c r="CY633" s="45">
        <v>0</v>
      </c>
      <c r="CZ633" s="44">
        <v>0</v>
      </c>
      <c r="DA633" s="44">
        <v>0</v>
      </c>
      <c r="DB633" s="44">
        <v>45.481334153000006</v>
      </c>
      <c r="DC633" s="44">
        <v>98.727774136999997</v>
      </c>
      <c r="DD633" s="44">
        <v>110.93008330000001</v>
      </c>
      <c r="DE633" s="44">
        <v>120.913790797</v>
      </c>
      <c r="DF633" s="44">
        <v>129.78819746099998</v>
      </c>
      <c r="DG633" s="44">
        <v>137.55330329200001</v>
      </c>
      <c r="DH633" s="44">
        <v>144.20910829000002</v>
      </c>
      <c r="DI633" s="44">
        <v>150.86491328800003</v>
      </c>
    </row>
    <row r="634" spans="1:113" ht="12" outlineLevel="1">
      <c r="A634" s="1" t="s">
        <v>744</v>
      </c>
      <c r="B634" s="19" t="s">
        <v>409</v>
      </c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4">
        <v>-113.7</v>
      </c>
      <c r="AQ634" s="44">
        <v>-387.70000000000005</v>
      </c>
      <c r="AR634" s="44">
        <v>-367</v>
      </c>
      <c r="AS634" s="44">
        <v>-4.8999999999999995</v>
      </c>
      <c r="AT634" s="44">
        <v>0</v>
      </c>
      <c r="AU634" s="44">
        <v>0</v>
      </c>
      <c r="AV634" s="44">
        <v>0</v>
      </c>
      <c r="AW634" s="45">
        <v>0</v>
      </c>
      <c r="AX634" s="44">
        <v>0</v>
      </c>
      <c r="AY634" s="44">
        <v>0</v>
      </c>
      <c r="AZ634" s="44">
        <v>0</v>
      </c>
      <c r="BA634" s="44">
        <v>0</v>
      </c>
      <c r="BB634" s="44">
        <v>0</v>
      </c>
      <c r="BC634" s="44">
        <v>0</v>
      </c>
      <c r="BD634" s="44">
        <v>0</v>
      </c>
      <c r="BE634" s="44">
        <v>0</v>
      </c>
      <c r="BF634" s="44">
        <v>0</v>
      </c>
      <c r="BG634" s="44">
        <v>0</v>
      </c>
      <c r="BH634" s="44">
        <v>0</v>
      </c>
      <c r="BI634" s="44">
        <v>0</v>
      </c>
      <c r="BJ634" s="44">
        <v>0</v>
      </c>
      <c r="BK634" s="44">
        <v>0</v>
      </c>
      <c r="BL634" s="44">
        <v>0</v>
      </c>
      <c r="BM634" s="44">
        <v>0</v>
      </c>
      <c r="BN634" s="44">
        <v>0</v>
      </c>
      <c r="BO634" s="44">
        <v>0</v>
      </c>
      <c r="BP634" s="44">
        <v>0</v>
      </c>
      <c r="BQ634" s="44">
        <v>0</v>
      </c>
      <c r="BR634" s="44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4">
        <v>0</v>
      </c>
      <c r="CW634" s="44">
        <v>-371.9</v>
      </c>
      <c r="CX634" s="44">
        <v>0</v>
      </c>
      <c r="CY634" s="45">
        <v>0</v>
      </c>
      <c r="CZ634" s="44">
        <v>0</v>
      </c>
      <c r="DA634" s="44">
        <v>0</v>
      </c>
      <c r="DB634" s="44">
        <v>0</v>
      </c>
      <c r="DC634" s="44">
        <v>0</v>
      </c>
      <c r="DD634" s="44">
        <v>0</v>
      </c>
      <c r="DE634" s="44">
        <v>0</v>
      </c>
      <c r="DF634" s="44">
        <v>0</v>
      </c>
      <c r="DG634" s="44">
        <v>0</v>
      </c>
      <c r="DH634" s="44">
        <v>0</v>
      </c>
      <c r="DI634" s="44">
        <v>0</v>
      </c>
    </row>
    <row r="635" spans="1:113" s="24" customFormat="1" ht="12" outlineLevel="1">
      <c r="A635" s="1" t="s">
        <v>894</v>
      </c>
      <c r="B635" s="24" t="s">
        <v>650</v>
      </c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  <c r="AA635" s="55"/>
      <c r="AB635" s="55"/>
      <c r="AC635" s="55"/>
      <c r="AD635" s="55"/>
      <c r="AE635" s="55"/>
      <c r="AF635" s="55"/>
      <c r="AG635" s="55"/>
      <c r="AH635" s="55"/>
      <c r="AI635" s="55"/>
      <c r="AJ635" s="55"/>
      <c r="AK635" s="55"/>
      <c r="AL635" s="55"/>
      <c r="AM635" s="55"/>
      <c r="AN635" s="55"/>
      <c r="AO635" s="55"/>
      <c r="AP635" s="526">
        <v>-113.7</v>
      </c>
      <c r="AQ635" s="526">
        <v>-387.70000000000005</v>
      </c>
      <c r="AR635" s="526">
        <v>-367</v>
      </c>
      <c r="AS635" s="526">
        <v>-4.8999999999999995</v>
      </c>
      <c r="AT635" s="526">
        <v>0</v>
      </c>
      <c r="AU635" s="526">
        <v>0</v>
      </c>
      <c r="AV635" s="526">
        <v>0</v>
      </c>
      <c r="AW635" s="524">
        <v>0</v>
      </c>
      <c r="AX635" s="526">
        <v>0</v>
      </c>
      <c r="AY635" s="526">
        <v>0</v>
      </c>
      <c r="AZ635" s="526">
        <v>0</v>
      </c>
      <c r="BA635" s="526">
        <v>0</v>
      </c>
      <c r="BB635" s="526">
        <v>0</v>
      </c>
      <c r="BC635" s="526">
        <v>45.481334153000006</v>
      </c>
      <c r="BD635" s="526">
        <v>47.699935818999997</v>
      </c>
      <c r="BE635" s="526">
        <v>51.027838318000001</v>
      </c>
      <c r="BF635" s="526">
        <v>53.246439983999998</v>
      </c>
      <c r="BG635" s="526">
        <v>57.683643316000001</v>
      </c>
      <c r="BH635" s="526">
        <v>58.792944149</v>
      </c>
      <c r="BI635" s="526">
        <v>62.120846648000004</v>
      </c>
      <c r="BJ635" s="526">
        <v>63.230147481000003</v>
      </c>
      <c r="BK635" s="526">
        <v>66.558049979999993</v>
      </c>
      <c r="BL635" s="526">
        <v>67.667350812999999</v>
      </c>
      <c r="BM635" s="526">
        <v>69.885952478999997</v>
      </c>
      <c r="BN635" s="526">
        <v>70.995253312000003</v>
      </c>
      <c r="BO635" s="526">
        <v>73.213854978000001</v>
      </c>
      <c r="BP635" s="526">
        <v>74.323155811000007</v>
      </c>
      <c r="BQ635" s="526">
        <v>76.541757477000004</v>
      </c>
      <c r="BR635" s="526"/>
      <c r="BS635" s="55"/>
      <c r="BT635" s="55"/>
      <c r="BU635" s="55"/>
      <c r="BV635" s="55"/>
      <c r="BW635" s="55"/>
      <c r="BX635" s="55"/>
      <c r="BY635" s="55"/>
      <c r="BZ635" s="55"/>
      <c r="CA635" s="55"/>
      <c r="CB635" s="55"/>
      <c r="CC635" s="55"/>
      <c r="CD635" s="55"/>
      <c r="CE635" s="55"/>
      <c r="CF635" s="55"/>
      <c r="CG635" s="55"/>
      <c r="CH635" s="55"/>
      <c r="CI635" s="55"/>
      <c r="CJ635" s="55"/>
      <c r="CK635" s="55"/>
      <c r="CL635" s="55"/>
      <c r="CM635" s="55"/>
      <c r="CN635" s="55"/>
      <c r="CO635" s="55"/>
      <c r="CP635" s="55"/>
      <c r="CQ635" s="55"/>
      <c r="CR635" s="55"/>
      <c r="CS635" s="55"/>
      <c r="CT635" s="55"/>
      <c r="CU635" s="55"/>
      <c r="CV635" s="526">
        <v>0</v>
      </c>
      <c r="CW635" s="526">
        <v>-371.9</v>
      </c>
      <c r="CX635" s="526">
        <v>0</v>
      </c>
      <c r="CY635" s="524">
        <v>0</v>
      </c>
      <c r="CZ635" s="526">
        <v>0</v>
      </c>
      <c r="DA635" s="526">
        <v>0</v>
      </c>
      <c r="DB635" s="526">
        <v>45.481334153000006</v>
      </c>
      <c r="DC635" s="526">
        <v>98.727774136999997</v>
      </c>
      <c r="DD635" s="526">
        <v>110.93008330000001</v>
      </c>
      <c r="DE635" s="526">
        <v>120.913790797</v>
      </c>
      <c r="DF635" s="526">
        <v>129.78819746099998</v>
      </c>
      <c r="DG635" s="526">
        <v>137.55330329200001</v>
      </c>
      <c r="DH635" s="526">
        <v>144.20910829000002</v>
      </c>
      <c r="DI635" s="526">
        <v>150.86491328800003</v>
      </c>
    </row>
    <row r="636" spans="1:113" ht="12" outlineLevel="1">
      <c r="A636" s="1" t="s">
        <v>745</v>
      </c>
      <c r="B636" s="19" t="s">
        <v>656</v>
      </c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4">
        <v>0</v>
      </c>
      <c r="AQ636" s="44">
        <v>0</v>
      </c>
      <c r="AR636" s="44">
        <v>0</v>
      </c>
      <c r="AS636" s="44">
        <v>0</v>
      </c>
      <c r="AT636" s="44">
        <v>0</v>
      </c>
      <c r="AU636" s="44">
        <v>0</v>
      </c>
      <c r="AV636" s="44">
        <v>0</v>
      </c>
      <c r="AW636" s="45">
        <v>0</v>
      </c>
      <c r="AX636" s="44">
        <v>0</v>
      </c>
      <c r="AY636" s="44">
        <v>0</v>
      </c>
      <c r="AZ636" s="44">
        <v>0</v>
      </c>
      <c r="BA636" s="44">
        <v>0</v>
      </c>
      <c r="BB636" s="44">
        <v>0</v>
      </c>
      <c r="BC636" s="44">
        <v>11.69520021077143</v>
      </c>
      <c r="BD636" s="44">
        <v>12.265697782028569</v>
      </c>
      <c r="BE636" s="44">
        <v>13.121444138914287</v>
      </c>
      <c r="BF636" s="44">
        <v>13.691941710171429</v>
      </c>
      <c r="BG636" s="44">
        <v>14.832936852685714</v>
      </c>
      <c r="BH636" s="44">
        <v>15.118185638314285</v>
      </c>
      <c r="BI636" s="44">
        <v>15.973931995200001</v>
      </c>
      <c r="BJ636" s="44">
        <v>16.259180780828572</v>
      </c>
      <c r="BK636" s="44">
        <v>17.114927137714282</v>
      </c>
      <c r="BL636" s="44">
        <v>17.400175923342857</v>
      </c>
      <c r="BM636" s="44">
        <v>17.9706734946</v>
      </c>
      <c r="BN636" s="44">
        <v>18.255922280228571</v>
      </c>
      <c r="BO636" s="44">
        <v>18.826419851485714</v>
      </c>
      <c r="BP636" s="44">
        <v>19.111668637114288</v>
      </c>
      <c r="BQ636" s="44">
        <v>19.682166208371431</v>
      </c>
      <c r="BR636" s="44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4">
        <v>0</v>
      </c>
      <c r="CW636" s="44">
        <v>0</v>
      </c>
      <c r="CX636" s="44">
        <v>0</v>
      </c>
      <c r="CY636" s="45">
        <v>0</v>
      </c>
      <c r="CZ636" s="44">
        <v>0</v>
      </c>
      <c r="DA636" s="44">
        <v>0</v>
      </c>
      <c r="DB636" s="44">
        <v>11.69520021077143</v>
      </c>
      <c r="DC636" s="44">
        <v>25.387141920942856</v>
      </c>
      <c r="DD636" s="44">
        <v>28.524878562857143</v>
      </c>
      <c r="DE636" s="44">
        <v>31.092117633514285</v>
      </c>
      <c r="DF636" s="44">
        <v>33.374107918542855</v>
      </c>
      <c r="DG636" s="44">
        <v>35.370849417942857</v>
      </c>
      <c r="DH636" s="44">
        <v>37.082342131714285</v>
      </c>
      <c r="DI636" s="44">
        <v>38.793834845485719</v>
      </c>
    </row>
    <row r="637" spans="1:113" s="24" customFormat="1" ht="12" outlineLevel="1">
      <c r="A637" s="1" t="s">
        <v>746</v>
      </c>
      <c r="B637" s="24" t="s">
        <v>772</v>
      </c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  <c r="AA637" s="55"/>
      <c r="AB637" s="55"/>
      <c r="AC637" s="55"/>
      <c r="AD637" s="55"/>
      <c r="AE637" s="55"/>
      <c r="AF637" s="55"/>
      <c r="AG637" s="55"/>
      <c r="AH637" s="55"/>
      <c r="AI637" s="55"/>
      <c r="AJ637" s="55"/>
      <c r="AK637" s="55"/>
      <c r="AL637" s="55"/>
      <c r="AM637" s="55"/>
      <c r="AN637" s="55"/>
      <c r="AO637" s="55"/>
      <c r="AP637" s="526">
        <v>-113.7</v>
      </c>
      <c r="AQ637" s="526">
        <v>-387.70000000000005</v>
      </c>
      <c r="AR637" s="526">
        <v>-367</v>
      </c>
      <c r="AS637" s="526">
        <v>-4.8999999999999995</v>
      </c>
      <c r="AT637" s="526">
        <v>0</v>
      </c>
      <c r="AU637" s="526">
        <v>0</v>
      </c>
      <c r="AV637" s="526">
        <v>0</v>
      </c>
      <c r="AW637" s="524">
        <v>0</v>
      </c>
      <c r="AX637" s="526">
        <v>0</v>
      </c>
      <c r="AY637" s="526">
        <v>0</v>
      </c>
      <c r="AZ637" s="526">
        <v>0</v>
      </c>
      <c r="BA637" s="526">
        <v>0</v>
      </c>
      <c r="BB637" s="526">
        <v>0</v>
      </c>
      <c r="BC637" s="526">
        <v>57.176534363771438</v>
      </c>
      <c r="BD637" s="526">
        <v>59.965633601028564</v>
      </c>
      <c r="BE637" s="526">
        <v>64.149282456914293</v>
      </c>
      <c r="BF637" s="526">
        <v>66.938381694171426</v>
      </c>
      <c r="BG637" s="526">
        <v>72.516580168685721</v>
      </c>
      <c r="BH637" s="526">
        <v>73.91112978731428</v>
      </c>
      <c r="BI637" s="526">
        <v>78.094778643200002</v>
      </c>
      <c r="BJ637" s="526">
        <v>79.489328261828575</v>
      </c>
      <c r="BK637" s="526">
        <v>83.672977117714282</v>
      </c>
      <c r="BL637" s="526">
        <v>85.067526736342856</v>
      </c>
      <c r="BM637" s="526">
        <v>87.856625973599989</v>
      </c>
      <c r="BN637" s="526">
        <v>89.251175592228577</v>
      </c>
      <c r="BO637" s="526">
        <v>92.04027482948571</v>
      </c>
      <c r="BP637" s="526">
        <v>93.434824448114298</v>
      </c>
      <c r="BQ637" s="526">
        <v>96.223923685371432</v>
      </c>
      <c r="BR637" s="526"/>
      <c r="BS637" s="55"/>
      <c r="BT637" s="55"/>
      <c r="BU637" s="55"/>
      <c r="BV637" s="55"/>
      <c r="BW637" s="55"/>
      <c r="BX637" s="55"/>
      <c r="BY637" s="55"/>
      <c r="BZ637" s="55"/>
      <c r="CA637" s="55"/>
      <c r="CB637" s="55"/>
      <c r="CC637" s="55"/>
      <c r="CD637" s="55"/>
      <c r="CE637" s="55"/>
      <c r="CF637" s="55"/>
      <c r="CG637" s="55"/>
      <c r="CH637" s="55"/>
      <c r="CI637" s="55"/>
      <c r="CJ637" s="55"/>
      <c r="CK637" s="55"/>
      <c r="CL637" s="55"/>
      <c r="CM637" s="55"/>
      <c r="CN637" s="55"/>
      <c r="CO637" s="55"/>
      <c r="CP637" s="55"/>
      <c r="CQ637" s="55"/>
      <c r="CR637" s="55"/>
      <c r="CS637" s="55"/>
      <c r="CT637" s="55"/>
      <c r="CU637" s="55"/>
      <c r="CV637" s="526">
        <v>0</v>
      </c>
      <c r="CW637" s="526">
        <v>-371.9</v>
      </c>
      <c r="CX637" s="526">
        <v>0</v>
      </c>
      <c r="CY637" s="524">
        <v>0</v>
      </c>
      <c r="CZ637" s="526">
        <v>0</v>
      </c>
      <c r="DA637" s="526">
        <v>0</v>
      </c>
      <c r="DB637" s="526">
        <v>57.176534363771438</v>
      </c>
      <c r="DC637" s="526">
        <v>124.11491605794285</v>
      </c>
      <c r="DD637" s="526">
        <v>139.45496186285715</v>
      </c>
      <c r="DE637" s="526">
        <v>152.0059084305143</v>
      </c>
      <c r="DF637" s="526">
        <v>163.16230537954283</v>
      </c>
      <c r="DG637" s="526">
        <v>172.92415270994286</v>
      </c>
      <c r="DH637" s="526">
        <v>181.2914504217143</v>
      </c>
      <c r="DI637" s="526">
        <v>189.65874813348574</v>
      </c>
    </row>
    <row r="638" spans="1:113" ht="12" outlineLevel="1"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4"/>
      <c r="AQ638" s="44"/>
      <c r="AR638" s="44"/>
      <c r="AS638" s="44"/>
      <c r="AT638" s="44"/>
      <c r="AU638" s="44"/>
      <c r="AV638" s="44"/>
      <c r="AW638" s="45"/>
      <c r="AX638" s="44"/>
      <c r="AY638" s="44"/>
      <c r="AZ638" s="44"/>
      <c r="BA638" s="44"/>
      <c r="BB638" s="44"/>
      <c r="BC638" s="44"/>
      <c r="BD638" s="44"/>
      <c r="BE638" s="44"/>
      <c r="BF638" s="44"/>
      <c r="BG638" s="44"/>
      <c r="BH638" s="44"/>
      <c r="BI638" s="44"/>
      <c r="BJ638" s="44"/>
      <c r="BK638" s="44"/>
      <c r="BL638" s="44"/>
      <c r="BM638" s="44"/>
      <c r="BN638" s="44"/>
      <c r="BO638" s="44"/>
      <c r="BP638" s="44"/>
      <c r="BQ638" s="44"/>
      <c r="BR638" s="44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4"/>
      <c r="CW638" s="44"/>
      <c r="CX638" s="44"/>
      <c r="CY638" s="45"/>
      <c r="CZ638" s="44"/>
      <c r="DA638" s="44"/>
      <c r="DB638" s="44"/>
      <c r="DC638" s="529"/>
      <c r="DD638" s="529"/>
      <c r="DE638" s="529"/>
      <c r="DF638" s="529"/>
      <c r="DG638" s="529"/>
      <c r="DH638" s="529"/>
      <c r="DI638" s="529"/>
    </row>
    <row r="639" spans="1:113" s="5" customFormat="1" ht="12.95" customHeight="1" outlineLevel="1">
      <c r="A639" s="1"/>
      <c r="B639" s="6" t="s">
        <v>657</v>
      </c>
      <c r="C639" s="584"/>
      <c r="D639" s="584"/>
      <c r="E639" s="584"/>
      <c r="F639" s="584"/>
      <c r="G639" s="584"/>
      <c r="H639" s="584"/>
      <c r="I639" s="584"/>
      <c r="J639" s="584"/>
      <c r="K639" s="584"/>
      <c r="L639" s="584"/>
      <c r="M639" s="584"/>
      <c r="N639" s="584"/>
      <c r="O639" s="584"/>
      <c r="P639" s="584"/>
      <c r="Q639" s="584"/>
      <c r="R639" s="584"/>
      <c r="S639" s="584"/>
      <c r="T639" s="515"/>
      <c r="U639" s="584"/>
      <c r="V639" s="584"/>
      <c r="W639" s="584"/>
      <c r="X639" s="584"/>
      <c r="Y639" s="515"/>
      <c r="Z639" s="515"/>
      <c r="AA639" s="515"/>
      <c r="AB639" s="515"/>
      <c r="AC639" s="515"/>
      <c r="AD639" s="515"/>
      <c r="AE639" s="515"/>
      <c r="AF639" s="515"/>
      <c r="AG639" s="515"/>
      <c r="AH639" s="515"/>
      <c r="AI639" s="515"/>
      <c r="AJ639" s="515"/>
      <c r="AK639" s="515"/>
      <c r="AL639" s="515"/>
      <c r="AM639" s="515"/>
      <c r="AN639" s="515"/>
      <c r="AO639" s="515"/>
      <c r="AP639" s="621"/>
      <c r="AQ639" s="621" t="s">
        <v>797</v>
      </c>
      <c r="AR639" s="621" t="s">
        <v>797</v>
      </c>
      <c r="AS639" s="621" t="s">
        <v>797</v>
      </c>
      <c r="AT639" s="621" t="s">
        <v>797</v>
      </c>
      <c r="AU639" s="621" t="s">
        <v>797</v>
      </c>
      <c r="AV639" s="621" t="s">
        <v>797</v>
      </c>
      <c r="AW639" s="589" t="s">
        <v>797</v>
      </c>
      <c r="AX639" s="590" t="s">
        <v>797</v>
      </c>
      <c r="AY639" s="590" t="s">
        <v>797</v>
      </c>
      <c r="AZ639" s="590" t="s">
        <v>797</v>
      </c>
      <c r="BA639" s="590" t="s">
        <v>797</v>
      </c>
      <c r="BB639" s="590" t="s">
        <v>797</v>
      </c>
      <c r="BC639" s="590" t="s">
        <v>797</v>
      </c>
      <c r="BD639" s="590" t="s">
        <v>797</v>
      </c>
      <c r="BE639" s="590" t="s">
        <v>797</v>
      </c>
      <c r="BF639" s="590" t="s">
        <v>797</v>
      </c>
      <c r="BG639" s="590" t="s">
        <v>797</v>
      </c>
      <c r="BH639" s="590" t="s">
        <v>797</v>
      </c>
      <c r="BI639" s="590" t="s">
        <v>797</v>
      </c>
      <c r="BJ639" s="590" t="s">
        <v>797</v>
      </c>
      <c r="BK639" s="590" t="s">
        <v>797</v>
      </c>
      <c r="BL639" s="590" t="s">
        <v>797</v>
      </c>
      <c r="BM639" s="590" t="s">
        <v>797</v>
      </c>
      <c r="BN639" s="590" t="s">
        <v>797</v>
      </c>
      <c r="BO639" s="590" t="s">
        <v>797</v>
      </c>
      <c r="BP639" s="590" t="s">
        <v>797</v>
      </c>
      <c r="BQ639" s="590" t="s">
        <v>797</v>
      </c>
      <c r="BR639" s="599"/>
      <c r="BS639" s="418"/>
      <c r="BT639" s="418"/>
      <c r="BU639" s="418"/>
      <c r="BV639" s="418"/>
      <c r="BW639" s="418"/>
      <c r="BX639" s="418"/>
      <c r="BY639" s="418"/>
      <c r="BZ639" s="418"/>
      <c r="CA639" s="418"/>
      <c r="CB639" s="418"/>
      <c r="CC639" s="418"/>
      <c r="CD639" s="418"/>
      <c r="CE639" s="418"/>
      <c r="CF639" s="418"/>
      <c r="CG639" s="418"/>
      <c r="CH639" s="418"/>
      <c r="CI639" s="418"/>
      <c r="CJ639" s="418"/>
      <c r="CK639" s="418"/>
      <c r="CL639" s="418"/>
      <c r="CM639" s="516"/>
      <c r="CN639" s="516"/>
      <c r="CO639" s="516"/>
      <c r="CP639" s="516"/>
      <c r="CQ639" s="516"/>
      <c r="CR639" s="516"/>
      <c r="CS639" s="516"/>
      <c r="CT639" s="516"/>
      <c r="CU639" s="516"/>
      <c r="CV639" s="621"/>
      <c r="CW639" s="621" t="s">
        <v>797</v>
      </c>
      <c r="CX639" s="621" t="s">
        <v>797</v>
      </c>
      <c r="CY639" s="589" t="s">
        <v>797</v>
      </c>
      <c r="CZ639" s="418" t="s">
        <v>797</v>
      </c>
      <c r="DA639" s="418" t="s">
        <v>797</v>
      </c>
      <c r="DB639" s="418" t="s">
        <v>797</v>
      </c>
      <c r="DC639" s="418" t="s">
        <v>797</v>
      </c>
      <c r="DD639" s="418" t="s">
        <v>797</v>
      </c>
      <c r="DE639" s="418" t="s">
        <v>797</v>
      </c>
      <c r="DF639" s="418" t="s">
        <v>797</v>
      </c>
      <c r="DG639" s="418" t="s">
        <v>797</v>
      </c>
      <c r="DH639" s="418" t="s">
        <v>797</v>
      </c>
      <c r="DI639" s="418" t="s">
        <v>797</v>
      </c>
    </row>
    <row r="640" spans="1:113" ht="12">
      <c r="AP640" s="44"/>
      <c r="AQ640" s="44"/>
      <c r="AR640" s="44"/>
      <c r="AS640" s="44"/>
      <c r="AT640" s="44"/>
      <c r="AU640" s="44"/>
      <c r="AV640" s="44"/>
      <c r="AW640" s="45"/>
      <c r="AX640" s="44"/>
      <c r="AY640" s="44"/>
      <c r="AZ640" s="44"/>
      <c r="BA640" s="44"/>
      <c r="BB640" s="44"/>
      <c r="BC640" s="44"/>
      <c r="BD640" s="44"/>
      <c r="BE640" s="44"/>
      <c r="BF640" s="44"/>
      <c r="BG640" s="44"/>
      <c r="BH640" s="44"/>
      <c r="BI640" s="44"/>
      <c r="BJ640" s="44"/>
      <c r="BK640" s="44"/>
      <c r="BL640" s="44"/>
      <c r="BM640" s="44"/>
      <c r="BN640" s="44"/>
      <c r="BO640" s="44"/>
      <c r="BP640" s="44"/>
      <c r="BQ640" s="44"/>
      <c r="BR640" s="44"/>
      <c r="CV640" s="44"/>
      <c r="CW640" s="44"/>
      <c r="CX640" s="44"/>
      <c r="CY640" s="45"/>
      <c r="DC640" s="19"/>
      <c r="DD640" s="19"/>
      <c r="DE640" s="19"/>
      <c r="DF640" s="19"/>
      <c r="DG640" s="19"/>
      <c r="DH640" s="19"/>
      <c r="DI640" s="19"/>
    </row>
    <row r="641" spans="1:113" s="36" customFormat="1" ht="12" collapsed="1">
      <c r="A641" s="1" t="s">
        <v>747</v>
      </c>
      <c r="B641" s="2" t="s">
        <v>658</v>
      </c>
      <c r="C641" s="619"/>
      <c r="D641" s="619"/>
      <c r="E641" s="619"/>
      <c r="F641" s="619"/>
      <c r="G641" s="619"/>
      <c r="H641" s="619"/>
      <c r="I641" s="619"/>
      <c r="J641" s="619"/>
      <c r="K641" s="619"/>
      <c r="L641" s="619"/>
      <c r="M641" s="619"/>
      <c r="N641" s="619"/>
      <c r="O641" s="619"/>
      <c r="P641" s="619"/>
      <c r="Q641" s="619"/>
      <c r="R641" s="619"/>
      <c r="S641" s="619"/>
      <c r="T641" s="619"/>
      <c r="U641" s="619"/>
      <c r="V641" s="619"/>
      <c r="W641" s="619"/>
      <c r="X641" s="619"/>
      <c r="Y641" s="619"/>
      <c r="Z641" s="619"/>
      <c r="AA641" s="619"/>
      <c r="AB641" s="619"/>
      <c r="AC641" s="619"/>
      <c r="AD641" s="619"/>
      <c r="AE641" s="619"/>
      <c r="AF641" s="619"/>
      <c r="AG641" s="619"/>
      <c r="AH641" s="619"/>
      <c r="AI641" s="619"/>
      <c r="AJ641" s="619"/>
      <c r="AK641" s="619"/>
      <c r="AL641" s="619"/>
      <c r="AM641" s="619"/>
      <c r="AN641" s="619"/>
      <c r="AO641" s="619"/>
      <c r="AP641" s="527"/>
      <c r="AQ641" s="527"/>
      <c r="AR641" s="527"/>
      <c r="AS641" s="527"/>
      <c r="AT641" s="527"/>
      <c r="AU641" s="527"/>
      <c r="AV641" s="527"/>
      <c r="AW641" s="528"/>
      <c r="AX641" s="527"/>
      <c r="AY641" s="527"/>
      <c r="AZ641" s="527"/>
      <c r="BA641" s="527"/>
      <c r="BB641" s="527"/>
      <c r="BC641" s="527"/>
      <c r="BD641" s="527"/>
      <c r="BE641" s="527"/>
      <c r="BF641" s="527"/>
      <c r="BG641" s="527"/>
      <c r="BH641" s="527"/>
      <c r="BI641" s="527"/>
      <c r="BJ641" s="527"/>
      <c r="BK641" s="527"/>
      <c r="BL641" s="527"/>
      <c r="BM641" s="527"/>
      <c r="BN641" s="527"/>
      <c r="BO641" s="527"/>
      <c r="BP641" s="527"/>
      <c r="BQ641" s="527"/>
      <c r="BR641" s="527"/>
      <c r="BS641" s="64"/>
      <c r="BT641" s="64"/>
      <c r="BU641" s="64"/>
      <c r="BV641" s="64"/>
      <c r="BW641" s="64"/>
      <c r="BX641" s="64"/>
      <c r="BY641" s="64"/>
      <c r="BZ641" s="64"/>
      <c r="CA641" s="64"/>
      <c r="CB641" s="64"/>
      <c r="CC641" s="64"/>
      <c r="CD641" s="64"/>
      <c r="CE641" s="64"/>
      <c r="CF641" s="64"/>
      <c r="CG641" s="64"/>
      <c r="CH641" s="64"/>
      <c r="CI641" s="64"/>
      <c r="CJ641" s="64"/>
      <c r="CK641" s="64"/>
      <c r="CL641" s="64"/>
      <c r="CM641" s="64"/>
      <c r="CN641" s="64"/>
      <c r="CO641" s="64"/>
      <c r="CP641" s="64"/>
      <c r="CQ641" s="64"/>
      <c r="CR641" s="64"/>
      <c r="CS641" s="64"/>
      <c r="CT641" s="64"/>
      <c r="CU641" s="64"/>
      <c r="CV641" s="64">
        <v>0.8028614036789834</v>
      </c>
      <c r="CW641" s="64">
        <v>1.2323852025567084</v>
      </c>
      <c r="CX641" s="64">
        <v>1.3753418872973546</v>
      </c>
      <c r="CY641" s="65">
        <v>1.5296500282322878</v>
      </c>
      <c r="CZ641" s="64">
        <v>1.7070894315072338</v>
      </c>
      <c r="DA641" s="64">
        <v>1.905111805562073</v>
      </c>
      <c r="DB641" s="64">
        <v>2.074561917864417</v>
      </c>
      <c r="DC641" s="64">
        <v>2.2033253860509752</v>
      </c>
      <c r="DD641" s="64">
        <v>2.3331968451186023</v>
      </c>
      <c r="DE641" s="64">
        <v>2.4668191077237887</v>
      </c>
      <c r="DF641" s="64">
        <v>2.6058844099340348</v>
      </c>
      <c r="DG641" s="64">
        <v>2.752281287200669</v>
      </c>
      <c r="DH641" s="64">
        <v>2.908117345087375</v>
      </c>
      <c r="DI641" s="64">
        <v>3.0744875285460824</v>
      </c>
    </row>
    <row r="642" spans="1:113" ht="12" outlineLevel="1">
      <c r="AP642" s="44"/>
      <c r="AQ642" s="44"/>
      <c r="AR642" s="44"/>
      <c r="AS642" s="44"/>
      <c r="AT642" s="44"/>
      <c r="AU642" s="44"/>
      <c r="AV642" s="44"/>
      <c r="AW642" s="45"/>
      <c r="AX642" s="44"/>
      <c r="AY642" s="44"/>
      <c r="AZ642" s="44"/>
      <c r="BA642" s="44"/>
      <c r="BB642" s="44"/>
      <c r="BC642" s="44"/>
      <c r="BD642" s="44"/>
      <c r="BE642" s="44"/>
      <c r="BF642" s="44"/>
      <c r="BG642" s="44"/>
      <c r="BH642" s="44"/>
      <c r="BI642" s="44"/>
      <c r="BJ642" s="44"/>
      <c r="BK642" s="44"/>
      <c r="BL642" s="44"/>
      <c r="BM642" s="44"/>
      <c r="BN642" s="44"/>
      <c r="BO642" s="44"/>
      <c r="BP642" s="44"/>
      <c r="BQ642" s="44"/>
      <c r="BR642" s="44"/>
      <c r="CP642" s="285"/>
      <c r="DC642" s="19"/>
      <c r="DD642" s="19"/>
      <c r="DE642" s="19"/>
      <c r="DF642" s="19"/>
      <c r="DG642" s="19"/>
      <c r="DH642" s="19"/>
      <c r="DI642" s="19"/>
    </row>
    <row r="643" spans="1:113" ht="12" outlineLevel="1">
      <c r="A643" s="1" t="s">
        <v>748</v>
      </c>
      <c r="B643" s="19" t="s">
        <v>659</v>
      </c>
      <c r="AP643" s="44"/>
      <c r="AQ643" s="44"/>
      <c r="AR643" s="44"/>
      <c r="AS643" s="44"/>
      <c r="AT643" s="44"/>
      <c r="AU643" s="44"/>
      <c r="AV643" s="44"/>
      <c r="AW643" s="45"/>
      <c r="AX643" s="44"/>
      <c r="AY643" s="44"/>
      <c r="AZ643" s="44"/>
      <c r="BA643" s="44"/>
      <c r="BB643" s="44"/>
      <c r="BC643" s="44"/>
      <c r="BD643" s="44"/>
      <c r="BE643" s="44"/>
      <c r="BF643" s="44"/>
      <c r="BG643" s="44"/>
      <c r="BH643" s="44"/>
      <c r="BI643" s="44"/>
      <c r="BJ643" s="44"/>
      <c r="BK643" s="44"/>
      <c r="BL643" s="44"/>
      <c r="BM643" s="44"/>
      <c r="BN643" s="44"/>
      <c r="BO643" s="44"/>
      <c r="BP643" s="44"/>
      <c r="BQ643" s="44"/>
      <c r="BR643" s="44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V643" s="42">
        <v>-13.475918540058222</v>
      </c>
      <c r="CW643" s="42">
        <v>356.86087490929526</v>
      </c>
      <c r="CX643" s="42">
        <v>398.25673639877346</v>
      </c>
      <c r="CY643" s="43">
        <v>444.45451782103123</v>
      </c>
      <c r="CZ643" s="42">
        <v>496.01124188827117</v>
      </c>
      <c r="DA643" s="42">
        <v>553.54854594731069</v>
      </c>
      <c r="DB643" s="42">
        <v>572.27884312419883</v>
      </c>
      <c r="DC643" s="42">
        <v>539.93541478960572</v>
      </c>
      <c r="DD643" s="42">
        <v>491.63783960519959</v>
      </c>
      <c r="DE643" s="42">
        <v>427.75403820240234</v>
      </c>
      <c r="DF643" s="42">
        <v>347.5853091728813</v>
      </c>
      <c r="DG643" s="42">
        <v>250.35190174493522</v>
      </c>
      <c r="DH643" s="42">
        <v>135.18361405734788</v>
      </c>
      <c r="DI643" s="42">
        <v>0</v>
      </c>
    </row>
    <row r="644" spans="1:113" ht="12" outlineLevel="1">
      <c r="A644" s="1" t="s">
        <v>6</v>
      </c>
      <c r="B644" s="19" t="s">
        <v>660</v>
      </c>
      <c r="AP644" s="44"/>
      <c r="AQ644" s="44"/>
      <c r="AR644" s="44"/>
      <c r="AS644" s="44"/>
      <c r="AT644" s="44"/>
      <c r="AU644" s="44"/>
      <c r="AV644" s="44"/>
      <c r="AW644" s="45"/>
      <c r="AX644" s="44"/>
      <c r="AY644" s="44"/>
      <c r="AZ644" s="44"/>
      <c r="BA644" s="44"/>
      <c r="BB644" s="44"/>
      <c r="BC644" s="44"/>
      <c r="BD644" s="44"/>
      <c r="BE644" s="44"/>
      <c r="BF644" s="44"/>
      <c r="BG644" s="44"/>
      <c r="BH644" s="44"/>
      <c r="BI644" s="44"/>
      <c r="BJ644" s="44"/>
      <c r="BK644" s="44"/>
      <c r="BL644" s="44"/>
      <c r="BM644" s="44"/>
      <c r="BN644" s="44"/>
      <c r="BO644" s="44"/>
      <c r="BP644" s="44"/>
      <c r="BQ644" s="44"/>
      <c r="BR644" s="44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V644" s="42">
        <v>713.90981412533426</v>
      </c>
      <c r="CW644" s="42">
        <v>796.72335256387305</v>
      </c>
      <c r="CX644" s="42">
        <v>889.14326146128246</v>
      </c>
      <c r="CY644" s="43">
        <v>992.28387979079127</v>
      </c>
      <c r="CZ644" s="42">
        <v>1107.3888098465234</v>
      </c>
      <c r="DA644" s="42">
        <v>1235.8459117887201</v>
      </c>
      <c r="DB644" s="42">
        <v>1379.2040375562124</v>
      </c>
      <c r="DC644" s="42">
        <v>1539.1917059127329</v>
      </c>
      <c r="DD644" s="42">
        <v>1717.7379437986103</v>
      </c>
      <c r="DE644" s="42">
        <v>1916.9955452792492</v>
      </c>
      <c r="DF644" s="42">
        <v>2139.3670285316425</v>
      </c>
      <c r="DG644" s="42">
        <v>2387.5336038413134</v>
      </c>
      <c r="DH644" s="42">
        <v>2664.4875018869061</v>
      </c>
      <c r="DI644" s="42">
        <v>2973.5680521057875</v>
      </c>
    </row>
    <row r="645" spans="1:113" s="24" customFormat="1" ht="12" outlineLevel="1">
      <c r="A645" s="1" t="s">
        <v>749</v>
      </c>
      <c r="B645" s="24" t="s">
        <v>166</v>
      </c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526"/>
      <c r="AQ645" s="526"/>
      <c r="AR645" s="526"/>
      <c r="AS645" s="526"/>
      <c r="AT645" s="526"/>
      <c r="AU645" s="526"/>
      <c r="AV645" s="526"/>
      <c r="AW645" s="524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13"/>
      <c r="BT645" s="55"/>
      <c r="BU645" s="55"/>
      <c r="BV645" s="55"/>
      <c r="BW645" s="55"/>
      <c r="BX645" s="55"/>
      <c r="BY645" s="55"/>
      <c r="BZ645" s="55"/>
      <c r="CA645" s="55"/>
      <c r="CB645" s="55"/>
      <c r="CC645" s="55"/>
      <c r="CD645" s="55"/>
      <c r="CE645" s="55"/>
      <c r="CF645" s="55"/>
      <c r="CG645" s="55"/>
      <c r="CH645" s="55"/>
      <c r="CI645" s="55"/>
      <c r="CJ645" s="55"/>
      <c r="CK645" s="55"/>
      <c r="CL645" s="55"/>
      <c r="CM645" s="55"/>
      <c r="CN645" s="55"/>
      <c r="CO645" s="55"/>
      <c r="CP645" s="55"/>
      <c r="CQ645" s="55"/>
      <c r="CR645" s="55"/>
      <c r="CS645" s="55"/>
      <c r="CT645" s="55"/>
      <c r="CU645" s="13"/>
      <c r="CV645" s="55">
        <v>700.43389558527599</v>
      </c>
      <c r="CW645" s="55">
        <v>1153.5842274731683</v>
      </c>
      <c r="CX645" s="55">
        <v>1287.3999978600559</v>
      </c>
      <c r="CY645" s="56">
        <v>1436.7383976118226</v>
      </c>
      <c r="CZ645" s="55">
        <v>1603.4000517347945</v>
      </c>
      <c r="DA645" s="55">
        <v>1789.3944577360307</v>
      </c>
      <c r="DB645" s="55">
        <v>1951.4828806804112</v>
      </c>
      <c r="DC645" s="55">
        <v>2079.1271207023387</v>
      </c>
      <c r="DD645" s="55">
        <v>2209.3757834038097</v>
      </c>
      <c r="DE645" s="55">
        <v>2344.7495834816514</v>
      </c>
      <c r="DF645" s="55">
        <v>2486.9523377045239</v>
      </c>
      <c r="DG645" s="55">
        <v>2637.8855055862487</v>
      </c>
      <c r="DH645" s="55">
        <v>2799.6711159442539</v>
      </c>
      <c r="DI645" s="55">
        <v>2973.5680521057875</v>
      </c>
    </row>
    <row r="646" spans="1:113" ht="12" outlineLevel="1">
      <c r="AP646" s="44"/>
      <c r="AQ646" s="44"/>
      <c r="AR646" s="44"/>
      <c r="AS646" s="44"/>
      <c r="AT646" s="44"/>
      <c r="AU646" s="44"/>
      <c r="AV646" s="44"/>
      <c r="AW646" s="45"/>
      <c r="AX646" s="44"/>
      <c r="AY646" s="44"/>
      <c r="AZ646" s="44"/>
      <c r="BA646" s="44"/>
      <c r="BB646" s="44"/>
      <c r="BC646" s="44"/>
      <c r="BD646" s="44"/>
      <c r="BE646" s="44"/>
      <c r="BF646" s="44"/>
      <c r="BG646" s="44"/>
      <c r="BH646" s="44"/>
      <c r="BI646" s="44"/>
      <c r="BJ646" s="44"/>
      <c r="BK646" s="44"/>
      <c r="BL646" s="44"/>
      <c r="BM646" s="44"/>
      <c r="BN646" s="44"/>
      <c r="BO646" s="44"/>
      <c r="BP646" s="44"/>
      <c r="BQ646" s="44"/>
      <c r="BR646" s="44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V646" s="42"/>
      <c r="CW646" s="42"/>
      <c r="CX646" s="42"/>
      <c r="CY646" s="43"/>
      <c r="CZ646" s="42"/>
      <c r="DA646" s="42"/>
      <c r="DB646" s="42"/>
      <c r="DC646" s="88"/>
      <c r="DD646" s="88"/>
      <c r="DE646" s="88"/>
      <c r="DF646" s="88"/>
      <c r="DG646" s="88"/>
      <c r="DH646" s="88"/>
      <c r="DI646" s="88"/>
    </row>
    <row r="647" spans="1:113" ht="12" outlineLevel="1">
      <c r="A647" s="1" t="s">
        <v>750</v>
      </c>
      <c r="B647" s="19" t="s">
        <v>661</v>
      </c>
      <c r="AP647" s="44"/>
      <c r="AQ647" s="44"/>
      <c r="AR647" s="44"/>
      <c r="AS647" s="44"/>
      <c r="AT647" s="44"/>
      <c r="AU647" s="44"/>
      <c r="AV647" s="44"/>
      <c r="AW647" s="45"/>
      <c r="AX647" s="44"/>
      <c r="AY647" s="44"/>
      <c r="AZ647" s="44"/>
      <c r="BA647" s="44"/>
      <c r="BB647" s="44"/>
      <c r="BC647" s="44"/>
      <c r="BD647" s="44"/>
      <c r="BE647" s="44"/>
      <c r="BF647" s="44"/>
      <c r="BG647" s="44"/>
      <c r="BH647" s="44"/>
      <c r="BI647" s="44"/>
      <c r="BJ647" s="44"/>
      <c r="BK647" s="44"/>
      <c r="BL647" s="44"/>
      <c r="BM647" s="44"/>
      <c r="BN647" s="44"/>
      <c r="BO647" s="44"/>
      <c r="BP647" s="44"/>
      <c r="BQ647" s="44"/>
      <c r="BR647" s="44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V647" s="42">
        <v>82.226008043616304</v>
      </c>
      <c r="CW647" s="42">
        <v>91.764224976675806</v>
      </c>
      <c r="CX647" s="42">
        <v>102.40887507397022</v>
      </c>
      <c r="CY647" s="43">
        <v>114.28830458255075</v>
      </c>
      <c r="CZ647" s="42">
        <v>127.54574791412666</v>
      </c>
      <c r="DA647" s="42">
        <v>142.34105467216537</v>
      </c>
      <c r="DB647" s="42">
        <v>147.15741680336518</v>
      </c>
      <c r="DC647" s="42">
        <v>138.84053523161268</v>
      </c>
      <c r="DD647" s="42">
        <v>126.42115875562261</v>
      </c>
      <c r="DE647" s="42">
        <v>109.99389553776057</v>
      </c>
      <c r="DF647" s="42">
        <v>89.379079501597943</v>
      </c>
      <c r="DG647" s="42">
        <v>64.376203305840463</v>
      </c>
      <c r="DH647" s="42">
        <v>34.761500757603685</v>
      </c>
      <c r="DI647" s="42">
        <v>0</v>
      </c>
    </row>
    <row r="648" spans="1:113" ht="12" outlineLevel="1">
      <c r="A648" s="1" t="s">
        <v>751</v>
      </c>
      <c r="B648" s="19" t="s">
        <v>546</v>
      </c>
      <c r="AP648" s="44"/>
      <c r="AQ648" s="44"/>
      <c r="AR648" s="44"/>
      <c r="AS648" s="44"/>
      <c r="AT648" s="44"/>
      <c r="AU648" s="44"/>
      <c r="AV648" s="44"/>
      <c r="AW648" s="45"/>
      <c r="AX648" s="44"/>
      <c r="AY648" s="44"/>
      <c r="AZ648" s="44"/>
      <c r="BA648" s="44"/>
      <c r="BB648" s="44"/>
      <c r="BC648" s="44"/>
      <c r="BD648" s="44"/>
      <c r="BE648" s="44"/>
      <c r="BF648" s="44"/>
      <c r="BG648" s="44"/>
      <c r="BH648" s="44"/>
      <c r="BI648" s="44"/>
      <c r="BJ648" s="44"/>
      <c r="BK648" s="44"/>
      <c r="BL648" s="44"/>
      <c r="BM648" s="44"/>
      <c r="BN648" s="44"/>
      <c r="BO648" s="44"/>
      <c r="BP648" s="44"/>
      <c r="BQ648" s="44"/>
      <c r="BR648" s="44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V648" s="42">
        <v>104.90849477394933</v>
      </c>
      <c r="CW648" s="42">
        <v>117.07788016772744</v>
      </c>
      <c r="CX648" s="42">
        <v>130.65891426718386</v>
      </c>
      <c r="CY648" s="43">
        <v>145.81534832217719</v>
      </c>
      <c r="CZ648" s="42">
        <v>162.72992872754978</v>
      </c>
      <c r="DA648" s="42">
        <v>181.60660045994558</v>
      </c>
      <c r="DB648" s="42">
        <v>202.67296611329934</v>
      </c>
      <c r="DC648" s="42">
        <v>226.18303018244205</v>
      </c>
      <c r="DD648" s="42">
        <v>252.42026168360542</v>
      </c>
      <c r="DE648" s="42">
        <v>281.70101203890363</v>
      </c>
      <c r="DF648" s="42">
        <v>314.37832943541656</v>
      </c>
      <c r="DG648" s="42">
        <v>350.84621564992489</v>
      </c>
      <c r="DH648" s="42">
        <v>391.54437666531624</v>
      </c>
      <c r="DI648" s="42">
        <v>436.96352435849298</v>
      </c>
    </row>
    <row r="649" spans="1:113" s="24" customFormat="1" ht="12" outlineLevel="1">
      <c r="A649" s="1" t="s">
        <v>752</v>
      </c>
      <c r="B649" s="24" t="s">
        <v>166</v>
      </c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526"/>
      <c r="AQ649" s="526"/>
      <c r="AR649" s="526"/>
      <c r="AS649" s="526"/>
      <c r="AT649" s="526"/>
      <c r="AU649" s="526"/>
      <c r="AV649" s="526"/>
      <c r="AW649" s="524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13"/>
      <c r="BT649" s="55"/>
      <c r="BU649" s="55"/>
      <c r="BV649" s="55"/>
      <c r="BW649" s="55"/>
      <c r="BX649" s="55"/>
      <c r="BY649" s="55"/>
      <c r="BZ649" s="55"/>
      <c r="CA649" s="55"/>
      <c r="CB649" s="55"/>
      <c r="CC649" s="55"/>
      <c r="CD649" s="55"/>
      <c r="CE649" s="55"/>
      <c r="CF649" s="55"/>
      <c r="CG649" s="55"/>
      <c r="CH649" s="55"/>
      <c r="CI649" s="55"/>
      <c r="CJ649" s="55"/>
      <c r="CK649" s="55"/>
      <c r="CL649" s="55"/>
      <c r="CM649" s="55"/>
      <c r="CN649" s="55"/>
      <c r="CO649" s="55"/>
      <c r="CP649" s="55"/>
      <c r="CQ649" s="55"/>
      <c r="CR649" s="55"/>
      <c r="CS649" s="55"/>
      <c r="CT649" s="55"/>
      <c r="CU649" s="13"/>
      <c r="CV649" s="55">
        <v>187.13450281756565</v>
      </c>
      <c r="CW649" s="55">
        <v>208.84210514440326</v>
      </c>
      <c r="CX649" s="55">
        <v>233.06778934115408</v>
      </c>
      <c r="CY649" s="56">
        <v>260.10365290472794</v>
      </c>
      <c r="CZ649" s="55">
        <v>290.27567664167645</v>
      </c>
      <c r="DA649" s="55">
        <v>323.94765513211098</v>
      </c>
      <c r="DB649" s="55">
        <v>349.83038291666452</v>
      </c>
      <c r="DC649" s="55">
        <v>365.0235654140547</v>
      </c>
      <c r="DD649" s="55">
        <v>378.84142043922805</v>
      </c>
      <c r="DE649" s="55">
        <v>391.69490757666421</v>
      </c>
      <c r="DF649" s="55">
        <v>403.75740893701447</v>
      </c>
      <c r="DG649" s="55">
        <v>415.22241895576536</v>
      </c>
      <c r="DH649" s="55">
        <v>426.30587742291993</v>
      </c>
      <c r="DI649" s="55">
        <v>436.96352435849298</v>
      </c>
    </row>
    <row r="650" spans="1:113" ht="12" outlineLevel="1">
      <c r="AP650" s="44"/>
      <c r="AQ650" s="44"/>
      <c r="AR650" s="44"/>
      <c r="AS650" s="44"/>
      <c r="AT650" s="44"/>
      <c r="AU650" s="44"/>
      <c r="AV650" s="44"/>
      <c r="AW650" s="45"/>
      <c r="AX650" s="44"/>
      <c r="AY650" s="44"/>
      <c r="AZ650" s="44"/>
      <c r="BA650" s="44"/>
      <c r="BB650" s="44"/>
      <c r="BC650" s="44"/>
      <c r="BD650" s="44"/>
      <c r="BE650" s="44"/>
      <c r="BF650" s="44"/>
      <c r="BG650" s="44"/>
      <c r="BH650" s="44"/>
      <c r="BI650" s="44"/>
      <c r="BJ650" s="44"/>
      <c r="BK650" s="44"/>
      <c r="BL650" s="44"/>
      <c r="BM650" s="44"/>
      <c r="BN650" s="44"/>
      <c r="BO650" s="44"/>
      <c r="BP650" s="44"/>
      <c r="BQ650" s="44"/>
      <c r="BR650" s="44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V650" s="42"/>
      <c r="CW650" s="42"/>
      <c r="CX650" s="42"/>
      <c r="CY650" s="43"/>
      <c r="CZ650" s="42"/>
      <c r="DA650" s="42"/>
      <c r="DB650" s="42"/>
      <c r="DC650" s="88"/>
      <c r="DD650" s="88"/>
      <c r="DE650" s="88"/>
      <c r="DF650" s="88"/>
      <c r="DG650" s="88"/>
      <c r="DH650" s="88"/>
      <c r="DI650" s="88"/>
    </row>
    <row r="651" spans="1:113" s="24" customFormat="1" ht="12" outlineLevel="1">
      <c r="A651" s="1" t="s">
        <v>753</v>
      </c>
      <c r="B651" s="24" t="s">
        <v>547</v>
      </c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526"/>
      <c r="AQ651" s="526"/>
      <c r="AR651" s="526"/>
      <c r="AS651" s="526"/>
      <c r="AT651" s="526"/>
      <c r="AU651" s="526"/>
      <c r="AV651" s="526"/>
      <c r="AW651" s="524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13"/>
      <c r="BT651" s="55"/>
      <c r="BU651" s="55"/>
      <c r="BV651" s="55"/>
      <c r="BW651" s="55"/>
      <c r="BX651" s="55"/>
      <c r="BY651" s="55"/>
      <c r="BZ651" s="55"/>
      <c r="CA651" s="55"/>
      <c r="CB651" s="55"/>
      <c r="CC651" s="55"/>
      <c r="CD651" s="55"/>
      <c r="CE651" s="55"/>
      <c r="CF651" s="55"/>
      <c r="CG651" s="55"/>
      <c r="CH651" s="55"/>
      <c r="CI651" s="55"/>
      <c r="CJ651" s="55"/>
      <c r="CK651" s="55"/>
      <c r="CL651" s="55"/>
      <c r="CM651" s="55"/>
      <c r="CN651" s="55"/>
      <c r="CO651" s="55"/>
      <c r="CP651" s="55"/>
      <c r="CQ651" s="55"/>
      <c r="CR651" s="55"/>
      <c r="CS651" s="55"/>
      <c r="CT651" s="55"/>
      <c r="CU651" s="13"/>
      <c r="CV651" s="55">
        <v>887.56839840284169</v>
      </c>
      <c r="CW651" s="55">
        <v>1362.4263326175715</v>
      </c>
      <c r="CX651" s="55">
        <v>1520.4677872012101</v>
      </c>
      <c r="CY651" s="56">
        <v>1696.8420505165504</v>
      </c>
      <c r="CZ651" s="55">
        <v>1893.6757283764709</v>
      </c>
      <c r="DA651" s="55">
        <v>2113.3421128681416</v>
      </c>
      <c r="DB651" s="55">
        <v>2301.3132635970755</v>
      </c>
      <c r="DC651" s="55">
        <v>2444.1506861163934</v>
      </c>
      <c r="DD651" s="55">
        <v>2588.2172038430376</v>
      </c>
      <c r="DE651" s="55">
        <v>2736.4444910583156</v>
      </c>
      <c r="DF651" s="55">
        <v>2890.7097466415385</v>
      </c>
      <c r="DG651" s="55">
        <v>3053.1079245420142</v>
      </c>
      <c r="DH651" s="55">
        <v>3225.9769933671737</v>
      </c>
      <c r="DI651" s="55">
        <v>3410.5315764642805</v>
      </c>
    </row>
    <row r="652" spans="1:113" ht="12" outlineLevel="1">
      <c r="A652" s="1" t="s">
        <v>754</v>
      </c>
      <c r="B652" s="19" t="s">
        <v>153</v>
      </c>
      <c r="AP652" s="44"/>
      <c r="AQ652" s="44"/>
      <c r="AR652" s="44"/>
      <c r="AS652" s="44"/>
      <c r="AT652" s="44"/>
      <c r="AU652" s="44"/>
      <c r="AV652" s="44"/>
      <c r="AW652" s="45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T652" s="42"/>
      <c r="BU652" s="42"/>
      <c r="BV652" s="42"/>
      <c r="BW652" s="42"/>
      <c r="BX652" s="42"/>
      <c r="BY652" s="42"/>
      <c r="BZ652" s="42"/>
      <c r="CA652" s="42"/>
      <c r="CB652" s="42"/>
      <c r="CC652" s="42"/>
      <c r="CD652" s="42"/>
      <c r="CE652" s="42"/>
      <c r="CF652" s="42"/>
      <c r="CG652" s="42"/>
      <c r="CH652" s="42"/>
      <c r="CI652" s="42"/>
      <c r="CJ652" s="42"/>
      <c r="CK652" s="42"/>
      <c r="CL652" s="42"/>
      <c r="CM652" s="42"/>
      <c r="CN652" s="42"/>
      <c r="CO652" s="42"/>
      <c r="CP652" s="42"/>
      <c r="CQ652" s="42"/>
      <c r="CR652" s="42"/>
      <c r="CS652" s="42"/>
      <c r="CT652" s="42"/>
      <c r="CV652" s="42">
        <v>1105.5063729999999</v>
      </c>
      <c r="CW652" s="42">
        <v>1105.519873</v>
      </c>
      <c r="CX652" s="42">
        <v>1105.5198720000001</v>
      </c>
      <c r="CY652" s="43">
        <v>1109.300833</v>
      </c>
      <c r="CZ652" s="42">
        <v>1109.300833</v>
      </c>
      <c r="DA652" s="42">
        <v>1109.300833</v>
      </c>
      <c r="DB652" s="42">
        <v>1109.300833</v>
      </c>
      <c r="DC652" s="42">
        <v>1109.300833</v>
      </c>
      <c r="DD652" s="42">
        <v>1109.300833</v>
      </c>
      <c r="DE652" s="42">
        <v>1109.300833</v>
      </c>
      <c r="DF652" s="42">
        <v>1109.300833</v>
      </c>
      <c r="DG652" s="42">
        <v>1109.300833</v>
      </c>
      <c r="DH652" s="42">
        <v>1109.300833</v>
      </c>
      <c r="DI652" s="42">
        <v>1109.300833</v>
      </c>
    </row>
    <row r="653" spans="1:113" s="24" customFormat="1" ht="12" outlineLevel="1">
      <c r="A653" s="1" t="s">
        <v>755</v>
      </c>
      <c r="B653" s="24" t="s">
        <v>548</v>
      </c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526"/>
      <c r="AQ653" s="526"/>
      <c r="AR653" s="526"/>
      <c r="AS653" s="526"/>
      <c r="AT653" s="526"/>
      <c r="AU653" s="526"/>
      <c r="AV653" s="526"/>
      <c r="AW653" s="524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13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13"/>
      <c r="CV653" s="66">
        <v>0.8028614036789834</v>
      </c>
      <c r="CW653" s="66">
        <v>1.2323852025567084</v>
      </c>
      <c r="CX653" s="66">
        <v>1.3753418872973546</v>
      </c>
      <c r="CY653" s="67">
        <v>1.5296500282322878</v>
      </c>
      <c r="CZ653" s="66">
        <v>1.7070894315072338</v>
      </c>
      <c r="DA653" s="66">
        <v>1.905111805562073</v>
      </c>
      <c r="DB653" s="66">
        <v>2.074561917864417</v>
      </c>
      <c r="DC653" s="66">
        <v>2.2033253860509752</v>
      </c>
      <c r="DD653" s="66">
        <v>2.3331968451186023</v>
      </c>
      <c r="DE653" s="66">
        <v>2.4668191077237887</v>
      </c>
      <c r="DF653" s="66">
        <v>2.6058844099340348</v>
      </c>
      <c r="DG653" s="66">
        <v>2.752281287200669</v>
      </c>
      <c r="DH653" s="66">
        <v>2.908117345087375</v>
      </c>
      <c r="DI653" s="66">
        <v>3.0744875285460824</v>
      </c>
    </row>
    <row r="654" spans="1:113" ht="12" outlineLevel="1">
      <c r="AP654" s="44"/>
      <c r="AQ654" s="44"/>
      <c r="AR654" s="44"/>
      <c r="AS654" s="44"/>
      <c r="AT654" s="44"/>
      <c r="AU654" s="44"/>
      <c r="AV654" s="44"/>
      <c r="AW654" s="45"/>
      <c r="AX654" s="44"/>
      <c r="AY654" s="44"/>
      <c r="AZ654" s="44"/>
      <c r="BA654" s="44"/>
      <c r="BB654" s="44"/>
      <c r="BC654" s="44"/>
      <c r="BD654" s="44"/>
      <c r="BE654" s="44"/>
      <c r="BF654" s="44"/>
      <c r="BG654" s="44"/>
      <c r="BH654" s="44"/>
      <c r="BI654" s="44"/>
      <c r="BJ654" s="44"/>
      <c r="BK654" s="44"/>
      <c r="BL654" s="44"/>
      <c r="BM654" s="44"/>
      <c r="BN654" s="44"/>
      <c r="BO654" s="44"/>
      <c r="BP654" s="44"/>
      <c r="BQ654" s="44"/>
      <c r="BR654" s="44"/>
      <c r="DC654" s="19"/>
      <c r="DD654" s="19"/>
      <c r="DE654" s="19"/>
      <c r="DF654" s="19"/>
      <c r="DG654" s="19"/>
      <c r="DH654" s="19"/>
      <c r="DI654" s="19"/>
    </row>
    <row r="655" spans="1:113" s="5" customFormat="1" ht="12.95" customHeight="1" outlineLevel="1">
      <c r="A655" s="1"/>
      <c r="B655" s="6" t="s">
        <v>440</v>
      </c>
      <c r="C655" s="584"/>
      <c r="D655" s="584"/>
      <c r="E655" s="584"/>
      <c r="F655" s="584"/>
      <c r="G655" s="584"/>
      <c r="H655" s="584"/>
      <c r="I655" s="584"/>
      <c r="J655" s="584"/>
      <c r="K655" s="584"/>
      <c r="L655" s="584"/>
      <c r="M655" s="584"/>
      <c r="N655" s="584"/>
      <c r="O655" s="584"/>
      <c r="P655" s="584"/>
      <c r="Q655" s="584"/>
      <c r="R655" s="584"/>
      <c r="S655" s="584"/>
      <c r="T655" s="515"/>
      <c r="U655" s="584"/>
      <c r="V655" s="584"/>
      <c r="W655" s="584"/>
      <c r="X655" s="584"/>
      <c r="Y655" s="515"/>
      <c r="Z655" s="515"/>
      <c r="AA655" s="515"/>
      <c r="AB655" s="515"/>
      <c r="AC655" s="515"/>
      <c r="AD655" s="515"/>
      <c r="AE655" s="515"/>
      <c r="AF655" s="515"/>
      <c r="AG655" s="515"/>
      <c r="AH655" s="515"/>
      <c r="AI655" s="515"/>
      <c r="AJ655" s="515"/>
      <c r="AK655" s="515"/>
      <c r="AL655" s="515"/>
      <c r="AM655" s="515"/>
      <c r="AN655" s="515"/>
      <c r="AO655" s="515"/>
      <c r="AP655" s="621"/>
      <c r="AQ655" s="621"/>
      <c r="AR655" s="621"/>
      <c r="AS655" s="621"/>
      <c r="AT655" s="621"/>
      <c r="AU655" s="621"/>
      <c r="AV655" s="621"/>
      <c r="AW655" s="589"/>
      <c r="AX655" s="590"/>
      <c r="AY655" s="590"/>
      <c r="AZ655" s="590"/>
      <c r="BA655" s="590"/>
      <c r="BB655" s="590"/>
      <c r="BC655" s="590"/>
      <c r="BD655" s="590"/>
      <c r="BE655" s="590"/>
      <c r="BF655" s="590"/>
      <c r="BG655" s="590"/>
      <c r="BH655" s="590"/>
      <c r="BI655" s="590"/>
      <c r="BJ655" s="590"/>
      <c r="BK655" s="590"/>
      <c r="BL655" s="590"/>
      <c r="BM655" s="590"/>
      <c r="BN655" s="590"/>
      <c r="BO655" s="590"/>
      <c r="BP655" s="590"/>
      <c r="BQ655" s="590"/>
      <c r="BR655" s="599"/>
      <c r="BS655" s="418"/>
      <c r="BT655" s="418"/>
      <c r="BU655" s="418"/>
      <c r="BV655" s="418"/>
      <c r="BW655" s="418"/>
      <c r="BX655" s="418"/>
      <c r="BY655" s="418"/>
      <c r="BZ655" s="418"/>
      <c r="CA655" s="418"/>
      <c r="CB655" s="418"/>
      <c r="CC655" s="418"/>
      <c r="CD655" s="418"/>
      <c r="CE655" s="418"/>
      <c r="CF655" s="418"/>
      <c r="CG655" s="418"/>
      <c r="CH655" s="418"/>
      <c r="CI655" s="418"/>
      <c r="CJ655" s="418"/>
      <c r="CK655" s="418"/>
      <c r="CL655" s="418"/>
      <c r="CM655" s="516"/>
      <c r="CN655" s="516"/>
      <c r="CO655" s="516"/>
      <c r="CP655" s="516"/>
      <c r="CQ655" s="516"/>
      <c r="CR655" s="516"/>
      <c r="CS655" s="516"/>
      <c r="CT655" s="516"/>
      <c r="CU655" s="516"/>
      <c r="CV655" s="516"/>
      <c r="CW655" s="516" t="s">
        <v>797</v>
      </c>
      <c r="CX655" s="516" t="s">
        <v>797</v>
      </c>
      <c r="CY655" s="583" t="s">
        <v>797</v>
      </c>
      <c r="CZ655" s="418" t="s">
        <v>797</v>
      </c>
      <c r="DA655" s="418" t="s">
        <v>797</v>
      </c>
      <c r="DB655" s="418" t="s">
        <v>797</v>
      </c>
      <c r="DC655" s="418" t="s">
        <v>797</v>
      </c>
      <c r="DD655" s="418" t="s">
        <v>797</v>
      </c>
      <c r="DE655" s="418" t="s">
        <v>797</v>
      </c>
      <c r="DF655" s="418" t="s">
        <v>797</v>
      </c>
      <c r="DG655" s="418" t="s">
        <v>797</v>
      </c>
      <c r="DH655" s="418" t="s">
        <v>797</v>
      </c>
      <c r="DI655" s="418" t="s">
        <v>797</v>
      </c>
    </row>
    <row r="656" spans="1:113" ht="12">
      <c r="AP656" s="44"/>
      <c r="AQ656" s="44"/>
      <c r="AR656" s="44"/>
      <c r="AS656" s="44"/>
      <c r="AT656" s="44"/>
      <c r="AU656" s="44"/>
      <c r="AV656" s="44"/>
      <c r="AW656" s="45"/>
      <c r="AX656" s="44"/>
      <c r="AY656" s="44"/>
      <c r="AZ656" s="44"/>
      <c r="BA656" s="44"/>
      <c r="BB656" s="44"/>
      <c r="BC656" s="44"/>
      <c r="BD656" s="44"/>
      <c r="BE656" s="44"/>
      <c r="BF656" s="44"/>
      <c r="BG656" s="44"/>
      <c r="BH656" s="44"/>
      <c r="BI656" s="44"/>
      <c r="BJ656" s="44"/>
      <c r="BK656" s="44"/>
      <c r="BL656" s="44"/>
      <c r="BM656" s="44"/>
      <c r="BN656" s="44"/>
      <c r="BO656" s="44"/>
      <c r="BP656" s="44"/>
      <c r="BQ656" s="44"/>
      <c r="BR656" s="44"/>
      <c r="DC656" s="19"/>
      <c r="DD656" s="19"/>
      <c r="DE656" s="19"/>
      <c r="DF656" s="19"/>
      <c r="DG656" s="19"/>
      <c r="DH656" s="19"/>
      <c r="DI656" s="19"/>
    </row>
    <row r="657" spans="1:113" s="36" customFormat="1" ht="12" collapsed="1">
      <c r="A657" s="1" t="s">
        <v>756</v>
      </c>
      <c r="B657" s="2" t="s">
        <v>445</v>
      </c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  <c r="AA657" s="55"/>
      <c r="AB657" s="55"/>
      <c r="AC657" s="55"/>
      <c r="AD657" s="55"/>
      <c r="AE657" s="55"/>
      <c r="AF657" s="55"/>
      <c r="AG657" s="55"/>
      <c r="AH657" s="55"/>
      <c r="AI657" s="55"/>
      <c r="AJ657" s="55"/>
      <c r="AK657" s="55"/>
      <c r="AL657" s="55"/>
      <c r="AM657" s="55"/>
      <c r="AN657" s="55"/>
      <c r="AO657" s="55"/>
      <c r="AP657" s="52"/>
      <c r="AQ657" s="52"/>
      <c r="AR657" s="52"/>
      <c r="AS657" s="52"/>
      <c r="AT657" s="52"/>
      <c r="AU657" s="52"/>
      <c r="AV657" s="52"/>
      <c r="AW657" s="53"/>
      <c r="AX657" s="52"/>
      <c r="AY657" s="52"/>
      <c r="AZ657" s="52"/>
      <c r="BA657" s="52"/>
      <c r="BB657" s="52"/>
      <c r="BC657" s="52"/>
      <c r="BD657" s="52"/>
      <c r="BE657" s="52"/>
      <c r="BF657" s="52"/>
      <c r="BG657" s="52"/>
      <c r="BH657" s="52"/>
      <c r="BI657" s="52"/>
      <c r="BJ657" s="52"/>
      <c r="BK657" s="52"/>
      <c r="BL657" s="52"/>
      <c r="BM657" s="52"/>
      <c r="BN657" s="52"/>
      <c r="BO657" s="52"/>
      <c r="BP657" s="52"/>
      <c r="BQ657" s="52"/>
      <c r="BR657" s="52"/>
      <c r="BS657" s="52"/>
      <c r="BT657" s="52"/>
      <c r="BU657" s="52"/>
      <c r="BV657" s="52"/>
      <c r="BW657" s="52"/>
      <c r="BX657" s="52"/>
      <c r="BY657" s="52"/>
      <c r="BZ657" s="52"/>
      <c r="CA657" s="52"/>
      <c r="CB657" s="52"/>
      <c r="CC657" s="52"/>
      <c r="CD657" s="52"/>
      <c r="CE657" s="52"/>
      <c r="CF657" s="52"/>
      <c r="CG657" s="52"/>
      <c r="CH657" s="52"/>
      <c r="CI657" s="52"/>
      <c r="CJ657" s="52"/>
      <c r="CK657" s="52"/>
      <c r="CL657" s="52"/>
      <c r="CM657" s="52"/>
      <c r="CN657" s="52"/>
      <c r="CO657" s="52"/>
      <c r="CP657" s="52"/>
      <c r="CQ657" s="52"/>
      <c r="CR657" s="52"/>
      <c r="CS657" s="52"/>
      <c r="CT657" s="52"/>
      <c r="CU657" s="52"/>
      <c r="CV657" s="52"/>
      <c r="CW657" s="52"/>
      <c r="CX657" s="52"/>
      <c r="CY657" s="53"/>
      <c r="CZ657" s="52"/>
      <c r="DA657" s="52"/>
      <c r="DB657" s="52"/>
      <c r="DC657" s="52"/>
      <c r="DD657" s="52"/>
      <c r="DE657" s="52"/>
      <c r="DF657" s="52"/>
      <c r="DG657" s="52"/>
      <c r="DH657" s="52"/>
      <c r="DI657" s="52"/>
    </row>
    <row r="658" spans="1:113" ht="12" outlineLevel="1">
      <c r="U658" s="610"/>
      <c r="Y658" s="42"/>
      <c r="AX658" s="44"/>
      <c r="DC658" s="19"/>
      <c r="DD658" s="19"/>
      <c r="DE658" s="19"/>
      <c r="DF658" s="19"/>
      <c r="DG658" s="19"/>
      <c r="DH658" s="19"/>
      <c r="DI658" s="19"/>
    </row>
    <row r="659" spans="1:113" s="24" customFormat="1" ht="12" outlineLevel="1">
      <c r="A659" s="1"/>
      <c r="B659" s="24" t="s">
        <v>446</v>
      </c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610"/>
      <c r="V659" s="13"/>
      <c r="W659" s="13"/>
      <c r="X659" s="55"/>
      <c r="Y659" s="55"/>
      <c r="Z659" s="13"/>
      <c r="AA659" s="13"/>
      <c r="AB659" s="13"/>
      <c r="AC659" s="21"/>
      <c r="AD659" s="21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2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  <c r="BY659" s="13"/>
      <c r="BZ659" s="13"/>
      <c r="CA659" s="13"/>
      <c r="CB659" s="13"/>
      <c r="CC659" s="13"/>
      <c r="CD659" s="13"/>
      <c r="CE659" s="13"/>
      <c r="CF659" s="13"/>
      <c r="CG659" s="13"/>
      <c r="CH659" s="13"/>
      <c r="CI659" s="13"/>
      <c r="CJ659" s="13"/>
      <c r="CK659" s="13"/>
      <c r="CL659" s="13"/>
      <c r="CM659" s="13"/>
      <c r="CN659" s="13"/>
      <c r="CO659" s="13"/>
      <c r="CP659" s="13"/>
      <c r="CQ659" s="13"/>
      <c r="CR659" s="13"/>
      <c r="CS659" s="13"/>
      <c r="CT659" s="13"/>
      <c r="CU659" s="13"/>
      <c r="CV659" s="510"/>
      <c r="CW659" s="510"/>
      <c r="CX659" s="510"/>
      <c r="CY659" s="569"/>
      <c r="CZ659" s="13"/>
      <c r="DA659" s="13"/>
      <c r="DB659" s="13"/>
    </row>
    <row r="660" spans="1:113" ht="12" outlineLevel="1">
      <c r="A660" s="1" t="s">
        <v>757</v>
      </c>
      <c r="B660" s="19" t="s">
        <v>493</v>
      </c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2"/>
      <c r="AN660" s="42"/>
      <c r="AO660" s="42"/>
      <c r="AP660" s="525">
        <v>3544.7</v>
      </c>
      <c r="AQ660" s="525">
        <v>7176</v>
      </c>
      <c r="AR660" s="525">
        <v>8412.2999999999993</v>
      </c>
      <c r="AS660" s="525">
        <v>9414.6</v>
      </c>
      <c r="AT660" s="525">
        <v>10838.5</v>
      </c>
      <c r="AU660" s="525">
        <v>12151.7</v>
      </c>
      <c r="AV660" s="525">
        <v>13647.6</v>
      </c>
      <c r="AW660" s="523">
        <v>13196.6</v>
      </c>
      <c r="AX660" s="44">
        <v>14479.647268440647</v>
      </c>
      <c r="AY660" s="44">
        <v>15887.487130169071</v>
      </c>
      <c r="AZ660" s="44">
        <v>17204.177165412348</v>
      </c>
      <c r="BA660" s="44">
        <v>18609.535529196175</v>
      </c>
      <c r="BB660" s="44">
        <v>19478.386641116089</v>
      </c>
      <c r="BC660" s="44">
        <v>20387.832135421726</v>
      </c>
      <c r="BD660" s="44">
        <v>21339.76992163172</v>
      </c>
      <c r="BE660" s="44">
        <v>22336.18669709906</v>
      </c>
      <c r="BF660" s="44">
        <v>23044.11930260092</v>
      </c>
      <c r="BG660" s="44">
        <v>23774.523854225186</v>
      </c>
      <c r="BH660" s="44">
        <v>24290.369421540112</v>
      </c>
      <c r="BI660" s="44">
        <v>24817.443920777394</v>
      </c>
      <c r="BJ660" s="44">
        <v>25355.99245480926</v>
      </c>
      <c r="BK660" s="44">
        <v>25906.26548889995</v>
      </c>
      <c r="BL660" s="44">
        <v>26468.518968250854</v>
      </c>
      <c r="BM660" s="44">
        <v>27043.014438126367</v>
      </c>
      <c r="BN660" s="44">
        <v>27630.019166617323</v>
      </c>
      <c r="BO660" s="44">
        <v>28229.806270099816</v>
      </c>
      <c r="BP660" s="44">
        <v>28842.65484144881</v>
      </c>
      <c r="BQ660" s="44">
        <v>29468.850081067059</v>
      </c>
      <c r="BR660" s="44"/>
      <c r="BS660" s="40"/>
      <c r="BT660" s="40"/>
      <c r="BU660" s="40"/>
      <c r="BV660" s="40"/>
      <c r="BW660" s="40"/>
      <c r="BX660" s="40"/>
      <c r="BY660" s="40"/>
      <c r="BZ660" s="40"/>
      <c r="CA660" s="40"/>
      <c r="CB660" s="40"/>
      <c r="CC660" s="42"/>
      <c r="CD660" s="42"/>
      <c r="CE660" s="42"/>
      <c r="CF660" s="42"/>
      <c r="CG660" s="42"/>
      <c r="CH660" s="42"/>
      <c r="CI660" s="42"/>
      <c r="CJ660" s="42"/>
      <c r="CK660" s="42"/>
      <c r="CL660" s="42"/>
      <c r="CM660" s="42"/>
      <c r="CN660" s="42"/>
      <c r="CO660" s="42"/>
      <c r="CP660" s="42"/>
      <c r="CQ660" s="42"/>
      <c r="CR660" s="42"/>
      <c r="CS660" s="42"/>
      <c r="CT660" s="42"/>
      <c r="CU660" s="113"/>
      <c r="CV660" s="44">
        <v>7176</v>
      </c>
      <c r="CW660" s="44">
        <v>9414.6</v>
      </c>
      <c r="CX660" s="44">
        <v>12151.7</v>
      </c>
      <c r="CY660" s="45">
        <v>13196.6</v>
      </c>
      <c r="CZ660" s="44">
        <v>15887.487130169071</v>
      </c>
      <c r="DA660" s="44">
        <v>18609.535529196175</v>
      </c>
      <c r="DB660" s="44">
        <v>20387.832135421726</v>
      </c>
      <c r="DC660" s="44">
        <v>22336.18669709906</v>
      </c>
      <c r="DD660" s="44">
        <v>23774.523854225186</v>
      </c>
      <c r="DE660" s="44">
        <v>24817.443920777394</v>
      </c>
      <c r="DF660" s="44">
        <v>25906.26548889995</v>
      </c>
      <c r="DG660" s="44">
        <v>27043.014438126367</v>
      </c>
      <c r="DH660" s="44">
        <v>28229.806270099816</v>
      </c>
      <c r="DI660" s="44">
        <v>29468.850081067059</v>
      </c>
    </row>
    <row r="661" spans="1:113" ht="12" outlineLevel="1">
      <c r="A661" s="1" t="s">
        <v>758</v>
      </c>
      <c r="B661" s="19" t="s">
        <v>494</v>
      </c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M661" s="42"/>
      <c r="AN661" s="42"/>
      <c r="AO661" s="42"/>
      <c r="AP661" s="525">
        <v>10.9</v>
      </c>
      <c r="AQ661" s="525">
        <v>16.100000000000001</v>
      </c>
      <c r="AR661" s="525">
        <v>17.3</v>
      </c>
      <c r="AS661" s="525">
        <v>23.8</v>
      </c>
      <c r="AT661" s="525">
        <v>31</v>
      </c>
      <c r="AU661" s="525">
        <v>38.299999999999997</v>
      </c>
      <c r="AV661" s="525">
        <v>45</v>
      </c>
      <c r="AW661" s="523">
        <v>48.3</v>
      </c>
      <c r="AX661" s="44">
        <v>48.3</v>
      </c>
      <c r="AY661" s="44">
        <v>48.3</v>
      </c>
      <c r="AZ661" s="44">
        <v>48.3</v>
      </c>
      <c r="BA661" s="44">
        <v>48.3</v>
      </c>
      <c r="BB661" s="44">
        <v>48.3</v>
      </c>
      <c r="BC661" s="44">
        <v>48.3</v>
      </c>
      <c r="BD661" s="44">
        <v>48.3</v>
      </c>
      <c r="BE661" s="44">
        <v>48.3</v>
      </c>
      <c r="BF661" s="44">
        <v>48.3</v>
      </c>
      <c r="BG661" s="44">
        <v>48.3</v>
      </c>
      <c r="BH661" s="44">
        <v>48.3</v>
      </c>
      <c r="BI661" s="44">
        <v>48.3</v>
      </c>
      <c r="BJ661" s="44">
        <v>48.3</v>
      </c>
      <c r="BK661" s="44">
        <v>48.3</v>
      </c>
      <c r="BL661" s="44">
        <v>48.3</v>
      </c>
      <c r="BM661" s="44">
        <v>48.3</v>
      </c>
      <c r="BN661" s="44">
        <v>48.3</v>
      </c>
      <c r="BO661" s="44">
        <v>48.3</v>
      </c>
      <c r="BP661" s="44">
        <v>48.3</v>
      </c>
      <c r="BQ661" s="44">
        <v>48.3</v>
      </c>
      <c r="BR661" s="44"/>
      <c r="BS661" s="114"/>
      <c r="BT661" s="114"/>
      <c r="BU661" s="114"/>
      <c r="BV661" s="114"/>
      <c r="BW661" s="114"/>
      <c r="BX661" s="114"/>
      <c r="BY661" s="114"/>
      <c r="BZ661" s="114"/>
      <c r="CA661" s="114"/>
      <c r="CB661" s="114"/>
      <c r="CC661" s="42"/>
      <c r="CD661" s="42"/>
      <c r="CE661" s="42"/>
      <c r="CF661" s="42"/>
      <c r="CG661" s="42"/>
      <c r="CH661" s="42"/>
      <c r="CI661" s="42"/>
      <c r="CJ661" s="42"/>
      <c r="CK661" s="42"/>
      <c r="CL661" s="42"/>
      <c r="CM661" s="42"/>
      <c r="CN661" s="42"/>
      <c r="CO661" s="42"/>
      <c r="CP661" s="42"/>
      <c r="CQ661" s="42"/>
      <c r="CR661" s="42"/>
      <c r="CS661" s="42"/>
      <c r="CT661" s="42"/>
      <c r="CU661" s="113"/>
      <c r="CV661" s="44">
        <v>16.100000000000001</v>
      </c>
      <c r="CW661" s="44">
        <v>23.8</v>
      </c>
      <c r="CX661" s="44">
        <v>38.299999999999997</v>
      </c>
      <c r="CY661" s="45">
        <v>48.3</v>
      </c>
      <c r="CZ661" s="44">
        <v>48.3</v>
      </c>
      <c r="DA661" s="44">
        <v>48.3</v>
      </c>
      <c r="DB661" s="44">
        <v>48.3</v>
      </c>
      <c r="DC661" s="44">
        <v>48.3</v>
      </c>
      <c r="DD661" s="44">
        <v>48.3</v>
      </c>
      <c r="DE661" s="44">
        <v>48.3</v>
      </c>
      <c r="DF661" s="44">
        <v>48.3</v>
      </c>
      <c r="DG661" s="44">
        <v>48.3</v>
      </c>
      <c r="DH661" s="44">
        <v>48.3</v>
      </c>
      <c r="DI661" s="44">
        <v>48.3</v>
      </c>
    </row>
    <row r="662" spans="1:113" ht="12" outlineLevel="1">
      <c r="A662" s="1" t="s">
        <v>759</v>
      </c>
      <c r="B662" s="19" t="s">
        <v>909</v>
      </c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M662" s="42"/>
      <c r="AN662" s="42"/>
      <c r="AO662" s="42"/>
      <c r="AP662" s="525">
        <v>0</v>
      </c>
      <c r="AQ662" s="525">
        <v>0</v>
      </c>
      <c r="AR662" s="525">
        <v>0</v>
      </c>
      <c r="AS662" s="525">
        <v>0</v>
      </c>
      <c r="AT662" s="525">
        <v>0</v>
      </c>
      <c r="AU662" s="525">
        <v>0</v>
      </c>
      <c r="AV662" s="525">
        <v>0</v>
      </c>
      <c r="AW662" s="523">
        <v>0</v>
      </c>
      <c r="AX662" s="44">
        <v>0</v>
      </c>
      <c r="AY662" s="44">
        <v>0</v>
      </c>
      <c r="AZ662" s="44">
        <v>0</v>
      </c>
      <c r="BA662" s="44">
        <v>0</v>
      </c>
      <c r="BB662" s="44">
        <v>0</v>
      </c>
      <c r="BC662" s="44">
        <v>0</v>
      </c>
      <c r="BD662" s="44">
        <v>0</v>
      </c>
      <c r="BE662" s="44">
        <v>0</v>
      </c>
      <c r="BF662" s="44">
        <v>0</v>
      </c>
      <c r="BG662" s="44">
        <v>0</v>
      </c>
      <c r="BH662" s="44">
        <v>0</v>
      </c>
      <c r="BI662" s="44">
        <v>0</v>
      </c>
      <c r="BJ662" s="44">
        <v>0</v>
      </c>
      <c r="BK662" s="44">
        <v>0</v>
      </c>
      <c r="BL662" s="44">
        <v>0</v>
      </c>
      <c r="BM662" s="44">
        <v>0</v>
      </c>
      <c r="BN662" s="44">
        <v>0</v>
      </c>
      <c r="BO662" s="44">
        <v>0</v>
      </c>
      <c r="BP662" s="44">
        <v>0</v>
      </c>
      <c r="BQ662" s="44">
        <v>0</v>
      </c>
      <c r="BR662" s="44"/>
      <c r="BS662" s="40"/>
      <c r="BT662" s="40"/>
      <c r="BU662" s="40"/>
      <c r="BV662" s="40"/>
      <c r="BW662" s="40"/>
      <c r="BX662" s="40"/>
      <c r="BY662" s="40"/>
      <c r="BZ662" s="40"/>
      <c r="CA662" s="40"/>
      <c r="CB662" s="40"/>
      <c r="CC662" s="42"/>
      <c r="CD662" s="42"/>
      <c r="CE662" s="42"/>
      <c r="CF662" s="42"/>
      <c r="CG662" s="42"/>
      <c r="CH662" s="42"/>
      <c r="CI662" s="42"/>
      <c r="CJ662" s="42"/>
      <c r="CK662" s="42"/>
      <c r="CL662" s="42"/>
      <c r="CM662" s="42"/>
      <c r="CN662" s="42"/>
      <c r="CO662" s="42"/>
      <c r="CP662" s="42"/>
      <c r="CQ662" s="42"/>
      <c r="CR662" s="42"/>
      <c r="CS662" s="42"/>
      <c r="CT662" s="42"/>
      <c r="CU662" s="113"/>
      <c r="CV662" s="44">
        <v>0</v>
      </c>
      <c r="CW662" s="44">
        <v>0</v>
      </c>
      <c r="CX662" s="44">
        <v>0</v>
      </c>
      <c r="CY662" s="45">
        <v>0</v>
      </c>
      <c r="CZ662" s="44">
        <v>0</v>
      </c>
      <c r="DA662" s="44">
        <v>0</v>
      </c>
      <c r="DB662" s="44">
        <v>0</v>
      </c>
      <c r="DC662" s="44">
        <v>0</v>
      </c>
      <c r="DD662" s="44">
        <v>0</v>
      </c>
      <c r="DE662" s="44">
        <v>0</v>
      </c>
      <c r="DF662" s="44">
        <v>0</v>
      </c>
      <c r="DG662" s="44">
        <v>0</v>
      </c>
      <c r="DH662" s="44">
        <v>0</v>
      </c>
      <c r="DI662" s="44">
        <v>0</v>
      </c>
    </row>
    <row r="663" spans="1:113" ht="12" outlineLevel="1">
      <c r="A663" s="1" t="s">
        <v>760</v>
      </c>
      <c r="B663" s="19" t="s">
        <v>1110</v>
      </c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M663" s="42"/>
      <c r="AN663" s="42"/>
      <c r="AO663" s="42"/>
      <c r="AP663" s="525">
        <v>762.3</v>
      </c>
      <c r="AQ663" s="525">
        <v>3262.8999999999996</v>
      </c>
      <c r="AR663" s="525">
        <v>3031.7999999999997</v>
      </c>
      <c r="AS663" s="525">
        <v>2813.3</v>
      </c>
      <c r="AT663" s="525">
        <v>2464.6</v>
      </c>
      <c r="AU663" s="525">
        <v>2435.6999999999998</v>
      </c>
      <c r="AV663" s="525">
        <v>3013.5</v>
      </c>
      <c r="AW663" s="523">
        <v>1610</v>
      </c>
      <c r="AX663" s="44">
        <v>1766.5332056885441</v>
      </c>
      <c r="AY663" s="44">
        <v>1938.2912477132143</v>
      </c>
      <c r="AZ663" s="44">
        <v>2098.9289086820754</v>
      </c>
      <c r="BA663" s="44">
        <v>2270.3842051745023</v>
      </c>
      <c r="BB663" s="44">
        <v>2376.3850152461159</v>
      </c>
      <c r="BC663" s="44">
        <v>2487.3383854954282</v>
      </c>
      <c r="BD663" s="44">
        <v>2603.4758630122196</v>
      </c>
      <c r="BE663" s="44">
        <v>2725.0398271016379</v>
      </c>
      <c r="BF663" s="44">
        <v>2811.4083989199848</v>
      </c>
      <c r="BG663" s="44">
        <v>2900.5185733675748</v>
      </c>
      <c r="BH663" s="44">
        <v>2963.4523111013118</v>
      </c>
      <c r="BI663" s="44">
        <v>3027.7559911228345</v>
      </c>
      <c r="BJ663" s="44">
        <v>3093.4595162574378</v>
      </c>
      <c r="BK663" s="44">
        <v>3160.5934435482559</v>
      </c>
      <c r="BL663" s="44">
        <v>3229.1889985969015</v>
      </c>
      <c r="BM663" s="44">
        <v>3299.2780902189538</v>
      </c>
      <c r="BN663" s="44">
        <v>3370.8933254212361</v>
      </c>
      <c r="BO663" s="44">
        <v>3444.0680247079322</v>
      </c>
      <c r="BP663" s="44">
        <v>3518.8362377227904</v>
      </c>
      <c r="BQ663" s="44">
        <v>3595.2327592347997</v>
      </c>
      <c r="BR663" s="44"/>
      <c r="BS663" s="40"/>
      <c r="BT663" s="40"/>
      <c r="BU663" s="40"/>
      <c r="BV663" s="40"/>
      <c r="BW663" s="40"/>
      <c r="BX663" s="40"/>
      <c r="BY663" s="40"/>
      <c r="BZ663" s="40"/>
      <c r="CA663" s="40"/>
      <c r="CB663" s="40"/>
      <c r="CC663" s="42"/>
      <c r="CD663" s="42"/>
      <c r="CE663" s="42"/>
      <c r="CF663" s="42"/>
      <c r="CG663" s="42"/>
      <c r="CH663" s="42"/>
      <c r="CI663" s="42"/>
      <c r="CJ663" s="42"/>
      <c r="CK663" s="42"/>
      <c r="CL663" s="42"/>
      <c r="CM663" s="42"/>
      <c r="CN663" s="42"/>
      <c r="CO663" s="42"/>
      <c r="CP663" s="42"/>
      <c r="CQ663" s="42"/>
      <c r="CR663" s="42"/>
      <c r="CS663" s="42"/>
      <c r="CT663" s="42"/>
      <c r="CU663" s="113"/>
      <c r="CV663" s="44">
        <v>3262.8999999999996</v>
      </c>
      <c r="CW663" s="44">
        <v>2813.3</v>
      </c>
      <c r="CX663" s="44">
        <v>2435.6999999999998</v>
      </c>
      <c r="CY663" s="45">
        <v>1610</v>
      </c>
      <c r="CZ663" s="44">
        <v>1938.2912477132143</v>
      </c>
      <c r="DA663" s="44">
        <v>2270.3842051745023</v>
      </c>
      <c r="DB663" s="44">
        <v>2487.3383854954282</v>
      </c>
      <c r="DC663" s="44">
        <v>2725.0398271016379</v>
      </c>
      <c r="DD663" s="44">
        <v>2900.5185733675748</v>
      </c>
      <c r="DE663" s="44">
        <v>3027.7559911228345</v>
      </c>
      <c r="DF663" s="44">
        <v>3160.5934435482559</v>
      </c>
      <c r="DG663" s="44">
        <v>3299.2780902189538</v>
      </c>
      <c r="DH663" s="44">
        <v>3444.0680247079322</v>
      </c>
      <c r="DI663" s="44">
        <v>3595.2327592347997</v>
      </c>
    </row>
    <row r="664" spans="1:113" ht="12" outlineLevel="1">
      <c r="A664" s="1" t="s">
        <v>1068</v>
      </c>
      <c r="B664" s="19" t="s">
        <v>1069</v>
      </c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M664" s="42"/>
      <c r="AN664" s="42"/>
      <c r="AO664" s="42"/>
      <c r="AP664" s="525">
        <v>0</v>
      </c>
      <c r="AQ664" s="525">
        <v>0</v>
      </c>
      <c r="AR664" s="525">
        <v>0</v>
      </c>
      <c r="AS664" s="525">
        <v>0</v>
      </c>
      <c r="AT664" s="525">
        <v>0</v>
      </c>
      <c r="AU664" s="525">
        <v>0</v>
      </c>
      <c r="AV664" s="525">
        <v>0</v>
      </c>
      <c r="AW664" s="523">
        <v>0</v>
      </c>
      <c r="AX664" s="44">
        <v>0</v>
      </c>
      <c r="AY664" s="44">
        <v>0</v>
      </c>
      <c r="AZ664" s="44">
        <v>0</v>
      </c>
      <c r="BA664" s="44">
        <v>0</v>
      </c>
      <c r="BB664" s="44">
        <v>0</v>
      </c>
      <c r="BC664" s="44">
        <v>0</v>
      </c>
      <c r="BD664" s="44">
        <v>0</v>
      </c>
      <c r="BE664" s="44">
        <v>0</v>
      </c>
      <c r="BF664" s="44">
        <v>0</v>
      </c>
      <c r="BG664" s="44">
        <v>0</v>
      </c>
      <c r="BH664" s="44">
        <v>0</v>
      </c>
      <c r="BI664" s="44">
        <v>0</v>
      </c>
      <c r="BJ664" s="44">
        <v>0</v>
      </c>
      <c r="BK664" s="44">
        <v>0</v>
      </c>
      <c r="BL664" s="44">
        <v>0</v>
      </c>
      <c r="BM664" s="44">
        <v>0</v>
      </c>
      <c r="BN664" s="44">
        <v>0</v>
      </c>
      <c r="BO664" s="44">
        <v>0</v>
      </c>
      <c r="BP664" s="44">
        <v>0</v>
      </c>
      <c r="BQ664" s="44">
        <v>0</v>
      </c>
      <c r="BR664" s="44"/>
      <c r="BS664" s="40"/>
      <c r="BT664" s="40"/>
      <c r="BU664" s="40"/>
      <c r="BV664" s="40"/>
      <c r="BW664" s="40"/>
      <c r="BX664" s="40"/>
      <c r="BY664" s="40"/>
      <c r="BZ664" s="40"/>
      <c r="CA664" s="40"/>
      <c r="CB664" s="40"/>
      <c r="CC664" s="42"/>
      <c r="CD664" s="42"/>
      <c r="CE664" s="42"/>
      <c r="CF664" s="42"/>
      <c r="CG664" s="42"/>
      <c r="CH664" s="42"/>
      <c r="CI664" s="42"/>
      <c r="CJ664" s="42"/>
      <c r="CK664" s="42"/>
      <c r="CL664" s="42"/>
      <c r="CM664" s="42"/>
      <c r="CN664" s="42"/>
      <c r="CO664" s="42"/>
      <c r="CP664" s="42"/>
      <c r="CQ664" s="42"/>
      <c r="CR664" s="42"/>
      <c r="CS664" s="42"/>
      <c r="CT664" s="42"/>
      <c r="CU664" s="113"/>
      <c r="CV664" s="44">
        <v>0</v>
      </c>
      <c r="CW664" s="44">
        <v>0</v>
      </c>
      <c r="CX664" s="44">
        <v>0</v>
      </c>
      <c r="CY664" s="45">
        <v>0</v>
      </c>
      <c r="CZ664" s="44">
        <v>0</v>
      </c>
      <c r="DA664" s="44">
        <v>0</v>
      </c>
      <c r="DB664" s="44">
        <v>0</v>
      </c>
      <c r="DC664" s="44">
        <v>0</v>
      </c>
      <c r="DD664" s="44">
        <v>0</v>
      </c>
      <c r="DE664" s="44">
        <v>0</v>
      </c>
      <c r="DF664" s="44">
        <v>0</v>
      </c>
      <c r="DG664" s="44">
        <v>0</v>
      </c>
      <c r="DH664" s="44">
        <v>0</v>
      </c>
      <c r="DI664" s="44">
        <v>0</v>
      </c>
    </row>
    <row r="665" spans="1:113" ht="12" outlineLevel="1">
      <c r="A665" s="1" t="s">
        <v>895</v>
      </c>
      <c r="B665" s="19" t="s">
        <v>910</v>
      </c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/>
      <c r="AL665" s="42"/>
      <c r="AM665" s="42"/>
      <c r="AN665" s="42"/>
      <c r="AO665" s="42"/>
      <c r="AP665" s="525">
        <v>0</v>
      </c>
      <c r="AQ665" s="525">
        <v>0</v>
      </c>
      <c r="AR665" s="525">
        <v>0</v>
      </c>
      <c r="AS665" s="525">
        <v>0</v>
      </c>
      <c r="AT665" s="525">
        <v>0</v>
      </c>
      <c r="AU665" s="525">
        <v>0</v>
      </c>
      <c r="AV665" s="525">
        <v>0</v>
      </c>
      <c r="AW665" s="523">
        <v>0</v>
      </c>
      <c r="AX665" s="44">
        <v>0</v>
      </c>
      <c r="AY665" s="44">
        <v>0</v>
      </c>
      <c r="AZ665" s="44">
        <v>0</v>
      </c>
      <c r="BA665" s="44">
        <v>0</v>
      </c>
      <c r="BB665" s="44">
        <v>0</v>
      </c>
      <c r="BC665" s="44">
        <v>0</v>
      </c>
      <c r="BD665" s="44">
        <v>0</v>
      </c>
      <c r="BE665" s="44">
        <v>0</v>
      </c>
      <c r="BF665" s="44">
        <v>0</v>
      </c>
      <c r="BG665" s="44">
        <v>0</v>
      </c>
      <c r="BH665" s="44">
        <v>0</v>
      </c>
      <c r="BI665" s="44">
        <v>0</v>
      </c>
      <c r="BJ665" s="44">
        <v>0</v>
      </c>
      <c r="BK665" s="44">
        <v>0</v>
      </c>
      <c r="BL665" s="44">
        <v>0</v>
      </c>
      <c r="BM665" s="44">
        <v>0</v>
      </c>
      <c r="BN665" s="44">
        <v>0</v>
      </c>
      <c r="BO665" s="44">
        <v>0</v>
      </c>
      <c r="BP665" s="44">
        <v>0</v>
      </c>
      <c r="BQ665" s="44">
        <v>0</v>
      </c>
      <c r="BR665" s="44"/>
      <c r="BS665" s="40"/>
      <c r="BT665" s="40"/>
      <c r="BU665" s="40"/>
      <c r="BV665" s="40"/>
      <c r="BW665" s="40"/>
      <c r="BX665" s="40"/>
      <c r="BY665" s="40"/>
      <c r="BZ665" s="40"/>
      <c r="CA665" s="40"/>
      <c r="CB665" s="40"/>
      <c r="CC665" s="42"/>
      <c r="CD665" s="42"/>
      <c r="CE665" s="42"/>
      <c r="CF665" s="42"/>
      <c r="CG665" s="42"/>
      <c r="CH665" s="42"/>
      <c r="CI665" s="42"/>
      <c r="CJ665" s="42"/>
      <c r="CK665" s="42"/>
      <c r="CL665" s="42"/>
      <c r="CM665" s="42"/>
      <c r="CN665" s="42"/>
      <c r="CO665" s="42"/>
      <c r="CP665" s="42"/>
      <c r="CQ665" s="42"/>
      <c r="CR665" s="42"/>
      <c r="CS665" s="42"/>
      <c r="CT665" s="42"/>
      <c r="CU665" s="113"/>
      <c r="CV665" s="44">
        <v>0</v>
      </c>
      <c r="CW665" s="44">
        <v>0</v>
      </c>
      <c r="CX665" s="44">
        <v>0</v>
      </c>
      <c r="CY665" s="45">
        <v>0</v>
      </c>
      <c r="CZ665" s="44">
        <v>0</v>
      </c>
      <c r="DA665" s="44">
        <v>0</v>
      </c>
      <c r="DB665" s="44">
        <v>0</v>
      </c>
      <c r="DC665" s="44">
        <v>0</v>
      </c>
      <c r="DD665" s="44">
        <v>0</v>
      </c>
      <c r="DE665" s="44">
        <v>0</v>
      </c>
      <c r="DF665" s="44">
        <v>0</v>
      </c>
      <c r="DG665" s="44">
        <v>0</v>
      </c>
      <c r="DH665" s="44">
        <v>0</v>
      </c>
      <c r="DI665" s="44">
        <v>0</v>
      </c>
    </row>
    <row r="666" spans="1:113" ht="12" outlineLevel="1">
      <c r="A666" s="1" t="s">
        <v>896</v>
      </c>
      <c r="B666" s="19" t="s">
        <v>911</v>
      </c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M666" s="42"/>
      <c r="AN666" s="42"/>
      <c r="AO666" s="42"/>
      <c r="AP666" s="525">
        <v>2</v>
      </c>
      <c r="AQ666" s="525">
        <v>1.7</v>
      </c>
      <c r="AR666" s="525">
        <v>2.1</v>
      </c>
      <c r="AS666" s="525">
        <v>2.6</v>
      </c>
      <c r="AT666" s="525"/>
      <c r="AU666" s="525"/>
      <c r="AV666" s="525"/>
      <c r="AW666" s="523"/>
      <c r="AX666" s="44">
        <v>0</v>
      </c>
      <c r="AY666" s="44">
        <v>0</v>
      </c>
      <c r="AZ666" s="44">
        <v>0</v>
      </c>
      <c r="BA666" s="44">
        <v>0</v>
      </c>
      <c r="BB666" s="44">
        <v>0</v>
      </c>
      <c r="BC666" s="44">
        <v>0</v>
      </c>
      <c r="BD666" s="44">
        <v>0</v>
      </c>
      <c r="BE666" s="44">
        <v>0</v>
      </c>
      <c r="BF666" s="44">
        <v>0</v>
      </c>
      <c r="BG666" s="44">
        <v>0</v>
      </c>
      <c r="BH666" s="44">
        <v>0</v>
      </c>
      <c r="BI666" s="44">
        <v>0</v>
      </c>
      <c r="BJ666" s="44">
        <v>0</v>
      </c>
      <c r="BK666" s="44">
        <v>0</v>
      </c>
      <c r="BL666" s="44">
        <v>0</v>
      </c>
      <c r="BM666" s="44">
        <v>0</v>
      </c>
      <c r="BN666" s="44">
        <v>0</v>
      </c>
      <c r="BO666" s="44">
        <v>0</v>
      </c>
      <c r="BP666" s="44">
        <v>0</v>
      </c>
      <c r="BQ666" s="44">
        <v>0</v>
      </c>
      <c r="BR666" s="44"/>
      <c r="BS666" s="40"/>
      <c r="BT666" s="40"/>
      <c r="BU666" s="40"/>
      <c r="BV666" s="40"/>
      <c r="BW666" s="40"/>
      <c r="BX666" s="40"/>
      <c r="BY666" s="40"/>
      <c r="BZ666" s="40"/>
      <c r="CA666" s="40"/>
      <c r="CB666" s="40"/>
      <c r="CC666" s="42"/>
      <c r="CD666" s="42"/>
      <c r="CE666" s="42"/>
      <c r="CF666" s="42"/>
      <c r="CG666" s="42"/>
      <c r="CH666" s="42"/>
      <c r="CI666" s="42"/>
      <c r="CJ666" s="42"/>
      <c r="CK666" s="42"/>
      <c r="CL666" s="42"/>
      <c r="CM666" s="42"/>
      <c r="CN666" s="42"/>
      <c r="CO666" s="42"/>
      <c r="CP666" s="42"/>
      <c r="CQ666" s="42"/>
      <c r="CR666" s="42"/>
      <c r="CS666" s="42"/>
      <c r="CT666" s="42"/>
      <c r="CU666" s="113"/>
      <c r="CV666" s="44">
        <v>1.7</v>
      </c>
      <c r="CW666" s="44">
        <v>2.6</v>
      </c>
      <c r="CX666" s="44">
        <v>0</v>
      </c>
      <c r="CY666" s="45">
        <v>0</v>
      </c>
      <c r="CZ666" s="44">
        <v>0</v>
      </c>
      <c r="DA666" s="44">
        <v>0</v>
      </c>
      <c r="DB666" s="44">
        <v>0</v>
      </c>
      <c r="DC666" s="44">
        <v>0</v>
      </c>
      <c r="DD666" s="44">
        <v>0</v>
      </c>
      <c r="DE666" s="44">
        <v>0</v>
      </c>
      <c r="DF666" s="44">
        <v>0</v>
      </c>
      <c r="DG666" s="44">
        <v>0</v>
      </c>
      <c r="DH666" s="44">
        <v>0</v>
      </c>
      <c r="DI666" s="44">
        <v>0</v>
      </c>
    </row>
    <row r="667" spans="1:113" ht="12" outlineLevel="1">
      <c r="A667" s="1" t="s">
        <v>900</v>
      </c>
      <c r="B667" s="19" t="s">
        <v>931</v>
      </c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M667" s="42"/>
      <c r="AN667" s="42"/>
      <c r="AO667" s="42"/>
      <c r="AP667" s="44">
        <v>41.200000000000273</v>
      </c>
      <c r="AQ667" s="44">
        <v>68.300000000001091</v>
      </c>
      <c r="AR667" s="44">
        <v>103.79999999999927</v>
      </c>
      <c r="AS667" s="44">
        <v>131.00000000000182</v>
      </c>
      <c r="AT667" s="44">
        <v>141.70000000000073</v>
      </c>
      <c r="AU667" s="44">
        <v>162.70000000000073</v>
      </c>
      <c r="AV667" s="44">
        <v>181.70000000000073</v>
      </c>
      <c r="AW667" s="45">
        <v>199</v>
      </c>
      <c r="AX667" s="44">
        <v>225.91386375856564</v>
      </c>
      <c r="AY667" s="44">
        <v>255.72363928299455</v>
      </c>
      <c r="AZ667" s="44">
        <v>284.29408041528586</v>
      </c>
      <c r="BA667" s="44">
        <v>315.1794990735325</v>
      </c>
      <c r="BB667" s="44">
        <v>336.04411538019122</v>
      </c>
      <c r="BC667" s="44">
        <v>358.06850951508022</v>
      </c>
      <c r="BD667" s="44">
        <v>377.07684792266082</v>
      </c>
      <c r="BE667" s="44">
        <v>396.97484035045636</v>
      </c>
      <c r="BF667" s="44">
        <v>411.12502546180258</v>
      </c>
      <c r="BG667" s="44">
        <v>425.72544665258465</v>
      </c>
      <c r="BH667" s="44">
        <v>436.05019124607134</v>
      </c>
      <c r="BI667" s="44">
        <v>446.60041535814526</v>
      </c>
      <c r="BJ667" s="44">
        <v>457.38105413036101</v>
      </c>
      <c r="BK667" s="44">
        <v>468.39715092185361</v>
      </c>
      <c r="BL667" s="44">
        <v>479.65385968597184</v>
      </c>
      <c r="BM667" s="44">
        <v>491.15644739918935</v>
      </c>
      <c r="BN667" s="44">
        <v>502.9102965434613</v>
      </c>
      <c r="BO667" s="44">
        <v>514.92090764311797</v>
      </c>
      <c r="BP667" s="44">
        <v>527.19390185757948</v>
      </c>
      <c r="BQ667" s="44">
        <v>539.73502363110674</v>
      </c>
      <c r="BR667" s="44"/>
      <c r="BS667" s="42"/>
      <c r="BT667" s="42"/>
      <c r="BU667" s="42"/>
      <c r="BV667" s="42"/>
      <c r="BW667" s="42"/>
      <c r="BX667" s="42"/>
      <c r="BY667" s="42"/>
      <c r="BZ667" s="42"/>
      <c r="CA667" s="42"/>
      <c r="CB667" s="42"/>
      <c r="CC667" s="42"/>
      <c r="CD667" s="42"/>
      <c r="CE667" s="42"/>
      <c r="CF667" s="42"/>
      <c r="CG667" s="42"/>
      <c r="CH667" s="42"/>
      <c r="CI667" s="42"/>
      <c r="CJ667" s="42"/>
      <c r="CK667" s="42"/>
      <c r="CL667" s="42"/>
      <c r="CM667" s="42"/>
      <c r="CN667" s="42"/>
      <c r="CO667" s="42"/>
      <c r="CP667" s="42"/>
      <c r="CQ667" s="42"/>
      <c r="CR667" s="42"/>
      <c r="CS667" s="42"/>
      <c r="CT667" s="42"/>
      <c r="CU667" s="42"/>
      <c r="CV667" s="44">
        <v>68.300000000001091</v>
      </c>
      <c r="CW667" s="44">
        <v>131.00000000000182</v>
      </c>
      <c r="CX667" s="44">
        <v>162.70000000000073</v>
      </c>
      <c r="CY667" s="45">
        <v>199</v>
      </c>
      <c r="CZ667" s="44">
        <v>255.72363928299455</v>
      </c>
      <c r="DA667" s="44">
        <v>315.1794990735325</v>
      </c>
      <c r="DB667" s="44">
        <v>358.06850951508022</v>
      </c>
      <c r="DC667" s="44">
        <v>396.97484035045636</v>
      </c>
      <c r="DD667" s="44">
        <v>425.72544665258465</v>
      </c>
      <c r="DE667" s="44">
        <v>446.60041535814526</v>
      </c>
      <c r="DF667" s="44">
        <v>468.39715092185361</v>
      </c>
      <c r="DG667" s="44">
        <v>491.15644739918935</v>
      </c>
      <c r="DH667" s="44">
        <v>514.92090764311797</v>
      </c>
      <c r="DI667" s="44">
        <v>539.73502363110674</v>
      </c>
    </row>
    <row r="668" spans="1:113" ht="12" outlineLevel="1">
      <c r="A668" s="1" t="s">
        <v>901</v>
      </c>
      <c r="B668" s="19" t="s">
        <v>802</v>
      </c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M668" s="42"/>
      <c r="AN668" s="42"/>
      <c r="AO668" s="42"/>
      <c r="AP668" s="525">
        <v>135.19999999999999</v>
      </c>
      <c r="AQ668" s="525">
        <v>344</v>
      </c>
      <c r="AR668" s="525">
        <v>454</v>
      </c>
      <c r="AS668" s="525">
        <v>407.1</v>
      </c>
      <c r="AT668" s="525">
        <v>793.4</v>
      </c>
      <c r="AU668" s="525">
        <v>714.7</v>
      </c>
      <c r="AV668" s="525">
        <v>835</v>
      </c>
      <c r="AW668" s="523">
        <v>777.4</v>
      </c>
      <c r="AX668" s="44">
        <v>852.98317646103987</v>
      </c>
      <c r="AY668" s="44">
        <v>935.91777389580909</v>
      </c>
      <c r="AZ668" s="44">
        <v>1013.4828159064879</v>
      </c>
      <c r="BA668" s="44">
        <v>1096.2712304985455</v>
      </c>
      <c r="BB668" s="44">
        <v>1147.4544787902678</v>
      </c>
      <c r="BC668" s="44">
        <v>1201.0291061392215</v>
      </c>
      <c r="BD668" s="44">
        <v>1257.1069167116152</v>
      </c>
      <c r="BE668" s="44">
        <v>1315.8049450862202</v>
      </c>
      <c r="BF668" s="44">
        <v>1357.5086269070791</v>
      </c>
      <c r="BG668" s="44">
        <v>1400.5361111403442</v>
      </c>
      <c r="BH668" s="44">
        <v>1430.9241159317769</v>
      </c>
      <c r="BI668" s="44">
        <v>1461.9736071421692</v>
      </c>
      <c r="BJ668" s="44">
        <v>1493.6990235643061</v>
      </c>
      <c r="BK668" s="44">
        <v>1526.1151198847297</v>
      </c>
      <c r="BL668" s="44">
        <v>1559.2369736082185</v>
      </c>
      <c r="BM668" s="44">
        <v>1593.0799921342953</v>
      </c>
      <c r="BN668" s="44">
        <v>1627.6599199891116</v>
      </c>
      <c r="BO668" s="44">
        <v>1662.9928462161163</v>
      </c>
      <c r="BP668" s="44">
        <v>1699.0952119290052</v>
      </c>
      <c r="BQ668" s="44">
        <v>1735.9838180305183</v>
      </c>
      <c r="BR668" s="44"/>
      <c r="BS668" s="40"/>
      <c r="BT668" s="40"/>
      <c r="BU668" s="40"/>
      <c r="BV668" s="40"/>
      <c r="BW668" s="40"/>
      <c r="BX668" s="40"/>
      <c r="BY668" s="40"/>
      <c r="BZ668" s="40"/>
      <c r="CA668" s="40"/>
      <c r="CB668" s="40"/>
      <c r="CC668" s="42"/>
      <c r="CD668" s="42"/>
      <c r="CE668" s="42"/>
      <c r="CF668" s="42"/>
      <c r="CG668" s="42"/>
      <c r="CH668" s="42"/>
      <c r="CI668" s="42"/>
      <c r="CJ668" s="42"/>
      <c r="CK668" s="42"/>
      <c r="CL668" s="42"/>
      <c r="CM668" s="42"/>
      <c r="CN668" s="42"/>
      <c r="CO668" s="42"/>
      <c r="CP668" s="42"/>
      <c r="CQ668" s="42"/>
      <c r="CR668" s="42"/>
      <c r="CS668" s="42"/>
      <c r="CT668" s="42"/>
      <c r="CU668" s="113"/>
      <c r="CV668" s="44">
        <v>344</v>
      </c>
      <c r="CW668" s="44">
        <v>407.1</v>
      </c>
      <c r="CX668" s="44">
        <v>714.7</v>
      </c>
      <c r="CY668" s="45">
        <v>777.4</v>
      </c>
      <c r="CZ668" s="44">
        <v>935.91777389580909</v>
      </c>
      <c r="DA668" s="44">
        <v>1096.2712304985455</v>
      </c>
      <c r="DB668" s="44">
        <v>1201.0291061392215</v>
      </c>
      <c r="DC668" s="44">
        <v>1315.8049450862202</v>
      </c>
      <c r="DD668" s="44">
        <v>1400.5361111403442</v>
      </c>
      <c r="DE668" s="44">
        <v>1461.9736071421692</v>
      </c>
      <c r="DF668" s="44">
        <v>1526.1151198847297</v>
      </c>
      <c r="DG668" s="44">
        <v>1593.0799921342953</v>
      </c>
      <c r="DH668" s="44">
        <v>1662.9928462161163</v>
      </c>
      <c r="DI668" s="44">
        <v>1735.9838180305183</v>
      </c>
    </row>
    <row r="669" spans="1:113" ht="12" outlineLevel="1">
      <c r="A669" s="1" t="s">
        <v>902</v>
      </c>
      <c r="B669" s="19" t="s">
        <v>803</v>
      </c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M669" s="42"/>
      <c r="AN669" s="42"/>
      <c r="AO669" s="42"/>
      <c r="AP669" s="525">
        <v>0</v>
      </c>
      <c r="AQ669" s="525">
        <v>0</v>
      </c>
      <c r="AR669" s="525">
        <v>0</v>
      </c>
      <c r="AS669" s="525">
        <v>0</v>
      </c>
      <c r="AT669" s="525">
        <v>0</v>
      </c>
      <c r="AU669" s="525">
        <v>0</v>
      </c>
      <c r="AV669" s="525">
        <v>0</v>
      </c>
      <c r="AW669" s="523">
        <v>0</v>
      </c>
      <c r="AX669" s="44">
        <v>0</v>
      </c>
      <c r="AY669" s="44">
        <v>0</v>
      </c>
      <c r="AZ669" s="44">
        <v>0</v>
      </c>
      <c r="BA669" s="44">
        <v>0</v>
      </c>
      <c r="BB669" s="44">
        <v>0</v>
      </c>
      <c r="BC669" s="44">
        <v>0</v>
      </c>
      <c r="BD669" s="44">
        <v>0</v>
      </c>
      <c r="BE669" s="44">
        <v>0</v>
      </c>
      <c r="BF669" s="44">
        <v>0</v>
      </c>
      <c r="BG669" s="44">
        <v>0</v>
      </c>
      <c r="BH669" s="44">
        <v>0</v>
      </c>
      <c r="BI669" s="44">
        <v>0</v>
      </c>
      <c r="BJ669" s="44">
        <v>0</v>
      </c>
      <c r="BK669" s="44">
        <v>0</v>
      </c>
      <c r="BL669" s="44">
        <v>0</v>
      </c>
      <c r="BM669" s="44">
        <v>0</v>
      </c>
      <c r="BN669" s="44">
        <v>0</v>
      </c>
      <c r="BO669" s="44">
        <v>0</v>
      </c>
      <c r="BP669" s="44">
        <v>0</v>
      </c>
      <c r="BQ669" s="44">
        <v>0</v>
      </c>
      <c r="BR669" s="44"/>
      <c r="BS669" s="40"/>
      <c r="BT669" s="40"/>
      <c r="BU669" s="40"/>
      <c r="BV669" s="40"/>
      <c r="BW669" s="40"/>
      <c r="BX669" s="40"/>
      <c r="BY669" s="40"/>
      <c r="BZ669" s="40"/>
      <c r="CA669" s="40"/>
      <c r="CB669" s="40"/>
      <c r="CC669" s="42"/>
      <c r="CD669" s="42"/>
      <c r="CE669" s="42"/>
      <c r="CF669" s="42"/>
      <c r="CG669" s="42"/>
      <c r="CH669" s="42"/>
      <c r="CI669" s="42"/>
      <c r="CJ669" s="42"/>
      <c r="CK669" s="42"/>
      <c r="CL669" s="42"/>
      <c r="CM669" s="42"/>
      <c r="CN669" s="42"/>
      <c r="CO669" s="42"/>
      <c r="CP669" s="42"/>
      <c r="CQ669" s="42"/>
      <c r="CR669" s="42"/>
      <c r="CS669" s="42"/>
      <c r="CT669" s="42"/>
      <c r="CU669" s="113"/>
      <c r="CV669" s="44">
        <v>0</v>
      </c>
      <c r="CW669" s="44">
        <v>0</v>
      </c>
      <c r="CX669" s="44">
        <v>0</v>
      </c>
      <c r="CY669" s="45">
        <v>0</v>
      </c>
      <c r="CZ669" s="44">
        <v>0</v>
      </c>
      <c r="DA669" s="44">
        <v>0</v>
      </c>
      <c r="DB669" s="44">
        <v>0</v>
      </c>
      <c r="DC669" s="44">
        <v>0</v>
      </c>
      <c r="DD669" s="44">
        <v>0</v>
      </c>
      <c r="DE669" s="44">
        <v>0</v>
      </c>
      <c r="DF669" s="44">
        <v>0</v>
      </c>
      <c r="DG669" s="44">
        <v>0</v>
      </c>
      <c r="DH669" s="44">
        <v>0</v>
      </c>
      <c r="DI669" s="44">
        <v>0</v>
      </c>
    </row>
    <row r="670" spans="1:113" ht="12" outlineLevel="1">
      <c r="A670" s="1" t="s">
        <v>1070</v>
      </c>
      <c r="B670" s="19" t="s">
        <v>1071</v>
      </c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525">
        <v>0</v>
      </c>
      <c r="AQ670" s="525">
        <v>0</v>
      </c>
      <c r="AR670" s="525">
        <v>0</v>
      </c>
      <c r="AS670" s="525">
        <v>0</v>
      </c>
      <c r="AT670" s="525">
        <v>0</v>
      </c>
      <c r="AU670" s="525">
        <v>0</v>
      </c>
      <c r="AV670" s="525">
        <v>0</v>
      </c>
      <c r="AW670" s="523">
        <v>0</v>
      </c>
      <c r="AX670" s="44">
        <v>0</v>
      </c>
      <c r="AY670" s="44">
        <v>0</v>
      </c>
      <c r="AZ670" s="44">
        <v>0</v>
      </c>
      <c r="BA670" s="44">
        <v>0</v>
      </c>
      <c r="BB670" s="44">
        <v>0</v>
      </c>
      <c r="BC670" s="44">
        <v>0</v>
      </c>
      <c r="BD670" s="44">
        <v>0</v>
      </c>
      <c r="BE670" s="44">
        <v>0</v>
      </c>
      <c r="BF670" s="44">
        <v>0</v>
      </c>
      <c r="BG670" s="44">
        <v>0</v>
      </c>
      <c r="BH670" s="44">
        <v>0</v>
      </c>
      <c r="BI670" s="44">
        <v>0</v>
      </c>
      <c r="BJ670" s="44">
        <v>0</v>
      </c>
      <c r="BK670" s="44">
        <v>0</v>
      </c>
      <c r="BL670" s="44">
        <v>0</v>
      </c>
      <c r="BM670" s="44">
        <v>0</v>
      </c>
      <c r="BN670" s="44">
        <v>0</v>
      </c>
      <c r="BO670" s="44">
        <v>0</v>
      </c>
      <c r="BP670" s="44">
        <v>0</v>
      </c>
      <c r="BQ670" s="44">
        <v>0</v>
      </c>
      <c r="BR670" s="44"/>
      <c r="BS670" s="40"/>
      <c r="BT670" s="40"/>
      <c r="BU670" s="40"/>
      <c r="BV670" s="40"/>
      <c r="BW670" s="40"/>
      <c r="BX670" s="40"/>
      <c r="BY670" s="40"/>
      <c r="BZ670" s="40"/>
      <c r="CA670" s="40"/>
      <c r="CB670" s="40"/>
      <c r="CC670" s="42"/>
      <c r="CD670" s="42"/>
      <c r="CE670" s="42"/>
      <c r="CF670" s="42"/>
      <c r="CG670" s="42"/>
      <c r="CH670" s="42"/>
      <c r="CI670" s="42"/>
      <c r="CJ670" s="42"/>
      <c r="CK670" s="42"/>
      <c r="CL670" s="42"/>
      <c r="CM670" s="42"/>
      <c r="CN670" s="42"/>
      <c r="CO670" s="42"/>
      <c r="CP670" s="42"/>
      <c r="CQ670" s="42"/>
      <c r="CR670" s="42"/>
      <c r="CS670" s="42"/>
      <c r="CT670" s="42"/>
      <c r="CU670" s="113"/>
      <c r="CV670" s="44">
        <v>0</v>
      </c>
      <c r="CW670" s="44">
        <v>0</v>
      </c>
      <c r="CX670" s="44">
        <v>0</v>
      </c>
      <c r="CY670" s="45">
        <v>0</v>
      </c>
      <c r="CZ670" s="44">
        <v>0</v>
      </c>
      <c r="DA670" s="44">
        <v>0</v>
      </c>
      <c r="DB670" s="44">
        <v>0</v>
      </c>
      <c r="DC670" s="44">
        <v>0</v>
      </c>
      <c r="DD670" s="44">
        <v>0</v>
      </c>
      <c r="DE670" s="44">
        <v>0</v>
      </c>
      <c r="DF670" s="44">
        <v>0</v>
      </c>
      <c r="DG670" s="44">
        <v>0</v>
      </c>
      <c r="DH670" s="44">
        <v>0</v>
      </c>
      <c r="DI670" s="44">
        <v>0</v>
      </c>
    </row>
    <row r="671" spans="1:113" ht="12" outlineLevel="1">
      <c r="A671" s="1" t="s">
        <v>903</v>
      </c>
      <c r="B671" s="19" t="s">
        <v>664</v>
      </c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M671" s="42"/>
      <c r="AN671" s="42"/>
      <c r="AO671" s="42"/>
      <c r="AP671" s="525">
        <v>0</v>
      </c>
      <c r="AQ671" s="525">
        <v>0</v>
      </c>
      <c r="AR671" s="525">
        <v>0</v>
      </c>
      <c r="AS671" s="525">
        <v>0</v>
      </c>
      <c r="AT671" s="525">
        <v>0</v>
      </c>
      <c r="AU671" s="525">
        <v>0</v>
      </c>
      <c r="AV671" s="525">
        <v>0</v>
      </c>
      <c r="AW671" s="523">
        <v>0</v>
      </c>
      <c r="AX671" s="44">
        <v>0</v>
      </c>
      <c r="AY671" s="44">
        <v>0</v>
      </c>
      <c r="AZ671" s="44">
        <v>0</v>
      </c>
      <c r="BA671" s="44">
        <v>0</v>
      </c>
      <c r="BB671" s="44">
        <v>0</v>
      </c>
      <c r="BC671" s="44">
        <v>0</v>
      </c>
      <c r="BD671" s="44">
        <v>0</v>
      </c>
      <c r="BE671" s="44">
        <v>0</v>
      </c>
      <c r="BF671" s="44">
        <v>0</v>
      </c>
      <c r="BG671" s="44">
        <v>0</v>
      </c>
      <c r="BH671" s="44">
        <v>0</v>
      </c>
      <c r="BI671" s="44">
        <v>0</v>
      </c>
      <c r="BJ671" s="44">
        <v>0</v>
      </c>
      <c r="BK671" s="44">
        <v>0</v>
      </c>
      <c r="BL671" s="44">
        <v>0</v>
      </c>
      <c r="BM671" s="44">
        <v>0</v>
      </c>
      <c r="BN671" s="44">
        <v>0</v>
      </c>
      <c r="BO671" s="44">
        <v>0</v>
      </c>
      <c r="BP671" s="44">
        <v>0</v>
      </c>
      <c r="BQ671" s="44">
        <v>0</v>
      </c>
      <c r="BR671" s="44"/>
      <c r="BS671" s="40"/>
      <c r="BT671" s="40"/>
      <c r="BU671" s="40"/>
      <c r="BV671" s="40"/>
      <c r="BW671" s="40"/>
      <c r="BX671" s="40"/>
      <c r="BY671" s="40"/>
      <c r="BZ671" s="40"/>
      <c r="CA671" s="40"/>
      <c r="CB671" s="40"/>
      <c r="CC671" s="42"/>
      <c r="CD671" s="42"/>
      <c r="CE671" s="42"/>
      <c r="CF671" s="42"/>
      <c r="CG671" s="42"/>
      <c r="CH671" s="42"/>
      <c r="CI671" s="42"/>
      <c r="CJ671" s="42"/>
      <c r="CK671" s="42"/>
      <c r="CL671" s="42"/>
      <c r="CM671" s="42"/>
      <c r="CN671" s="42"/>
      <c r="CO671" s="42"/>
      <c r="CP671" s="42"/>
      <c r="CQ671" s="42"/>
      <c r="CR671" s="42"/>
      <c r="CS671" s="42"/>
      <c r="CT671" s="42"/>
      <c r="CU671" s="113"/>
      <c r="CV671" s="44">
        <v>0</v>
      </c>
      <c r="CW671" s="44">
        <v>0</v>
      </c>
      <c r="CX671" s="44">
        <v>0</v>
      </c>
      <c r="CY671" s="45">
        <v>0</v>
      </c>
      <c r="CZ671" s="44">
        <v>0</v>
      </c>
      <c r="DA671" s="44">
        <v>0</v>
      </c>
      <c r="DB671" s="44">
        <v>0</v>
      </c>
      <c r="DC671" s="44">
        <v>0</v>
      </c>
      <c r="DD671" s="44">
        <v>0</v>
      </c>
      <c r="DE671" s="44">
        <v>0</v>
      </c>
      <c r="DF671" s="44">
        <v>0</v>
      </c>
      <c r="DG671" s="44">
        <v>0</v>
      </c>
      <c r="DH671" s="44">
        <v>0</v>
      </c>
      <c r="DI671" s="44">
        <v>0</v>
      </c>
    </row>
    <row r="672" spans="1:113" ht="12" outlineLevel="1">
      <c r="A672" s="1" t="s">
        <v>1046</v>
      </c>
      <c r="B672" s="19" t="s">
        <v>665</v>
      </c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525">
        <v>867</v>
      </c>
      <c r="AQ672" s="525">
        <v>3546.1</v>
      </c>
      <c r="AR672" s="525">
        <v>3770.5</v>
      </c>
      <c r="AS672" s="525">
        <v>3870.2</v>
      </c>
      <c r="AT672" s="525">
        <v>4068.4</v>
      </c>
      <c r="AU672" s="525">
        <v>4622.7</v>
      </c>
      <c r="AV672" s="525">
        <v>5101.5</v>
      </c>
      <c r="AW672" s="523">
        <v>3320</v>
      </c>
      <c r="AX672" s="44">
        <v>3303.4087338506379</v>
      </c>
      <c r="AY672" s="44">
        <v>3165.5463188775611</v>
      </c>
      <c r="AZ672" s="44">
        <v>3149.42451479394</v>
      </c>
      <c r="BA672" s="44">
        <v>3068.6469186617815</v>
      </c>
      <c r="BB672" s="44">
        <v>2756.9696474836437</v>
      </c>
      <c r="BC672" s="44">
        <v>3284.3795123405889</v>
      </c>
      <c r="BD672" s="44">
        <v>3471.9460591349234</v>
      </c>
      <c r="BE672" s="44">
        <v>3669.1513356272626</v>
      </c>
      <c r="BF672" s="44">
        <v>3787.3385056751868</v>
      </c>
      <c r="BG672" s="44">
        <v>3913.1118405584675</v>
      </c>
      <c r="BH672" s="44">
        <v>3978.4581644407153</v>
      </c>
      <c r="BI672" s="44">
        <v>4048.9182756063747</v>
      </c>
      <c r="BJ672" s="44">
        <v>4117.2333296882935</v>
      </c>
      <c r="BK672" s="44">
        <v>4190.7435821631261</v>
      </c>
      <c r="BL672" s="44">
        <v>4262.2022415915599</v>
      </c>
      <c r="BM672" s="44">
        <v>4337.2389452964089</v>
      </c>
      <c r="BN672" s="44">
        <v>4411.4374944505507</v>
      </c>
      <c r="BO672" s="44">
        <v>4490.2598761163354</v>
      </c>
      <c r="BP672" s="44">
        <v>4567.5098392022264</v>
      </c>
      <c r="BQ672" s="44">
        <v>4649.6977138043512</v>
      </c>
      <c r="BR672" s="44"/>
      <c r="BS672" s="40"/>
      <c r="BT672" s="40"/>
      <c r="BU672" s="40"/>
      <c r="BV672" s="40"/>
      <c r="BW672" s="40"/>
      <c r="BX672" s="40"/>
      <c r="BY672" s="40"/>
      <c r="BZ672" s="40"/>
      <c r="CA672" s="40"/>
      <c r="CB672" s="40"/>
      <c r="CC672" s="42"/>
      <c r="CD672" s="42"/>
      <c r="CE672" s="42"/>
      <c r="CF672" s="42"/>
      <c r="CG672" s="42"/>
      <c r="CH672" s="42"/>
      <c r="CI672" s="42"/>
      <c r="CJ672" s="42"/>
      <c r="CK672" s="42"/>
      <c r="CL672" s="42"/>
      <c r="CM672" s="42"/>
      <c r="CN672" s="42"/>
      <c r="CO672" s="42"/>
      <c r="CP672" s="42"/>
      <c r="CQ672" s="42"/>
      <c r="CR672" s="42"/>
      <c r="CS672" s="42"/>
      <c r="CT672" s="42"/>
      <c r="CU672" s="113"/>
      <c r="CV672" s="44">
        <v>3546.1</v>
      </c>
      <c r="CW672" s="44">
        <v>3870.2</v>
      </c>
      <c r="CX672" s="44">
        <v>4622.7</v>
      </c>
      <c r="CY672" s="45">
        <v>3320</v>
      </c>
      <c r="CZ672" s="44">
        <v>3165.5463188775611</v>
      </c>
      <c r="DA672" s="44">
        <v>3068.6469186617815</v>
      </c>
      <c r="DB672" s="44">
        <v>3284.3795123405889</v>
      </c>
      <c r="DC672" s="44">
        <v>3669.1513356272626</v>
      </c>
      <c r="DD672" s="44">
        <v>3913.1118405584675</v>
      </c>
      <c r="DE672" s="44">
        <v>4048.9182756063747</v>
      </c>
      <c r="DF672" s="44">
        <v>4190.7435821631261</v>
      </c>
      <c r="DG672" s="44">
        <v>4337.2389452964089</v>
      </c>
      <c r="DH672" s="44">
        <v>4490.2598761163354</v>
      </c>
      <c r="DI672" s="44">
        <v>4649.6977138043512</v>
      </c>
    </row>
    <row r="673" spans="1:113" ht="12" outlineLevel="1">
      <c r="A673" s="1" t="s">
        <v>937</v>
      </c>
      <c r="B673" s="19" t="s">
        <v>662</v>
      </c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525">
        <v>3</v>
      </c>
      <c r="AQ673" s="525">
        <v>3.8</v>
      </c>
      <c r="AR673" s="525">
        <v>5.6</v>
      </c>
      <c r="AS673" s="525">
        <v>40.200000000000003</v>
      </c>
      <c r="AT673" s="525"/>
      <c r="AU673" s="525"/>
      <c r="AV673" s="525"/>
      <c r="AW673" s="523"/>
      <c r="AX673" s="44">
        <v>0</v>
      </c>
      <c r="AY673" s="44">
        <v>0</v>
      </c>
      <c r="AZ673" s="44">
        <v>0</v>
      </c>
      <c r="BA673" s="44">
        <v>0</v>
      </c>
      <c r="BB673" s="44">
        <v>0</v>
      </c>
      <c r="BC673" s="44">
        <v>0</v>
      </c>
      <c r="BD673" s="44">
        <v>0</v>
      </c>
      <c r="BE673" s="44">
        <v>0</v>
      </c>
      <c r="BF673" s="44">
        <v>0</v>
      </c>
      <c r="BG673" s="44">
        <v>0</v>
      </c>
      <c r="BH673" s="44">
        <v>0</v>
      </c>
      <c r="BI673" s="44">
        <v>0</v>
      </c>
      <c r="BJ673" s="44">
        <v>0</v>
      </c>
      <c r="BK673" s="44">
        <v>0</v>
      </c>
      <c r="BL673" s="44">
        <v>0</v>
      </c>
      <c r="BM673" s="44">
        <v>0</v>
      </c>
      <c r="BN673" s="44">
        <v>0</v>
      </c>
      <c r="BO673" s="44">
        <v>0</v>
      </c>
      <c r="BP673" s="44">
        <v>0</v>
      </c>
      <c r="BQ673" s="44">
        <v>0</v>
      </c>
      <c r="BR673" s="44"/>
      <c r="BS673" s="40"/>
      <c r="BT673" s="40"/>
      <c r="BU673" s="40"/>
      <c r="BV673" s="40"/>
      <c r="BW673" s="40"/>
      <c r="BX673" s="40"/>
      <c r="BY673" s="40"/>
      <c r="BZ673" s="40"/>
      <c r="CA673" s="40"/>
      <c r="CB673" s="40"/>
      <c r="CC673" s="42"/>
      <c r="CD673" s="42"/>
      <c r="CE673" s="42"/>
      <c r="CF673" s="42"/>
      <c r="CG673" s="42"/>
      <c r="CH673" s="42"/>
      <c r="CI673" s="42"/>
      <c r="CJ673" s="42"/>
      <c r="CK673" s="42"/>
      <c r="CL673" s="42"/>
      <c r="CM673" s="42"/>
      <c r="CN673" s="42"/>
      <c r="CO673" s="42"/>
      <c r="CP673" s="42"/>
      <c r="CQ673" s="42"/>
      <c r="CR673" s="42"/>
      <c r="CS673" s="42"/>
      <c r="CT673" s="42"/>
      <c r="CU673" s="113"/>
      <c r="CV673" s="44">
        <v>3.8</v>
      </c>
      <c r="CW673" s="44">
        <v>40.200000000000003</v>
      </c>
      <c r="CX673" s="44">
        <v>0</v>
      </c>
      <c r="CY673" s="45">
        <v>0</v>
      </c>
      <c r="CZ673" s="44">
        <v>0</v>
      </c>
      <c r="DA673" s="44">
        <v>0</v>
      </c>
      <c r="DB673" s="44">
        <v>0</v>
      </c>
      <c r="DC673" s="44">
        <v>0</v>
      </c>
      <c r="DD673" s="44">
        <v>0</v>
      </c>
      <c r="DE673" s="44">
        <v>0</v>
      </c>
      <c r="DF673" s="44">
        <v>0</v>
      </c>
      <c r="DG673" s="44">
        <v>0</v>
      </c>
      <c r="DH673" s="44">
        <v>0</v>
      </c>
      <c r="DI673" s="44">
        <v>0</v>
      </c>
    </row>
    <row r="674" spans="1:113" ht="12" outlineLevel="1">
      <c r="A674" s="1" t="s">
        <v>938</v>
      </c>
      <c r="B674" s="19" t="s">
        <v>663</v>
      </c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M674" s="42"/>
      <c r="AN674" s="42"/>
      <c r="AO674" s="42"/>
      <c r="AP674" s="44">
        <v>3.5</v>
      </c>
      <c r="AQ674" s="44">
        <v>2.6999999999989086</v>
      </c>
      <c r="AR674" s="44">
        <v>2.2999999999992724</v>
      </c>
      <c r="AS674" s="44">
        <v>9.1000000000003638</v>
      </c>
      <c r="AT674" s="44">
        <v>69</v>
      </c>
      <c r="AU674" s="44">
        <v>96.899999999999636</v>
      </c>
      <c r="AV674" s="44">
        <v>74.600000000000364</v>
      </c>
      <c r="AW674" s="45">
        <v>83.300000000001091</v>
      </c>
      <c r="AX674" s="44">
        <v>92.284110824738676</v>
      </c>
      <c r="AY674" s="44">
        <v>101.99749351878489</v>
      </c>
      <c r="AZ674" s="44">
        <v>110.96767623778166</v>
      </c>
      <c r="BA674" s="44">
        <v>120.49180776565657</v>
      </c>
      <c r="BB674" s="44">
        <v>126.05886936206221</v>
      </c>
      <c r="BC674" s="44">
        <v>132.20514169571177</v>
      </c>
      <c r="BD674" s="44">
        <v>138.62479228457755</v>
      </c>
      <c r="BE674" s="44">
        <v>145.35070884113051</v>
      </c>
      <c r="BF674" s="44">
        <v>149.97118918908674</v>
      </c>
      <c r="BG674" s="44">
        <v>154.76599769059436</v>
      </c>
      <c r="BH674" s="44">
        <v>157.98293928001874</v>
      </c>
      <c r="BI674" s="44">
        <v>161.2965342031718</v>
      </c>
      <c r="BJ674" s="44">
        <v>164.65572628136485</v>
      </c>
      <c r="BK674" s="44">
        <v>168.11479659003498</v>
      </c>
      <c r="BL674" s="44">
        <v>171.62283360073457</v>
      </c>
      <c r="BM674" s="44">
        <v>175.22183803975545</v>
      </c>
      <c r="BN674" s="44">
        <v>178.88137675705411</v>
      </c>
      <c r="BO674" s="44">
        <v>182.64230274245139</v>
      </c>
      <c r="BP674" s="44">
        <v>186.46140560690185</v>
      </c>
      <c r="BQ674" s="44">
        <v>190.38716474362164</v>
      </c>
      <c r="BR674" s="44"/>
      <c r="BS674" s="42"/>
      <c r="BT674" s="42"/>
      <c r="BU674" s="42"/>
      <c r="BV674" s="42"/>
      <c r="BW674" s="42"/>
      <c r="BX674" s="42"/>
      <c r="BY674" s="42"/>
      <c r="BZ674" s="42"/>
      <c r="CA674" s="42"/>
      <c r="CB674" s="42"/>
      <c r="CC674" s="42"/>
      <c r="CD674" s="42"/>
      <c r="CE674" s="42"/>
      <c r="CF674" s="42"/>
      <c r="CG674" s="42"/>
      <c r="CH674" s="42"/>
      <c r="CI674" s="42"/>
      <c r="CJ674" s="42"/>
      <c r="CK674" s="42"/>
      <c r="CL674" s="42"/>
      <c r="CM674" s="42"/>
      <c r="CN674" s="42"/>
      <c r="CO674" s="42"/>
      <c r="CP674" s="42"/>
      <c r="CQ674" s="42"/>
      <c r="CR674" s="42"/>
      <c r="CS674" s="42"/>
      <c r="CT674" s="42"/>
      <c r="CU674" s="42"/>
      <c r="CV674" s="44">
        <v>2.6999999999989086</v>
      </c>
      <c r="CW674" s="44">
        <v>9.1000000000003638</v>
      </c>
      <c r="CX674" s="44">
        <v>96.899999999999636</v>
      </c>
      <c r="CY674" s="45">
        <v>83.300000000001091</v>
      </c>
      <c r="CZ674" s="44">
        <v>101.99749351878489</v>
      </c>
      <c r="DA674" s="44">
        <v>120.49180776565657</v>
      </c>
      <c r="DB674" s="44">
        <v>132.20514169571177</v>
      </c>
      <c r="DC674" s="44">
        <v>145.35070884113051</v>
      </c>
      <c r="DD674" s="44">
        <v>154.76599769059436</v>
      </c>
      <c r="DE674" s="44">
        <v>161.2965342031718</v>
      </c>
      <c r="DF674" s="44">
        <v>168.11479659003498</v>
      </c>
      <c r="DG674" s="44">
        <v>175.22183803975545</v>
      </c>
      <c r="DH674" s="44">
        <v>182.64230274245139</v>
      </c>
      <c r="DI674" s="44">
        <v>190.38716474362164</v>
      </c>
    </row>
    <row r="675" spans="1:113" ht="12" outlineLevel="1">
      <c r="A675" s="1" t="s">
        <v>939</v>
      </c>
      <c r="B675" s="19" t="s">
        <v>552</v>
      </c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M675" s="42"/>
      <c r="AN675" s="42"/>
      <c r="AO675" s="42"/>
      <c r="AP675" s="525">
        <v>1.4</v>
      </c>
      <c r="AQ675" s="525">
        <v>3</v>
      </c>
      <c r="AR675" s="525">
        <v>-28.5</v>
      </c>
      <c r="AS675" s="525">
        <v>-32.299999999999997</v>
      </c>
      <c r="AT675" s="525">
        <v>-31</v>
      </c>
      <c r="AU675" s="525"/>
      <c r="AV675" s="525"/>
      <c r="AW675" s="523"/>
      <c r="AX675" s="44">
        <v>0</v>
      </c>
      <c r="AY675" s="44">
        <v>0</v>
      </c>
      <c r="AZ675" s="44">
        <v>0</v>
      </c>
      <c r="BA675" s="44">
        <v>0</v>
      </c>
      <c r="BB675" s="44">
        <v>0</v>
      </c>
      <c r="BC675" s="44">
        <v>0</v>
      </c>
      <c r="BD675" s="44">
        <v>0</v>
      </c>
      <c r="BE675" s="44">
        <v>0</v>
      </c>
      <c r="BF675" s="44">
        <v>0</v>
      </c>
      <c r="BG675" s="44">
        <v>0</v>
      </c>
      <c r="BH675" s="44">
        <v>0</v>
      </c>
      <c r="BI675" s="44">
        <v>0</v>
      </c>
      <c r="BJ675" s="44">
        <v>0</v>
      </c>
      <c r="BK675" s="44">
        <v>0</v>
      </c>
      <c r="BL675" s="44">
        <v>0</v>
      </c>
      <c r="BM675" s="44">
        <v>0</v>
      </c>
      <c r="BN675" s="44">
        <v>0</v>
      </c>
      <c r="BO675" s="44">
        <v>0</v>
      </c>
      <c r="BP675" s="44">
        <v>0</v>
      </c>
      <c r="BQ675" s="44">
        <v>0</v>
      </c>
      <c r="BR675" s="44"/>
      <c r="BS675" s="40"/>
      <c r="BT675" s="40"/>
      <c r="BU675" s="40"/>
      <c r="BV675" s="40"/>
      <c r="BW675" s="40"/>
      <c r="BX675" s="40"/>
      <c r="BY675" s="40"/>
      <c r="BZ675" s="40"/>
      <c r="CA675" s="40"/>
      <c r="CB675" s="40"/>
      <c r="CC675" s="42"/>
      <c r="CD675" s="42"/>
      <c r="CE675" s="42"/>
      <c r="CF675" s="42"/>
      <c r="CG675" s="42"/>
      <c r="CH675" s="42"/>
      <c r="CI675" s="42"/>
      <c r="CJ675" s="42"/>
      <c r="CK675" s="42"/>
      <c r="CL675" s="42"/>
      <c r="CM675" s="42"/>
      <c r="CN675" s="42"/>
      <c r="CO675" s="42"/>
      <c r="CP675" s="42"/>
      <c r="CQ675" s="42"/>
      <c r="CR675" s="42"/>
      <c r="CS675" s="42"/>
      <c r="CT675" s="42"/>
      <c r="CU675" s="113"/>
      <c r="CV675" s="44">
        <v>3</v>
      </c>
      <c r="CW675" s="44">
        <v>-32.299999999999997</v>
      </c>
      <c r="CX675" s="44">
        <v>0</v>
      </c>
      <c r="CY675" s="45">
        <v>0</v>
      </c>
      <c r="CZ675" s="44">
        <v>0</v>
      </c>
      <c r="DA675" s="44">
        <v>0</v>
      </c>
      <c r="DB675" s="44">
        <v>0</v>
      </c>
      <c r="DC675" s="44">
        <v>0</v>
      </c>
      <c r="DD675" s="44">
        <v>0</v>
      </c>
      <c r="DE675" s="44">
        <v>0</v>
      </c>
      <c r="DF675" s="44">
        <v>0</v>
      </c>
      <c r="DG675" s="44">
        <v>0</v>
      </c>
      <c r="DH675" s="44">
        <v>0</v>
      </c>
      <c r="DI675" s="44">
        <v>0</v>
      </c>
    </row>
    <row r="676" spans="1:113" ht="12" outlineLevel="1">
      <c r="A676" s="1" t="s">
        <v>940</v>
      </c>
      <c r="B676" s="19" t="s">
        <v>553</v>
      </c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M676" s="42"/>
      <c r="AN676" s="42"/>
      <c r="AO676" s="42"/>
      <c r="AP676" s="525">
        <v>-75.5</v>
      </c>
      <c r="AQ676" s="525">
        <v>-73.599999999999994</v>
      </c>
      <c r="AR676" s="525">
        <v>-89.7</v>
      </c>
      <c r="AS676" s="525">
        <v>-81.3</v>
      </c>
      <c r="AT676" s="525">
        <v>-45.2</v>
      </c>
      <c r="AU676" s="525"/>
      <c r="AV676" s="525"/>
      <c r="AW676" s="523"/>
      <c r="AX676" s="44">
        <v>28.582823833578175</v>
      </c>
      <c r="AY676" s="44">
        <v>80.128950516883677</v>
      </c>
      <c r="AZ676" s="44">
        <v>144.2993427893847</v>
      </c>
      <c r="BA676" s="44">
        <v>219.78938676324745</v>
      </c>
      <c r="BB676" s="44">
        <v>311.30360136896894</v>
      </c>
      <c r="BC676" s="44">
        <v>362.53616176851722</v>
      </c>
      <c r="BD676" s="44">
        <v>418.08881119251561</v>
      </c>
      <c r="BE676" s="44">
        <v>475.35608792956282</v>
      </c>
      <c r="BF676" s="44">
        <v>538.12431082418505</v>
      </c>
      <c r="BG676" s="44">
        <v>599.02278653506573</v>
      </c>
      <c r="BH676" s="44">
        <v>665.68212685033905</v>
      </c>
      <c r="BI676" s="44">
        <v>730.07455370263449</v>
      </c>
      <c r="BJ676" s="44">
        <v>799.57421835771231</v>
      </c>
      <c r="BK676" s="44">
        <v>866.85224066887884</v>
      </c>
      <c r="BL676" s="44">
        <v>939.27341650778408</v>
      </c>
      <c r="BM676" s="44">
        <v>1011.2346687172326</v>
      </c>
      <c r="BN676" s="44">
        <v>1087.2526903352591</v>
      </c>
      <c r="BO676" s="44">
        <v>1161.8962354269859</v>
      </c>
      <c r="BP676" s="44">
        <v>1241.4779262563861</v>
      </c>
      <c r="BQ676" s="44">
        <v>1319.5137151311978</v>
      </c>
      <c r="BR676" s="44"/>
      <c r="BS676" s="40"/>
      <c r="BT676" s="40"/>
      <c r="BU676" s="40"/>
      <c r="BV676" s="40"/>
      <c r="BW676" s="40"/>
      <c r="BX676" s="40"/>
      <c r="BY676" s="40"/>
      <c r="BZ676" s="40"/>
      <c r="CA676" s="40"/>
      <c r="CB676" s="40"/>
      <c r="CC676" s="42"/>
      <c r="CD676" s="42"/>
      <c r="CE676" s="42"/>
      <c r="CF676" s="42"/>
      <c r="CG676" s="42"/>
      <c r="CH676" s="42"/>
      <c r="CI676" s="42"/>
      <c r="CJ676" s="42"/>
      <c r="CK676" s="42"/>
      <c r="CL676" s="42"/>
      <c r="CM676" s="42"/>
      <c r="CN676" s="42"/>
      <c r="CO676" s="42"/>
      <c r="CP676" s="42"/>
      <c r="CQ676" s="42"/>
      <c r="CR676" s="42"/>
      <c r="CS676" s="42"/>
      <c r="CT676" s="42"/>
      <c r="CU676" s="113"/>
      <c r="CV676" s="44">
        <v>-73.599999999999994</v>
      </c>
      <c r="CW676" s="44">
        <v>-81.3</v>
      </c>
      <c r="CX676" s="44">
        <v>0</v>
      </c>
      <c r="CY676" s="45">
        <v>0</v>
      </c>
      <c r="CZ676" s="44">
        <v>80.128950516883677</v>
      </c>
      <c r="DA676" s="44">
        <v>219.78938676324745</v>
      </c>
      <c r="DB676" s="44">
        <v>362.53616176851722</v>
      </c>
      <c r="DC676" s="44">
        <v>475.35608792956282</v>
      </c>
      <c r="DD676" s="44">
        <v>599.02278653506573</v>
      </c>
      <c r="DE676" s="44">
        <v>730.07455370263449</v>
      </c>
      <c r="DF676" s="44">
        <v>866.85224066887884</v>
      </c>
      <c r="DG676" s="44">
        <v>1011.2346687172326</v>
      </c>
      <c r="DH676" s="44">
        <v>1161.8962354269859</v>
      </c>
      <c r="DI676" s="44">
        <v>1319.5137151311978</v>
      </c>
    </row>
    <row r="677" spans="1:113" ht="12" outlineLevel="1">
      <c r="A677" s="121" t="s">
        <v>2213</v>
      </c>
      <c r="B677" s="19" t="s">
        <v>1628</v>
      </c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M677" s="42"/>
      <c r="AN677" s="42"/>
      <c r="AO677" s="42"/>
      <c r="AP677" s="525">
        <v>0</v>
      </c>
      <c r="AQ677" s="525">
        <v>0</v>
      </c>
      <c r="AR677" s="525">
        <v>0</v>
      </c>
      <c r="AS677" s="525">
        <v>0</v>
      </c>
      <c r="AT677" s="525">
        <v>0</v>
      </c>
      <c r="AU677" s="525">
        <v>0</v>
      </c>
      <c r="AV677" s="525">
        <v>0</v>
      </c>
      <c r="AW677" s="523">
        <v>0</v>
      </c>
      <c r="AX677" s="44">
        <v>0</v>
      </c>
      <c r="AY677" s="44">
        <v>0</v>
      </c>
      <c r="AZ677" s="44">
        <v>0</v>
      </c>
      <c r="BA677" s="44">
        <v>0</v>
      </c>
      <c r="BB677" s="44">
        <v>0</v>
      </c>
      <c r="BC677" s="44">
        <v>0</v>
      </c>
      <c r="BD677" s="44">
        <v>0</v>
      </c>
      <c r="BE677" s="44">
        <v>0</v>
      </c>
      <c r="BF677" s="44">
        <v>0</v>
      </c>
      <c r="BG677" s="44">
        <v>0</v>
      </c>
      <c r="BH677" s="44">
        <v>0</v>
      </c>
      <c r="BI677" s="44">
        <v>0</v>
      </c>
      <c r="BJ677" s="44">
        <v>0</v>
      </c>
      <c r="BK677" s="44">
        <v>0</v>
      </c>
      <c r="BL677" s="44">
        <v>0</v>
      </c>
      <c r="BM677" s="44">
        <v>0</v>
      </c>
      <c r="BN677" s="44">
        <v>0</v>
      </c>
      <c r="BO677" s="44">
        <v>0</v>
      </c>
      <c r="BP677" s="44">
        <v>0</v>
      </c>
      <c r="BQ677" s="44">
        <v>0</v>
      </c>
      <c r="BR677" s="44"/>
      <c r="BS677" s="42"/>
      <c r="BT677" s="42"/>
      <c r="BU677" s="42"/>
      <c r="BV677" s="42"/>
      <c r="BW677" s="42"/>
      <c r="BX677" s="42"/>
      <c r="BY677" s="42"/>
      <c r="BZ677" s="42"/>
      <c r="CA677" s="42"/>
      <c r="CB677" s="42"/>
      <c r="CC677" s="42"/>
      <c r="CD677" s="42"/>
      <c r="CE677" s="42"/>
      <c r="CF677" s="42"/>
      <c r="CG677" s="42"/>
      <c r="CH677" s="42"/>
      <c r="CI677" s="42"/>
      <c r="CJ677" s="42"/>
      <c r="CK677" s="42"/>
      <c r="CL677" s="42"/>
      <c r="CM677" s="42"/>
      <c r="CN677" s="42"/>
      <c r="CO677" s="42"/>
      <c r="CP677" s="42"/>
      <c r="CQ677" s="42"/>
      <c r="CR677" s="42"/>
      <c r="CS677" s="42"/>
      <c r="CT677" s="42"/>
      <c r="CU677" s="113"/>
      <c r="CV677" s="44">
        <v>0</v>
      </c>
      <c r="CW677" s="44">
        <v>0</v>
      </c>
      <c r="CX677" s="44">
        <v>0</v>
      </c>
      <c r="CY677" s="45">
        <v>0</v>
      </c>
      <c r="CZ677" s="44">
        <v>0</v>
      </c>
      <c r="DA677" s="44">
        <v>0</v>
      </c>
      <c r="DB677" s="44">
        <v>0</v>
      </c>
      <c r="DC677" s="44">
        <v>0</v>
      </c>
      <c r="DD677" s="44">
        <v>0</v>
      </c>
      <c r="DE677" s="44">
        <v>0</v>
      </c>
      <c r="DF677" s="44">
        <v>0</v>
      </c>
      <c r="DG677" s="44">
        <v>0</v>
      </c>
      <c r="DH677" s="44">
        <v>0</v>
      </c>
      <c r="DI677" s="44">
        <v>0</v>
      </c>
    </row>
    <row r="678" spans="1:113" ht="12" outlineLevel="1">
      <c r="A678" s="1" t="s">
        <v>2214</v>
      </c>
      <c r="B678" s="19" t="s">
        <v>2215</v>
      </c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M678" s="42"/>
      <c r="AN678" s="42"/>
      <c r="AO678" s="42"/>
      <c r="AP678" s="525">
        <v>0</v>
      </c>
      <c r="AQ678" s="525">
        <v>0</v>
      </c>
      <c r="AR678" s="525">
        <v>0</v>
      </c>
      <c r="AS678" s="525">
        <v>0</v>
      </c>
      <c r="AT678" s="525">
        <v>0</v>
      </c>
      <c r="AU678" s="525">
        <v>0</v>
      </c>
      <c r="AV678" s="525">
        <v>0</v>
      </c>
      <c r="AW678" s="523">
        <v>0</v>
      </c>
      <c r="AX678" s="44">
        <v>0</v>
      </c>
      <c r="AY678" s="44">
        <v>0</v>
      </c>
      <c r="AZ678" s="44">
        <v>0</v>
      </c>
      <c r="BA678" s="44">
        <v>0</v>
      </c>
      <c r="BB678" s="44">
        <v>0</v>
      </c>
      <c r="BC678" s="44">
        <v>0</v>
      </c>
      <c r="BD678" s="44">
        <v>0</v>
      </c>
      <c r="BE678" s="44">
        <v>0</v>
      </c>
      <c r="BF678" s="44">
        <v>0</v>
      </c>
      <c r="BG678" s="44">
        <v>0</v>
      </c>
      <c r="BH678" s="44">
        <v>0</v>
      </c>
      <c r="BI678" s="44">
        <v>0</v>
      </c>
      <c r="BJ678" s="44">
        <v>0</v>
      </c>
      <c r="BK678" s="44">
        <v>0</v>
      </c>
      <c r="BL678" s="44">
        <v>0</v>
      </c>
      <c r="BM678" s="44">
        <v>0</v>
      </c>
      <c r="BN678" s="44">
        <v>0</v>
      </c>
      <c r="BO678" s="44">
        <v>0</v>
      </c>
      <c r="BP678" s="44">
        <v>0</v>
      </c>
      <c r="BQ678" s="44">
        <v>0</v>
      </c>
      <c r="BR678" s="44"/>
      <c r="BS678" s="42"/>
      <c r="BT678" s="42"/>
      <c r="BU678" s="42"/>
      <c r="BV678" s="42"/>
      <c r="BW678" s="42"/>
      <c r="BX678" s="42"/>
      <c r="BY678" s="42"/>
      <c r="BZ678" s="42"/>
      <c r="CA678" s="42"/>
      <c r="CB678" s="42"/>
      <c r="CC678" s="42"/>
      <c r="CD678" s="42"/>
      <c r="CE678" s="42"/>
      <c r="CF678" s="42"/>
      <c r="CG678" s="42"/>
      <c r="CH678" s="42"/>
      <c r="CI678" s="42"/>
      <c r="CJ678" s="42"/>
      <c r="CK678" s="42"/>
      <c r="CL678" s="42"/>
      <c r="CM678" s="42"/>
      <c r="CN678" s="42"/>
      <c r="CO678" s="42"/>
      <c r="CP678" s="42"/>
      <c r="CQ678" s="42"/>
      <c r="CR678" s="42"/>
      <c r="CS678" s="42"/>
      <c r="CT678" s="42"/>
      <c r="CU678" s="113"/>
      <c r="CV678" s="44">
        <v>0</v>
      </c>
      <c r="CW678" s="44">
        <v>0</v>
      </c>
      <c r="CX678" s="44">
        <v>0</v>
      </c>
      <c r="CY678" s="45">
        <v>0</v>
      </c>
      <c r="CZ678" s="44">
        <v>0</v>
      </c>
      <c r="DA678" s="44">
        <v>0</v>
      </c>
      <c r="DB678" s="44">
        <v>0</v>
      </c>
      <c r="DC678" s="44">
        <v>0</v>
      </c>
      <c r="DD678" s="44">
        <v>0</v>
      </c>
      <c r="DE678" s="44">
        <v>0</v>
      </c>
      <c r="DF678" s="44">
        <v>0</v>
      </c>
      <c r="DG678" s="44">
        <v>0</v>
      </c>
      <c r="DH678" s="44">
        <v>0</v>
      </c>
      <c r="DI678" s="44">
        <v>0</v>
      </c>
    </row>
    <row r="679" spans="1:113" ht="12" outlineLevel="1">
      <c r="A679" s="1" t="s">
        <v>2216</v>
      </c>
      <c r="B679" s="19" t="s">
        <v>2217</v>
      </c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2"/>
      <c r="AN679" s="42"/>
      <c r="AO679" s="42"/>
      <c r="AP679" s="525">
        <v>25.1</v>
      </c>
      <c r="AQ679" s="525">
        <v>12.100000000000001</v>
      </c>
      <c r="AR679" s="525">
        <v>10.299999999999999</v>
      </c>
      <c r="AS679" s="525">
        <v>10</v>
      </c>
      <c r="AT679" s="525">
        <v>27.8</v>
      </c>
      <c r="AU679" s="525">
        <v>97.1</v>
      </c>
      <c r="AV679" s="525">
        <v>167.8</v>
      </c>
      <c r="AW679" s="523">
        <v>247.7</v>
      </c>
      <c r="AX679" s="44">
        <v>291.47509738243247</v>
      </c>
      <c r="AY679" s="44">
        <v>341.41672979424766</v>
      </c>
      <c r="AZ679" s="44">
        <v>392.86403908470669</v>
      </c>
      <c r="BA679" s="44">
        <v>450.45869118424446</v>
      </c>
      <c r="BB679" s="44">
        <v>498.21070114564122</v>
      </c>
      <c r="BC679" s="44">
        <v>549.4627626686746</v>
      </c>
      <c r="BD679" s="44">
        <v>575.35399750838508</v>
      </c>
      <c r="BE679" s="44">
        <v>602.46525322497757</v>
      </c>
      <c r="BF679" s="44">
        <v>621.81703962381698</v>
      </c>
      <c r="BG679" s="44">
        <v>641.79042475357346</v>
      </c>
      <c r="BH679" s="44">
        <v>655.98747073954712</v>
      </c>
      <c r="BI679" s="44">
        <v>670.49856957977659</v>
      </c>
      <c r="BJ679" s="44">
        <v>685.33066843745087</v>
      </c>
      <c r="BK679" s="44">
        <v>700.49086815395549</v>
      </c>
      <c r="BL679" s="44">
        <v>715.98642664838917</v>
      </c>
      <c r="BM679" s="44">
        <v>731.82476239227788</v>
      </c>
      <c r="BN679" s="44">
        <v>748.01345796115731</v>
      </c>
      <c r="BO679" s="44">
        <v>764.56026366471599</v>
      </c>
      <c r="BP679" s="44">
        <v>781.47310125724289</v>
      </c>
      <c r="BQ679" s="44">
        <v>798.76006773015422</v>
      </c>
      <c r="BR679" s="44"/>
      <c r="BS679" s="42"/>
      <c r="BT679" s="42"/>
      <c r="BU679" s="42"/>
      <c r="BV679" s="42"/>
      <c r="BW679" s="42"/>
      <c r="BX679" s="42"/>
      <c r="BY679" s="42"/>
      <c r="BZ679" s="42"/>
      <c r="CA679" s="42"/>
      <c r="CB679" s="42"/>
      <c r="CC679" s="42"/>
      <c r="CD679" s="42"/>
      <c r="CE679" s="42"/>
      <c r="CF679" s="42"/>
      <c r="CG679" s="42"/>
      <c r="CH679" s="42"/>
      <c r="CI679" s="42"/>
      <c r="CJ679" s="42"/>
      <c r="CK679" s="42"/>
      <c r="CL679" s="42"/>
      <c r="CM679" s="42"/>
      <c r="CN679" s="42"/>
      <c r="CO679" s="42"/>
      <c r="CP679" s="42"/>
      <c r="CQ679" s="42"/>
      <c r="CR679" s="42"/>
      <c r="CS679" s="42"/>
      <c r="CT679" s="42"/>
      <c r="CU679" s="113"/>
      <c r="CV679" s="44">
        <v>12.100000000000001</v>
      </c>
      <c r="CW679" s="44">
        <v>10</v>
      </c>
      <c r="CX679" s="44">
        <v>97.1</v>
      </c>
      <c r="CY679" s="45">
        <v>247.7</v>
      </c>
      <c r="CZ679" s="44">
        <v>341.41672979424766</v>
      </c>
      <c r="DA679" s="44">
        <v>450.45869118424446</v>
      </c>
      <c r="DB679" s="44">
        <v>549.4627626686746</v>
      </c>
      <c r="DC679" s="44">
        <v>602.46525322497757</v>
      </c>
      <c r="DD679" s="44">
        <v>641.79042475357346</v>
      </c>
      <c r="DE679" s="44">
        <v>670.49856957977659</v>
      </c>
      <c r="DF679" s="44">
        <v>700.49086815395549</v>
      </c>
      <c r="DG679" s="44">
        <v>731.82476239227788</v>
      </c>
      <c r="DH679" s="44">
        <v>764.56026366471599</v>
      </c>
      <c r="DI679" s="44">
        <v>798.76006773015422</v>
      </c>
    </row>
    <row r="680" spans="1:113" ht="12" outlineLevel="1">
      <c r="A680" s="1" t="s">
        <v>2218</v>
      </c>
      <c r="B680" s="19" t="s">
        <v>1487</v>
      </c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  <c r="AJ680" s="42"/>
      <c r="AK680" s="42"/>
      <c r="AL680" s="42"/>
      <c r="AM680" s="42"/>
      <c r="AN680" s="42"/>
      <c r="AO680" s="42"/>
      <c r="AP680" s="525">
        <v>1</v>
      </c>
      <c r="AQ680" s="525">
        <v>1</v>
      </c>
      <c r="AR680" s="525">
        <v>1</v>
      </c>
      <c r="AS680" s="525">
        <v>1</v>
      </c>
      <c r="AT680" s="525">
        <v>1</v>
      </c>
      <c r="AU680" s="525"/>
      <c r="AV680" s="525"/>
      <c r="AW680" s="523"/>
      <c r="AX680" s="44">
        <v>0</v>
      </c>
      <c r="AY680" s="44">
        <v>0</v>
      </c>
      <c r="AZ680" s="44">
        <v>0</v>
      </c>
      <c r="BA680" s="44">
        <v>0</v>
      </c>
      <c r="BB680" s="44">
        <v>0</v>
      </c>
      <c r="BC680" s="44">
        <v>0</v>
      </c>
      <c r="BD680" s="44">
        <v>0</v>
      </c>
      <c r="BE680" s="44">
        <v>0</v>
      </c>
      <c r="BF680" s="44">
        <v>0</v>
      </c>
      <c r="BG680" s="44">
        <v>0</v>
      </c>
      <c r="BH680" s="44">
        <v>0</v>
      </c>
      <c r="BI680" s="44">
        <v>0</v>
      </c>
      <c r="BJ680" s="44">
        <v>0</v>
      </c>
      <c r="BK680" s="44">
        <v>0</v>
      </c>
      <c r="BL680" s="44">
        <v>0</v>
      </c>
      <c r="BM680" s="44">
        <v>0</v>
      </c>
      <c r="BN680" s="44">
        <v>0</v>
      </c>
      <c r="BO680" s="44">
        <v>0</v>
      </c>
      <c r="BP680" s="44">
        <v>0</v>
      </c>
      <c r="BQ680" s="44">
        <v>0</v>
      </c>
      <c r="BR680" s="44"/>
      <c r="BS680" s="42"/>
      <c r="BT680" s="42"/>
      <c r="BU680" s="42"/>
      <c r="BV680" s="42"/>
      <c r="BW680" s="42"/>
      <c r="BX680" s="42"/>
      <c r="BY680" s="42"/>
      <c r="BZ680" s="42"/>
      <c r="CA680" s="42"/>
      <c r="CB680" s="42"/>
      <c r="CC680" s="42"/>
      <c r="CD680" s="42"/>
      <c r="CE680" s="42"/>
      <c r="CF680" s="42"/>
      <c r="CG680" s="42"/>
      <c r="CH680" s="42"/>
      <c r="CI680" s="42"/>
      <c r="CJ680" s="42"/>
      <c r="CK680" s="42"/>
      <c r="CL680" s="42"/>
      <c r="CM680" s="42"/>
      <c r="CN680" s="42"/>
      <c r="CO680" s="42"/>
      <c r="CP680" s="42"/>
      <c r="CQ680" s="42"/>
      <c r="CR680" s="42"/>
      <c r="CS680" s="42"/>
      <c r="CT680" s="42"/>
      <c r="CU680" s="113"/>
      <c r="CV680" s="44">
        <v>1</v>
      </c>
      <c r="CW680" s="44">
        <v>1</v>
      </c>
      <c r="CX680" s="44">
        <v>0</v>
      </c>
      <c r="CY680" s="45">
        <v>0</v>
      </c>
      <c r="CZ680" s="44">
        <v>0</v>
      </c>
      <c r="DA680" s="44">
        <v>0</v>
      </c>
      <c r="DB680" s="44">
        <v>0</v>
      </c>
      <c r="DC680" s="44">
        <v>0</v>
      </c>
      <c r="DD680" s="44">
        <v>0</v>
      </c>
      <c r="DE680" s="44">
        <v>0</v>
      </c>
      <c r="DF680" s="44">
        <v>0</v>
      </c>
      <c r="DG680" s="44">
        <v>0</v>
      </c>
      <c r="DH680" s="44">
        <v>0</v>
      </c>
      <c r="DI680" s="44">
        <v>0</v>
      </c>
    </row>
    <row r="681" spans="1:113" ht="12" outlineLevel="1">
      <c r="A681" s="1" t="s">
        <v>2219</v>
      </c>
      <c r="B681" s="19" t="s">
        <v>2220</v>
      </c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  <c r="AJ681" s="42"/>
      <c r="AK681" s="42"/>
      <c r="AL681" s="42"/>
      <c r="AM681" s="42"/>
      <c r="AN681" s="42"/>
      <c r="AO681" s="42"/>
      <c r="AP681" s="525">
        <v>0</v>
      </c>
      <c r="AQ681" s="525">
        <v>0</v>
      </c>
      <c r="AR681" s="525">
        <v>0</v>
      </c>
      <c r="AS681" s="525">
        <v>0</v>
      </c>
      <c r="AT681" s="525">
        <v>0</v>
      </c>
      <c r="AU681" s="525">
        <v>0</v>
      </c>
      <c r="AV681" s="525">
        <v>0</v>
      </c>
      <c r="AW681" s="523">
        <v>0</v>
      </c>
      <c r="AX681" s="44">
        <v>0</v>
      </c>
      <c r="AY681" s="44">
        <v>0</v>
      </c>
      <c r="AZ681" s="44">
        <v>0</v>
      </c>
      <c r="BA681" s="44">
        <v>0</v>
      </c>
      <c r="BB681" s="44">
        <v>0</v>
      </c>
      <c r="BC681" s="44">
        <v>0</v>
      </c>
      <c r="BD681" s="44">
        <v>0</v>
      </c>
      <c r="BE681" s="44">
        <v>0</v>
      </c>
      <c r="BF681" s="44">
        <v>0</v>
      </c>
      <c r="BG681" s="44">
        <v>0</v>
      </c>
      <c r="BH681" s="44">
        <v>0</v>
      </c>
      <c r="BI681" s="44">
        <v>0</v>
      </c>
      <c r="BJ681" s="44">
        <v>0</v>
      </c>
      <c r="BK681" s="44">
        <v>0</v>
      </c>
      <c r="BL681" s="44">
        <v>0</v>
      </c>
      <c r="BM681" s="44">
        <v>0</v>
      </c>
      <c r="BN681" s="44">
        <v>0</v>
      </c>
      <c r="BO681" s="44">
        <v>0</v>
      </c>
      <c r="BP681" s="44">
        <v>0</v>
      </c>
      <c r="BQ681" s="44">
        <v>0</v>
      </c>
      <c r="BR681" s="44"/>
      <c r="BS681" s="42"/>
      <c r="BT681" s="42"/>
      <c r="BU681" s="42"/>
      <c r="BV681" s="42"/>
      <c r="BW681" s="42"/>
      <c r="BX681" s="42"/>
      <c r="BY681" s="42"/>
      <c r="BZ681" s="42"/>
      <c r="CA681" s="42"/>
      <c r="CB681" s="42"/>
      <c r="CC681" s="42"/>
      <c r="CD681" s="42"/>
      <c r="CE681" s="42"/>
      <c r="CF681" s="42"/>
      <c r="CG681" s="42"/>
      <c r="CH681" s="42"/>
      <c r="CI681" s="42"/>
      <c r="CJ681" s="42"/>
      <c r="CK681" s="42"/>
      <c r="CL681" s="42"/>
      <c r="CM681" s="42"/>
      <c r="CN681" s="42"/>
      <c r="CO681" s="42"/>
      <c r="CP681" s="42"/>
      <c r="CQ681" s="42"/>
      <c r="CR681" s="42"/>
      <c r="CS681" s="42"/>
      <c r="CT681" s="42"/>
      <c r="CU681" s="113"/>
      <c r="CV681" s="44">
        <v>0</v>
      </c>
      <c r="CW681" s="44">
        <v>0</v>
      </c>
      <c r="CX681" s="44">
        <v>0</v>
      </c>
      <c r="CY681" s="45">
        <v>0</v>
      </c>
      <c r="CZ681" s="44">
        <v>0</v>
      </c>
      <c r="DA681" s="44">
        <v>0</v>
      </c>
      <c r="DB681" s="44">
        <v>0</v>
      </c>
      <c r="DC681" s="44">
        <v>0</v>
      </c>
      <c r="DD681" s="44">
        <v>0</v>
      </c>
      <c r="DE681" s="44">
        <v>0</v>
      </c>
      <c r="DF681" s="44">
        <v>0</v>
      </c>
      <c r="DG681" s="44">
        <v>0</v>
      </c>
      <c r="DH681" s="44">
        <v>0</v>
      </c>
      <c r="DI681" s="44">
        <v>0</v>
      </c>
    </row>
    <row r="682" spans="1:113" ht="12" outlineLevel="1">
      <c r="A682" s="1" t="s">
        <v>2221</v>
      </c>
      <c r="B682" s="19" t="s">
        <v>2222</v>
      </c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  <c r="AJ682" s="42"/>
      <c r="AK682" s="42"/>
      <c r="AL682" s="42"/>
      <c r="AM682" s="42"/>
      <c r="AN682" s="42"/>
      <c r="AO682" s="42"/>
      <c r="AP682" s="525">
        <v>0</v>
      </c>
      <c r="AQ682" s="525">
        <v>0</v>
      </c>
      <c r="AR682" s="525">
        <v>0</v>
      </c>
      <c r="AS682" s="525">
        <v>0</v>
      </c>
      <c r="AT682" s="525">
        <v>0</v>
      </c>
      <c r="AU682" s="525">
        <v>0</v>
      </c>
      <c r="AV682" s="525">
        <v>0</v>
      </c>
      <c r="AW682" s="523">
        <v>0</v>
      </c>
      <c r="AX682" s="44">
        <v>0</v>
      </c>
      <c r="AY682" s="44">
        <v>0</v>
      </c>
      <c r="AZ682" s="44">
        <v>0</v>
      </c>
      <c r="BA682" s="44">
        <v>0</v>
      </c>
      <c r="BB682" s="44">
        <v>0</v>
      </c>
      <c r="BC682" s="44">
        <v>0</v>
      </c>
      <c r="BD682" s="44">
        <v>0</v>
      </c>
      <c r="BE682" s="44">
        <v>0</v>
      </c>
      <c r="BF682" s="44">
        <v>0</v>
      </c>
      <c r="BG682" s="44">
        <v>0</v>
      </c>
      <c r="BH682" s="44">
        <v>0</v>
      </c>
      <c r="BI682" s="44">
        <v>0</v>
      </c>
      <c r="BJ682" s="44">
        <v>0</v>
      </c>
      <c r="BK682" s="44">
        <v>0</v>
      </c>
      <c r="BL682" s="44">
        <v>0</v>
      </c>
      <c r="BM682" s="44">
        <v>0</v>
      </c>
      <c r="BN682" s="44">
        <v>0</v>
      </c>
      <c r="BO682" s="44">
        <v>0</v>
      </c>
      <c r="BP682" s="44">
        <v>0</v>
      </c>
      <c r="BQ682" s="44">
        <v>0</v>
      </c>
      <c r="BR682" s="44"/>
      <c r="BS682" s="42"/>
      <c r="BT682" s="42"/>
      <c r="BU682" s="42"/>
      <c r="BV682" s="42"/>
      <c r="BW682" s="42"/>
      <c r="BX682" s="42"/>
      <c r="BY682" s="42"/>
      <c r="BZ682" s="42"/>
      <c r="CA682" s="42"/>
      <c r="CB682" s="42"/>
      <c r="CC682" s="42"/>
      <c r="CD682" s="42"/>
      <c r="CE682" s="42"/>
      <c r="CF682" s="42"/>
      <c r="CG682" s="42"/>
      <c r="CH682" s="42"/>
      <c r="CI682" s="42"/>
      <c r="CJ682" s="42"/>
      <c r="CK682" s="42"/>
      <c r="CL682" s="42"/>
      <c r="CM682" s="42"/>
      <c r="CN682" s="42"/>
      <c r="CO682" s="42"/>
      <c r="CP682" s="42"/>
      <c r="CQ682" s="42"/>
      <c r="CR682" s="42"/>
      <c r="CS682" s="42"/>
      <c r="CT682" s="42"/>
      <c r="CU682" s="113"/>
      <c r="CV682" s="44">
        <v>0</v>
      </c>
      <c r="CW682" s="44">
        <v>0</v>
      </c>
      <c r="CX682" s="44">
        <v>0</v>
      </c>
      <c r="CY682" s="45">
        <v>0</v>
      </c>
      <c r="CZ682" s="44">
        <v>0</v>
      </c>
      <c r="DA682" s="44">
        <v>0</v>
      </c>
      <c r="DB682" s="44">
        <v>0</v>
      </c>
      <c r="DC682" s="44">
        <v>0</v>
      </c>
      <c r="DD682" s="44">
        <v>0</v>
      </c>
      <c r="DE682" s="44">
        <v>0</v>
      </c>
      <c r="DF682" s="44">
        <v>0</v>
      </c>
      <c r="DG682" s="44">
        <v>0</v>
      </c>
      <c r="DH682" s="44">
        <v>0</v>
      </c>
      <c r="DI682" s="44">
        <v>0</v>
      </c>
    </row>
    <row r="683" spans="1:113" ht="12" hidden="1" outlineLevel="2">
      <c r="A683" s="1" t="s">
        <v>2223</v>
      </c>
      <c r="B683" s="19" t="s">
        <v>2224</v>
      </c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  <c r="AJ683" s="42"/>
      <c r="AK683" s="42"/>
      <c r="AL683" s="42"/>
      <c r="AM683" s="42"/>
      <c r="AN683" s="42"/>
      <c r="AO683" s="42"/>
      <c r="AP683" s="622"/>
      <c r="AQ683" s="622"/>
      <c r="AR683" s="622"/>
      <c r="AS683" s="622"/>
      <c r="AT683" s="622"/>
      <c r="AU683" s="622"/>
      <c r="AV683" s="622"/>
      <c r="AW683" s="543"/>
      <c r="AX683" s="44"/>
      <c r="AY683" s="44"/>
      <c r="AZ683" s="44"/>
      <c r="BA683" s="44"/>
      <c r="BB683" s="44"/>
      <c r="BC683" s="44"/>
      <c r="BD683" s="44"/>
      <c r="BE683" s="44"/>
      <c r="BF683" s="44"/>
      <c r="BG683" s="44"/>
      <c r="BH683" s="44"/>
      <c r="BI683" s="44"/>
      <c r="BJ683" s="44"/>
      <c r="BK683" s="44"/>
      <c r="BL683" s="44"/>
      <c r="BM683" s="44"/>
      <c r="BN683" s="44"/>
      <c r="BO683" s="44"/>
      <c r="BP683" s="44"/>
      <c r="BQ683" s="44"/>
      <c r="BR683" s="44"/>
      <c r="BS683" s="42"/>
      <c r="BT683" s="42"/>
      <c r="BU683" s="42"/>
      <c r="BV683" s="42"/>
      <c r="BW683" s="42"/>
      <c r="BX683" s="42"/>
      <c r="BY683" s="42"/>
      <c r="BZ683" s="42"/>
      <c r="CA683" s="42"/>
      <c r="CB683" s="42"/>
      <c r="CC683" s="42"/>
      <c r="CD683" s="42"/>
      <c r="CE683" s="42"/>
      <c r="CF683" s="42"/>
      <c r="CG683" s="42"/>
      <c r="CH683" s="42"/>
      <c r="CI683" s="42"/>
      <c r="CJ683" s="42"/>
      <c r="CK683" s="42"/>
      <c r="CL683" s="42"/>
      <c r="CM683" s="42"/>
      <c r="CN683" s="42"/>
      <c r="CO683" s="42"/>
      <c r="CP683" s="42"/>
      <c r="CQ683" s="42"/>
      <c r="CR683" s="42"/>
      <c r="CS683" s="42"/>
      <c r="CT683" s="42"/>
      <c r="CU683" s="42"/>
      <c r="CV683" s="622">
        <v>0</v>
      </c>
      <c r="CW683" s="622">
        <v>0</v>
      </c>
      <c r="CX683" s="622">
        <v>0</v>
      </c>
      <c r="CY683" s="543">
        <v>0</v>
      </c>
      <c r="CZ683" s="44">
        <v>0</v>
      </c>
      <c r="DA683" s="44">
        <v>0</v>
      </c>
      <c r="DB683" s="44">
        <v>0</v>
      </c>
      <c r="DC683" s="44">
        <v>0</v>
      </c>
      <c r="DD683" s="44">
        <v>0</v>
      </c>
      <c r="DE683" s="44">
        <v>0</v>
      </c>
      <c r="DF683" s="44">
        <v>0</v>
      </c>
      <c r="DG683" s="44">
        <v>0</v>
      </c>
      <c r="DH683" s="44">
        <v>0</v>
      </c>
      <c r="DI683" s="44">
        <v>0</v>
      </c>
    </row>
    <row r="684" spans="1:113" ht="12" outlineLevel="1" collapsed="1">
      <c r="A684" s="121" t="s">
        <v>2257</v>
      </c>
      <c r="B684" s="19" t="s">
        <v>2255</v>
      </c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525">
        <v>2.7</v>
      </c>
      <c r="AQ684" s="525">
        <v>5.8</v>
      </c>
      <c r="AR684" s="525">
        <v>5.6</v>
      </c>
      <c r="AS684" s="525">
        <v>1.7</v>
      </c>
      <c r="AT684" s="525">
        <v>4.3</v>
      </c>
      <c r="AU684" s="525">
        <v>18.8</v>
      </c>
      <c r="AV684" s="525">
        <v>34.700000000000003</v>
      </c>
      <c r="AW684" s="523">
        <v>36.1</v>
      </c>
      <c r="AX684" s="44">
        <v>42.479818391222494</v>
      </c>
      <c r="AY684" s="44">
        <v>49.758352626452726</v>
      </c>
      <c r="AZ684" s="44">
        <v>57.256325437859957</v>
      </c>
      <c r="BA684" s="44">
        <v>65.650217003436524</v>
      </c>
      <c r="BB684" s="44">
        <v>72.60963387709991</v>
      </c>
      <c r="BC684" s="44">
        <v>80.079151119657467</v>
      </c>
      <c r="BD684" s="44">
        <v>83.852560799566803</v>
      </c>
      <c r="BE684" s="44">
        <v>87.803777317003167</v>
      </c>
      <c r="BF684" s="44">
        <v>90.624122448202613</v>
      </c>
      <c r="BG684" s="44">
        <v>93.535059885361321</v>
      </c>
      <c r="BH684" s="44">
        <v>95.604148945085356</v>
      </c>
      <c r="BI684" s="44">
        <v>97.719008323899601</v>
      </c>
      <c r="BJ684" s="44">
        <v>99.88065050703257</v>
      </c>
      <c r="BK684" s="44">
        <v>102.09011037689859</v>
      </c>
      <c r="BL684" s="44">
        <v>104.34844570854597</v>
      </c>
      <c r="BM684" s="44">
        <v>106.65673767606467</v>
      </c>
      <c r="BN684" s="44">
        <v>109.01609137019685</v>
      </c>
      <c r="BO684" s="44">
        <v>111.42763632739698</v>
      </c>
      <c r="BP684" s="44">
        <v>113.89252707059529</v>
      </c>
      <c r="BQ684" s="44">
        <v>116.41194366192394</v>
      </c>
      <c r="BR684" s="44"/>
      <c r="BS684" s="42"/>
      <c r="BT684" s="42"/>
      <c r="BU684" s="42"/>
      <c r="BV684" s="42"/>
      <c r="BW684" s="42"/>
      <c r="BX684" s="42"/>
      <c r="BY684" s="42"/>
      <c r="BZ684" s="42"/>
      <c r="CA684" s="42"/>
      <c r="CB684" s="42"/>
      <c r="CC684" s="42"/>
      <c r="CD684" s="42"/>
      <c r="CE684" s="42"/>
      <c r="CF684" s="42"/>
      <c r="CG684" s="42"/>
      <c r="CH684" s="42"/>
      <c r="CI684" s="42"/>
      <c r="CJ684" s="42"/>
      <c r="CK684" s="42"/>
      <c r="CL684" s="42"/>
      <c r="CM684" s="42"/>
      <c r="CN684" s="42"/>
      <c r="CO684" s="42"/>
      <c r="CP684" s="42"/>
      <c r="CQ684" s="42"/>
      <c r="CR684" s="42"/>
      <c r="CS684" s="42"/>
      <c r="CT684" s="42"/>
      <c r="CU684" s="113"/>
      <c r="CV684" s="44">
        <v>5.8</v>
      </c>
      <c r="CW684" s="44">
        <v>1.7</v>
      </c>
      <c r="CX684" s="44">
        <v>18.8</v>
      </c>
      <c r="CY684" s="45">
        <v>36.1</v>
      </c>
      <c r="CZ684" s="44">
        <v>49.758352626452726</v>
      </c>
      <c r="DA684" s="44">
        <v>65.650217003436524</v>
      </c>
      <c r="DB684" s="44">
        <v>80.079151119657467</v>
      </c>
      <c r="DC684" s="44">
        <v>87.803777317003167</v>
      </c>
      <c r="DD684" s="44">
        <v>93.535059885361321</v>
      </c>
      <c r="DE684" s="44">
        <v>97.719008323899601</v>
      </c>
      <c r="DF684" s="44">
        <v>102.09011037689859</v>
      </c>
      <c r="DG684" s="44">
        <v>106.65673767606467</v>
      </c>
      <c r="DH684" s="44">
        <v>111.42763632739698</v>
      </c>
      <c r="DI684" s="44">
        <v>116.41194366192394</v>
      </c>
    </row>
    <row r="685" spans="1:113" ht="12" outlineLevel="1">
      <c r="A685" s="121" t="s">
        <v>2258</v>
      </c>
      <c r="B685" s="19" t="s">
        <v>2256</v>
      </c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  <c r="AJ685" s="42"/>
      <c r="AK685" s="42"/>
      <c r="AL685" s="42"/>
      <c r="AM685" s="42"/>
      <c r="AN685" s="42"/>
      <c r="AO685" s="42"/>
      <c r="AP685" s="525">
        <v>31.2</v>
      </c>
      <c r="AQ685" s="525">
        <v>29.2</v>
      </c>
      <c r="AR685" s="525">
        <v>39.1</v>
      </c>
      <c r="AS685" s="525">
        <v>53.5</v>
      </c>
      <c r="AT685" s="525">
        <v>73.2</v>
      </c>
      <c r="AU685" s="525">
        <v>88.7</v>
      </c>
      <c r="AV685" s="525">
        <v>95.8</v>
      </c>
      <c r="AW685" s="523">
        <v>113</v>
      </c>
      <c r="AX685" s="44">
        <v>123.98649207627669</v>
      </c>
      <c r="AY685" s="44">
        <v>136.04155962210757</v>
      </c>
      <c r="AZ685" s="44">
        <v>147.31612837333819</v>
      </c>
      <c r="BA685" s="44">
        <v>159.3499473197011</v>
      </c>
      <c r="BB685" s="44">
        <v>166.78975572845417</v>
      </c>
      <c r="BC685" s="44">
        <v>174.57716618694627</v>
      </c>
      <c r="BD685" s="44">
        <v>182.72843013688259</v>
      </c>
      <c r="BE685" s="44">
        <v>191.26055929346907</v>
      </c>
      <c r="BF685" s="44">
        <v>197.32245284345242</v>
      </c>
      <c r="BG685" s="44">
        <v>203.57676943511558</v>
      </c>
      <c r="BH685" s="44">
        <v>207.99385785990577</v>
      </c>
      <c r="BI685" s="44">
        <v>212.50709751359031</v>
      </c>
      <c r="BJ685" s="44">
        <v>217.11858716589478</v>
      </c>
      <c r="BK685" s="44">
        <v>221.83047150369754</v>
      </c>
      <c r="BL685" s="44">
        <v>226.64494213754651</v>
      </c>
      <c r="BM685" s="44">
        <v>231.56423863027447</v>
      </c>
      <c r="BN685" s="44">
        <v>236.59064954819863</v>
      </c>
      <c r="BO685" s="44">
        <v>241.72651353540152</v>
      </c>
      <c r="BP685" s="44">
        <v>246.97422041159962</v>
      </c>
      <c r="BQ685" s="44">
        <v>252.33621229411958</v>
      </c>
      <c r="BR685" s="44"/>
      <c r="BS685" s="42"/>
      <c r="BT685" s="42"/>
      <c r="BU685" s="42"/>
      <c r="BV685" s="42"/>
      <c r="BW685" s="42"/>
      <c r="BX685" s="42"/>
      <c r="BY685" s="42"/>
      <c r="BZ685" s="42"/>
      <c r="CA685" s="42"/>
      <c r="CB685" s="42"/>
      <c r="CC685" s="42"/>
      <c r="CD685" s="42"/>
      <c r="CE685" s="42"/>
      <c r="CF685" s="42"/>
      <c r="CG685" s="42"/>
      <c r="CH685" s="42"/>
      <c r="CI685" s="42"/>
      <c r="CJ685" s="42"/>
      <c r="CK685" s="42"/>
      <c r="CL685" s="42"/>
      <c r="CM685" s="42"/>
      <c r="CN685" s="42"/>
      <c r="CO685" s="42"/>
      <c r="CP685" s="42"/>
      <c r="CQ685" s="42"/>
      <c r="CR685" s="42"/>
      <c r="CS685" s="42"/>
      <c r="CT685" s="42"/>
      <c r="CU685" s="113"/>
      <c r="CV685" s="44">
        <v>29.2</v>
      </c>
      <c r="CW685" s="44">
        <v>53.5</v>
      </c>
      <c r="CX685" s="44">
        <v>88.7</v>
      </c>
      <c r="CY685" s="45">
        <v>113</v>
      </c>
      <c r="CZ685" s="44">
        <v>136.04155962210757</v>
      </c>
      <c r="DA685" s="44">
        <v>159.3499473197011</v>
      </c>
      <c r="DB685" s="44">
        <v>174.57716618694627</v>
      </c>
      <c r="DC685" s="44">
        <v>191.26055929346907</v>
      </c>
      <c r="DD685" s="44">
        <v>203.57676943511558</v>
      </c>
      <c r="DE685" s="44">
        <v>212.50709751359031</v>
      </c>
      <c r="DF685" s="44">
        <v>221.83047150369754</v>
      </c>
      <c r="DG685" s="44">
        <v>231.56423863027447</v>
      </c>
      <c r="DH685" s="44">
        <v>241.72651353540152</v>
      </c>
      <c r="DI685" s="44">
        <v>252.33621229411958</v>
      </c>
    </row>
    <row r="686" spans="1:113" ht="12" hidden="1" outlineLevel="2">
      <c r="A686" s="1" t="s">
        <v>2435</v>
      </c>
      <c r="B686" s="19" t="s">
        <v>801</v>
      </c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  <c r="AJ686" s="42"/>
      <c r="AK686" s="42"/>
      <c r="AL686" s="42"/>
      <c r="AM686" s="42"/>
      <c r="AN686" s="42"/>
      <c r="AO686" s="42"/>
      <c r="AP686" s="622"/>
      <c r="AQ686" s="622"/>
      <c r="AR686" s="622"/>
      <c r="AS686" s="622"/>
      <c r="AT686" s="622"/>
      <c r="AU686" s="622"/>
      <c r="AV686" s="622"/>
      <c r="AW686" s="543"/>
      <c r="AX686" s="44"/>
      <c r="AY686" s="44"/>
      <c r="AZ686" s="44"/>
      <c r="BA686" s="44"/>
      <c r="BB686" s="44"/>
      <c r="BC686" s="44"/>
      <c r="BD686" s="44"/>
      <c r="BE686" s="44"/>
      <c r="BF686" s="44"/>
      <c r="BG686" s="44"/>
      <c r="BH686" s="44"/>
      <c r="BI686" s="44"/>
      <c r="BJ686" s="44"/>
      <c r="BK686" s="44"/>
      <c r="BL686" s="44"/>
      <c r="BM686" s="44"/>
      <c r="BN686" s="44"/>
      <c r="BO686" s="44"/>
      <c r="BP686" s="44"/>
      <c r="BQ686" s="44"/>
      <c r="BR686" s="44"/>
      <c r="BS686" s="42"/>
      <c r="BT686" s="42"/>
      <c r="BU686" s="42"/>
      <c r="BV686" s="42"/>
      <c r="BW686" s="42"/>
      <c r="BX686" s="42"/>
      <c r="BY686" s="42"/>
      <c r="BZ686" s="42"/>
      <c r="CA686" s="42"/>
      <c r="CB686" s="42"/>
      <c r="CC686" s="42"/>
      <c r="CD686" s="42"/>
      <c r="CE686" s="42"/>
      <c r="CF686" s="42"/>
      <c r="CG686" s="42"/>
      <c r="CH686" s="42"/>
      <c r="CI686" s="42"/>
      <c r="CJ686" s="42"/>
      <c r="CK686" s="42"/>
      <c r="CL686" s="42"/>
      <c r="CM686" s="42"/>
      <c r="CN686" s="42"/>
      <c r="CO686" s="42"/>
      <c r="CP686" s="42"/>
      <c r="CQ686" s="42"/>
      <c r="CR686" s="42"/>
      <c r="CS686" s="42"/>
      <c r="CT686" s="42"/>
      <c r="CU686" s="42"/>
      <c r="CV686" s="622"/>
      <c r="CW686" s="622">
        <v>0</v>
      </c>
      <c r="CX686" s="622">
        <v>0</v>
      </c>
      <c r="CY686" s="543">
        <v>0</v>
      </c>
      <c r="CZ686" s="44">
        <v>0</v>
      </c>
      <c r="DA686" s="44">
        <v>0</v>
      </c>
      <c r="DB686" s="44">
        <v>0</v>
      </c>
      <c r="DC686" s="44">
        <v>0</v>
      </c>
      <c r="DD686" s="44">
        <v>0</v>
      </c>
      <c r="DE686" s="44">
        <v>0</v>
      </c>
      <c r="DF686" s="44">
        <v>0</v>
      </c>
      <c r="DG686" s="44">
        <v>0</v>
      </c>
      <c r="DH686" s="44">
        <v>0</v>
      </c>
      <c r="DI686" s="44">
        <v>0</v>
      </c>
    </row>
    <row r="687" spans="1:113" ht="12" hidden="1" outlineLevel="2">
      <c r="A687" s="1" t="s">
        <v>2436</v>
      </c>
      <c r="B687" s="19" t="s">
        <v>801</v>
      </c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622"/>
      <c r="AQ687" s="622"/>
      <c r="AR687" s="622"/>
      <c r="AS687" s="622"/>
      <c r="AT687" s="622"/>
      <c r="AU687" s="622"/>
      <c r="AV687" s="622"/>
      <c r="AW687" s="543"/>
      <c r="AX687" s="44"/>
      <c r="AY687" s="44"/>
      <c r="AZ687" s="44"/>
      <c r="BA687" s="44"/>
      <c r="BB687" s="44"/>
      <c r="BC687" s="44"/>
      <c r="BD687" s="44"/>
      <c r="BE687" s="44"/>
      <c r="BF687" s="44"/>
      <c r="BG687" s="44"/>
      <c r="BH687" s="44"/>
      <c r="BI687" s="44"/>
      <c r="BJ687" s="44"/>
      <c r="BK687" s="44"/>
      <c r="BL687" s="44"/>
      <c r="BM687" s="44"/>
      <c r="BN687" s="44"/>
      <c r="BO687" s="44"/>
      <c r="BP687" s="44"/>
      <c r="BQ687" s="44"/>
      <c r="BR687" s="44"/>
      <c r="BS687" s="42"/>
      <c r="BT687" s="42"/>
      <c r="BU687" s="42"/>
      <c r="BV687" s="42"/>
      <c r="BW687" s="42"/>
      <c r="BX687" s="42"/>
      <c r="BY687" s="42"/>
      <c r="BZ687" s="42"/>
      <c r="CA687" s="42"/>
      <c r="CB687" s="42"/>
      <c r="CC687" s="42"/>
      <c r="CD687" s="42"/>
      <c r="CE687" s="42"/>
      <c r="CF687" s="42"/>
      <c r="CG687" s="42"/>
      <c r="CH687" s="42"/>
      <c r="CI687" s="42"/>
      <c r="CJ687" s="42"/>
      <c r="CK687" s="42"/>
      <c r="CL687" s="42"/>
      <c r="CM687" s="42"/>
      <c r="CN687" s="42"/>
      <c r="CO687" s="42"/>
      <c r="CP687" s="42"/>
      <c r="CQ687" s="42"/>
      <c r="CR687" s="42"/>
      <c r="CS687" s="42"/>
      <c r="CT687" s="42"/>
      <c r="CU687" s="42"/>
      <c r="CV687" s="622"/>
      <c r="CW687" s="622">
        <v>0</v>
      </c>
      <c r="CX687" s="622">
        <v>0</v>
      </c>
      <c r="CY687" s="543">
        <v>0</v>
      </c>
      <c r="CZ687" s="44">
        <v>0</v>
      </c>
      <c r="DA687" s="44">
        <v>0</v>
      </c>
      <c r="DB687" s="44">
        <v>0</v>
      </c>
      <c r="DC687" s="44">
        <v>0</v>
      </c>
      <c r="DD687" s="44">
        <v>0</v>
      </c>
      <c r="DE687" s="44">
        <v>0</v>
      </c>
      <c r="DF687" s="44">
        <v>0</v>
      </c>
      <c r="DG687" s="44">
        <v>0</v>
      </c>
      <c r="DH687" s="44">
        <v>0</v>
      </c>
      <c r="DI687" s="44">
        <v>0</v>
      </c>
    </row>
    <row r="688" spans="1:113" ht="12" hidden="1" outlineLevel="2">
      <c r="A688" s="1" t="s">
        <v>2437</v>
      </c>
      <c r="B688" s="19" t="s">
        <v>801</v>
      </c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  <c r="AJ688" s="42"/>
      <c r="AK688" s="42"/>
      <c r="AL688" s="42"/>
      <c r="AM688" s="42"/>
      <c r="AN688" s="42"/>
      <c r="AO688" s="42"/>
      <c r="AP688" s="622"/>
      <c r="AQ688" s="622"/>
      <c r="AR688" s="622"/>
      <c r="AS688" s="622"/>
      <c r="AT688" s="622"/>
      <c r="AU688" s="622"/>
      <c r="AV688" s="622"/>
      <c r="AW688" s="543"/>
      <c r="AX688" s="44"/>
      <c r="AY688" s="44"/>
      <c r="AZ688" s="44"/>
      <c r="BA688" s="44"/>
      <c r="BB688" s="44"/>
      <c r="BC688" s="44"/>
      <c r="BD688" s="44"/>
      <c r="BE688" s="44"/>
      <c r="BF688" s="44"/>
      <c r="BG688" s="44"/>
      <c r="BH688" s="44"/>
      <c r="BI688" s="44"/>
      <c r="BJ688" s="44"/>
      <c r="BK688" s="44"/>
      <c r="BL688" s="44"/>
      <c r="BM688" s="44"/>
      <c r="BN688" s="44"/>
      <c r="BO688" s="44"/>
      <c r="BP688" s="44"/>
      <c r="BQ688" s="44"/>
      <c r="BR688" s="44"/>
      <c r="BS688" s="42"/>
      <c r="BT688" s="42"/>
      <c r="BU688" s="42"/>
      <c r="BV688" s="42"/>
      <c r="BW688" s="42"/>
      <c r="BX688" s="42"/>
      <c r="BY688" s="42"/>
      <c r="BZ688" s="42"/>
      <c r="CA688" s="42"/>
      <c r="CB688" s="42"/>
      <c r="CC688" s="42"/>
      <c r="CD688" s="42"/>
      <c r="CE688" s="42"/>
      <c r="CF688" s="42"/>
      <c r="CG688" s="42"/>
      <c r="CH688" s="42"/>
      <c r="CI688" s="42"/>
      <c r="CJ688" s="42"/>
      <c r="CK688" s="42"/>
      <c r="CL688" s="42"/>
      <c r="CM688" s="42"/>
      <c r="CN688" s="42"/>
      <c r="CO688" s="42"/>
      <c r="CP688" s="42"/>
      <c r="CQ688" s="42"/>
      <c r="CR688" s="42"/>
      <c r="CS688" s="42"/>
      <c r="CT688" s="42"/>
      <c r="CU688" s="42"/>
      <c r="CV688" s="622"/>
      <c r="CW688" s="622">
        <v>0</v>
      </c>
      <c r="CX688" s="622">
        <v>0</v>
      </c>
      <c r="CY688" s="543">
        <v>0</v>
      </c>
      <c r="CZ688" s="44">
        <v>0</v>
      </c>
      <c r="DA688" s="44">
        <v>0</v>
      </c>
      <c r="DB688" s="44">
        <v>0</v>
      </c>
      <c r="DC688" s="44">
        <v>0</v>
      </c>
      <c r="DD688" s="44">
        <v>0</v>
      </c>
      <c r="DE688" s="44">
        <v>0</v>
      </c>
      <c r="DF688" s="44">
        <v>0</v>
      </c>
      <c r="DG688" s="44">
        <v>0</v>
      </c>
      <c r="DH688" s="44">
        <v>0</v>
      </c>
      <c r="DI688" s="44">
        <v>0</v>
      </c>
    </row>
    <row r="689" spans="1:113" ht="12" hidden="1" outlineLevel="2">
      <c r="A689" s="1" t="s">
        <v>2438</v>
      </c>
      <c r="B689" s="19" t="s">
        <v>801</v>
      </c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  <c r="AJ689" s="42"/>
      <c r="AK689" s="42"/>
      <c r="AL689" s="42"/>
      <c r="AM689" s="42"/>
      <c r="AN689" s="42"/>
      <c r="AO689" s="42"/>
      <c r="AP689" s="622"/>
      <c r="AQ689" s="622"/>
      <c r="AR689" s="622"/>
      <c r="AS689" s="622"/>
      <c r="AT689" s="622"/>
      <c r="AU689" s="622"/>
      <c r="AV689" s="622"/>
      <c r="AW689" s="543"/>
      <c r="AX689" s="44"/>
      <c r="AY689" s="44"/>
      <c r="AZ689" s="44"/>
      <c r="BA689" s="44"/>
      <c r="BB689" s="44"/>
      <c r="BC689" s="44"/>
      <c r="BD689" s="44"/>
      <c r="BE689" s="44"/>
      <c r="BF689" s="44"/>
      <c r="BG689" s="44"/>
      <c r="BH689" s="44"/>
      <c r="BI689" s="44"/>
      <c r="BJ689" s="44"/>
      <c r="BK689" s="44"/>
      <c r="BL689" s="44"/>
      <c r="BM689" s="44"/>
      <c r="BN689" s="44"/>
      <c r="BO689" s="44"/>
      <c r="BP689" s="44"/>
      <c r="BQ689" s="44"/>
      <c r="BR689" s="44"/>
      <c r="BS689" s="42"/>
      <c r="BT689" s="42"/>
      <c r="BU689" s="42"/>
      <c r="BV689" s="42"/>
      <c r="BW689" s="42"/>
      <c r="BX689" s="42"/>
      <c r="BY689" s="42"/>
      <c r="BZ689" s="42"/>
      <c r="CA689" s="42"/>
      <c r="CB689" s="42"/>
      <c r="CC689" s="42"/>
      <c r="CD689" s="42"/>
      <c r="CE689" s="42"/>
      <c r="CF689" s="42"/>
      <c r="CG689" s="42"/>
      <c r="CH689" s="42"/>
      <c r="CI689" s="42"/>
      <c r="CJ689" s="42"/>
      <c r="CK689" s="42"/>
      <c r="CL689" s="42"/>
      <c r="CM689" s="42"/>
      <c r="CN689" s="42"/>
      <c r="CO689" s="42"/>
      <c r="CP689" s="42"/>
      <c r="CQ689" s="42"/>
      <c r="CR689" s="42"/>
      <c r="CS689" s="42"/>
      <c r="CT689" s="42"/>
      <c r="CU689" s="42"/>
      <c r="CV689" s="622"/>
      <c r="CW689" s="622">
        <v>0</v>
      </c>
      <c r="CX689" s="622">
        <v>0</v>
      </c>
      <c r="CY689" s="543">
        <v>0</v>
      </c>
      <c r="CZ689" s="44">
        <v>0</v>
      </c>
      <c r="DA689" s="44">
        <v>0</v>
      </c>
      <c r="DB689" s="44">
        <v>0</v>
      </c>
      <c r="DC689" s="44">
        <v>0</v>
      </c>
      <c r="DD689" s="44">
        <v>0</v>
      </c>
      <c r="DE689" s="44">
        <v>0</v>
      </c>
      <c r="DF689" s="44">
        <v>0</v>
      </c>
      <c r="DG689" s="44">
        <v>0</v>
      </c>
      <c r="DH689" s="44">
        <v>0</v>
      </c>
      <c r="DI689" s="44">
        <v>0</v>
      </c>
    </row>
    <row r="690" spans="1:113" ht="12" hidden="1" outlineLevel="2">
      <c r="A690" s="1" t="s">
        <v>2439</v>
      </c>
      <c r="B690" s="19" t="s">
        <v>801</v>
      </c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2"/>
      <c r="AK690" s="42"/>
      <c r="AL690" s="42"/>
      <c r="AM690" s="42"/>
      <c r="AN690" s="42"/>
      <c r="AO690" s="42"/>
      <c r="AP690" s="622"/>
      <c r="AQ690" s="622"/>
      <c r="AR690" s="622"/>
      <c r="AS690" s="622"/>
      <c r="AT690" s="622"/>
      <c r="AU690" s="622"/>
      <c r="AV690" s="622"/>
      <c r="AW690" s="543"/>
      <c r="AX690" s="44"/>
      <c r="AY690" s="44"/>
      <c r="AZ690" s="44"/>
      <c r="BA690" s="44"/>
      <c r="BB690" s="44"/>
      <c r="BC690" s="44"/>
      <c r="BD690" s="44"/>
      <c r="BE690" s="44"/>
      <c r="BF690" s="44"/>
      <c r="BG690" s="44"/>
      <c r="BH690" s="44"/>
      <c r="BI690" s="44"/>
      <c r="BJ690" s="44"/>
      <c r="BK690" s="44"/>
      <c r="BL690" s="44"/>
      <c r="BM690" s="44"/>
      <c r="BN690" s="44"/>
      <c r="BO690" s="44"/>
      <c r="BP690" s="44"/>
      <c r="BQ690" s="44"/>
      <c r="BR690" s="44"/>
      <c r="BS690" s="42"/>
      <c r="BT690" s="42"/>
      <c r="BU690" s="42"/>
      <c r="BV690" s="42"/>
      <c r="BW690" s="42"/>
      <c r="BX690" s="42"/>
      <c r="BY690" s="42"/>
      <c r="BZ690" s="42"/>
      <c r="CA690" s="42"/>
      <c r="CB690" s="42"/>
      <c r="CC690" s="42"/>
      <c r="CD690" s="42"/>
      <c r="CE690" s="42"/>
      <c r="CF690" s="42"/>
      <c r="CG690" s="42"/>
      <c r="CH690" s="42"/>
      <c r="CI690" s="42"/>
      <c r="CJ690" s="42"/>
      <c r="CK690" s="42"/>
      <c r="CL690" s="42"/>
      <c r="CM690" s="42"/>
      <c r="CN690" s="42"/>
      <c r="CO690" s="42"/>
      <c r="CP690" s="42"/>
      <c r="CQ690" s="42"/>
      <c r="CR690" s="42"/>
      <c r="CS690" s="42"/>
      <c r="CT690" s="42"/>
      <c r="CU690" s="42"/>
      <c r="CV690" s="622"/>
      <c r="CW690" s="622">
        <v>0</v>
      </c>
      <c r="CX690" s="622">
        <v>0</v>
      </c>
      <c r="CY690" s="543">
        <v>0</v>
      </c>
      <c r="CZ690" s="44">
        <v>0</v>
      </c>
      <c r="DA690" s="44">
        <v>0</v>
      </c>
      <c r="DB690" s="44">
        <v>0</v>
      </c>
      <c r="DC690" s="44">
        <v>0</v>
      </c>
      <c r="DD690" s="44">
        <v>0</v>
      </c>
      <c r="DE690" s="44">
        <v>0</v>
      </c>
      <c r="DF690" s="44">
        <v>0</v>
      </c>
      <c r="DG690" s="44">
        <v>0</v>
      </c>
      <c r="DH690" s="44">
        <v>0</v>
      </c>
      <c r="DI690" s="44">
        <v>0</v>
      </c>
    </row>
    <row r="691" spans="1:113" ht="12" hidden="1" outlineLevel="2">
      <c r="A691" s="1" t="s">
        <v>2440</v>
      </c>
      <c r="B691" s="19" t="s">
        <v>801</v>
      </c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622"/>
      <c r="AQ691" s="622"/>
      <c r="AR691" s="622"/>
      <c r="AS691" s="622"/>
      <c r="AT691" s="622"/>
      <c r="AU691" s="622"/>
      <c r="AV691" s="622"/>
      <c r="AW691" s="543"/>
      <c r="AX691" s="44"/>
      <c r="AY691" s="44"/>
      <c r="AZ691" s="44"/>
      <c r="BA691" s="44"/>
      <c r="BB691" s="44"/>
      <c r="BC691" s="44"/>
      <c r="BD691" s="44"/>
      <c r="BE691" s="44"/>
      <c r="BF691" s="44"/>
      <c r="BG691" s="44"/>
      <c r="BH691" s="44"/>
      <c r="BI691" s="44"/>
      <c r="BJ691" s="44"/>
      <c r="BK691" s="44"/>
      <c r="BL691" s="44"/>
      <c r="BM691" s="44"/>
      <c r="BN691" s="44"/>
      <c r="BO691" s="44"/>
      <c r="BP691" s="44"/>
      <c r="BQ691" s="44"/>
      <c r="BR691" s="44"/>
      <c r="BS691" s="42"/>
      <c r="BT691" s="42"/>
      <c r="BU691" s="42"/>
      <c r="BV691" s="42"/>
      <c r="BW691" s="42"/>
      <c r="BX691" s="42"/>
      <c r="BY691" s="42"/>
      <c r="BZ691" s="42"/>
      <c r="CA691" s="42"/>
      <c r="CB691" s="42"/>
      <c r="CC691" s="42"/>
      <c r="CD691" s="42"/>
      <c r="CE691" s="42"/>
      <c r="CF691" s="42"/>
      <c r="CG691" s="42"/>
      <c r="CH691" s="42"/>
      <c r="CI691" s="42"/>
      <c r="CJ691" s="42"/>
      <c r="CK691" s="42"/>
      <c r="CL691" s="42"/>
      <c r="CM691" s="42"/>
      <c r="CN691" s="42"/>
      <c r="CO691" s="42"/>
      <c r="CP691" s="42"/>
      <c r="CQ691" s="42"/>
      <c r="CR691" s="42"/>
      <c r="CS691" s="42"/>
      <c r="CT691" s="42"/>
      <c r="CU691" s="42"/>
      <c r="CV691" s="622"/>
      <c r="CW691" s="622">
        <v>0</v>
      </c>
      <c r="CX691" s="622">
        <v>0</v>
      </c>
      <c r="CY691" s="543">
        <v>0</v>
      </c>
      <c r="CZ691" s="44">
        <v>0</v>
      </c>
      <c r="DA691" s="44">
        <v>0</v>
      </c>
      <c r="DB691" s="44">
        <v>0</v>
      </c>
      <c r="DC691" s="44">
        <v>0</v>
      </c>
      <c r="DD691" s="44">
        <v>0</v>
      </c>
      <c r="DE691" s="44">
        <v>0</v>
      </c>
      <c r="DF691" s="44">
        <v>0</v>
      </c>
      <c r="DG691" s="44">
        <v>0</v>
      </c>
      <c r="DH691" s="44">
        <v>0</v>
      </c>
      <c r="DI691" s="44">
        <v>0</v>
      </c>
    </row>
    <row r="692" spans="1:113" ht="12" hidden="1" outlineLevel="2">
      <c r="A692" s="1" t="s">
        <v>2441</v>
      </c>
      <c r="B692" s="19" t="s">
        <v>801</v>
      </c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  <c r="AJ692" s="42"/>
      <c r="AK692" s="42"/>
      <c r="AL692" s="42"/>
      <c r="AM692" s="42"/>
      <c r="AN692" s="42"/>
      <c r="AO692" s="42"/>
      <c r="AP692" s="622"/>
      <c r="AQ692" s="622"/>
      <c r="AR692" s="622"/>
      <c r="AS692" s="622"/>
      <c r="AT692" s="622"/>
      <c r="AU692" s="622"/>
      <c r="AV692" s="622"/>
      <c r="AW692" s="543"/>
      <c r="AX692" s="44"/>
      <c r="AY692" s="44"/>
      <c r="AZ692" s="44"/>
      <c r="BA692" s="44"/>
      <c r="BB692" s="44"/>
      <c r="BC692" s="44"/>
      <c r="BD692" s="44"/>
      <c r="BE692" s="44"/>
      <c r="BF692" s="44"/>
      <c r="BG692" s="44"/>
      <c r="BH692" s="44"/>
      <c r="BI692" s="44"/>
      <c r="BJ692" s="44"/>
      <c r="BK692" s="44"/>
      <c r="BL692" s="44"/>
      <c r="BM692" s="44"/>
      <c r="BN692" s="44"/>
      <c r="BO692" s="44"/>
      <c r="BP692" s="44"/>
      <c r="BQ692" s="44"/>
      <c r="BR692" s="44"/>
      <c r="BS692" s="42"/>
      <c r="BT692" s="42"/>
      <c r="BU692" s="42"/>
      <c r="BV692" s="42"/>
      <c r="BW692" s="42"/>
      <c r="BX692" s="42"/>
      <c r="BY692" s="42"/>
      <c r="BZ692" s="42"/>
      <c r="CA692" s="42"/>
      <c r="CB692" s="42"/>
      <c r="CC692" s="42"/>
      <c r="CD692" s="42"/>
      <c r="CE692" s="42"/>
      <c r="CF692" s="42"/>
      <c r="CG692" s="42"/>
      <c r="CH692" s="42"/>
      <c r="CI692" s="42"/>
      <c r="CJ692" s="42"/>
      <c r="CK692" s="42"/>
      <c r="CL692" s="42"/>
      <c r="CM692" s="42"/>
      <c r="CN692" s="42"/>
      <c r="CO692" s="42"/>
      <c r="CP692" s="42"/>
      <c r="CQ692" s="42"/>
      <c r="CR692" s="42"/>
      <c r="CS692" s="42"/>
      <c r="CT692" s="42"/>
      <c r="CU692" s="42"/>
      <c r="CV692" s="622"/>
      <c r="CW692" s="622">
        <v>0</v>
      </c>
      <c r="CX692" s="622">
        <v>0</v>
      </c>
      <c r="CY692" s="543">
        <v>0</v>
      </c>
      <c r="CZ692" s="44">
        <v>0</v>
      </c>
      <c r="DA692" s="44">
        <v>0</v>
      </c>
      <c r="DB692" s="44">
        <v>0</v>
      </c>
      <c r="DC692" s="44">
        <v>0</v>
      </c>
      <c r="DD692" s="44">
        <v>0</v>
      </c>
      <c r="DE692" s="44">
        <v>0</v>
      </c>
      <c r="DF692" s="44">
        <v>0</v>
      </c>
      <c r="DG692" s="44">
        <v>0</v>
      </c>
      <c r="DH692" s="44">
        <v>0</v>
      </c>
      <c r="DI692" s="44">
        <v>0</v>
      </c>
    </row>
    <row r="693" spans="1:113" ht="12" hidden="1" outlineLevel="2">
      <c r="A693" s="1" t="s">
        <v>1050</v>
      </c>
      <c r="B693" s="19" t="s">
        <v>801</v>
      </c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622"/>
      <c r="AQ693" s="622"/>
      <c r="AR693" s="622"/>
      <c r="AS693" s="622"/>
      <c r="AT693" s="622"/>
      <c r="AU693" s="622"/>
      <c r="AV693" s="622"/>
      <c r="AW693" s="543"/>
      <c r="AX693" s="44"/>
      <c r="AY693" s="44"/>
      <c r="AZ693" s="44"/>
      <c r="BA693" s="44"/>
      <c r="BB693" s="44"/>
      <c r="BC693" s="44"/>
      <c r="BD693" s="44"/>
      <c r="BE693" s="44"/>
      <c r="BF693" s="44"/>
      <c r="BG693" s="44"/>
      <c r="BH693" s="44"/>
      <c r="BI693" s="44"/>
      <c r="BJ693" s="44"/>
      <c r="BK693" s="44"/>
      <c r="BL693" s="44"/>
      <c r="BM693" s="44"/>
      <c r="BN693" s="44"/>
      <c r="BO693" s="44"/>
      <c r="BP693" s="44"/>
      <c r="BQ693" s="44"/>
      <c r="BR693" s="44"/>
      <c r="BS693" s="42"/>
      <c r="BT693" s="42"/>
      <c r="BU693" s="42"/>
      <c r="BV693" s="42"/>
      <c r="BW693" s="42"/>
      <c r="BX693" s="42"/>
      <c r="BY693" s="42"/>
      <c r="BZ693" s="42"/>
      <c r="CA693" s="42"/>
      <c r="CB693" s="42"/>
      <c r="CC693" s="42"/>
      <c r="CD693" s="42"/>
      <c r="CE693" s="42"/>
      <c r="CF693" s="42"/>
      <c r="CG693" s="42"/>
      <c r="CH693" s="42"/>
      <c r="CI693" s="42"/>
      <c r="CJ693" s="42"/>
      <c r="CK693" s="42"/>
      <c r="CL693" s="42"/>
      <c r="CM693" s="42"/>
      <c r="CN693" s="42"/>
      <c r="CO693" s="42"/>
      <c r="CP693" s="42"/>
      <c r="CQ693" s="42"/>
      <c r="CR693" s="42"/>
      <c r="CS693" s="42"/>
      <c r="CT693" s="42"/>
      <c r="CU693" s="42"/>
      <c r="CV693" s="622"/>
      <c r="CW693" s="622">
        <v>0</v>
      </c>
      <c r="CX693" s="622">
        <v>0</v>
      </c>
      <c r="CY693" s="543">
        <v>0</v>
      </c>
      <c r="CZ693" s="44">
        <v>0</v>
      </c>
      <c r="DA693" s="44">
        <v>0</v>
      </c>
      <c r="DB693" s="44">
        <v>0</v>
      </c>
      <c r="DC693" s="44">
        <v>0</v>
      </c>
      <c r="DD693" s="44">
        <v>0</v>
      </c>
      <c r="DE693" s="44">
        <v>0</v>
      </c>
      <c r="DF693" s="44">
        <v>0</v>
      </c>
      <c r="DG693" s="44">
        <v>0</v>
      </c>
      <c r="DH693" s="44">
        <v>0</v>
      </c>
      <c r="DI693" s="44">
        <v>0</v>
      </c>
    </row>
    <row r="694" spans="1:113" ht="12" outlineLevel="1" collapsed="1"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  <c r="AJ694" s="42"/>
      <c r="AK694" s="42"/>
      <c r="AL694" s="42"/>
      <c r="AM694" s="42"/>
      <c r="AN694" s="42"/>
      <c r="AO694" s="42"/>
      <c r="AP694" s="44"/>
      <c r="AQ694" s="44"/>
      <c r="AR694" s="44"/>
      <c r="AS694" s="44"/>
      <c r="AT694" s="44"/>
      <c r="AU694" s="44"/>
      <c r="AV694" s="44"/>
      <c r="AW694" s="45"/>
      <c r="AX694" s="44"/>
      <c r="AY694" s="44"/>
      <c r="AZ694" s="44"/>
      <c r="BA694" s="44"/>
      <c r="BB694" s="44"/>
      <c r="BC694" s="44"/>
      <c r="BD694" s="44"/>
      <c r="BE694" s="44"/>
      <c r="BF694" s="44"/>
      <c r="BG694" s="44"/>
      <c r="BH694" s="44"/>
      <c r="BI694" s="44"/>
      <c r="BJ694" s="44"/>
      <c r="BK694" s="44"/>
      <c r="BL694" s="44"/>
      <c r="BM694" s="44"/>
      <c r="BN694" s="44"/>
      <c r="BO694" s="44"/>
      <c r="BP694" s="44"/>
      <c r="BQ694" s="44"/>
      <c r="BR694" s="44"/>
      <c r="BS694" s="42"/>
      <c r="BT694" s="42"/>
      <c r="BU694" s="42"/>
      <c r="BV694" s="42"/>
      <c r="BW694" s="42"/>
      <c r="BX694" s="42"/>
      <c r="BY694" s="42"/>
      <c r="BZ694" s="42"/>
      <c r="CA694" s="42"/>
      <c r="CB694" s="42"/>
      <c r="CC694" s="42"/>
      <c r="CD694" s="42"/>
      <c r="CE694" s="42"/>
      <c r="CF694" s="42"/>
      <c r="CG694" s="42"/>
      <c r="CH694" s="42"/>
      <c r="CI694" s="42"/>
      <c r="CJ694" s="42"/>
      <c r="CK694" s="42"/>
      <c r="CL694" s="42"/>
      <c r="CM694" s="42"/>
      <c r="CN694" s="42"/>
      <c r="CO694" s="42"/>
      <c r="CP694" s="42"/>
      <c r="CQ694" s="42"/>
      <c r="CR694" s="42"/>
      <c r="CS694" s="42"/>
      <c r="CT694" s="42"/>
      <c r="CU694" s="42"/>
      <c r="CV694" s="44"/>
      <c r="CW694" s="44"/>
      <c r="CX694" s="44"/>
      <c r="CY694" s="45"/>
      <c r="CZ694" s="44"/>
      <c r="DA694" s="44"/>
      <c r="DB694" s="44"/>
      <c r="DC694" s="44"/>
      <c r="DD694" s="44"/>
      <c r="DE694" s="44"/>
      <c r="DF694" s="44"/>
      <c r="DG694" s="44"/>
      <c r="DH694" s="44"/>
      <c r="DI694" s="44"/>
    </row>
    <row r="695" spans="1:113" s="24" customFormat="1" ht="12" outlineLevel="1">
      <c r="A695" s="1"/>
      <c r="B695" s="24" t="s">
        <v>355</v>
      </c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  <c r="AA695" s="55"/>
      <c r="AB695" s="55"/>
      <c r="AC695" s="55"/>
      <c r="AD695" s="55"/>
      <c r="AE695" s="55"/>
      <c r="AF695" s="42"/>
      <c r="AG695" s="42"/>
      <c r="AH695" s="42"/>
      <c r="AI695" s="42"/>
      <c r="AJ695" s="55"/>
      <c r="AK695" s="42"/>
      <c r="AL695" s="55"/>
      <c r="AM695" s="55"/>
      <c r="AN695" s="55"/>
      <c r="AO695" s="55"/>
      <c r="AP695" s="526"/>
      <c r="AQ695" s="526"/>
      <c r="AR695" s="526"/>
      <c r="AS695" s="526"/>
      <c r="AT695" s="526"/>
      <c r="AU695" s="526"/>
      <c r="AV695" s="526"/>
      <c r="AW695" s="524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5"/>
      <c r="BT695" s="55"/>
      <c r="BU695" s="55"/>
      <c r="BV695" s="55"/>
      <c r="BW695" s="55"/>
      <c r="BX695" s="55"/>
      <c r="BY695" s="55"/>
      <c r="BZ695" s="55"/>
      <c r="CA695" s="55"/>
      <c r="CB695" s="55"/>
      <c r="CC695" s="55"/>
      <c r="CD695" s="55"/>
      <c r="CE695" s="55"/>
      <c r="CF695" s="55"/>
      <c r="CG695" s="55"/>
      <c r="CH695" s="55"/>
      <c r="CI695" s="55"/>
      <c r="CJ695" s="55"/>
      <c r="CK695" s="55"/>
      <c r="CL695" s="55"/>
      <c r="CM695" s="55"/>
      <c r="CN695" s="55"/>
      <c r="CO695" s="55"/>
      <c r="CP695" s="55"/>
      <c r="CQ695" s="55"/>
      <c r="CR695" s="55"/>
      <c r="CS695" s="55"/>
      <c r="CT695" s="55"/>
      <c r="CU695" s="55"/>
      <c r="CV695" s="526"/>
      <c r="CW695" s="526"/>
      <c r="CX695" s="526"/>
      <c r="CY695" s="524"/>
      <c r="CZ695" s="526"/>
      <c r="DA695" s="526"/>
      <c r="DB695" s="526"/>
      <c r="DC695" s="541"/>
      <c r="DD695" s="541"/>
      <c r="DE695" s="541"/>
      <c r="DF695" s="541"/>
      <c r="DG695" s="541"/>
      <c r="DH695" s="541"/>
      <c r="DI695" s="541"/>
    </row>
    <row r="696" spans="1:113" ht="12" outlineLevel="1">
      <c r="A696" s="1" t="s">
        <v>1051</v>
      </c>
      <c r="B696" s="19" t="s">
        <v>356</v>
      </c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4">
        <v>-8</v>
      </c>
      <c r="AQ696" s="44">
        <v>35</v>
      </c>
      <c r="AR696" s="44">
        <v>59</v>
      </c>
      <c r="AS696" s="44">
        <v>102.58563535911526</v>
      </c>
      <c r="AT696" s="44">
        <v>99</v>
      </c>
      <c r="AU696" s="44">
        <v>110</v>
      </c>
      <c r="AV696" s="44">
        <v>108</v>
      </c>
      <c r="AW696" s="45">
        <v>103</v>
      </c>
      <c r="AX696" s="44">
        <v>103.42782832152784</v>
      </c>
      <c r="AY696" s="44">
        <v>111.16784136758558</v>
      </c>
      <c r="AZ696" s="44">
        <v>121.14178567896123</v>
      </c>
      <c r="BA696" s="44">
        <v>131.10664573608238</v>
      </c>
      <c r="BB696" s="44">
        <v>139.43205948481162</v>
      </c>
      <c r="BC696" s="44">
        <v>145.94203808307043</v>
      </c>
      <c r="BD696" s="44">
        <v>152.75617992920104</v>
      </c>
      <c r="BE696" s="44">
        <v>159.88870577102932</v>
      </c>
      <c r="BF696" s="44">
        <v>166.12797876700887</v>
      </c>
      <c r="BG696" s="44">
        <v>171.39343565265497</v>
      </c>
      <c r="BH696" s="44">
        <v>175.95570134779771</v>
      </c>
      <c r="BI696" s="44">
        <v>179.77361748686073</v>
      </c>
      <c r="BJ696" s="44">
        <v>183.67464452369344</v>
      </c>
      <c r="BK696" s="44">
        <v>187.66059663144969</v>
      </c>
      <c r="BL696" s="44">
        <v>191.73332767482302</v>
      </c>
      <c r="BM696" s="44">
        <v>195.89473208011185</v>
      </c>
      <c r="BN696" s="44">
        <v>200.1467457243869</v>
      </c>
      <c r="BO696" s="44">
        <v>204.49134684418212</v>
      </c>
      <c r="BP696" s="44">
        <v>208.93055696413708</v>
      </c>
      <c r="BQ696" s="44">
        <v>213.46644184603107</v>
      </c>
      <c r="BR696" s="44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4">
        <v>12</v>
      </c>
      <c r="CW696" s="44">
        <v>87</v>
      </c>
      <c r="CX696" s="44">
        <v>104.54520547945205</v>
      </c>
      <c r="CY696" s="45">
        <v>105.48633879781421</v>
      </c>
      <c r="CZ696" s="42">
        <v>107.32964311734874</v>
      </c>
      <c r="DA696" s="42">
        <v>126.16516718720861</v>
      </c>
      <c r="DB696" s="42">
        <v>142.71380212064616</v>
      </c>
      <c r="DC696" s="42">
        <v>156.34193062563929</v>
      </c>
      <c r="DD696" s="42">
        <v>168.78234607374552</v>
      </c>
      <c r="DE696" s="42">
        <v>177.88034948365416</v>
      </c>
      <c r="DF696" s="42">
        <v>185.68400120267194</v>
      </c>
      <c r="DG696" s="42">
        <v>193.82539983485896</v>
      </c>
      <c r="DH696" s="42">
        <v>202.33690080943435</v>
      </c>
      <c r="DI696" s="42">
        <v>211.21714002788639</v>
      </c>
    </row>
    <row r="697" spans="1:113" ht="12" outlineLevel="1">
      <c r="A697" s="1" t="s">
        <v>1052</v>
      </c>
      <c r="B697" s="19" t="s">
        <v>493</v>
      </c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525">
        <v>3037</v>
      </c>
      <c r="AQ697" s="525">
        <v>4984</v>
      </c>
      <c r="AR697" s="525">
        <v>7748</v>
      </c>
      <c r="AS697" s="525">
        <v>8792.5856353591153</v>
      </c>
      <c r="AT697" s="525">
        <v>10102</v>
      </c>
      <c r="AU697" s="525">
        <v>11243</v>
      </c>
      <c r="AV697" s="525">
        <v>12968</v>
      </c>
      <c r="AW697" s="523">
        <v>13562</v>
      </c>
      <c r="AX697" s="44">
        <v>13618.332113558841</v>
      </c>
      <c r="AY697" s="44">
        <v>14637.458879875687</v>
      </c>
      <c r="AZ697" s="44">
        <v>15950.727159010412</v>
      </c>
      <c r="BA697" s="44">
        <v>17262.799315269414</v>
      </c>
      <c r="BB697" s="44">
        <v>18359.005735271996</v>
      </c>
      <c r="BC697" s="44">
        <v>19216.173985267978</v>
      </c>
      <c r="BD697" s="44">
        <v>20113.391380580826</v>
      </c>
      <c r="BE697" s="44">
        <v>21052.530365696119</v>
      </c>
      <c r="BF697" s="44">
        <v>21874.054835322087</v>
      </c>
      <c r="BG697" s="44">
        <v>22567.357032245705</v>
      </c>
      <c r="BH697" s="44">
        <v>23168.070113386733</v>
      </c>
      <c r="BI697" s="44">
        <v>23670.774760745695</v>
      </c>
      <c r="BJ697" s="44">
        <v>24184.422611944967</v>
      </c>
      <c r="BK697" s="44">
        <v>24709.252538987592</v>
      </c>
      <c r="BL697" s="44">
        <v>25245.508640057775</v>
      </c>
      <c r="BM697" s="44">
        <v>25793.440354082311</v>
      </c>
      <c r="BN697" s="44">
        <v>26353.302577807146</v>
      </c>
      <c r="BO697" s="44">
        <v>26925.355785444648</v>
      </c>
      <c r="BP697" s="44">
        <v>27509.866150947844</v>
      </c>
      <c r="BQ697" s="44">
        <v>28107.10567296965</v>
      </c>
      <c r="BR697" s="44"/>
      <c r="BS697" s="40"/>
      <c r="BT697" s="40"/>
      <c r="BU697" s="40"/>
      <c r="BV697" s="40"/>
      <c r="BW697" s="40"/>
      <c r="BX697" s="40"/>
      <c r="BY697" s="40"/>
      <c r="BZ697" s="40"/>
      <c r="CA697" s="40"/>
      <c r="CB697" s="40"/>
      <c r="CC697" s="42"/>
      <c r="CD697" s="42"/>
      <c r="CE697" s="42"/>
      <c r="CF697" s="42"/>
      <c r="CG697" s="113"/>
      <c r="CH697" s="113"/>
      <c r="CI697" s="113"/>
      <c r="CJ697" s="113"/>
      <c r="CK697" s="113"/>
      <c r="CL697" s="113"/>
      <c r="CM697" s="113"/>
      <c r="CN697" s="113"/>
      <c r="CO697" s="113"/>
      <c r="CP697" s="113"/>
      <c r="CQ697" s="113"/>
      <c r="CR697" s="113"/>
      <c r="CS697" s="113"/>
      <c r="CT697" s="113"/>
      <c r="CU697" s="113"/>
      <c r="CV697" s="525">
        <v>4046</v>
      </c>
      <c r="CW697" s="525">
        <v>8266</v>
      </c>
      <c r="CX697" s="525">
        <v>10659</v>
      </c>
      <c r="CY697" s="523">
        <v>13235</v>
      </c>
      <c r="CZ697" s="42">
        <v>14132.083688907605</v>
      </c>
      <c r="DA697" s="42">
        <v>16612.155314494401</v>
      </c>
      <c r="DB697" s="42">
        <v>18791.112469516545</v>
      </c>
      <c r="DC697" s="42">
        <v>20585.526826649715</v>
      </c>
      <c r="DD697" s="42">
        <v>22223.55512089454</v>
      </c>
      <c r="DE697" s="42">
        <v>23421.488346575909</v>
      </c>
      <c r="DF697" s="42">
        <v>24448.994410782892</v>
      </c>
      <c r="DG697" s="42">
        <v>25520.971578255903</v>
      </c>
      <c r="DH697" s="42">
        <v>26641.680085218926</v>
      </c>
      <c r="DI697" s="42">
        <v>27810.940320953359</v>
      </c>
    </row>
    <row r="698" spans="1:113" ht="12" outlineLevel="1">
      <c r="A698" s="1" t="s">
        <v>941</v>
      </c>
      <c r="B698" s="19" t="s">
        <v>265</v>
      </c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4">
        <v>3026.1</v>
      </c>
      <c r="AQ698" s="44">
        <v>4970.5</v>
      </c>
      <c r="AR698" s="44">
        <v>7731.3</v>
      </c>
      <c r="AS698" s="44">
        <v>8772.035635359116</v>
      </c>
      <c r="AT698" s="44">
        <v>10074.6</v>
      </c>
      <c r="AU698" s="44">
        <v>11208.35</v>
      </c>
      <c r="AV698" s="44">
        <v>12926.35</v>
      </c>
      <c r="AW698" s="45">
        <v>13515.35</v>
      </c>
      <c r="AX698" s="44">
        <v>13570.032113558842</v>
      </c>
      <c r="AY698" s="44">
        <v>14589.158879875687</v>
      </c>
      <c r="AZ698" s="44">
        <v>15902.427159010413</v>
      </c>
      <c r="BA698" s="44">
        <v>17214.499315269415</v>
      </c>
      <c r="BB698" s="44">
        <v>18310.705735271997</v>
      </c>
      <c r="BC698" s="44">
        <v>19167.873985267979</v>
      </c>
      <c r="BD698" s="44">
        <v>20065.091380580827</v>
      </c>
      <c r="BE698" s="44">
        <v>21004.230365696119</v>
      </c>
      <c r="BF698" s="44">
        <v>21825.754835322088</v>
      </c>
      <c r="BG698" s="44">
        <v>22519.057032245706</v>
      </c>
      <c r="BH698" s="44">
        <v>23119.770113386734</v>
      </c>
      <c r="BI698" s="44">
        <v>23622.474760745696</v>
      </c>
      <c r="BJ698" s="44">
        <v>24136.122611944968</v>
      </c>
      <c r="BK698" s="44">
        <v>24660.952538987593</v>
      </c>
      <c r="BL698" s="44">
        <v>25197.208640057775</v>
      </c>
      <c r="BM698" s="44">
        <v>25745.140354082312</v>
      </c>
      <c r="BN698" s="44">
        <v>26305.002577807147</v>
      </c>
      <c r="BO698" s="44">
        <v>26877.055785444649</v>
      </c>
      <c r="BP698" s="44">
        <v>27461.566150947845</v>
      </c>
      <c r="BQ698" s="44">
        <v>28058.805672969651</v>
      </c>
      <c r="BR698" s="44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4">
        <v>4029.9</v>
      </c>
      <c r="CW698" s="44">
        <v>8246.0499999999993</v>
      </c>
      <c r="CX698" s="44">
        <v>10620.7</v>
      </c>
      <c r="CY698" s="45">
        <v>13186.7</v>
      </c>
      <c r="CZ698" s="42">
        <v>14083.783688907606</v>
      </c>
      <c r="DA698" s="42">
        <v>16563.855314494402</v>
      </c>
      <c r="DB698" s="42">
        <v>18742.812469516546</v>
      </c>
      <c r="DC698" s="42">
        <v>20537.226826649716</v>
      </c>
      <c r="DD698" s="42">
        <v>22175.255120894541</v>
      </c>
      <c r="DE698" s="42">
        <v>23373.188346575909</v>
      </c>
      <c r="DF698" s="42">
        <v>24400.694410782893</v>
      </c>
      <c r="DG698" s="42">
        <v>25472.671578255904</v>
      </c>
      <c r="DH698" s="42">
        <v>26593.380085218927</v>
      </c>
      <c r="DI698" s="42">
        <v>27762.64032095336</v>
      </c>
    </row>
    <row r="699" spans="1:113" ht="12" outlineLevel="1">
      <c r="A699" s="1" t="s">
        <v>942</v>
      </c>
      <c r="B699" s="19" t="s">
        <v>266</v>
      </c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4">
        <v>-56.641304347826008</v>
      </c>
      <c r="AQ699" s="44">
        <v>15</v>
      </c>
      <c r="AR699" s="44">
        <v>24</v>
      </c>
      <c r="AS699" s="44">
        <v>70.38121546961338</v>
      </c>
      <c r="AT699" s="44">
        <v>102</v>
      </c>
      <c r="AU699" s="44">
        <v>170</v>
      </c>
      <c r="AV699" s="44">
        <v>208</v>
      </c>
      <c r="AW699" s="45">
        <v>231</v>
      </c>
      <c r="AX699" s="44">
        <v>232.07924785316936</v>
      </c>
      <c r="AY699" s="44">
        <v>226.89209913999366</v>
      </c>
      <c r="AZ699" s="44">
        <v>229.38875266453942</v>
      </c>
      <c r="BA699" s="44">
        <v>232.23323193438955</v>
      </c>
      <c r="BB699" s="44">
        <v>231.29321929709113</v>
      </c>
      <c r="BC699" s="44">
        <v>211.02513337432902</v>
      </c>
      <c r="BD699" s="44">
        <v>212.42688545655619</v>
      </c>
      <c r="BE699" s="44">
        <v>214.09411203105628</v>
      </c>
      <c r="BF699" s="44">
        <v>214.27532698001232</v>
      </c>
      <c r="BG699" s="44">
        <v>214.69657037336219</v>
      </c>
      <c r="BH699" s="44">
        <v>214.21271701107253</v>
      </c>
      <c r="BI699" s="44">
        <v>214.48731033203512</v>
      </c>
      <c r="BJ699" s="44">
        <v>213.66207872153973</v>
      </c>
      <c r="BK699" s="44">
        <v>214.07029784861152</v>
      </c>
      <c r="BL699" s="44">
        <v>213.36602123076227</v>
      </c>
      <c r="BM699" s="44">
        <v>214.2258187468542</v>
      </c>
      <c r="BN699" s="44">
        <v>214.20411065746885</v>
      </c>
      <c r="BO699" s="44">
        <v>215.448140213226</v>
      </c>
      <c r="BP699" s="44">
        <v>215.02221310856476</v>
      </c>
      <c r="BQ699" s="44">
        <v>216.38395453090561</v>
      </c>
      <c r="BR699" s="44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4">
        <v>13</v>
      </c>
      <c r="CW699" s="44">
        <v>47</v>
      </c>
      <c r="CX699" s="44">
        <v>134</v>
      </c>
      <c r="CY699" s="45">
        <v>220</v>
      </c>
      <c r="CZ699" s="42">
        <v>237.55299987063336</v>
      </c>
      <c r="DA699" s="42">
        <v>241.00763147486941</v>
      </c>
      <c r="DB699" s="42">
        <v>227.69913733447902</v>
      </c>
      <c r="DC699" s="42">
        <v>218.07859023545461</v>
      </c>
      <c r="DD699" s="42">
        <v>219.67270872557128</v>
      </c>
      <c r="DE699" s="42">
        <v>217.94037223966006</v>
      </c>
      <c r="DF699" s="42">
        <v>217.61424111007</v>
      </c>
      <c r="DG699" s="42">
        <v>216.39195426951483</v>
      </c>
      <c r="DH699" s="42">
        <v>218.90163615168058</v>
      </c>
      <c r="DI699" s="42">
        <v>219.95644206799989</v>
      </c>
    </row>
    <row r="700" spans="1:113" ht="12" outlineLevel="1">
      <c r="A700" s="1" t="s">
        <v>943</v>
      </c>
      <c r="B700" s="19" t="s">
        <v>371</v>
      </c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525">
        <v>2447</v>
      </c>
      <c r="AQ700" s="525">
        <v>4038</v>
      </c>
      <c r="AR700" s="525">
        <v>6569</v>
      </c>
      <c r="AS700" s="525">
        <v>7399.8287292817677</v>
      </c>
      <c r="AT700" s="525">
        <v>8683</v>
      </c>
      <c r="AU700" s="525">
        <v>9775</v>
      </c>
      <c r="AV700" s="525">
        <v>11456</v>
      </c>
      <c r="AW700" s="523">
        <v>11999</v>
      </c>
      <c r="AX700" s="44">
        <v>12033.569691820641</v>
      </c>
      <c r="AY700" s="44">
        <v>13012.500826306852</v>
      </c>
      <c r="AZ700" s="44">
        <v>14267.721438990609</v>
      </c>
      <c r="BA700" s="44">
        <v>15509.734778299531</v>
      </c>
      <c r="BB700" s="44">
        <v>16522.165713303111</v>
      </c>
      <c r="BC700" s="44">
        <v>17307.72692519227</v>
      </c>
      <c r="BD700" s="44">
        <v>18151.376927554928</v>
      </c>
      <c r="BE700" s="44">
        <v>19033.921283814161</v>
      </c>
      <c r="BF700" s="44">
        <v>19795.231527262484</v>
      </c>
      <c r="BG700" s="44">
        <v>20426.497954906816</v>
      </c>
      <c r="BH700" s="44">
        <v>20963.223339004107</v>
      </c>
      <c r="BI700" s="44">
        <v>21400.187594783729</v>
      </c>
      <c r="BJ700" s="44">
        <v>21846.670243137494</v>
      </c>
      <c r="BK700" s="44">
        <v>22302.887446408298</v>
      </c>
      <c r="BL700" s="44">
        <v>22769.065286130332</v>
      </c>
      <c r="BM700" s="44">
        <v>23244.569458258862</v>
      </c>
      <c r="BN700" s="44">
        <v>23730.199829813359</v>
      </c>
      <c r="BO700" s="44">
        <v>24226.67564841198</v>
      </c>
      <c r="BP700" s="44">
        <v>24733.820957189866</v>
      </c>
      <c r="BQ700" s="44">
        <v>25251.993748106441</v>
      </c>
      <c r="BR700" s="44"/>
      <c r="BS700" s="40"/>
      <c r="BT700" s="40"/>
      <c r="BU700" s="40"/>
      <c r="BV700" s="40"/>
      <c r="BW700" s="40"/>
      <c r="BX700" s="40"/>
      <c r="BY700" s="40"/>
      <c r="BZ700" s="40"/>
      <c r="CA700" s="40"/>
      <c r="CB700" s="40"/>
      <c r="CC700" s="42"/>
      <c r="CD700" s="42"/>
      <c r="CE700" s="42"/>
      <c r="CF700" s="42"/>
      <c r="CG700" s="113"/>
      <c r="CH700" s="113"/>
      <c r="CI700" s="113"/>
      <c r="CJ700" s="113"/>
      <c r="CK700" s="113"/>
      <c r="CL700" s="113"/>
      <c r="CM700" s="113"/>
      <c r="CN700" s="113"/>
      <c r="CO700" s="113"/>
      <c r="CP700" s="113"/>
      <c r="CQ700" s="42"/>
      <c r="CR700" s="42"/>
      <c r="CS700" s="42"/>
      <c r="CT700" s="42"/>
      <c r="CU700" s="113"/>
      <c r="CV700" s="525">
        <v>3272</v>
      </c>
      <c r="CW700" s="525">
        <v>6981</v>
      </c>
      <c r="CX700" s="525">
        <v>9215</v>
      </c>
      <c r="CY700" s="523">
        <v>11699</v>
      </c>
      <c r="CZ700" s="42">
        <v>12527.05826372602</v>
      </c>
      <c r="DA700" s="42">
        <v>14893.832273053191</v>
      </c>
      <c r="DB700" s="42">
        <v>16918.174652995178</v>
      </c>
      <c r="DC700" s="42">
        <v>18595.060429062301</v>
      </c>
      <c r="DD700" s="42">
        <v>20113.45898667771</v>
      </c>
      <c r="DE700" s="42">
        <v>21183.501210410821</v>
      </c>
      <c r="DF700" s="42">
        <v>22076.653709991817</v>
      </c>
      <c r="DG700" s="42">
        <v>23008.116563921722</v>
      </c>
      <c r="DH700" s="42">
        <v>23980.478050695951</v>
      </c>
      <c r="DI700" s="42">
        <v>24995.0368298711</v>
      </c>
    </row>
    <row r="701" spans="1:113" ht="12" outlineLevel="1">
      <c r="A701" s="1" t="s">
        <v>944</v>
      </c>
      <c r="B701" s="19" t="s">
        <v>372</v>
      </c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525">
        <v>590</v>
      </c>
      <c r="AQ701" s="525">
        <v>946</v>
      </c>
      <c r="AR701" s="525">
        <v>1179</v>
      </c>
      <c r="AS701" s="525">
        <v>1392.756906077348</v>
      </c>
      <c r="AT701" s="525">
        <v>1419</v>
      </c>
      <c r="AU701" s="525">
        <v>1468</v>
      </c>
      <c r="AV701" s="525">
        <v>1512</v>
      </c>
      <c r="AW701" s="523">
        <v>1563</v>
      </c>
      <c r="AX701" s="44">
        <v>1584.7624217381999</v>
      </c>
      <c r="AY701" s="44">
        <v>1624.9580535688337</v>
      </c>
      <c r="AZ701" s="44">
        <v>1683.0057200198019</v>
      </c>
      <c r="BA701" s="44">
        <v>1753.0645369698841</v>
      </c>
      <c r="BB701" s="44">
        <v>1836.840021968886</v>
      </c>
      <c r="BC701" s="44">
        <v>1908.4470600757081</v>
      </c>
      <c r="BD701" s="44">
        <v>1962.0144530258985</v>
      </c>
      <c r="BE701" s="44">
        <v>2018.6090818819591</v>
      </c>
      <c r="BF701" s="44">
        <v>2078.8233080596019</v>
      </c>
      <c r="BG701" s="44">
        <v>2140.8590773388883</v>
      </c>
      <c r="BH701" s="44">
        <v>2204.8467743826259</v>
      </c>
      <c r="BI701" s="44">
        <v>2270.587165961967</v>
      </c>
      <c r="BJ701" s="44">
        <v>2337.7523688074721</v>
      </c>
      <c r="BK701" s="44">
        <v>2406.3650925792927</v>
      </c>
      <c r="BL701" s="44">
        <v>2476.4433539274414</v>
      </c>
      <c r="BM701" s="44">
        <v>2548.8708958234479</v>
      </c>
      <c r="BN701" s="44">
        <v>2623.102747993787</v>
      </c>
      <c r="BO701" s="44">
        <v>2698.680137032668</v>
      </c>
      <c r="BP701" s="44">
        <v>2776.0451937579783</v>
      </c>
      <c r="BQ701" s="44">
        <v>2855.1119248632103</v>
      </c>
      <c r="BR701" s="44"/>
      <c r="BS701" s="40"/>
      <c r="BT701" s="40"/>
      <c r="BU701" s="40"/>
      <c r="BV701" s="40"/>
      <c r="BW701" s="40"/>
      <c r="BX701" s="40"/>
      <c r="BY701" s="40"/>
      <c r="BZ701" s="40"/>
      <c r="CA701" s="40"/>
      <c r="CB701" s="40"/>
      <c r="CC701" s="42"/>
      <c r="CD701" s="42"/>
      <c r="CE701" s="42"/>
      <c r="CF701" s="42"/>
      <c r="CG701" s="113"/>
      <c r="CH701" s="113"/>
      <c r="CI701" s="113"/>
      <c r="CJ701" s="113"/>
      <c r="CK701" s="113"/>
      <c r="CL701" s="113"/>
      <c r="CM701" s="113"/>
      <c r="CN701" s="113"/>
      <c r="CO701" s="113"/>
      <c r="CP701" s="113"/>
      <c r="CQ701" s="113"/>
      <c r="CR701" s="113"/>
      <c r="CS701" s="113"/>
      <c r="CT701" s="113"/>
      <c r="CU701" s="113"/>
      <c r="CV701" s="525">
        <v>774</v>
      </c>
      <c r="CW701" s="525">
        <v>1285</v>
      </c>
      <c r="CX701" s="525">
        <v>1444</v>
      </c>
      <c r="CY701" s="523">
        <v>1536</v>
      </c>
      <c r="CZ701" s="42">
        <v>1605.0254251815879</v>
      </c>
      <c r="DA701" s="42">
        <v>1718.3230414412133</v>
      </c>
      <c r="DB701" s="42">
        <v>1872.9378165213661</v>
      </c>
      <c r="DC701" s="42">
        <v>1990.4663975874155</v>
      </c>
      <c r="DD701" s="42">
        <v>2110.0961342168307</v>
      </c>
      <c r="DE701" s="42">
        <v>2237.9871361650885</v>
      </c>
      <c r="DF701" s="42">
        <v>2372.3407007910746</v>
      </c>
      <c r="DG701" s="42">
        <v>2512.8550143341768</v>
      </c>
      <c r="DH701" s="42">
        <v>2661.2020345229762</v>
      </c>
      <c r="DI701" s="42">
        <v>2815.9034910822597</v>
      </c>
    </row>
    <row r="702" spans="1:113" ht="12" outlineLevel="1">
      <c r="A702" s="1" t="s">
        <v>945</v>
      </c>
      <c r="B702" s="19" t="s">
        <v>301</v>
      </c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4">
        <v>579.1</v>
      </c>
      <c r="AQ702" s="44">
        <v>932.5</v>
      </c>
      <c r="AR702" s="44">
        <v>1162.3</v>
      </c>
      <c r="AS702" s="44">
        <v>1372.2069060773481</v>
      </c>
      <c r="AT702" s="44">
        <v>1391.6</v>
      </c>
      <c r="AU702" s="44">
        <v>1433.35</v>
      </c>
      <c r="AV702" s="44">
        <v>1470.35</v>
      </c>
      <c r="AW702" s="45">
        <v>1516.35</v>
      </c>
      <c r="AX702" s="44">
        <v>1536.4624217382</v>
      </c>
      <c r="AY702" s="44">
        <v>1576.6580535688338</v>
      </c>
      <c r="AZ702" s="44">
        <v>1634.7057200198019</v>
      </c>
      <c r="BA702" s="44">
        <v>1704.7645369698841</v>
      </c>
      <c r="BB702" s="44">
        <v>1788.5400219688861</v>
      </c>
      <c r="BC702" s="44">
        <v>1860.1470600757082</v>
      </c>
      <c r="BD702" s="44">
        <v>1913.7144530258986</v>
      </c>
      <c r="BE702" s="44">
        <v>1970.3090818819592</v>
      </c>
      <c r="BF702" s="44">
        <v>2030.523308059602</v>
      </c>
      <c r="BG702" s="44">
        <v>2092.5590773388881</v>
      </c>
      <c r="BH702" s="44">
        <v>2156.5467743826257</v>
      </c>
      <c r="BI702" s="44">
        <v>2222.2871659619668</v>
      </c>
      <c r="BJ702" s="44">
        <v>2289.4523688074719</v>
      </c>
      <c r="BK702" s="44">
        <v>2358.0650925792925</v>
      </c>
      <c r="BL702" s="44">
        <v>2428.1433539274412</v>
      </c>
      <c r="BM702" s="44">
        <v>2500.5708958234477</v>
      </c>
      <c r="BN702" s="44">
        <v>2574.8027479937869</v>
      </c>
      <c r="BO702" s="44">
        <v>2650.3801370326678</v>
      </c>
      <c r="BP702" s="44">
        <v>2727.7451937579781</v>
      </c>
      <c r="BQ702" s="44">
        <v>2806.8119248632102</v>
      </c>
      <c r="BR702" s="44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4">
        <v>757.9</v>
      </c>
      <c r="CW702" s="44">
        <v>1265.05</v>
      </c>
      <c r="CX702" s="44">
        <v>1405.7</v>
      </c>
      <c r="CY702" s="45">
        <v>1487.7</v>
      </c>
      <c r="CZ702" s="42">
        <v>1556.725425181588</v>
      </c>
      <c r="DA702" s="42">
        <v>1670.0230414412133</v>
      </c>
      <c r="DB702" s="42">
        <v>1824.6378165213662</v>
      </c>
      <c r="DC702" s="42">
        <v>1942.1663975874155</v>
      </c>
      <c r="DD702" s="42">
        <v>2061.7961342168305</v>
      </c>
      <c r="DE702" s="42">
        <v>2189.6871361650883</v>
      </c>
      <c r="DF702" s="42">
        <v>2324.0407007910744</v>
      </c>
      <c r="DG702" s="42">
        <v>2464.5550143341766</v>
      </c>
      <c r="DH702" s="42">
        <v>2612.902034522976</v>
      </c>
      <c r="DI702" s="42">
        <v>2767.6034910822596</v>
      </c>
    </row>
    <row r="703" spans="1:113" ht="12" outlineLevel="1">
      <c r="A703" s="1" t="s">
        <v>946</v>
      </c>
      <c r="B703" s="19" t="s">
        <v>720</v>
      </c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4">
        <v>3091</v>
      </c>
      <c r="AQ703" s="44">
        <v>3592.5</v>
      </c>
      <c r="AR703" s="44">
        <v>4807</v>
      </c>
      <c r="AS703" s="44">
        <v>5915.5</v>
      </c>
      <c r="AT703" s="44">
        <v>7022.5</v>
      </c>
      <c r="AU703" s="44">
        <v>7956.5</v>
      </c>
      <c r="AV703" s="44">
        <v>8386</v>
      </c>
      <c r="AW703" s="45">
        <v>9102</v>
      </c>
      <c r="AX703" s="44">
        <v>10078.217590022545</v>
      </c>
      <c r="AY703" s="44">
        <v>11058.095596783944</v>
      </c>
      <c r="AZ703" s="44">
        <v>12050.224510284203</v>
      </c>
      <c r="BA703" s="44">
        <v>13041.44979418496</v>
      </c>
      <c r="BB703" s="44">
        <v>13869.595955733719</v>
      </c>
      <c r="BC703" s="44">
        <v>14517.157020039442</v>
      </c>
      <c r="BD703" s="44">
        <v>15194.97383304566</v>
      </c>
      <c r="BE703" s="44">
        <v>15904.46096201376</v>
      </c>
      <c r="BF703" s="44">
        <v>16525.094378973241</v>
      </c>
      <c r="BG703" s="44">
        <v>17048.860289023527</v>
      </c>
      <c r="BH703" s="44">
        <v>17502.678313860401</v>
      </c>
      <c r="BI703" s="44">
        <v>17882.45434555164</v>
      </c>
      <c r="BJ703" s="44">
        <v>18270.497590506777</v>
      </c>
      <c r="BK703" s="44">
        <v>18666.988508289611</v>
      </c>
      <c r="BL703" s="44">
        <v>19072.111506663707</v>
      </c>
      <c r="BM703" s="44">
        <v>19486.055028139504</v>
      </c>
      <c r="BN703" s="44">
        <v>19909.011638421704</v>
      </c>
      <c r="BO703" s="44">
        <v>20341.17811679859</v>
      </c>
      <c r="BP703" s="44">
        <v>20782.755548516056</v>
      </c>
      <c r="BQ703" s="44">
        <v>21233.949419179946</v>
      </c>
      <c r="BR703" s="44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525">
        <v>3087.7191219442866</v>
      </c>
      <c r="CW703" s="525">
        <v>4977.7339133289561</v>
      </c>
      <c r="CX703" s="525">
        <v>7493.3383561643832</v>
      </c>
      <c r="CY703" s="523">
        <v>8745.956284153006</v>
      </c>
      <c r="CZ703" s="42">
        <v>10572.183489321442</v>
      </c>
      <c r="DA703" s="42">
        <v>12549.910680798557</v>
      </c>
      <c r="DB703" s="42">
        <v>14196.03769773989</v>
      </c>
      <c r="DC703" s="42">
        <v>15551.655886953122</v>
      </c>
      <c r="DD703" s="42">
        <v>16789.129796642424</v>
      </c>
      <c r="DE703" s="42">
        <v>17694.127053123928</v>
      </c>
      <c r="DF703" s="42">
        <v>18470.37246412881</v>
      </c>
      <c r="DG703" s="42">
        <v>19280.214260629684</v>
      </c>
      <c r="DH703" s="42">
        <v>20126.870904233616</v>
      </c>
      <c r="DI703" s="42">
        <v>21010.20670523429</v>
      </c>
    </row>
    <row r="704" spans="1:113" ht="12" outlineLevel="1">
      <c r="A704" s="1" t="s">
        <v>2225</v>
      </c>
      <c r="B704" s="19" t="s">
        <v>2226</v>
      </c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525">
        <v>0</v>
      </c>
      <c r="AQ704" s="525">
        <v>0</v>
      </c>
      <c r="AR704" s="525">
        <v>0</v>
      </c>
      <c r="AS704" s="525">
        <v>0</v>
      </c>
      <c r="AT704" s="525">
        <v>0</v>
      </c>
      <c r="AU704" s="525">
        <v>0</v>
      </c>
      <c r="AV704" s="525">
        <v>0</v>
      </c>
      <c r="AW704" s="523">
        <v>0</v>
      </c>
      <c r="AX704" s="44">
        <v>0</v>
      </c>
      <c r="AY704" s="44">
        <v>0</v>
      </c>
      <c r="AZ704" s="44">
        <v>0</v>
      </c>
      <c r="BA704" s="44">
        <v>0</v>
      </c>
      <c r="BB704" s="44">
        <v>0</v>
      </c>
      <c r="BC704" s="44">
        <v>0</v>
      </c>
      <c r="BD704" s="44">
        <v>0</v>
      </c>
      <c r="BE704" s="44">
        <v>0</v>
      </c>
      <c r="BF704" s="44">
        <v>0</v>
      </c>
      <c r="BG704" s="44">
        <v>0</v>
      </c>
      <c r="BH704" s="44">
        <v>0</v>
      </c>
      <c r="BI704" s="44">
        <v>0</v>
      </c>
      <c r="BJ704" s="44">
        <v>0</v>
      </c>
      <c r="BK704" s="44">
        <v>0</v>
      </c>
      <c r="BL704" s="44">
        <v>0</v>
      </c>
      <c r="BM704" s="44">
        <v>0</v>
      </c>
      <c r="BN704" s="44">
        <v>0</v>
      </c>
      <c r="BO704" s="44">
        <v>0</v>
      </c>
      <c r="BP704" s="44">
        <v>0</v>
      </c>
      <c r="BQ704" s="44">
        <v>0</v>
      </c>
      <c r="BR704" s="44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113"/>
      <c r="CV704" s="525">
        <v>0</v>
      </c>
      <c r="CW704" s="525">
        <v>0</v>
      </c>
      <c r="CX704" s="525">
        <v>0</v>
      </c>
      <c r="CY704" s="45">
        <v>0</v>
      </c>
      <c r="CZ704" s="42">
        <v>0</v>
      </c>
      <c r="DA704" s="42">
        <v>0</v>
      </c>
      <c r="DB704" s="42">
        <v>0</v>
      </c>
      <c r="DC704" s="42">
        <v>0</v>
      </c>
      <c r="DD704" s="42">
        <v>0</v>
      </c>
      <c r="DE704" s="42">
        <v>0</v>
      </c>
      <c r="DF704" s="42">
        <v>0</v>
      </c>
      <c r="DG704" s="42">
        <v>0</v>
      </c>
      <c r="DH704" s="42">
        <v>0</v>
      </c>
      <c r="DI704" s="42">
        <v>0</v>
      </c>
    </row>
    <row r="705" spans="1:113" ht="12" outlineLevel="1">
      <c r="A705" s="1" t="s">
        <v>2227</v>
      </c>
      <c r="B705" s="19" t="s">
        <v>2228</v>
      </c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525">
        <v>0</v>
      </c>
      <c r="AQ705" s="525">
        <v>0</v>
      </c>
      <c r="AR705" s="525">
        <v>0</v>
      </c>
      <c r="AS705" s="525">
        <v>0</v>
      </c>
      <c r="AT705" s="525">
        <v>0</v>
      </c>
      <c r="AU705" s="525">
        <v>0</v>
      </c>
      <c r="AV705" s="525">
        <v>0</v>
      </c>
      <c r="AW705" s="523">
        <v>0</v>
      </c>
      <c r="AX705" s="46">
        <v>0</v>
      </c>
      <c r="AY705" s="46">
        <v>0</v>
      </c>
      <c r="AZ705" s="46">
        <v>0</v>
      </c>
      <c r="BA705" s="46">
        <v>0</v>
      </c>
      <c r="BB705" s="46">
        <v>0</v>
      </c>
      <c r="BC705" s="46">
        <v>0</v>
      </c>
      <c r="BD705" s="46">
        <v>0</v>
      </c>
      <c r="BE705" s="46">
        <v>0</v>
      </c>
      <c r="BF705" s="46">
        <v>0</v>
      </c>
      <c r="BG705" s="46">
        <v>0</v>
      </c>
      <c r="BH705" s="46">
        <v>0</v>
      </c>
      <c r="BI705" s="46">
        <v>0</v>
      </c>
      <c r="BJ705" s="46">
        <v>0</v>
      </c>
      <c r="BK705" s="46">
        <v>0</v>
      </c>
      <c r="BL705" s="46">
        <v>0</v>
      </c>
      <c r="BM705" s="46">
        <v>0</v>
      </c>
      <c r="BN705" s="46">
        <v>0</v>
      </c>
      <c r="BO705" s="46">
        <v>0</v>
      </c>
      <c r="BP705" s="46">
        <v>0</v>
      </c>
      <c r="BQ705" s="46">
        <v>0</v>
      </c>
      <c r="BR705" s="44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525">
        <v>0</v>
      </c>
      <c r="CW705" s="525">
        <v>0</v>
      </c>
      <c r="CX705" s="525">
        <v>0</v>
      </c>
      <c r="CY705" s="45">
        <v>0</v>
      </c>
      <c r="CZ705" s="42">
        <v>0</v>
      </c>
      <c r="DA705" s="42">
        <v>0</v>
      </c>
      <c r="DB705" s="42">
        <v>0</v>
      </c>
      <c r="DC705" s="42">
        <v>0</v>
      </c>
      <c r="DD705" s="42">
        <v>0</v>
      </c>
      <c r="DE705" s="42">
        <v>0</v>
      </c>
      <c r="DF705" s="42">
        <v>0</v>
      </c>
      <c r="DG705" s="42">
        <v>0</v>
      </c>
      <c r="DH705" s="42">
        <v>0</v>
      </c>
      <c r="DI705" s="42">
        <v>0</v>
      </c>
    </row>
    <row r="706" spans="1:113" ht="12" outlineLevel="1">
      <c r="A706" s="1" t="s">
        <v>2229</v>
      </c>
      <c r="B706" s="19" t="s">
        <v>2230</v>
      </c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525">
        <v>0</v>
      </c>
      <c r="AQ706" s="525">
        <v>0</v>
      </c>
      <c r="AR706" s="525">
        <v>0</v>
      </c>
      <c r="AS706" s="525">
        <v>0</v>
      </c>
      <c r="AT706" s="525">
        <v>0</v>
      </c>
      <c r="AU706" s="525">
        <v>0</v>
      </c>
      <c r="AV706" s="525">
        <v>0</v>
      </c>
      <c r="AW706" s="523">
        <v>0</v>
      </c>
      <c r="AX706" s="44">
        <v>0</v>
      </c>
      <c r="AY706" s="44">
        <v>0</v>
      </c>
      <c r="AZ706" s="44">
        <v>0</v>
      </c>
      <c r="BA706" s="44">
        <v>0</v>
      </c>
      <c r="BB706" s="44">
        <v>0</v>
      </c>
      <c r="BC706" s="44">
        <v>0</v>
      </c>
      <c r="BD706" s="44">
        <v>0</v>
      </c>
      <c r="BE706" s="44">
        <v>0</v>
      </c>
      <c r="BF706" s="44">
        <v>0</v>
      </c>
      <c r="BG706" s="44">
        <v>0</v>
      </c>
      <c r="BH706" s="44">
        <v>0</v>
      </c>
      <c r="BI706" s="44">
        <v>0</v>
      </c>
      <c r="BJ706" s="44">
        <v>0</v>
      </c>
      <c r="BK706" s="44">
        <v>0</v>
      </c>
      <c r="BL706" s="44">
        <v>0</v>
      </c>
      <c r="BM706" s="44">
        <v>0</v>
      </c>
      <c r="BN706" s="44">
        <v>0</v>
      </c>
      <c r="BO706" s="44">
        <v>0</v>
      </c>
      <c r="BP706" s="44">
        <v>0</v>
      </c>
      <c r="BQ706" s="44">
        <v>0</v>
      </c>
      <c r="BR706" s="44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525">
        <v>0</v>
      </c>
      <c r="CW706" s="525">
        <v>0</v>
      </c>
      <c r="CX706" s="525">
        <v>0</v>
      </c>
      <c r="CY706" s="45">
        <v>0</v>
      </c>
      <c r="CZ706" s="42">
        <v>0</v>
      </c>
      <c r="DA706" s="42">
        <v>0</v>
      </c>
      <c r="DB706" s="42">
        <v>0</v>
      </c>
      <c r="DC706" s="42">
        <v>0</v>
      </c>
      <c r="DD706" s="42">
        <v>0</v>
      </c>
      <c r="DE706" s="42">
        <v>0</v>
      </c>
      <c r="DF706" s="42">
        <v>0</v>
      </c>
      <c r="DG706" s="42">
        <v>0</v>
      </c>
      <c r="DH706" s="42">
        <v>0</v>
      </c>
      <c r="DI706" s="42">
        <v>0</v>
      </c>
    </row>
    <row r="707" spans="1:113" ht="12" outlineLevel="1">
      <c r="A707" s="1" t="s">
        <v>2231</v>
      </c>
      <c r="B707" s="19" t="s">
        <v>2232</v>
      </c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525">
        <v>0</v>
      </c>
      <c r="AQ707" s="525">
        <v>0</v>
      </c>
      <c r="AR707" s="525">
        <v>0</v>
      </c>
      <c r="AS707" s="525">
        <v>0</v>
      </c>
      <c r="AT707" s="525">
        <v>0</v>
      </c>
      <c r="AU707" s="525">
        <v>0</v>
      </c>
      <c r="AV707" s="525">
        <v>0</v>
      </c>
      <c r="AW707" s="523">
        <v>0</v>
      </c>
      <c r="AX707" s="44">
        <v>0</v>
      </c>
      <c r="AY707" s="44">
        <v>0</v>
      </c>
      <c r="AZ707" s="44">
        <v>0</v>
      </c>
      <c r="BA707" s="44">
        <v>0</v>
      </c>
      <c r="BB707" s="44">
        <v>0</v>
      </c>
      <c r="BC707" s="44">
        <v>0</v>
      </c>
      <c r="BD707" s="44">
        <v>0</v>
      </c>
      <c r="BE707" s="44">
        <v>0</v>
      </c>
      <c r="BF707" s="44">
        <v>0</v>
      </c>
      <c r="BG707" s="44">
        <v>0</v>
      </c>
      <c r="BH707" s="44">
        <v>0</v>
      </c>
      <c r="BI707" s="44">
        <v>0</v>
      </c>
      <c r="BJ707" s="44">
        <v>0</v>
      </c>
      <c r="BK707" s="44">
        <v>0</v>
      </c>
      <c r="BL707" s="44">
        <v>0</v>
      </c>
      <c r="BM707" s="44">
        <v>0</v>
      </c>
      <c r="BN707" s="44">
        <v>0</v>
      </c>
      <c r="BO707" s="44">
        <v>0</v>
      </c>
      <c r="BP707" s="44">
        <v>0</v>
      </c>
      <c r="BQ707" s="44">
        <v>0</v>
      </c>
      <c r="BR707" s="44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525">
        <v>0</v>
      </c>
      <c r="CW707" s="525">
        <v>0</v>
      </c>
      <c r="CX707" s="525">
        <v>0</v>
      </c>
      <c r="CY707" s="45">
        <v>0</v>
      </c>
      <c r="CZ707" s="42">
        <v>0</v>
      </c>
      <c r="DA707" s="42">
        <v>0</v>
      </c>
      <c r="DB707" s="42">
        <v>0</v>
      </c>
      <c r="DC707" s="42">
        <v>0</v>
      </c>
      <c r="DD707" s="42">
        <v>0</v>
      </c>
      <c r="DE707" s="42">
        <v>0</v>
      </c>
      <c r="DF707" s="42">
        <v>0</v>
      </c>
      <c r="DG707" s="42">
        <v>0</v>
      </c>
      <c r="DH707" s="42">
        <v>0</v>
      </c>
      <c r="DI707" s="42">
        <v>0</v>
      </c>
    </row>
    <row r="708" spans="1:113" ht="12" outlineLevel="1">
      <c r="A708" s="1" t="s">
        <v>2233</v>
      </c>
      <c r="B708" s="19" t="s">
        <v>2234</v>
      </c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4">
        <v>-22.7</v>
      </c>
      <c r="AQ708" s="44">
        <v>-28.3</v>
      </c>
      <c r="AR708" s="44">
        <v>-36.799999999999997</v>
      </c>
      <c r="AS708" s="44">
        <v>-42.7</v>
      </c>
      <c r="AT708" s="44">
        <v>-56.3</v>
      </c>
      <c r="AU708" s="44">
        <v>-63</v>
      </c>
      <c r="AV708" s="44">
        <v>-64.8</v>
      </c>
      <c r="AW708" s="45">
        <v>-64.400000000000006</v>
      </c>
      <c r="AX708" s="44">
        <v>-63.097205687901138</v>
      </c>
      <c r="AY708" s="44">
        <v>-61.305050308083153</v>
      </c>
      <c r="AZ708" s="44">
        <v>-62.803642484211608</v>
      </c>
      <c r="BA708" s="44">
        <v>-62.238666896807231</v>
      </c>
      <c r="BB708" s="44">
        <v>-63.399414643425395</v>
      </c>
      <c r="BC708" s="44">
        <v>-62.474974624209302</v>
      </c>
      <c r="BD708" s="44">
        <v>-64.505183873230081</v>
      </c>
      <c r="BE708" s="44">
        <v>-64.442080975962796</v>
      </c>
      <c r="BF708" s="44">
        <v>-65.982016803517851</v>
      </c>
      <c r="BG708" s="44">
        <v>-65.555285281799442</v>
      </c>
      <c r="BH708" s="44">
        <v>-67.474859933697445</v>
      </c>
      <c r="BI708" s="44">
        <v>-67.204410427169705</v>
      </c>
      <c r="BJ708" s="44">
        <v>-69.172274378904518</v>
      </c>
      <c r="BK708" s="44">
        <v>-68.895021376978193</v>
      </c>
      <c r="BL708" s="44">
        <v>-70.54402578321158</v>
      </c>
      <c r="BM708" s="44">
        <v>-70.99834464491326</v>
      </c>
      <c r="BN708" s="44">
        <v>-74.134455779317321</v>
      </c>
      <c r="BO708" s="44">
        <v>-74.201942308355555</v>
      </c>
      <c r="BP708" s="44">
        <v>-77.506183496230392</v>
      </c>
      <c r="BQ708" s="44">
        <v>-77.76734563627204</v>
      </c>
      <c r="BR708" s="44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113"/>
      <c r="CV708" s="44">
        <v>-51</v>
      </c>
      <c r="CW708" s="44">
        <v>-79.5</v>
      </c>
      <c r="CX708" s="44">
        <v>-119.3</v>
      </c>
      <c r="CY708" s="45">
        <v>-129.19999999999999</v>
      </c>
      <c r="CZ708" s="42">
        <v>-124.40225599598429</v>
      </c>
      <c r="DA708" s="42">
        <v>-125.04230938101884</v>
      </c>
      <c r="DB708" s="42">
        <v>-125.8743892676347</v>
      </c>
      <c r="DC708" s="42">
        <v>-128.94726484919289</v>
      </c>
      <c r="DD708" s="42">
        <v>-131.53730208531729</v>
      </c>
      <c r="DE708" s="42">
        <v>-134.67927036086715</v>
      </c>
      <c r="DF708" s="42">
        <v>-138.0672957558827</v>
      </c>
      <c r="DG708" s="42">
        <v>-141.54237042812485</v>
      </c>
      <c r="DH708" s="42">
        <v>-148.33639808767288</v>
      </c>
      <c r="DI708" s="42">
        <v>-155.27352913250243</v>
      </c>
    </row>
    <row r="709" spans="1:113" ht="12" outlineLevel="1">
      <c r="A709" s="1" t="s">
        <v>2235</v>
      </c>
      <c r="B709" s="19" t="s">
        <v>2236</v>
      </c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525">
        <v>0</v>
      </c>
      <c r="AQ709" s="525">
        <v>0</v>
      </c>
      <c r="AR709" s="525">
        <v>0</v>
      </c>
      <c r="AS709" s="525">
        <v>0</v>
      </c>
      <c r="AT709" s="525">
        <v>0</v>
      </c>
      <c r="AU709" s="525">
        <v>0</v>
      </c>
      <c r="AV709" s="525">
        <v>0</v>
      </c>
      <c r="AW709" s="523">
        <v>0</v>
      </c>
      <c r="AX709" s="44">
        <v>0</v>
      </c>
      <c r="AY709" s="44">
        <v>0</v>
      </c>
      <c r="AZ709" s="44">
        <v>0</v>
      </c>
      <c r="BA709" s="44">
        <v>0</v>
      </c>
      <c r="BB709" s="44">
        <v>0</v>
      </c>
      <c r="BC709" s="44">
        <v>0</v>
      </c>
      <c r="BD709" s="44">
        <v>0</v>
      </c>
      <c r="BE709" s="44">
        <v>0</v>
      </c>
      <c r="BF709" s="44">
        <v>0</v>
      </c>
      <c r="BG709" s="44">
        <v>0</v>
      </c>
      <c r="BH709" s="44">
        <v>0</v>
      </c>
      <c r="BI709" s="44">
        <v>0</v>
      </c>
      <c r="BJ709" s="44">
        <v>0</v>
      </c>
      <c r="BK709" s="44">
        <v>0</v>
      </c>
      <c r="BL709" s="44">
        <v>0</v>
      </c>
      <c r="BM709" s="44">
        <v>0</v>
      </c>
      <c r="BN709" s="44">
        <v>0</v>
      </c>
      <c r="BO709" s="44">
        <v>0</v>
      </c>
      <c r="BP709" s="44">
        <v>0</v>
      </c>
      <c r="BQ709" s="44">
        <v>0</v>
      </c>
      <c r="BR709" s="44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113"/>
      <c r="CV709" s="525">
        <v>0</v>
      </c>
      <c r="CW709" s="525">
        <v>0</v>
      </c>
      <c r="CX709" s="525">
        <v>0</v>
      </c>
      <c r="CY709" s="45">
        <v>0</v>
      </c>
      <c r="CZ709" s="42">
        <v>0</v>
      </c>
      <c r="DA709" s="42">
        <v>0</v>
      </c>
      <c r="DB709" s="42">
        <v>0</v>
      </c>
      <c r="DC709" s="42">
        <v>0</v>
      </c>
      <c r="DD709" s="42">
        <v>0</v>
      </c>
      <c r="DE709" s="42">
        <v>0</v>
      </c>
      <c r="DF709" s="42">
        <v>0</v>
      </c>
      <c r="DG709" s="42">
        <v>0</v>
      </c>
      <c r="DH709" s="42">
        <v>0</v>
      </c>
      <c r="DI709" s="42">
        <v>0</v>
      </c>
    </row>
    <row r="710" spans="1:113" ht="12" outlineLevel="1">
      <c r="A710" s="1" t="s">
        <v>2237</v>
      </c>
      <c r="B710" s="19" t="s">
        <v>2238</v>
      </c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525">
        <v>-0.6</v>
      </c>
      <c r="AQ710" s="525">
        <v>-0.7</v>
      </c>
      <c r="AR710" s="525">
        <v>-1.3</v>
      </c>
      <c r="AS710" s="525">
        <v>-3.3</v>
      </c>
      <c r="AT710" s="525">
        <v>-3.2</v>
      </c>
      <c r="AU710" s="525">
        <v>-4</v>
      </c>
      <c r="AV710" s="525">
        <v>-4.2</v>
      </c>
      <c r="AW710" s="523">
        <v>-3.8999999999999995</v>
      </c>
      <c r="AX710" s="44">
        <v>-3.8299629649212976</v>
      </c>
      <c r="AY710" s="44">
        <v>-3.9478029167044872</v>
      </c>
      <c r="AZ710" s="44">
        <v>-4.1126500303937261</v>
      </c>
      <c r="BA710" s="44">
        <v>-4.2226822108108433</v>
      </c>
      <c r="BB710" s="44">
        <v>-4.373502129591972</v>
      </c>
      <c r="BC710" s="44">
        <v>-4.3802769566770827</v>
      </c>
      <c r="BD710" s="44">
        <v>-4.4989734415246421</v>
      </c>
      <c r="BE710" s="44">
        <v>-4.5827106706196004</v>
      </c>
      <c r="BF710" s="44">
        <v>-4.7037327226063512</v>
      </c>
      <c r="BG710" s="44">
        <v>-4.7583933285217173</v>
      </c>
      <c r="BH710" s="44">
        <v>-4.8772563398736555</v>
      </c>
      <c r="BI710" s="44">
        <v>-4.9256739539362933</v>
      </c>
      <c r="BJ710" s="44">
        <v>-5.0406142203318902</v>
      </c>
      <c r="BK710" s="44">
        <v>-5.0905870289500523</v>
      </c>
      <c r="BL710" s="44">
        <v>-5.1958904364198464</v>
      </c>
      <c r="BM710" s="44">
        <v>-5.274639762549862</v>
      </c>
      <c r="BN710" s="44">
        <v>-5.447141118833061</v>
      </c>
      <c r="BO710" s="44">
        <v>-5.5175414350031016</v>
      </c>
      <c r="BP710" s="44">
        <v>-5.6958927776157706</v>
      </c>
      <c r="BQ710" s="44">
        <v>-5.7779950600057575</v>
      </c>
      <c r="BR710" s="44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113"/>
      <c r="CV710" s="525">
        <v>-1.2250000000000001</v>
      </c>
      <c r="CW710" s="525">
        <v>-4.5999999999999996</v>
      </c>
      <c r="CX710" s="525">
        <v>-7.2</v>
      </c>
      <c r="CY710" s="45">
        <v>-8.1</v>
      </c>
      <c r="CZ710" s="42">
        <v>-7.7777658816257844</v>
      </c>
      <c r="DA710" s="42">
        <v>-8.3353322412045685</v>
      </c>
      <c r="DB710" s="42">
        <v>-8.7537790862690557</v>
      </c>
      <c r="DC710" s="42">
        <v>-9.0816841121442415</v>
      </c>
      <c r="DD710" s="42">
        <v>-9.4621260511280685</v>
      </c>
      <c r="DE710" s="42">
        <v>-9.8029302938099487</v>
      </c>
      <c r="DF710" s="42">
        <v>-10.131201249281943</v>
      </c>
      <c r="DG710" s="42">
        <v>-10.470530198969708</v>
      </c>
      <c r="DH710" s="42">
        <v>-10.964682553836163</v>
      </c>
      <c r="DI710" s="42">
        <v>-11.473887837621529</v>
      </c>
    </row>
    <row r="711" spans="1:113" ht="12" outlineLevel="1">
      <c r="A711" s="1" t="s">
        <v>2239</v>
      </c>
      <c r="B711" s="19" t="s">
        <v>2240</v>
      </c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525">
        <v>-1.6</v>
      </c>
      <c r="AQ711" s="525">
        <v>-3.1</v>
      </c>
      <c r="AR711" s="525">
        <v>-0.2</v>
      </c>
      <c r="AS711" s="525">
        <v>-1.4</v>
      </c>
      <c r="AT711" s="525">
        <v>-2.6</v>
      </c>
      <c r="AU711" s="525">
        <v>-14.8</v>
      </c>
      <c r="AV711" s="525">
        <v>-21.6</v>
      </c>
      <c r="AW711" s="523">
        <v>-26.2</v>
      </c>
      <c r="AX711" s="44">
        <v>-24.036302974580781</v>
      </c>
      <c r="AY711" s="44">
        <v>-18.025132108411757</v>
      </c>
      <c r="AZ711" s="44">
        <v>-20.340669363009511</v>
      </c>
      <c r="BA711" s="44">
        <v>-21.921304076427237</v>
      </c>
      <c r="BB711" s="44">
        <v>-23.603334580068239</v>
      </c>
      <c r="BC711" s="44">
        <v>-24.14369564159497</v>
      </c>
      <c r="BD711" s="44">
        <v>-25.759254848343883</v>
      </c>
      <c r="BE711" s="44">
        <v>-26.760040363842474</v>
      </c>
      <c r="BF711" s="44">
        <v>-28.081600207657861</v>
      </c>
      <c r="BG711" s="44">
        <v>-28.600106118100161</v>
      </c>
      <c r="BH711" s="44">
        <v>-29.564734699666872</v>
      </c>
      <c r="BI711" s="44">
        <v>-29.790500528348641</v>
      </c>
      <c r="BJ711" s="44">
        <v>-30.885280066593705</v>
      </c>
      <c r="BK711" s="44">
        <v>-31.121109900833886</v>
      </c>
      <c r="BL711" s="44">
        <v>-32.188362651392104</v>
      </c>
      <c r="BM711" s="44">
        <v>-32.589321441535297</v>
      </c>
      <c r="BN711" s="44">
        <v>-33.706005950737278</v>
      </c>
      <c r="BO711" s="44">
        <v>-33.963330549588527</v>
      </c>
      <c r="BP711" s="44">
        <v>-35.211577441799889</v>
      </c>
      <c r="BQ711" s="44">
        <v>-35.480373761861379</v>
      </c>
      <c r="BR711" s="44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113"/>
      <c r="CV711" s="525">
        <v>0</v>
      </c>
      <c r="CW711" s="525">
        <v>0</v>
      </c>
      <c r="CX711" s="525">
        <v>-17.400000000000002</v>
      </c>
      <c r="CY711" s="45">
        <v>-47.8</v>
      </c>
      <c r="CZ711" s="42">
        <v>-42.061435082992539</v>
      </c>
      <c r="DA711" s="42">
        <v>-42.261973439436744</v>
      </c>
      <c r="DB711" s="42">
        <v>-47.747030221663209</v>
      </c>
      <c r="DC711" s="42">
        <v>-52.519295212186357</v>
      </c>
      <c r="DD711" s="42">
        <v>-56.681706325758022</v>
      </c>
      <c r="DE711" s="42">
        <v>-59.355235228015516</v>
      </c>
      <c r="DF711" s="42">
        <v>-62.006389967427594</v>
      </c>
      <c r="DG711" s="42">
        <v>-64.777684092927402</v>
      </c>
      <c r="DH711" s="42">
        <v>-67.669336500325812</v>
      </c>
      <c r="DI711" s="42">
        <v>-70.691951203661262</v>
      </c>
    </row>
    <row r="712" spans="1:113" ht="12" outlineLevel="1">
      <c r="A712" s="1" t="s">
        <v>2241</v>
      </c>
      <c r="B712" s="19" t="s">
        <v>2242</v>
      </c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4">
        <v>-6.9</v>
      </c>
      <c r="AQ712" s="44">
        <v>1.6</v>
      </c>
      <c r="AR712" s="44">
        <v>-9.4</v>
      </c>
      <c r="AS712" s="44">
        <v>-14.4</v>
      </c>
      <c r="AT712" s="44">
        <v>-19.7</v>
      </c>
      <c r="AU712" s="44">
        <v>-17.499999999999996</v>
      </c>
      <c r="AV712" s="44">
        <v>-5.1999999999999993</v>
      </c>
      <c r="AW712" s="45">
        <v>-17.099999999999998</v>
      </c>
      <c r="AX712" s="44">
        <v>-15.687816063562263</v>
      </c>
      <c r="AY712" s="44">
        <v>-11.764494620375611</v>
      </c>
      <c r="AZ712" s="44">
        <v>-13.275780385781019</v>
      </c>
      <c r="BA712" s="44">
        <v>-14.307416019347553</v>
      </c>
      <c r="BB712" s="44">
        <v>-15.405229821342257</v>
      </c>
      <c r="BC712" s="44">
        <v>-15.757908224094439</v>
      </c>
      <c r="BD712" s="44">
        <v>-16.812338088041255</v>
      </c>
      <c r="BE712" s="44">
        <v>-17.46552252754606</v>
      </c>
      <c r="BF712" s="44">
        <v>-18.328067311104956</v>
      </c>
      <c r="BG712" s="44">
        <v>-18.666481474027226</v>
      </c>
      <c r="BH712" s="44">
        <v>-19.296067303981069</v>
      </c>
      <c r="BI712" s="44">
        <v>-19.443418283769557</v>
      </c>
      <c r="BJ712" s="44">
        <v>-20.157949967127973</v>
      </c>
      <c r="BK712" s="44">
        <v>-20.31186943909389</v>
      </c>
      <c r="BL712" s="44">
        <v>-21.00843516560326</v>
      </c>
      <c r="BM712" s="44">
        <v>-21.270129643139462</v>
      </c>
      <c r="BN712" s="44">
        <v>-21.998958082351443</v>
      </c>
      <c r="BO712" s="44">
        <v>-22.166906580074972</v>
      </c>
      <c r="BP712" s="44">
        <v>-22.98160207079308</v>
      </c>
      <c r="BQ712" s="44">
        <v>-23.157037836940091</v>
      </c>
      <c r="BR712" s="44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4">
        <v>-10</v>
      </c>
      <c r="CW712" s="44">
        <v>-25.4</v>
      </c>
      <c r="CX712" s="44">
        <v>-37.199999999999996</v>
      </c>
      <c r="CY712" s="45">
        <v>-22.299999999999997</v>
      </c>
      <c r="CZ712" s="42">
        <v>-27.452310683937874</v>
      </c>
      <c r="DA712" s="42">
        <v>-27.583196405128572</v>
      </c>
      <c r="DB712" s="42">
        <v>-31.163138045436696</v>
      </c>
      <c r="DC712" s="42">
        <v>-34.277860615587315</v>
      </c>
      <c r="DD712" s="42">
        <v>-36.994548785132181</v>
      </c>
      <c r="DE712" s="42">
        <v>-38.739485587750622</v>
      </c>
      <c r="DF712" s="42">
        <v>-40.469819406221859</v>
      </c>
      <c r="DG712" s="42">
        <v>-42.278564808742722</v>
      </c>
      <c r="DH712" s="42">
        <v>-44.165864662426415</v>
      </c>
      <c r="DI712" s="42">
        <v>-46.138639907733172</v>
      </c>
    </row>
    <row r="713" spans="1:113" ht="12" outlineLevel="1">
      <c r="A713" s="1" t="s">
        <v>2243</v>
      </c>
      <c r="B713" s="19" t="s">
        <v>2244</v>
      </c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525">
        <v>0</v>
      </c>
      <c r="AQ713" s="525">
        <v>0</v>
      </c>
      <c r="AR713" s="525">
        <v>0</v>
      </c>
      <c r="AS713" s="525">
        <v>-5.3</v>
      </c>
      <c r="AT713" s="525">
        <v>0</v>
      </c>
      <c r="AU713" s="525">
        <v>-5.0999999999999996</v>
      </c>
      <c r="AV713" s="525">
        <v>-5.9</v>
      </c>
      <c r="AW713" s="523">
        <v>-25</v>
      </c>
      <c r="AX713" s="44">
        <v>-22.35780857064384</v>
      </c>
      <c r="AY713" s="44">
        <v>-10.456024947726238</v>
      </c>
      <c r="AZ713" s="44">
        <v>-14.843908186152674</v>
      </c>
      <c r="BA713" s="44">
        <v>-15.80100958383531</v>
      </c>
      <c r="BB713" s="44">
        <v>-24.60933911899404</v>
      </c>
      <c r="BC713" s="44">
        <v>-24.644676164639748</v>
      </c>
      <c r="BD713" s="44">
        <v>-30.646919306539463</v>
      </c>
      <c r="BE713" s="44">
        <v>-31.742217217365692</v>
      </c>
      <c r="BF713" s="44">
        <v>-37.527428837580018</v>
      </c>
      <c r="BG713" s="44">
        <v>-38.101333563305516</v>
      </c>
      <c r="BH713" s="44">
        <v>-42.374624519133654</v>
      </c>
      <c r="BI713" s="44">
        <v>-42.605819779619416</v>
      </c>
      <c r="BJ713" s="44">
        <v>-44.270098198284224</v>
      </c>
      <c r="BK713" s="44">
        <v>-44.511635132258981</v>
      </c>
      <c r="BL713" s="44">
        <v>-46.123991851498978</v>
      </c>
      <c r="BM713" s="44">
        <v>-46.631862624428102</v>
      </c>
      <c r="BN713" s="44">
        <v>-48.319199421032366</v>
      </c>
      <c r="BO713" s="44">
        <v>-48.582828185260475</v>
      </c>
      <c r="BP713" s="44">
        <v>-50.480581893196558</v>
      </c>
      <c r="BQ713" s="44">
        <v>-50.756003124952876</v>
      </c>
      <c r="BR713" s="44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113"/>
      <c r="CV713" s="525">
        <v>0</v>
      </c>
      <c r="CW713" s="525">
        <v>0</v>
      </c>
      <c r="CX713" s="525">
        <v>-5.0999999999999996</v>
      </c>
      <c r="CY713" s="45">
        <v>-30.9</v>
      </c>
      <c r="CZ713" s="42">
        <v>-32.813833518370075</v>
      </c>
      <c r="DA713" s="42">
        <v>-30.644917769987984</v>
      </c>
      <c r="DB713" s="42">
        <v>-49.254015283633791</v>
      </c>
      <c r="DC713" s="42">
        <v>-62.389136523905151</v>
      </c>
      <c r="DD713" s="42">
        <v>-75.628762400885535</v>
      </c>
      <c r="DE713" s="42">
        <v>-84.980444298753071</v>
      </c>
      <c r="DF713" s="42">
        <v>-88.781733330543204</v>
      </c>
      <c r="DG713" s="42">
        <v>-92.75585447592708</v>
      </c>
      <c r="DH713" s="42">
        <v>-96.902027606292847</v>
      </c>
      <c r="DI713" s="42">
        <v>-101.23658501814944</v>
      </c>
    </row>
    <row r="714" spans="1:113" ht="12" hidden="1" outlineLevel="2">
      <c r="A714" s="1" t="s">
        <v>2442</v>
      </c>
      <c r="B714" s="19" t="s">
        <v>801</v>
      </c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4"/>
      <c r="AS714" s="44"/>
      <c r="AT714" s="44"/>
      <c r="AU714" s="44"/>
      <c r="AV714" s="44"/>
      <c r="AW714" s="45"/>
      <c r="AX714" s="44"/>
      <c r="AY714" s="44"/>
      <c r="AZ714" s="44"/>
      <c r="BA714" s="44"/>
      <c r="BB714" s="44"/>
      <c r="BC714" s="44"/>
      <c r="BD714" s="44"/>
      <c r="BE714" s="44"/>
      <c r="BF714" s="44"/>
      <c r="BG714" s="44"/>
      <c r="BH714" s="44"/>
      <c r="BI714" s="44"/>
      <c r="BJ714" s="44"/>
      <c r="BK714" s="44"/>
      <c r="BL714" s="44"/>
      <c r="BM714" s="44"/>
      <c r="BN714" s="44"/>
      <c r="BO714" s="44"/>
      <c r="BP714" s="44"/>
      <c r="BQ714" s="44"/>
      <c r="BR714" s="44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3"/>
      <c r="CZ714" s="42"/>
      <c r="DA714" s="42"/>
      <c r="DB714" s="19"/>
      <c r="DC714" s="19"/>
      <c r="DD714" s="19"/>
      <c r="DE714" s="19"/>
      <c r="DF714" s="19"/>
      <c r="DG714" s="19"/>
      <c r="DH714" s="19"/>
      <c r="DI714" s="19"/>
    </row>
    <row r="715" spans="1:113" ht="12" hidden="1" outlineLevel="2">
      <c r="A715" s="1" t="s">
        <v>2443</v>
      </c>
      <c r="B715" s="19" t="s">
        <v>801</v>
      </c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2"/>
      <c r="AK715" s="42"/>
      <c r="AL715" s="42"/>
      <c r="AM715" s="42"/>
      <c r="AN715" s="42"/>
      <c r="AO715" s="42"/>
      <c r="AP715" s="42"/>
      <c r="AQ715" s="42"/>
      <c r="AR715" s="44"/>
      <c r="AS715" s="44"/>
      <c r="AT715" s="44"/>
      <c r="AU715" s="44"/>
      <c r="AV715" s="44"/>
      <c r="AW715" s="45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2"/>
      <c r="BT715" s="42"/>
      <c r="BU715" s="42"/>
      <c r="BV715" s="42"/>
      <c r="BW715" s="42"/>
      <c r="BX715" s="42"/>
      <c r="BY715" s="42"/>
      <c r="BZ715" s="42"/>
      <c r="CA715" s="42"/>
      <c r="CB715" s="42"/>
      <c r="CC715" s="42"/>
      <c r="CD715" s="42"/>
      <c r="CE715" s="42"/>
      <c r="CF715" s="42"/>
      <c r="CG715" s="42"/>
      <c r="CH715" s="42"/>
      <c r="CI715" s="42"/>
      <c r="CJ715" s="42"/>
      <c r="CK715" s="42"/>
      <c r="CL715" s="42"/>
      <c r="CM715" s="42"/>
      <c r="CN715" s="42"/>
      <c r="CO715" s="42"/>
      <c r="CP715" s="42"/>
      <c r="CQ715" s="42"/>
      <c r="CR715" s="42"/>
      <c r="CS715" s="42"/>
      <c r="CT715" s="42"/>
      <c r="CU715" s="42"/>
      <c r="CV715" s="42"/>
      <c r="CW715" s="42"/>
      <c r="CX715" s="42"/>
      <c r="CY715" s="43"/>
      <c r="CZ715" s="42"/>
      <c r="DA715" s="42"/>
      <c r="DB715" s="19"/>
      <c r="DC715" s="19"/>
      <c r="DD715" s="19"/>
      <c r="DE715" s="19"/>
      <c r="DF715" s="19"/>
      <c r="DG715" s="19"/>
      <c r="DH715" s="19"/>
      <c r="DI715" s="19"/>
    </row>
    <row r="716" spans="1:113" ht="12" hidden="1" outlineLevel="2">
      <c r="A716" s="1" t="s">
        <v>2444</v>
      </c>
      <c r="B716" s="19" t="s">
        <v>801</v>
      </c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  <c r="AJ716" s="42"/>
      <c r="AK716" s="42"/>
      <c r="AL716" s="42"/>
      <c r="AM716" s="42"/>
      <c r="AN716" s="42"/>
      <c r="AO716" s="42"/>
      <c r="AP716" s="42"/>
      <c r="AQ716" s="42"/>
      <c r="AR716" s="44"/>
      <c r="AS716" s="44"/>
      <c r="AT716" s="44"/>
      <c r="AU716" s="44"/>
      <c r="AV716" s="44"/>
      <c r="AW716" s="45"/>
      <c r="AX716" s="44"/>
      <c r="AY716" s="44"/>
      <c r="AZ716" s="44"/>
      <c r="BA716" s="44"/>
      <c r="BB716" s="44"/>
      <c r="BC716" s="44"/>
      <c r="BD716" s="44"/>
      <c r="BE716" s="44"/>
      <c r="BF716" s="44"/>
      <c r="BG716" s="44"/>
      <c r="BH716" s="44"/>
      <c r="BI716" s="44"/>
      <c r="BJ716" s="44"/>
      <c r="BK716" s="44"/>
      <c r="BL716" s="44"/>
      <c r="BM716" s="44"/>
      <c r="BN716" s="44"/>
      <c r="BO716" s="44"/>
      <c r="BP716" s="44"/>
      <c r="BQ716" s="44"/>
      <c r="BR716" s="44"/>
      <c r="BS716" s="42"/>
      <c r="BT716" s="42"/>
      <c r="BU716" s="42"/>
      <c r="BV716" s="42"/>
      <c r="BW716" s="42"/>
      <c r="BX716" s="42"/>
      <c r="BY716" s="42"/>
      <c r="BZ716" s="42"/>
      <c r="CA716" s="42"/>
      <c r="CB716" s="42"/>
      <c r="CC716" s="42"/>
      <c r="CD716" s="42"/>
      <c r="CE716" s="42"/>
      <c r="CF716" s="42"/>
      <c r="CG716" s="42"/>
      <c r="CH716" s="42"/>
      <c r="CI716" s="42"/>
      <c r="CJ716" s="42"/>
      <c r="CK716" s="42"/>
      <c r="CL716" s="42"/>
      <c r="CM716" s="42"/>
      <c r="CN716" s="42"/>
      <c r="CO716" s="42"/>
      <c r="CP716" s="42"/>
      <c r="CQ716" s="42"/>
      <c r="CR716" s="42"/>
      <c r="CS716" s="42"/>
      <c r="CT716" s="42"/>
      <c r="CU716" s="42"/>
      <c r="CV716" s="42"/>
      <c r="CW716" s="42"/>
      <c r="CX716" s="42"/>
      <c r="CY716" s="43"/>
      <c r="CZ716" s="42"/>
      <c r="DA716" s="42"/>
      <c r="DB716" s="19"/>
      <c r="DC716" s="19"/>
      <c r="DD716" s="19"/>
      <c r="DE716" s="19"/>
      <c r="DF716" s="19"/>
      <c r="DG716" s="19"/>
      <c r="DH716" s="19"/>
      <c r="DI716" s="19"/>
    </row>
    <row r="717" spans="1:113" ht="12" hidden="1" outlineLevel="2">
      <c r="A717" s="1" t="s">
        <v>2445</v>
      </c>
      <c r="B717" s="19" t="s">
        <v>801</v>
      </c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2"/>
      <c r="AN717" s="42"/>
      <c r="AO717" s="42"/>
      <c r="AP717" s="42"/>
      <c r="AQ717" s="42"/>
      <c r="AR717" s="44"/>
      <c r="AS717" s="44"/>
      <c r="AT717" s="44"/>
      <c r="AU717" s="44"/>
      <c r="AV717" s="44"/>
      <c r="AW717" s="45"/>
      <c r="AX717" s="44"/>
      <c r="AY717" s="44"/>
      <c r="AZ717" s="44"/>
      <c r="BA717" s="44"/>
      <c r="BB717" s="44"/>
      <c r="BC717" s="44"/>
      <c r="BD717" s="44"/>
      <c r="BE717" s="44"/>
      <c r="BF717" s="44"/>
      <c r="BG717" s="44"/>
      <c r="BH717" s="44"/>
      <c r="BI717" s="44"/>
      <c r="BJ717" s="44"/>
      <c r="BK717" s="44"/>
      <c r="BL717" s="44"/>
      <c r="BM717" s="44"/>
      <c r="BN717" s="44"/>
      <c r="BO717" s="44"/>
      <c r="BP717" s="44"/>
      <c r="BQ717" s="44"/>
      <c r="BR717" s="44"/>
      <c r="BS717" s="42"/>
      <c r="BT717" s="42"/>
      <c r="BU717" s="42"/>
      <c r="BV717" s="42"/>
      <c r="BW717" s="42"/>
      <c r="BX717" s="42"/>
      <c r="BY717" s="42"/>
      <c r="BZ717" s="42"/>
      <c r="CA717" s="42"/>
      <c r="CB717" s="42"/>
      <c r="CC717" s="42"/>
      <c r="CD717" s="42"/>
      <c r="CE717" s="42"/>
      <c r="CF717" s="42"/>
      <c r="CG717" s="42"/>
      <c r="CH717" s="42"/>
      <c r="CI717" s="42"/>
      <c r="CJ717" s="42"/>
      <c r="CK717" s="42"/>
      <c r="CL717" s="42"/>
      <c r="CM717" s="42"/>
      <c r="CN717" s="42"/>
      <c r="CO717" s="42"/>
      <c r="CP717" s="42"/>
      <c r="CQ717" s="42"/>
      <c r="CR717" s="42"/>
      <c r="CS717" s="42"/>
      <c r="CT717" s="42"/>
      <c r="CU717" s="42"/>
      <c r="CV717" s="42"/>
      <c r="CW717" s="42"/>
      <c r="CX717" s="42"/>
      <c r="CY717" s="43"/>
      <c r="CZ717" s="42"/>
      <c r="DA717" s="42"/>
      <c r="DB717" s="19"/>
      <c r="DC717" s="19"/>
      <c r="DD717" s="19"/>
      <c r="DE717" s="19"/>
      <c r="DF717" s="19"/>
      <c r="DG717" s="19"/>
      <c r="DH717" s="19"/>
      <c r="DI717" s="19"/>
    </row>
    <row r="718" spans="1:113" ht="12" hidden="1" outlineLevel="2">
      <c r="A718" s="1" t="s">
        <v>2446</v>
      </c>
      <c r="B718" s="19" t="s">
        <v>801</v>
      </c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  <c r="AJ718" s="42"/>
      <c r="AK718" s="42"/>
      <c r="AL718" s="42"/>
      <c r="AM718" s="42"/>
      <c r="AN718" s="42"/>
      <c r="AO718" s="42"/>
      <c r="AP718" s="42"/>
      <c r="AQ718" s="42"/>
      <c r="AR718" s="44"/>
      <c r="AS718" s="44"/>
      <c r="AT718" s="44"/>
      <c r="AU718" s="44"/>
      <c r="AV718" s="44"/>
      <c r="AW718" s="45"/>
      <c r="AX718" s="44"/>
      <c r="AY718" s="44"/>
      <c r="AZ718" s="44"/>
      <c r="BA718" s="44"/>
      <c r="BB718" s="44"/>
      <c r="BC718" s="44"/>
      <c r="BD718" s="44"/>
      <c r="BE718" s="44"/>
      <c r="BF718" s="44"/>
      <c r="BG718" s="44"/>
      <c r="BH718" s="44"/>
      <c r="BI718" s="44"/>
      <c r="BJ718" s="44"/>
      <c r="BK718" s="44"/>
      <c r="BL718" s="44"/>
      <c r="BM718" s="44"/>
      <c r="BN718" s="44"/>
      <c r="BO718" s="44"/>
      <c r="BP718" s="44"/>
      <c r="BQ718" s="44"/>
      <c r="BR718" s="44"/>
      <c r="BS718" s="42"/>
      <c r="BT718" s="42"/>
      <c r="BU718" s="42"/>
      <c r="BV718" s="42"/>
      <c r="BW718" s="42"/>
      <c r="BX718" s="42"/>
      <c r="BY718" s="42"/>
      <c r="BZ718" s="42"/>
      <c r="CA718" s="42"/>
      <c r="CB718" s="42"/>
      <c r="CC718" s="42"/>
      <c r="CD718" s="42"/>
      <c r="CE718" s="42"/>
      <c r="CF718" s="42"/>
      <c r="CG718" s="42"/>
      <c r="CH718" s="42"/>
      <c r="CI718" s="42"/>
      <c r="CJ718" s="42"/>
      <c r="CK718" s="42"/>
      <c r="CL718" s="42"/>
      <c r="CM718" s="42"/>
      <c r="CN718" s="42"/>
      <c r="CO718" s="42"/>
      <c r="CP718" s="42"/>
      <c r="CQ718" s="42"/>
      <c r="CR718" s="42"/>
      <c r="CS718" s="42"/>
      <c r="CT718" s="42"/>
      <c r="CU718" s="42"/>
      <c r="CV718" s="42"/>
      <c r="CW718" s="42"/>
      <c r="CX718" s="42"/>
      <c r="CY718" s="43"/>
      <c r="CZ718" s="42"/>
      <c r="DA718" s="42"/>
      <c r="DB718" s="19"/>
      <c r="DC718" s="19"/>
      <c r="DD718" s="19"/>
      <c r="DE718" s="19"/>
      <c r="DF718" s="19"/>
      <c r="DG718" s="19"/>
      <c r="DH718" s="19"/>
      <c r="DI718" s="19"/>
    </row>
    <row r="719" spans="1:113" ht="12" hidden="1" outlineLevel="2">
      <c r="A719" s="1" t="s">
        <v>2447</v>
      </c>
      <c r="B719" s="19" t="s">
        <v>801</v>
      </c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4"/>
      <c r="AS719" s="44"/>
      <c r="AT719" s="44"/>
      <c r="AU719" s="44"/>
      <c r="AV719" s="44"/>
      <c r="AW719" s="45"/>
      <c r="AX719" s="44"/>
      <c r="AY719" s="44"/>
      <c r="AZ719" s="44"/>
      <c r="BA719" s="44"/>
      <c r="BB719" s="44"/>
      <c r="BC719" s="44"/>
      <c r="BD719" s="44"/>
      <c r="BE719" s="44"/>
      <c r="BF719" s="44"/>
      <c r="BG719" s="44"/>
      <c r="BH719" s="44"/>
      <c r="BI719" s="44"/>
      <c r="BJ719" s="44"/>
      <c r="BK719" s="44"/>
      <c r="BL719" s="44"/>
      <c r="BM719" s="44"/>
      <c r="BN719" s="44"/>
      <c r="BO719" s="44"/>
      <c r="BP719" s="44"/>
      <c r="BQ719" s="44"/>
      <c r="BR719" s="44"/>
      <c r="BS719" s="42"/>
      <c r="BT719" s="42"/>
      <c r="BU719" s="42"/>
      <c r="BV719" s="42"/>
      <c r="BW719" s="42"/>
      <c r="BX719" s="42"/>
      <c r="BY719" s="42"/>
      <c r="BZ719" s="42"/>
      <c r="CA719" s="42"/>
      <c r="CB719" s="42"/>
      <c r="CC719" s="42"/>
      <c r="CD719" s="42"/>
      <c r="CE719" s="42"/>
      <c r="CF719" s="42"/>
      <c r="CG719" s="42"/>
      <c r="CH719" s="42"/>
      <c r="CI719" s="42"/>
      <c r="CJ719" s="42"/>
      <c r="CK719" s="42"/>
      <c r="CL719" s="42"/>
      <c r="CM719" s="42"/>
      <c r="CN719" s="42"/>
      <c r="CO719" s="42"/>
      <c r="CP719" s="42"/>
      <c r="CQ719" s="42"/>
      <c r="CR719" s="42"/>
      <c r="CS719" s="42"/>
      <c r="CT719" s="42"/>
      <c r="CU719" s="42"/>
      <c r="CV719" s="42"/>
      <c r="CW719" s="42"/>
      <c r="CX719" s="42"/>
      <c r="CY719" s="43"/>
      <c r="CZ719" s="42"/>
      <c r="DA719" s="42"/>
      <c r="DB719" s="19"/>
      <c r="DC719" s="19"/>
      <c r="DD719" s="19"/>
      <c r="DE719" s="19"/>
      <c r="DF719" s="19"/>
      <c r="DG719" s="19"/>
      <c r="DH719" s="19"/>
      <c r="DI719" s="19"/>
    </row>
    <row r="720" spans="1:113" ht="12" hidden="1" outlineLevel="2">
      <c r="A720" s="1" t="s">
        <v>2448</v>
      </c>
      <c r="B720" s="19" t="s">
        <v>801</v>
      </c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  <c r="AJ720" s="42"/>
      <c r="AK720" s="42"/>
      <c r="AL720" s="42"/>
      <c r="AM720" s="42"/>
      <c r="AN720" s="42"/>
      <c r="AO720" s="42"/>
      <c r="AP720" s="42"/>
      <c r="AQ720" s="42"/>
      <c r="AR720" s="44"/>
      <c r="AS720" s="44"/>
      <c r="AT720" s="44"/>
      <c r="AU720" s="44"/>
      <c r="AV720" s="44"/>
      <c r="AW720" s="45"/>
      <c r="AX720" s="44"/>
      <c r="AY720" s="44"/>
      <c r="AZ720" s="44"/>
      <c r="BA720" s="44"/>
      <c r="BB720" s="44"/>
      <c r="BC720" s="44"/>
      <c r="BD720" s="44"/>
      <c r="BE720" s="44"/>
      <c r="BF720" s="44"/>
      <c r="BG720" s="44"/>
      <c r="BH720" s="44"/>
      <c r="BI720" s="44"/>
      <c r="BJ720" s="44"/>
      <c r="BK720" s="44"/>
      <c r="BL720" s="44"/>
      <c r="BM720" s="44"/>
      <c r="BN720" s="44"/>
      <c r="BO720" s="44"/>
      <c r="BP720" s="44"/>
      <c r="BQ720" s="44"/>
      <c r="BR720" s="44"/>
      <c r="BS720" s="42"/>
      <c r="BT720" s="42"/>
      <c r="BU720" s="42"/>
      <c r="BV720" s="42"/>
      <c r="BW720" s="42"/>
      <c r="BX720" s="42"/>
      <c r="BY720" s="42"/>
      <c r="BZ720" s="42"/>
      <c r="CA720" s="42"/>
      <c r="CB720" s="42"/>
      <c r="CC720" s="42"/>
      <c r="CD720" s="42"/>
      <c r="CE720" s="42"/>
      <c r="CF720" s="42"/>
      <c r="CG720" s="42"/>
      <c r="CH720" s="42"/>
      <c r="CI720" s="42"/>
      <c r="CJ720" s="42"/>
      <c r="CK720" s="42"/>
      <c r="CL720" s="42"/>
      <c r="CM720" s="42"/>
      <c r="CN720" s="42"/>
      <c r="CO720" s="42"/>
      <c r="CP720" s="42"/>
      <c r="CQ720" s="42"/>
      <c r="CR720" s="42"/>
      <c r="CS720" s="42"/>
      <c r="CT720" s="42"/>
      <c r="CU720" s="42"/>
      <c r="CV720" s="42"/>
      <c r="CW720" s="42"/>
      <c r="CX720" s="42"/>
      <c r="CY720" s="43"/>
      <c r="CZ720" s="42"/>
      <c r="DA720" s="42"/>
      <c r="DB720" s="19"/>
      <c r="DC720" s="19"/>
      <c r="DD720" s="19"/>
      <c r="DE720" s="19"/>
      <c r="DF720" s="19"/>
      <c r="DG720" s="19"/>
      <c r="DH720" s="19"/>
      <c r="DI720" s="19"/>
    </row>
    <row r="721" spans="1:115" ht="12" hidden="1" outlineLevel="2">
      <c r="A721" s="1" t="s">
        <v>2449</v>
      </c>
      <c r="B721" s="19" t="s">
        <v>801</v>
      </c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  <c r="AJ721" s="42"/>
      <c r="AK721" s="42"/>
      <c r="AL721" s="42"/>
      <c r="AM721" s="42"/>
      <c r="AN721" s="42"/>
      <c r="AO721" s="42"/>
      <c r="AP721" s="42"/>
      <c r="AQ721" s="42"/>
      <c r="AR721" s="44"/>
      <c r="AS721" s="44"/>
      <c r="AT721" s="44"/>
      <c r="AU721" s="44"/>
      <c r="AV721" s="44"/>
      <c r="AW721" s="45"/>
      <c r="AX721" s="44"/>
      <c r="AY721" s="44"/>
      <c r="AZ721" s="44"/>
      <c r="BA721" s="44"/>
      <c r="BB721" s="44"/>
      <c r="BC721" s="44"/>
      <c r="BD721" s="44"/>
      <c r="BE721" s="44"/>
      <c r="BF721" s="44"/>
      <c r="BG721" s="44"/>
      <c r="BH721" s="44"/>
      <c r="BI721" s="44"/>
      <c r="BJ721" s="44"/>
      <c r="BK721" s="44"/>
      <c r="BL721" s="44"/>
      <c r="BM721" s="44"/>
      <c r="BN721" s="44"/>
      <c r="BO721" s="44"/>
      <c r="BP721" s="44"/>
      <c r="BQ721" s="44"/>
      <c r="BR721" s="44"/>
      <c r="BS721" s="42"/>
      <c r="BT721" s="42"/>
      <c r="BU721" s="42"/>
      <c r="BV721" s="42"/>
      <c r="BW721" s="42"/>
      <c r="BX721" s="42"/>
      <c r="BY721" s="42"/>
      <c r="BZ721" s="42"/>
      <c r="CA721" s="42"/>
      <c r="CB721" s="42"/>
      <c r="CC721" s="42"/>
      <c r="CD721" s="42"/>
      <c r="CE721" s="42"/>
      <c r="CF721" s="42"/>
      <c r="CG721" s="42"/>
      <c r="CH721" s="42"/>
      <c r="CI721" s="42"/>
      <c r="CJ721" s="42"/>
      <c r="CK721" s="42"/>
      <c r="CL721" s="42"/>
      <c r="CM721" s="42"/>
      <c r="CN721" s="42"/>
      <c r="CO721" s="42"/>
      <c r="CP721" s="42"/>
      <c r="CQ721" s="42"/>
      <c r="CR721" s="42"/>
      <c r="CS721" s="42"/>
      <c r="CT721" s="42"/>
      <c r="CU721" s="42"/>
      <c r="CV721" s="42"/>
      <c r="CW721" s="42"/>
      <c r="CX721" s="42"/>
      <c r="CY721" s="43"/>
      <c r="CZ721" s="42"/>
      <c r="DA721" s="42"/>
      <c r="DC721" s="19"/>
      <c r="DD721" s="19"/>
      <c r="DE721" s="19"/>
      <c r="DF721" s="19"/>
      <c r="DG721" s="19"/>
      <c r="DH721" s="19"/>
      <c r="DI721" s="19"/>
    </row>
    <row r="722" spans="1:115" ht="12" hidden="1" outlineLevel="2">
      <c r="A722" s="1" t="s">
        <v>2450</v>
      </c>
      <c r="B722" s="19" t="s">
        <v>801</v>
      </c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2"/>
      <c r="AP722" s="42"/>
      <c r="AQ722" s="42"/>
      <c r="AR722" s="44"/>
      <c r="AS722" s="44"/>
      <c r="AT722" s="44"/>
      <c r="AU722" s="44"/>
      <c r="AV722" s="44"/>
      <c r="AW722" s="45"/>
      <c r="AX722" s="44"/>
      <c r="AY722" s="44"/>
      <c r="AZ722" s="44"/>
      <c r="BA722" s="44"/>
      <c r="BB722" s="44"/>
      <c r="BC722" s="44"/>
      <c r="BD722" s="44"/>
      <c r="BE722" s="44"/>
      <c r="BF722" s="44"/>
      <c r="BG722" s="44"/>
      <c r="BH722" s="44"/>
      <c r="BI722" s="44"/>
      <c r="BJ722" s="44"/>
      <c r="BK722" s="44"/>
      <c r="BL722" s="44"/>
      <c r="BM722" s="44"/>
      <c r="BN722" s="44"/>
      <c r="BO722" s="44"/>
      <c r="BP722" s="44"/>
      <c r="BQ722" s="44"/>
      <c r="BR722" s="44"/>
      <c r="BS722" s="42"/>
      <c r="BT722" s="42"/>
      <c r="BU722" s="42"/>
      <c r="BV722" s="42"/>
      <c r="BW722" s="42"/>
      <c r="BX722" s="42"/>
      <c r="BY722" s="42"/>
      <c r="BZ722" s="42"/>
      <c r="CA722" s="42"/>
      <c r="CB722" s="42"/>
      <c r="CC722" s="42"/>
      <c r="CD722" s="42"/>
      <c r="CE722" s="42"/>
      <c r="CF722" s="42"/>
      <c r="CG722" s="42"/>
      <c r="CH722" s="42"/>
      <c r="CI722" s="42"/>
      <c r="CJ722" s="42"/>
      <c r="CK722" s="42"/>
      <c r="CL722" s="42"/>
      <c r="CM722" s="42"/>
      <c r="CN722" s="42"/>
      <c r="CO722" s="42"/>
      <c r="CP722" s="42"/>
      <c r="CQ722" s="42"/>
      <c r="CR722" s="42"/>
      <c r="CS722" s="42"/>
      <c r="CT722" s="42"/>
      <c r="CU722" s="42"/>
      <c r="CV722" s="42"/>
      <c r="CW722" s="42"/>
      <c r="CX722" s="42"/>
      <c r="CY722" s="43"/>
      <c r="CZ722" s="42"/>
      <c r="DA722" s="42"/>
      <c r="DC722" s="19"/>
      <c r="DD722" s="19"/>
      <c r="DE722" s="19"/>
      <c r="DF722" s="19"/>
      <c r="DG722" s="19"/>
      <c r="DH722" s="19"/>
      <c r="DI722" s="19"/>
    </row>
    <row r="723" spans="1:115" ht="12" hidden="1" outlineLevel="2">
      <c r="A723" s="1" t="s">
        <v>2451</v>
      </c>
      <c r="B723" s="19" t="s">
        <v>801</v>
      </c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  <c r="AJ723" s="42"/>
      <c r="AK723" s="42"/>
      <c r="AL723" s="42"/>
      <c r="AM723" s="42"/>
      <c r="AN723" s="42"/>
      <c r="AO723" s="42"/>
      <c r="AP723" s="42"/>
      <c r="AQ723" s="42"/>
      <c r="AR723" s="44"/>
      <c r="AS723" s="44"/>
      <c r="AT723" s="44"/>
      <c r="AU723" s="44"/>
      <c r="AV723" s="44"/>
      <c r="AW723" s="45"/>
      <c r="AX723" s="44"/>
      <c r="AY723" s="44"/>
      <c r="AZ723" s="44"/>
      <c r="BA723" s="44"/>
      <c r="BB723" s="44"/>
      <c r="BC723" s="44"/>
      <c r="BD723" s="44"/>
      <c r="BE723" s="44"/>
      <c r="BF723" s="44"/>
      <c r="BG723" s="44"/>
      <c r="BH723" s="44"/>
      <c r="BI723" s="44"/>
      <c r="BJ723" s="44"/>
      <c r="BK723" s="44"/>
      <c r="BL723" s="44"/>
      <c r="BM723" s="44"/>
      <c r="BN723" s="44"/>
      <c r="BO723" s="44"/>
      <c r="BP723" s="44"/>
      <c r="BQ723" s="44"/>
      <c r="BR723" s="44"/>
      <c r="BS723" s="42"/>
      <c r="BT723" s="42"/>
      <c r="BU723" s="42"/>
      <c r="BV723" s="42"/>
      <c r="BW723" s="42"/>
      <c r="BX723" s="42"/>
      <c r="BY723" s="42"/>
      <c r="BZ723" s="42"/>
      <c r="CA723" s="42"/>
      <c r="CB723" s="42"/>
      <c r="CC723" s="42"/>
      <c r="CD723" s="42"/>
      <c r="CE723" s="42"/>
      <c r="CF723" s="42"/>
      <c r="CG723" s="42"/>
      <c r="CH723" s="42"/>
      <c r="CI723" s="42"/>
      <c r="CJ723" s="42"/>
      <c r="CK723" s="42"/>
      <c r="CL723" s="42"/>
      <c r="CM723" s="42"/>
      <c r="CN723" s="42"/>
      <c r="CO723" s="42"/>
      <c r="CP723" s="42"/>
      <c r="CQ723" s="42"/>
      <c r="CR723" s="42"/>
      <c r="CS723" s="42"/>
      <c r="CT723" s="42"/>
      <c r="CU723" s="42"/>
      <c r="CV723" s="42"/>
      <c r="CW723" s="42"/>
      <c r="CX723" s="42"/>
      <c r="CY723" s="43"/>
      <c r="CZ723" s="42"/>
      <c r="DA723" s="42"/>
      <c r="DC723" s="19"/>
      <c r="DD723" s="19"/>
      <c r="DE723" s="19"/>
      <c r="DF723" s="19"/>
      <c r="DG723" s="19"/>
      <c r="DH723" s="19"/>
      <c r="DI723" s="19"/>
    </row>
    <row r="724" spans="1:115" ht="12" outlineLevel="1" collapsed="1"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4"/>
      <c r="AS724" s="44"/>
      <c r="AT724" s="44"/>
      <c r="AU724" s="44"/>
      <c r="AV724" s="44"/>
      <c r="AW724" s="45"/>
      <c r="AX724" s="44"/>
      <c r="AY724" s="44"/>
      <c r="AZ724" s="44"/>
      <c r="BA724" s="44"/>
      <c r="BB724" s="44"/>
      <c r="BC724" s="44"/>
      <c r="BD724" s="44"/>
      <c r="BE724" s="44"/>
      <c r="BF724" s="44"/>
      <c r="BG724" s="44"/>
      <c r="BH724" s="44"/>
      <c r="BI724" s="44"/>
      <c r="BJ724" s="44"/>
      <c r="BK724" s="44"/>
      <c r="BL724" s="44"/>
      <c r="BM724" s="44"/>
      <c r="BN724" s="44"/>
      <c r="BO724" s="44"/>
      <c r="BP724" s="44"/>
      <c r="BQ724" s="44"/>
      <c r="BR724" s="44"/>
      <c r="BS724" s="42"/>
      <c r="BT724" s="42"/>
      <c r="BU724" s="42"/>
      <c r="BV724" s="42"/>
      <c r="BW724" s="42"/>
      <c r="BX724" s="42"/>
      <c r="BY724" s="42"/>
      <c r="BZ724" s="42"/>
      <c r="CA724" s="42"/>
      <c r="CB724" s="42"/>
      <c r="CC724" s="42"/>
      <c r="CD724" s="42"/>
      <c r="CE724" s="42"/>
      <c r="CF724" s="42"/>
      <c r="CG724" s="42"/>
      <c r="CH724" s="42"/>
      <c r="CI724" s="42"/>
      <c r="CJ724" s="42"/>
      <c r="CK724" s="42"/>
      <c r="CL724" s="42"/>
      <c r="CM724" s="42"/>
      <c r="CN724" s="42"/>
      <c r="CO724" s="42"/>
      <c r="CP724" s="42"/>
      <c r="CQ724" s="42"/>
      <c r="CR724" s="42"/>
      <c r="CS724" s="42"/>
      <c r="CT724" s="42"/>
      <c r="CU724" s="42"/>
      <c r="CV724" s="42"/>
      <c r="CW724" s="42"/>
      <c r="CX724" s="42"/>
      <c r="CY724" s="43"/>
      <c r="CZ724" s="42"/>
      <c r="DA724" s="42"/>
      <c r="DC724" s="19"/>
      <c r="DD724" s="19"/>
      <c r="DE724" s="19"/>
      <c r="DF724" s="19"/>
      <c r="DG724" s="19"/>
      <c r="DH724" s="19"/>
      <c r="DI724" s="19"/>
    </row>
    <row r="725" spans="1:115" s="5" customFormat="1" ht="12.95" customHeight="1" outlineLevel="1">
      <c r="A725" s="1"/>
      <c r="B725" s="6" t="s">
        <v>375</v>
      </c>
      <c r="C725" s="584"/>
      <c r="D725" s="584"/>
      <c r="E725" s="584"/>
      <c r="F725" s="584"/>
      <c r="G725" s="584"/>
      <c r="H725" s="584"/>
      <c r="I725" s="584"/>
      <c r="J725" s="584"/>
      <c r="K725" s="584"/>
      <c r="L725" s="584"/>
      <c r="M725" s="584"/>
      <c r="N725" s="584"/>
      <c r="O725" s="584"/>
      <c r="P725" s="584"/>
      <c r="Q725" s="584"/>
      <c r="R725" s="584"/>
      <c r="S725" s="584"/>
      <c r="T725" s="515"/>
      <c r="U725" s="584"/>
      <c r="V725" s="584"/>
      <c r="W725" s="584"/>
      <c r="X725" s="584"/>
      <c r="Y725" s="515"/>
      <c r="Z725" s="515"/>
      <c r="AA725" s="515"/>
      <c r="AB725" s="515"/>
      <c r="AC725" s="515"/>
      <c r="AD725" s="515"/>
      <c r="AE725" s="515"/>
      <c r="AF725" s="515"/>
      <c r="AG725" s="515"/>
      <c r="AH725" s="515"/>
      <c r="AI725" s="515"/>
      <c r="AJ725" s="515"/>
      <c r="AK725" s="515"/>
      <c r="AL725" s="515"/>
      <c r="AM725" s="515"/>
      <c r="AN725" s="515"/>
      <c r="AO725" s="515"/>
      <c r="AP725" s="516" t="s">
        <v>797</v>
      </c>
      <c r="AQ725" s="516" t="s">
        <v>797</v>
      </c>
      <c r="AR725" s="516" t="s">
        <v>797</v>
      </c>
      <c r="AS725" s="516" t="s">
        <v>797</v>
      </c>
      <c r="AT725" s="516" t="s">
        <v>797</v>
      </c>
      <c r="AU725" s="516" t="s">
        <v>797</v>
      </c>
      <c r="AV725" s="516" t="s">
        <v>797</v>
      </c>
      <c r="AW725" s="583" t="s">
        <v>797</v>
      </c>
      <c r="AX725" s="418" t="s">
        <v>797</v>
      </c>
      <c r="AY725" s="418" t="s">
        <v>797</v>
      </c>
      <c r="AZ725" s="418" t="s">
        <v>797</v>
      </c>
      <c r="BA725" s="418" t="s">
        <v>797</v>
      </c>
      <c r="BB725" s="418" t="s">
        <v>797</v>
      </c>
      <c r="BC725" s="418" t="s">
        <v>797</v>
      </c>
      <c r="BD725" s="418" t="s">
        <v>797</v>
      </c>
      <c r="BE725" s="418" t="s">
        <v>797</v>
      </c>
      <c r="BF725" s="418" t="s">
        <v>797</v>
      </c>
      <c r="BG725" s="418" t="s">
        <v>797</v>
      </c>
      <c r="BH725" s="418" t="s">
        <v>797</v>
      </c>
      <c r="BI725" s="418" t="s">
        <v>797</v>
      </c>
      <c r="BJ725" s="418" t="s">
        <v>797</v>
      </c>
      <c r="BK725" s="418" t="s">
        <v>797</v>
      </c>
      <c r="BL725" s="418" t="s">
        <v>797</v>
      </c>
      <c r="BM725" s="418" t="s">
        <v>797</v>
      </c>
      <c r="BN725" s="418" t="s">
        <v>797</v>
      </c>
      <c r="BO725" s="418" t="s">
        <v>797</v>
      </c>
      <c r="BP725" s="418" t="s">
        <v>797</v>
      </c>
      <c r="BQ725" s="418" t="s">
        <v>797</v>
      </c>
      <c r="BR725" s="584"/>
      <c r="BS725" s="418"/>
      <c r="BT725" s="418"/>
      <c r="BU725" s="418"/>
      <c r="BV725" s="418"/>
      <c r="BW725" s="418"/>
      <c r="BX725" s="418"/>
      <c r="BY725" s="418"/>
      <c r="BZ725" s="418"/>
      <c r="CA725" s="418"/>
      <c r="CB725" s="418"/>
      <c r="CC725" s="418"/>
      <c r="CD725" s="418"/>
      <c r="CE725" s="418"/>
      <c r="CF725" s="418"/>
      <c r="CG725" s="418"/>
      <c r="CH725" s="418"/>
      <c r="CI725" s="418"/>
      <c r="CJ725" s="418"/>
      <c r="CK725" s="418"/>
      <c r="CL725" s="418"/>
      <c r="CM725" s="516"/>
      <c r="CN725" s="516"/>
      <c r="CO725" s="516"/>
      <c r="CP725" s="516"/>
      <c r="CQ725" s="516"/>
      <c r="CR725" s="516"/>
      <c r="CS725" s="516"/>
      <c r="CT725" s="516" t="s">
        <v>797</v>
      </c>
      <c r="CU725" s="516" t="s">
        <v>797</v>
      </c>
      <c r="CV725" s="516" t="s">
        <v>797</v>
      </c>
      <c r="CW725" s="516" t="s">
        <v>797</v>
      </c>
      <c r="CX725" s="516" t="s">
        <v>797</v>
      </c>
      <c r="CY725" s="583" t="s">
        <v>797</v>
      </c>
      <c r="CZ725" s="418" t="s">
        <v>797</v>
      </c>
      <c r="DA725" s="418" t="s">
        <v>797</v>
      </c>
      <c r="DB725" s="418" t="s">
        <v>797</v>
      </c>
      <c r="DC725" s="418" t="s">
        <v>797</v>
      </c>
      <c r="DD725" s="418" t="s">
        <v>797</v>
      </c>
      <c r="DE725" s="418" t="s">
        <v>797</v>
      </c>
      <c r="DF725" s="418" t="s">
        <v>797</v>
      </c>
      <c r="DG725" s="418" t="s">
        <v>797</v>
      </c>
      <c r="DH725" s="418" t="s">
        <v>797</v>
      </c>
      <c r="DI725" s="418" t="s">
        <v>797</v>
      </c>
    </row>
    <row r="726" spans="1:115" ht="12" outlineLevel="1">
      <c r="DC726" s="19"/>
      <c r="DD726" s="19"/>
      <c r="DE726" s="19"/>
      <c r="DF726" s="19"/>
      <c r="DG726" s="19"/>
      <c r="DH726" s="19"/>
      <c r="DI726" s="19"/>
    </row>
    <row r="727" spans="1:115" s="24" customFormat="1" ht="12" outlineLevel="1">
      <c r="A727" s="1"/>
      <c r="B727" s="24" t="s">
        <v>376</v>
      </c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2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13"/>
      <c r="CI727" s="13"/>
      <c r="CJ727" s="13"/>
      <c r="CK727" s="13"/>
      <c r="CL727" s="13"/>
      <c r="CM727" s="13"/>
      <c r="CN727" s="13"/>
      <c r="CO727" s="13"/>
      <c r="CP727" s="13"/>
      <c r="CQ727" s="13"/>
      <c r="CR727" s="13"/>
      <c r="CS727" s="13"/>
      <c r="CT727" s="13"/>
      <c r="CU727" s="13"/>
      <c r="CV727" s="13"/>
      <c r="CW727" s="13"/>
      <c r="CX727" s="13"/>
      <c r="CY727" s="23"/>
      <c r="CZ727" s="13"/>
      <c r="DA727" s="13"/>
      <c r="DB727" s="13"/>
    </row>
    <row r="728" spans="1:115" ht="12" outlineLevel="1">
      <c r="A728" s="1" t="s">
        <v>947</v>
      </c>
      <c r="B728" s="19" t="s">
        <v>198</v>
      </c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  <c r="AA728" s="47"/>
      <c r="AB728" s="47"/>
      <c r="AC728" s="47"/>
      <c r="AD728" s="47"/>
      <c r="AE728" s="47"/>
      <c r="AF728" s="47"/>
      <c r="AG728" s="47"/>
      <c r="AH728" s="47"/>
      <c r="AI728" s="47"/>
      <c r="AJ728" s="47"/>
      <c r="AK728" s="47"/>
      <c r="AL728" s="47"/>
      <c r="AM728" s="47"/>
      <c r="AN728" s="47"/>
      <c r="AO728" s="47"/>
      <c r="AP728" s="47">
        <v>4.9999999999999996E-2</v>
      </c>
      <c r="AQ728" s="47">
        <v>2.9810980621789466E-3</v>
      </c>
      <c r="AR728" s="47">
        <v>-1.8000000000000002E-2</v>
      </c>
      <c r="AS728" s="47">
        <v>8.3455661698406992E-3</v>
      </c>
      <c r="AT728" s="47">
        <v>3.2000000000000001E-2</v>
      </c>
      <c r="AU728" s="47">
        <v>3.3739782472223152E-2</v>
      </c>
      <c r="AV728" s="47">
        <v>4.0999999999999995E-2</v>
      </c>
      <c r="AW728" s="48">
        <v>2.1874498731773207E-2</v>
      </c>
      <c r="AX728" s="47">
        <v>2.6051455987420927E-2</v>
      </c>
      <c r="AY728" s="47">
        <v>4.6981070115074429E-2</v>
      </c>
      <c r="AZ728" s="47">
        <v>5.8487298515925469E-2</v>
      </c>
      <c r="BA728" s="47">
        <v>6.8804452965323462E-2</v>
      </c>
      <c r="BB728" s="47">
        <v>8.3409482138836422E-2</v>
      </c>
      <c r="BC728" s="47">
        <v>8.8148665155606848E-2</v>
      </c>
      <c r="BD728" s="47">
        <v>9.4108272706261292E-2</v>
      </c>
      <c r="BE728" s="47">
        <v>9.8704223205369312E-2</v>
      </c>
      <c r="BF728" s="47">
        <v>0.10574010816689644</v>
      </c>
      <c r="BG728" s="47">
        <v>0.10808018384435331</v>
      </c>
      <c r="BH728" s="47">
        <v>0.11434190989215823</v>
      </c>
      <c r="BI728" s="47">
        <v>0.11530893503061193</v>
      </c>
      <c r="BJ728" s="47">
        <v>0.12097492113496365</v>
      </c>
      <c r="BK728" s="47">
        <v>0.12198320806660937</v>
      </c>
      <c r="BL728" s="47">
        <v>0.12768192910762813</v>
      </c>
      <c r="BM728" s="47">
        <v>0.12928485412762672</v>
      </c>
      <c r="BN728" s="47">
        <v>0.13399340400044524</v>
      </c>
      <c r="BO728" s="47">
        <v>0.13476277126285505</v>
      </c>
      <c r="BP728" s="47">
        <v>0.14027464052704947</v>
      </c>
      <c r="BQ728" s="47">
        <v>0.14088776423472149</v>
      </c>
      <c r="BR728" s="47"/>
      <c r="BS728" s="47"/>
      <c r="BT728" s="47"/>
      <c r="BU728" s="47"/>
      <c r="BV728" s="47"/>
      <c r="BW728" s="47"/>
      <c r="BX728" s="47"/>
      <c r="BY728" s="47"/>
      <c r="BZ728" s="47"/>
      <c r="CA728" s="47"/>
      <c r="CB728" s="47"/>
      <c r="CC728" s="47"/>
      <c r="CD728" s="47"/>
      <c r="CE728" s="47"/>
      <c r="CF728" s="47"/>
      <c r="CG728" s="47"/>
      <c r="CH728" s="47"/>
      <c r="CI728" s="47"/>
      <c r="CJ728" s="47"/>
      <c r="CK728" s="47"/>
      <c r="CL728" s="47"/>
      <c r="CM728" s="47"/>
      <c r="CN728" s="47"/>
      <c r="CO728" s="47"/>
      <c r="CP728" s="47"/>
      <c r="CQ728" s="47"/>
      <c r="CR728" s="47"/>
      <c r="CS728" s="47"/>
      <c r="CT728" s="47"/>
      <c r="CU728" s="47"/>
      <c r="CV728" s="47">
        <v>4.8885094102544012E-2</v>
      </c>
      <c r="CW728" s="47">
        <v>-7.6501023223539775E-3</v>
      </c>
      <c r="CX728" s="47">
        <v>6.5727642628141958E-2</v>
      </c>
      <c r="CY728" s="48">
        <v>6.306728430127348E-2</v>
      </c>
      <c r="CZ728" s="47">
        <v>7.303252610249536E-2</v>
      </c>
      <c r="DA728" s="47">
        <v>0.12729175148124891</v>
      </c>
      <c r="DB728" s="47">
        <v>0.17155814729444327</v>
      </c>
      <c r="DC728" s="47">
        <v>0.19281249591163055</v>
      </c>
      <c r="DD728" s="47">
        <v>0.21382029201124975</v>
      </c>
      <c r="DE728" s="47">
        <v>0.22965084492277016</v>
      </c>
      <c r="DF728" s="47">
        <v>0.24295812920157298</v>
      </c>
      <c r="DG728" s="47">
        <v>0.25696678323525479</v>
      </c>
      <c r="DH728" s="47">
        <v>0.26875617526330026</v>
      </c>
      <c r="DI728" s="47">
        <v>0.28116240476177096</v>
      </c>
    </row>
    <row r="729" spans="1:115" ht="12" outlineLevel="1">
      <c r="A729" s="1" t="s">
        <v>948</v>
      </c>
      <c r="B729" s="19" t="s">
        <v>199</v>
      </c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  <c r="AA729" s="47"/>
      <c r="AB729" s="47"/>
      <c r="AC729" s="47"/>
      <c r="AD729" s="47"/>
      <c r="AE729" s="47"/>
      <c r="AF729" s="47"/>
      <c r="AG729" s="47"/>
      <c r="AH729" s="47"/>
      <c r="AI729" s="47"/>
      <c r="AJ729" s="47"/>
      <c r="AK729" s="47"/>
      <c r="AL729" s="47"/>
      <c r="AM729" s="47"/>
      <c r="AN729" s="47"/>
      <c r="AO729" s="47"/>
      <c r="AP729" s="47">
        <v>4.0999999999999995E-2</v>
      </c>
      <c r="AQ729" s="47">
        <v>2.5306296356240213E-3</v>
      </c>
      <c r="AR729" s="47">
        <v>-1.8000000000000002E-2</v>
      </c>
      <c r="AS729" s="47">
        <v>8.3455661698406992E-3</v>
      </c>
      <c r="AT729" s="47">
        <v>3.2000000000000001E-2</v>
      </c>
      <c r="AU729" s="47">
        <v>3.3232364758504093E-2</v>
      </c>
      <c r="AV729" s="47">
        <v>3.9999999999999994E-2</v>
      </c>
      <c r="AW729" s="48">
        <v>2.0983656109500374E-2</v>
      </c>
      <c r="AX729" s="47">
        <v>2.4682286853124451E-2</v>
      </c>
      <c r="AY729" s="47">
        <v>4.3215134935316285E-2</v>
      </c>
      <c r="AZ729" s="47">
        <v>5.3403721387573107E-2</v>
      </c>
      <c r="BA729" s="47">
        <v>6.2539401332984482E-2</v>
      </c>
      <c r="BB729" s="47">
        <v>7.5471927716787499E-2</v>
      </c>
      <c r="BC729" s="47">
        <v>7.9668400635390574E-2</v>
      </c>
      <c r="BD729" s="47">
        <v>8.4945540514421145E-2</v>
      </c>
      <c r="BE729" s="47">
        <v>8.9015183264341838E-2</v>
      </c>
      <c r="BF729" s="47">
        <v>9.5245350066293269E-2</v>
      </c>
      <c r="BG729" s="47">
        <v>9.7317450715957862E-2</v>
      </c>
      <c r="BH729" s="47">
        <v>0.10286211182955875</v>
      </c>
      <c r="BI729" s="47">
        <v>0.10371839756293708</v>
      </c>
      <c r="BJ729" s="47">
        <v>0.10873554021388632</v>
      </c>
      <c r="BK729" s="47">
        <v>0.1096283626239641</v>
      </c>
      <c r="BL729" s="47">
        <v>0.11467449155265981</v>
      </c>
      <c r="BM729" s="47">
        <v>0.11609385674981974</v>
      </c>
      <c r="BN729" s="47">
        <v>0.12026320449546556</v>
      </c>
      <c r="BO729" s="47">
        <v>0.12094446725103702</v>
      </c>
      <c r="BP729" s="47">
        <v>0.12582514183486751</v>
      </c>
      <c r="BQ729" s="47">
        <v>0.12636805335060647</v>
      </c>
      <c r="BR729" s="47"/>
      <c r="BS729" s="47"/>
      <c r="BT729" s="47"/>
      <c r="BU729" s="47"/>
      <c r="BV729" s="47"/>
      <c r="BW729" s="47"/>
      <c r="BX729" s="47"/>
      <c r="BY729" s="47"/>
      <c r="BZ729" s="47"/>
      <c r="CA729" s="47"/>
      <c r="CB729" s="47"/>
      <c r="CC729" s="47"/>
      <c r="CD729" s="47"/>
      <c r="CE729" s="47"/>
      <c r="CF729" s="47"/>
      <c r="CG729" s="47"/>
      <c r="CH729" s="47"/>
      <c r="CI729" s="47"/>
      <c r="CJ729" s="47"/>
      <c r="CK729" s="47"/>
      <c r="CL729" s="47"/>
      <c r="CM729" s="47"/>
      <c r="CN729" s="47"/>
      <c r="CO729" s="47"/>
      <c r="CP729" s="47"/>
      <c r="CQ729" s="47"/>
      <c r="CR729" s="47"/>
      <c r="CS729" s="47"/>
      <c r="CT729" s="47"/>
      <c r="CU729" s="47"/>
      <c r="CV729" s="47">
        <v>4.0846584250274508E-2</v>
      </c>
      <c r="CW729" s="47">
        <v>-7.6501023223539775E-3</v>
      </c>
      <c r="CX729" s="47">
        <v>6.5244315460983762E-2</v>
      </c>
      <c r="CY729" s="48">
        <v>6.0559567749303211E-2</v>
      </c>
      <c r="CZ729" s="47">
        <v>6.7897421788440743E-2</v>
      </c>
      <c r="DA729" s="47">
        <v>0.11594312272055758</v>
      </c>
      <c r="DB729" s="47">
        <v>0.15514032835217806</v>
      </c>
      <c r="DC729" s="47">
        <v>0.17396072377876298</v>
      </c>
      <c r="DD729" s="47">
        <v>0.19256280078225113</v>
      </c>
      <c r="DE729" s="47">
        <v>0.20658050939249581</v>
      </c>
      <c r="DF729" s="47">
        <v>0.21836390283785037</v>
      </c>
      <c r="DG729" s="47">
        <v>0.23076834830247955</v>
      </c>
      <c r="DH729" s="47">
        <v>0.24120767174650259</v>
      </c>
      <c r="DI729" s="47">
        <v>0.25219319518547401</v>
      </c>
    </row>
    <row r="730" spans="1:115" ht="12" outlineLevel="1">
      <c r="A730" s="1" t="s">
        <v>949</v>
      </c>
      <c r="B730" s="19" t="s">
        <v>200</v>
      </c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  <c r="AA730" s="47"/>
      <c r="AB730" s="47"/>
      <c r="AC730" s="47"/>
      <c r="AD730" s="47"/>
      <c r="AE730" s="47"/>
      <c r="AF730" s="47"/>
      <c r="AG730" s="47"/>
      <c r="AH730" s="47"/>
      <c r="AI730" s="47"/>
      <c r="AJ730" s="47"/>
      <c r="AK730" s="47"/>
      <c r="AL730" s="47"/>
      <c r="AM730" s="47"/>
      <c r="AN730" s="47"/>
      <c r="AO730" s="47"/>
      <c r="AP730" s="47">
        <v>-1.2126865671641779E-2</v>
      </c>
      <c r="AQ730" s="47">
        <v>2.0396986741224392E-3</v>
      </c>
      <c r="AR730" s="47">
        <v>7.8260869565218469E-4</v>
      </c>
      <c r="AS730" s="47">
        <v>8.3455661698406992E-3</v>
      </c>
      <c r="AT730" s="47">
        <v>3.2000000000000001E-2</v>
      </c>
      <c r="AU730" s="616">
        <v>3.3739782472223152E-2</v>
      </c>
      <c r="AV730" s="616">
        <v>4.0999999999999995E-2</v>
      </c>
      <c r="AW730" s="651">
        <v>2.1874498731773207E-2</v>
      </c>
      <c r="AX730" s="47">
        <v>2.6051455987420927E-2</v>
      </c>
      <c r="AY730" s="47">
        <v>4.6981070115074429E-2</v>
      </c>
      <c r="AZ730" s="47">
        <v>5.8487298515925469E-2</v>
      </c>
      <c r="BA730" s="47">
        <v>6.8804452965323462E-2</v>
      </c>
      <c r="BB730" s="47">
        <v>8.3409482138836422E-2</v>
      </c>
      <c r="BC730" s="47">
        <v>8.8148665155606848E-2</v>
      </c>
      <c r="BD730" s="47">
        <v>9.4108272706261292E-2</v>
      </c>
      <c r="BE730" s="47">
        <v>9.8704223205369312E-2</v>
      </c>
      <c r="BF730" s="47">
        <v>0.10574010816689644</v>
      </c>
      <c r="BG730" s="47">
        <v>0.10808018384435331</v>
      </c>
      <c r="BH730" s="47">
        <v>0.11434190989215823</v>
      </c>
      <c r="BI730" s="47">
        <v>0.11530893503061193</v>
      </c>
      <c r="BJ730" s="47">
        <v>0.12097492113496365</v>
      </c>
      <c r="BK730" s="47">
        <v>0.12198320806660937</v>
      </c>
      <c r="BL730" s="47">
        <v>0.12768192910762813</v>
      </c>
      <c r="BM730" s="47">
        <v>0.12928485412762672</v>
      </c>
      <c r="BN730" s="47">
        <v>0.13399340400044524</v>
      </c>
      <c r="BO730" s="47">
        <v>0.13476277126285505</v>
      </c>
      <c r="BP730" s="47">
        <v>0.14027464052704947</v>
      </c>
      <c r="BQ730" s="47">
        <v>0.14088776423472149</v>
      </c>
      <c r="BR730" s="47"/>
      <c r="BS730" s="47"/>
      <c r="BT730" s="47"/>
      <c r="BU730" s="47"/>
      <c r="BV730" s="47"/>
      <c r="BW730" s="47"/>
      <c r="BX730" s="47"/>
      <c r="BY730" s="47"/>
      <c r="BZ730" s="47"/>
      <c r="CA730" s="47"/>
      <c r="CB730" s="47"/>
      <c r="CC730" s="47"/>
      <c r="CD730" s="47"/>
      <c r="CE730" s="47"/>
      <c r="CF730" s="47"/>
      <c r="CG730" s="47"/>
      <c r="CH730" s="47"/>
      <c r="CI730" s="47"/>
      <c r="CJ730" s="47"/>
      <c r="CK730" s="47"/>
      <c r="CL730" s="47"/>
      <c r="CM730" s="47"/>
      <c r="CN730" s="47"/>
      <c r="CO730" s="47"/>
      <c r="CP730" s="47"/>
      <c r="CQ730" s="47"/>
      <c r="CR730" s="47"/>
      <c r="CS730" s="47"/>
      <c r="CT730" s="47"/>
      <c r="CU730" s="47"/>
      <c r="CV730" s="47">
        <v>-8.8572295934922895E-3</v>
      </c>
      <c r="CW730" s="47">
        <v>9.0410300173274331E-3</v>
      </c>
      <c r="CX730" s="47">
        <v>6.5727642628141986E-2</v>
      </c>
      <c r="CY730" s="48">
        <v>6.3067284301273438E-2</v>
      </c>
      <c r="CZ730" s="47">
        <v>7.3032526102495332E-2</v>
      </c>
      <c r="DA730" s="47">
        <v>0.12729175148124891</v>
      </c>
      <c r="DB730" s="47">
        <v>0.17155814729444324</v>
      </c>
      <c r="DC730" s="47">
        <v>0.19281249591163055</v>
      </c>
      <c r="DD730" s="47">
        <v>0.2138202920112498</v>
      </c>
      <c r="DE730" s="47">
        <v>0.22965084492277019</v>
      </c>
      <c r="DF730" s="47">
        <v>0.24295812920157298</v>
      </c>
      <c r="DG730" s="47">
        <v>0.25696678323525479</v>
      </c>
      <c r="DH730" s="47">
        <v>0.26875617526330026</v>
      </c>
      <c r="DI730" s="47">
        <v>0.28116240476177096</v>
      </c>
    </row>
    <row r="731" spans="1:115" s="68" customFormat="1" ht="12" outlineLevel="1">
      <c r="A731" s="1" t="s">
        <v>950</v>
      </c>
      <c r="B731" s="548" t="s">
        <v>201</v>
      </c>
      <c r="C731" s="408"/>
      <c r="D731" s="408"/>
      <c r="E731" s="408"/>
      <c r="F731" s="408"/>
      <c r="G731" s="408"/>
      <c r="H731" s="408"/>
      <c r="I731" s="408"/>
      <c r="J731" s="408"/>
      <c r="K731" s="408"/>
      <c r="L731" s="408"/>
      <c r="M731" s="408"/>
      <c r="N731" s="408"/>
      <c r="O731" s="408"/>
      <c r="P731" s="408"/>
      <c r="Q731" s="408"/>
      <c r="R731" s="408"/>
      <c r="S731" s="408"/>
      <c r="T731" s="394"/>
      <c r="U731" s="408"/>
      <c r="V731" s="408"/>
      <c r="W731" s="408"/>
      <c r="X731" s="408"/>
      <c r="Y731" s="394"/>
      <c r="Z731" s="394"/>
      <c r="AA731" s="394"/>
      <c r="AB731" s="394"/>
      <c r="AC731" s="394"/>
      <c r="AD731" s="394"/>
      <c r="AE731" s="394"/>
      <c r="AF731" s="394"/>
      <c r="AG731" s="394"/>
      <c r="AH731" s="394"/>
      <c r="AI731" s="394"/>
      <c r="AJ731" s="394"/>
      <c r="AK731" s="394"/>
      <c r="AL731" s="394"/>
      <c r="AM731" s="394"/>
      <c r="AN731" s="394"/>
      <c r="AO731" s="394"/>
      <c r="AP731" s="285"/>
      <c r="AQ731" s="285">
        <v>-1.1681966906660968</v>
      </c>
      <c r="AR731" s="285">
        <v>-0.61631161230768827</v>
      </c>
      <c r="AS731" s="285">
        <v>9.6637789947963029</v>
      </c>
      <c r="AT731" s="285">
        <v>2.834371371428575</v>
      </c>
      <c r="AU731" s="285">
        <v>5.4368202256973586E-2</v>
      </c>
      <c r="AV731" s="285">
        <v>0.21518270112600568</v>
      </c>
      <c r="AW731" s="286">
        <v>-0.46647564068845826</v>
      </c>
      <c r="AX731" s="162">
        <v>0.19095099306575625</v>
      </c>
      <c r="AY731" s="162">
        <v>0.80339517828713558</v>
      </c>
      <c r="AZ731" s="162">
        <v>0.24491201185217637</v>
      </c>
      <c r="BA731" s="162">
        <v>0.17639991436070068</v>
      </c>
      <c r="BB731" s="162">
        <v>0.21226866204246542</v>
      </c>
      <c r="BC731" s="162">
        <v>5.6818276474633667E-2</v>
      </c>
      <c r="BD731" s="162">
        <v>6.760859668304775E-2</v>
      </c>
      <c r="BE731" s="162">
        <v>4.8836838324015197E-2</v>
      </c>
      <c r="BF731" s="162">
        <v>7.1282511862617026E-2</v>
      </c>
      <c r="BG731" s="162">
        <v>2.2130445277806832E-2</v>
      </c>
      <c r="BH731" s="162">
        <v>5.7935930760651289E-2</v>
      </c>
      <c r="BI731" s="162">
        <v>8.4573114037167496E-3</v>
      </c>
      <c r="BJ731" s="162">
        <v>4.9137441975745766E-2</v>
      </c>
      <c r="BK731" s="162">
        <v>8.3346773214330039E-3</v>
      </c>
      <c r="BL731" s="162">
        <v>4.6717258312364951E-2</v>
      </c>
      <c r="BM731" s="162">
        <v>1.2554047633846599E-2</v>
      </c>
      <c r="BN731" s="162">
        <v>3.6419965080908501E-2</v>
      </c>
      <c r="BO731" s="162">
        <v>5.7418293695057354E-3</v>
      </c>
      <c r="BP731" s="162">
        <v>4.0900533675160888E-2</v>
      </c>
      <c r="BQ731" s="162">
        <v>4.3708806193931693E-3</v>
      </c>
      <c r="BR731" s="162"/>
      <c r="BS731" s="162"/>
      <c r="BT731" s="162"/>
      <c r="BU731" s="162"/>
      <c r="BV731" s="162"/>
      <c r="BW731" s="162"/>
      <c r="BX731" s="162"/>
      <c r="BY731" s="162"/>
      <c r="BZ731" s="162"/>
      <c r="CA731" s="162"/>
      <c r="CB731" s="162"/>
      <c r="CC731" s="162"/>
      <c r="CD731" s="162"/>
      <c r="CE731" s="162"/>
      <c r="CF731" s="162"/>
      <c r="CG731" s="162"/>
      <c r="CH731" s="162"/>
      <c r="CI731" s="162"/>
      <c r="CJ731" s="162"/>
      <c r="CK731" s="162"/>
      <c r="CL731" s="162"/>
      <c r="CM731" s="285"/>
      <c r="CN731" s="285"/>
      <c r="CO731" s="285"/>
      <c r="CP731" s="285"/>
      <c r="CQ731" s="285"/>
      <c r="CR731" s="285"/>
      <c r="CS731" s="285"/>
      <c r="CT731" s="285"/>
      <c r="CU731" s="285"/>
      <c r="CV731" s="285"/>
      <c r="CW731" s="285">
        <v>-2.020751457540424</v>
      </c>
      <c r="CX731" s="285">
        <v>6.2699285924471866</v>
      </c>
      <c r="CY731" s="286">
        <v>-4.0475486728159149E-2</v>
      </c>
      <c r="CZ731" s="162">
        <v>0.15800968618876587</v>
      </c>
      <c r="DA731" s="162">
        <v>0.74294603068508236</v>
      </c>
      <c r="DB731" s="162">
        <v>0.34775541461313875</v>
      </c>
      <c r="DC731" s="162">
        <v>0.12389005682550724</v>
      </c>
      <c r="DD731" s="162">
        <v>0.10895453637635355</v>
      </c>
      <c r="DE731" s="162">
        <v>7.4036719165492038E-2</v>
      </c>
      <c r="DF731" s="162">
        <v>5.7945723140177874E-2</v>
      </c>
      <c r="DG731" s="162">
        <v>5.7658717079021482E-2</v>
      </c>
      <c r="DH731" s="162">
        <v>4.5879050512346531E-2</v>
      </c>
      <c r="DI731" s="162">
        <v>4.616165372317993E-2</v>
      </c>
      <c r="DJ731" s="548"/>
      <c r="DK731" s="548"/>
    </row>
    <row r="732" spans="1:115" ht="12" outlineLevel="1">
      <c r="A732" s="1" t="s">
        <v>107</v>
      </c>
      <c r="B732" s="19" t="s">
        <v>202</v>
      </c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  <c r="AA732" s="47"/>
      <c r="AB732" s="47"/>
      <c r="AC732" s="47"/>
      <c r="AD732" s="47"/>
      <c r="AE732" s="47"/>
      <c r="AF732" s="47"/>
      <c r="AG732" s="47"/>
      <c r="AH732" s="47"/>
      <c r="AI732" s="47"/>
      <c r="AJ732" s="47"/>
      <c r="AK732" s="47"/>
      <c r="AL732" s="47"/>
      <c r="AM732" s="47"/>
      <c r="AN732" s="47"/>
      <c r="AO732" s="47"/>
      <c r="AP732" s="47">
        <v>-9.9440298507462582E-3</v>
      </c>
      <c r="AQ732" s="47">
        <v>1.7314834349006479E-3</v>
      </c>
      <c r="AR732" s="47">
        <v>7.8260869565218469E-4</v>
      </c>
      <c r="AS732" s="47">
        <v>8.3455661698406992E-3</v>
      </c>
      <c r="AT732" s="47">
        <v>3.2000000000000001E-2</v>
      </c>
      <c r="AU732" s="616">
        <v>3.3232364758504093E-2</v>
      </c>
      <c r="AV732" s="616">
        <v>3.9999999999999994E-2</v>
      </c>
      <c r="AW732" s="651">
        <v>2.0983656109500374E-2</v>
      </c>
      <c r="AX732" s="47">
        <v>2.4682286853124451E-2</v>
      </c>
      <c r="AY732" s="47">
        <v>4.3215134935316285E-2</v>
      </c>
      <c r="AZ732" s="47">
        <v>5.3403721387573107E-2</v>
      </c>
      <c r="BA732" s="47">
        <v>6.2539401332984482E-2</v>
      </c>
      <c r="BB732" s="47">
        <v>7.5471927716787499E-2</v>
      </c>
      <c r="BC732" s="47">
        <v>7.9668400635390574E-2</v>
      </c>
      <c r="BD732" s="47">
        <v>8.4945540514421145E-2</v>
      </c>
      <c r="BE732" s="47">
        <v>8.9015183264341838E-2</v>
      </c>
      <c r="BF732" s="47">
        <v>9.5245350066293269E-2</v>
      </c>
      <c r="BG732" s="47">
        <v>9.7317450715957862E-2</v>
      </c>
      <c r="BH732" s="47">
        <v>0.10286211182955875</v>
      </c>
      <c r="BI732" s="47">
        <v>0.10371839756293708</v>
      </c>
      <c r="BJ732" s="47">
        <v>0.10873554021388632</v>
      </c>
      <c r="BK732" s="47">
        <v>0.1096283626239641</v>
      </c>
      <c r="BL732" s="47">
        <v>0.11467449155265981</v>
      </c>
      <c r="BM732" s="47">
        <v>0.11609385674981974</v>
      </c>
      <c r="BN732" s="47">
        <v>0.12026320449546556</v>
      </c>
      <c r="BO732" s="47">
        <v>0.12094446725103702</v>
      </c>
      <c r="BP732" s="47">
        <v>0.12582514183486751</v>
      </c>
      <c r="BQ732" s="47">
        <v>0.12636805335060647</v>
      </c>
      <c r="BR732" s="47"/>
      <c r="BS732" s="47"/>
      <c r="BT732" s="47"/>
      <c r="BU732" s="47"/>
      <c r="BV732" s="47"/>
      <c r="BW732" s="47"/>
      <c r="BX732" s="47"/>
      <c r="BY732" s="47"/>
      <c r="BZ732" s="47"/>
      <c r="CA732" s="47"/>
      <c r="CB732" s="47"/>
      <c r="CC732" s="47"/>
      <c r="CD732" s="47"/>
      <c r="CE732" s="47"/>
      <c r="CF732" s="47"/>
      <c r="CG732" s="47"/>
      <c r="CH732" s="47"/>
      <c r="CI732" s="47"/>
      <c r="CJ732" s="47"/>
      <c r="CK732" s="47"/>
      <c r="CL732" s="47"/>
      <c r="CM732" s="47"/>
      <c r="CN732" s="47"/>
      <c r="CO732" s="47"/>
      <c r="CP732" s="47"/>
      <c r="CQ732" s="47"/>
      <c r="CR732" s="47"/>
      <c r="CS732" s="47"/>
      <c r="CT732" s="47"/>
      <c r="CU732" s="47"/>
      <c r="CV732" s="47">
        <v>-7.4007748467396269E-3</v>
      </c>
      <c r="CW732" s="47">
        <v>9.0410300173274331E-3</v>
      </c>
      <c r="CX732" s="47">
        <v>6.524431546098379E-2</v>
      </c>
      <c r="CY732" s="48">
        <v>6.0559567749303163E-2</v>
      </c>
      <c r="CZ732" s="47">
        <v>6.7897421788440715E-2</v>
      </c>
      <c r="DA732" s="47">
        <v>0.11594312272055758</v>
      </c>
      <c r="DB732" s="47">
        <v>0.15514032835217806</v>
      </c>
      <c r="DC732" s="47">
        <v>0.17396072377876298</v>
      </c>
      <c r="DD732" s="47">
        <v>0.19256280078225119</v>
      </c>
      <c r="DE732" s="47">
        <v>0.20658050939249584</v>
      </c>
      <c r="DF732" s="47">
        <v>0.21836390283785037</v>
      </c>
      <c r="DG732" s="47">
        <v>0.23076834830247955</v>
      </c>
      <c r="DH732" s="47">
        <v>0.24120767174650259</v>
      </c>
      <c r="DI732" s="47">
        <v>0.25219319518547401</v>
      </c>
    </row>
    <row r="733" spans="1:115" s="68" customFormat="1" ht="12" outlineLevel="1">
      <c r="A733" s="1" t="s">
        <v>106</v>
      </c>
      <c r="B733" s="548" t="s">
        <v>127</v>
      </c>
      <c r="C733" s="408"/>
      <c r="D733" s="408"/>
      <c r="E733" s="408"/>
      <c r="F733" s="408"/>
      <c r="G733" s="408"/>
      <c r="H733" s="408"/>
      <c r="I733" s="408"/>
      <c r="J733" s="408"/>
      <c r="K733" s="408"/>
      <c r="L733" s="408"/>
      <c r="M733" s="408"/>
      <c r="N733" s="408"/>
      <c r="O733" s="408"/>
      <c r="P733" s="408"/>
      <c r="Q733" s="408"/>
      <c r="R733" s="408"/>
      <c r="S733" s="408"/>
      <c r="T733" s="394"/>
      <c r="U733" s="408"/>
      <c r="V733" s="408"/>
      <c r="W733" s="408"/>
      <c r="X733" s="408"/>
      <c r="Y733" s="394"/>
      <c r="Z733" s="394"/>
      <c r="AA733" s="394"/>
      <c r="AB733" s="394"/>
      <c r="AC733" s="394"/>
      <c r="AD733" s="394"/>
      <c r="AE733" s="394"/>
      <c r="AF733" s="394"/>
      <c r="AG733" s="394"/>
      <c r="AH733" s="394"/>
      <c r="AI733" s="394"/>
      <c r="AJ733" s="394"/>
      <c r="AK733" s="394"/>
      <c r="AL733" s="394"/>
      <c r="AM733" s="394"/>
      <c r="AN733" s="394"/>
      <c r="AO733" s="394"/>
      <c r="AP733" s="285"/>
      <c r="AQ733" s="285">
        <v>-1.1741229120275325</v>
      </c>
      <c r="AR733" s="285">
        <v>-0.54801260013377462</v>
      </c>
      <c r="AS733" s="285">
        <v>9.6637789947963029</v>
      </c>
      <c r="AT733" s="285">
        <v>2.834371371428575</v>
      </c>
      <c r="AU733" s="285">
        <v>3.8511398703252819E-2</v>
      </c>
      <c r="AV733" s="285">
        <v>0.2036459123711345</v>
      </c>
      <c r="AW733" s="286">
        <v>-0.47540859726249052</v>
      </c>
      <c r="AX733" s="162">
        <v>0.17626245513762107</v>
      </c>
      <c r="AY733" s="162">
        <v>0.75085619871749532</v>
      </c>
      <c r="AZ733" s="162">
        <v>0.23576430959910066</v>
      </c>
      <c r="BA733" s="162">
        <v>0.17106822723289139</v>
      </c>
      <c r="BB733" s="162">
        <v>0.20679005727837296</v>
      </c>
      <c r="BC733" s="162">
        <v>5.5603097013111613E-2</v>
      </c>
      <c r="BD733" s="162">
        <v>6.6238807820202972E-2</v>
      </c>
      <c r="BE733" s="162">
        <v>4.7908845188050719E-2</v>
      </c>
      <c r="BF733" s="162">
        <v>6.9989934003170662E-2</v>
      </c>
      <c r="BG733" s="162">
        <v>2.1755399588771152E-2</v>
      </c>
      <c r="BH733" s="162">
        <v>5.6974993413916986E-2</v>
      </c>
      <c r="BI733" s="162">
        <v>8.3245980288366717E-3</v>
      </c>
      <c r="BJ733" s="162">
        <v>4.8372735877497464E-2</v>
      </c>
      <c r="BK733" s="162">
        <v>8.2109529995579855E-3</v>
      </c>
      <c r="BL733" s="162">
        <v>4.6029410710113572E-2</v>
      </c>
      <c r="BM733" s="162">
        <v>1.237734022573056E-2</v>
      </c>
      <c r="BN733" s="162">
        <v>3.59135949340601E-2</v>
      </c>
      <c r="BO733" s="162">
        <v>5.6647647003049695E-3</v>
      </c>
      <c r="BP733" s="162">
        <v>4.0354674296096293E-2</v>
      </c>
      <c r="BQ733" s="162">
        <v>4.314809487371507E-3</v>
      </c>
      <c r="BR733" s="162"/>
      <c r="BS733" s="162"/>
      <c r="BT733" s="162"/>
      <c r="BU733" s="162"/>
      <c r="BV733" s="162"/>
      <c r="BW733" s="162"/>
      <c r="BX733" s="162"/>
      <c r="BY733" s="162"/>
      <c r="BZ733" s="162"/>
      <c r="CA733" s="162"/>
      <c r="CB733" s="162"/>
      <c r="CC733" s="162"/>
      <c r="CD733" s="162"/>
      <c r="CE733" s="162"/>
      <c r="CF733" s="162"/>
      <c r="CG733" s="162"/>
      <c r="CH733" s="162"/>
      <c r="CI733" s="162"/>
      <c r="CJ733" s="162"/>
      <c r="CK733" s="162"/>
      <c r="CL733" s="162"/>
      <c r="CM733" s="285"/>
      <c r="CN733" s="285"/>
      <c r="CO733" s="285"/>
      <c r="CP733" s="285"/>
      <c r="CQ733" s="285"/>
      <c r="CR733" s="285"/>
      <c r="CS733" s="285"/>
      <c r="CT733" s="285"/>
      <c r="CU733" s="285"/>
      <c r="CV733" s="285"/>
      <c r="CW733" s="285">
        <v>-2.2216328971702755</v>
      </c>
      <c r="CX733" s="285">
        <v>6.2164692890014637</v>
      </c>
      <c r="CY733" s="286">
        <v>-7.180315524165648E-2</v>
      </c>
      <c r="CZ733" s="162">
        <v>0.1211675431620296</v>
      </c>
      <c r="DA733" s="162">
        <v>0.70762187527268483</v>
      </c>
      <c r="DB733" s="162">
        <v>0.33807270937571987</v>
      </c>
      <c r="DC733" s="162">
        <v>0.12131207679193179</v>
      </c>
      <c r="DD733" s="162">
        <v>0.10693262593656283</v>
      </c>
      <c r="DE733" s="162">
        <v>7.2795516856320575E-2</v>
      </c>
      <c r="DF733" s="162">
        <v>5.7040199387670576E-2</v>
      </c>
      <c r="DG733" s="162">
        <v>5.6806300416055056E-2</v>
      </c>
      <c r="DH733" s="162">
        <v>4.5237241245665638E-2</v>
      </c>
      <c r="DI733" s="162">
        <v>4.5543839295943522E-2</v>
      </c>
      <c r="DJ733" s="548"/>
      <c r="DK733" s="548"/>
    </row>
    <row r="734" spans="1:115" ht="12" outlineLevel="1">
      <c r="A734" s="1" t="s">
        <v>951</v>
      </c>
      <c r="B734" s="19" t="s">
        <v>53</v>
      </c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  <c r="AA734" s="47"/>
      <c r="AB734" s="47"/>
      <c r="AC734" s="47"/>
      <c r="AD734" s="47"/>
      <c r="AE734" s="47"/>
      <c r="AF734" s="47"/>
      <c r="AG734" s="47"/>
      <c r="AH734" s="47"/>
      <c r="AI734" s="47"/>
      <c r="AJ734" s="47"/>
      <c r="AK734" s="47"/>
      <c r="AL734" s="47"/>
      <c r="AM734" s="47"/>
      <c r="AN734" s="47"/>
      <c r="AO734" s="47"/>
      <c r="AP734" s="47">
        <v>3.5447761194029948E-3</v>
      </c>
      <c r="AQ734" s="47">
        <v>1.2551991840753498E-3</v>
      </c>
      <c r="AR734" s="47">
        <v>1.4086956521739153E-2</v>
      </c>
      <c r="AS734" s="47">
        <v>2.8215961812318571E-2</v>
      </c>
      <c r="AT734" s="47">
        <v>6.6925207756232702E-2</v>
      </c>
      <c r="AU734" s="47">
        <v>7.8334186651327756E-2</v>
      </c>
      <c r="AV734" s="47">
        <v>8.4143790849673189E-2</v>
      </c>
      <c r="AW734" s="48">
        <v>7.3097283262008747E-2</v>
      </c>
      <c r="AX734" s="47">
        <v>7.5088819777173466E-2</v>
      </c>
      <c r="AY734" s="47">
        <v>9.7272381509205197E-2</v>
      </c>
      <c r="AZ734" s="47">
        <v>0.11793376653843016</v>
      </c>
      <c r="BA734" s="47">
        <v>0.13571342553894611</v>
      </c>
      <c r="BB734" s="47">
        <v>0.16004563074161246</v>
      </c>
      <c r="BC734" s="47">
        <v>0.16793298783886257</v>
      </c>
      <c r="BD734" s="47">
        <v>0.17926145250416295</v>
      </c>
      <c r="BE734" s="47">
        <v>0.18762857026823496</v>
      </c>
      <c r="BF734" s="47">
        <v>0.20012056585223342</v>
      </c>
      <c r="BG734" s="47">
        <v>0.2043942451611796</v>
      </c>
      <c r="BH734" s="47">
        <v>0.2151931316474803</v>
      </c>
      <c r="BI734" s="47">
        <v>0.21697652538105358</v>
      </c>
      <c r="BJ734" s="47">
        <v>0.22708229506012167</v>
      </c>
      <c r="BK734" s="47">
        <v>0.22894243304092937</v>
      </c>
      <c r="BL734" s="47">
        <v>0.23905559704348192</v>
      </c>
      <c r="BM734" s="47">
        <v>0.24205198944910902</v>
      </c>
      <c r="BN734" s="47">
        <v>0.25076174543684804</v>
      </c>
      <c r="BO734" s="47">
        <v>0.25229766460921516</v>
      </c>
      <c r="BP734" s="47">
        <v>0.26240457809191853</v>
      </c>
      <c r="BQ734" s="47">
        <v>0.26372457786196851</v>
      </c>
      <c r="BR734" s="47"/>
      <c r="BS734" s="47"/>
      <c r="BT734" s="47"/>
      <c r="BU734" s="47"/>
      <c r="BV734" s="47"/>
      <c r="BW734" s="47"/>
      <c r="BX734" s="47"/>
      <c r="BY734" s="47"/>
      <c r="BZ734" s="47"/>
      <c r="CA734" s="47"/>
      <c r="CB734" s="47"/>
      <c r="CC734" s="47"/>
      <c r="CD734" s="47"/>
      <c r="CE734" s="47"/>
      <c r="CF734" s="47"/>
      <c r="CG734" s="47"/>
      <c r="CH734" s="47"/>
      <c r="CI734" s="47"/>
      <c r="CJ734" s="47"/>
      <c r="CK734" s="47"/>
      <c r="CL734" s="47"/>
      <c r="CM734" s="47"/>
      <c r="CN734" s="47"/>
      <c r="CO734" s="47"/>
      <c r="CP734" s="47"/>
      <c r="CQ734" s="47"/>
      <c r="CR734" s="47"/>
      <c r="CS734" s="47"/>
      <c r="CT734" s="47"/>
      <c r="CU734" s="47"/>
      <c r="CV734" s="47">
        <v>4.598946135082542E-3</v>
      </c>
      <c r="CW734" s="47">
        <v>4.0734311067079643E-2</v>
      </c>
      <c r="CX734" s="47">
        <v>0.14515600640356696</v>
      </c>
      <c r="CY734" s="48">
        <v>0.15735242320661072</v>
      </c>
      <c r="CZ734" s="47">
        <v>0.17236120128637863</v>
      </c>
      <c r="DA734" s="47">
        <v>0.25364719207737624</v>
      </c>
      <c r="DB734" s="47">
        <v>0.32797861858047495</v>
      </c>
      <c r="DC734" s="47">
        <v>0.36689002277239785</v>
      </c>
      <c r="DD734" s="47">
        <v>0.40451481101341313</v>
      </c>
      <c r="DE734" s="47">
        <v>0.43216965702853394</v>
      </c>
      <c r="DF734" s="47">
        <v>0.45602472810105105</v>
      </c>
      <c r="DG734" s="47">
        <v>0.48110758649259083</v>
      </c>
      <c r="DH734" s="47">
        <v>0.50305941004606314</v>
      </c>
      <c r="DI734" s="47">
        <v>0.5261291559538871</v>
      </c>
    </row>
    <row r="735" spans="1:115" ht="12" outlineLevel="1">
      <c r="A735" s="1" t="s">
        <v>981</v>
      </c>
      <c r="B735" s="19" t="s">
        <v>389</v>
      </c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  <c r="AA735" s="47"/>
      <c r="AB735" s="47"/>
      <c r="AC735" s="47"/>
      <c r="AD735" s="47"/>
      <c r="AE735" s="47"/>
      <c r="AF735" s="47"/>
      <c r="AG735" s="47"/>
      <c r="AH735" s="47"/>
      <c r="AI735" s="47"/>
      <c r="AJ735" s="47"/>
      <c r="AK735" s="47"/>
      <c r="AL735" s="47"/>
      <c r="AM735" s="47"/>
      <c r="AN735" s="47"/>
      <c r="AO735" s="47"/>
      <c r="AP735" s="47">
        <v>0</v>
      </c>
      <c r="AQ735" s="47">
        <v>0</v>
      </c>
      <c r="AR735" s="47">
        <v>0</v>
      </c>
      <c r="AS735" s="47">
        <v>0</v>
      </c>
      <c r="AT735" s="47">
        <v>0</v>
      </c>
      <c r="AU735" s="47">
        <v>0</v>
      </c>
      <c r="AV735" s="47">
        <v>0</v>
      </c>
      <c r="AW735" s="48">
        <v>0</v>
      </c>
      <c r="AX735" s="47">
        <v>0</v>
      </c>
      <c r="AY735" s="47">
        <v>0</v>
      </c>
      <c r="AZ735" s="47">
        <v>0</v>
      </c>
      <c r="BA735" s="47">
        <v>0</v>
      </c>
      <c r="BB735" s="47">
        <v>4.1000000000000002E-2</v>
      </c>
      <c r="BC735" s="47">
        <v>4.2999999999999997E-2</v>
      </c>
      <c r="BD735" s="47">
        <v>4.5999999999999999E-2</v>
      </c>
      <c r="BE735" s="47">
        <v>4.8000000000000001E-2</v>
      </c>
      <c r="BF735" s="47">
        <v>5.1999999999999998E-2</v>
      </c>
      <c r="BG735" s="47">
        <v>5.2999999999999999E-2</v>
      </c>
      <c r="BH735" s="47">
        <v>5.6000000000000001E-2</v>
      </c>
      <c r="BI735" s="47">
        <v>5.7000000000000002E-2</v>
      </c>
      <c r="BJ735" s="47">
        <v>0.06</v>
      </c>
      <c r="BK735" s="47">
        <v>6.0999999999999999E-2</v>
      </c>
      <c r="BL735" s="47">
        <v>6.3E-2</v>
      </c>
      <c r="BM735" s="47">
        <v>6.4000000000000001E-2</v>
      </c>
      <c r="BN735" s="47">
        <v>6.6000000000000003E-2</v>
      </c>
      <c r="BO735" s="47">
        <v>6.7000000000000004E-2</v>
      </c>
      <c r="BP735" s="47">
        <v>6.9000000000000006E-2</v>
      </c>
      <c r="BQ735" s="47">
        <v>6.9000000000000006E-2</v>
      </c>
      <c r="BR735" s="47"/>
      <c r="BS735" s="47"/>
      <c r="BT735" s="47"/>
      <c r="BU735" s="47"/>
      <c r="BV735" s="47"/>
      <c r="BW735" s="47"/>
      <c r="BX735" s="47"/>
      <c r="BY735" s="47"/>
      <c r="BZ735" s="47"/>
      <c r="CA735" s="47"/>
      <c r="CB735" s="47"/>
      <c r="CC735" s="47"/>
      <c r="CD735" s="47"/>
      <c r="CE735" s="47"/>
      <c r="CF735" s="47"/>
      <c r="CG735" s="47"/>
      <c r="CH735" s="47"/>
      <c r="CI735" s="47"/>
      <c r="CJ735" s="47"/>
      <c r="CK735" s="47"/>
      <c r="CL735" s="47"/>
      <c r="CM735" s="47"/>
      <c r="CN735" s="47"/>
      <c r="CO735" s="47"/>
      <c r="CP735" s="47"/>
      <c r="CQ735" s="47"/>
      <c r="CR735" s="47"/>
      <c r="CS735" s="47"/>
      <c r="CT735" s="47"/>
      <c r="CU735" s="47"/>
      <c r="CV735" s="47">
        <v>0</v>
      </c>
      <c r="CW735" s="47">
        <v>0</v>
      </c>
      <c r="CX735" s="47">
        <v>0</v>
      </c>
      <c r="CY735" s="48">
        <v>0</v>
      </c>
      <c r="CZ735" s="47">
        <v>0</v>
      </c>
      <c r="DA735" s="47">
        <v>0</v>
      </c>
      <c r="DB735" s="47">
        <v>8.3999999999999991E-2</v>
      </c>
      <c r="DC735" s="47">
        <v>9.4E-2</v>
      </c>
      <c r="DD735" s="47">
        <v>0.105</v>
      </c>
      <c r="DE735" s="47">
        <v>0.113</v>
      </c>
      <c r="DF735" s="47">
        <v>0.121</v>
      </c>
      <c r="DG735" s="47">
        <v>0.127</v>
      </c>
      <c r="DH735" s="47">
        <v>0.13300000000000001</v>
      </c>
      <c r="DI735" s="47">
        <v>0.13800000000000001</v>
      </c>
    </row>
    <row r="736" spans="1:115" ht="12" outlineLevel="1">
      <c r="A736" s="1" t="s">
        <v>2527</v>
      </c>
      <c r="B736" s="19" t="s">
        <v>2528</v>
      </c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  <c r="AG736" s="17"/>
      <c r="AH736" s="17"/>
      <c r="AI736" s="17"/>
      <c r="AJ736" s="17"/>
      <c r="AK736" s="17"/>
      <c r="AL736" s="17"/>
      <c r="AM736" s="17"/>
      <c r="AN736" s="17"/>
      <c r="AO736" s="17"/>
      <c r="AP736" s="389">
        <v>0</v>
      </c>
      <c r="AQ736" s="389">
        <v>0</v>
      </c>
      <c r="AR736" s="389">
        <v>0</v>
      </c>
      <c r="AS736" s="389">
        <v>0</v>
      </c>
      <c r="AT736" s="389">
        <v>0</v>
      </c>
      <c r="AU736" s="389">
        <v>0</v>
      </c>
      <c r="AV736" s="389">
        <v>0</v>
      </c>
      <c r="AW736" s="390">
        <v>0</v>
      </c>
      <c r="AX736" s="391">
        <v>0</v>
      </c>
      <c r="AY736" s="391">
        <v>0</v>
      </c>
      <c r="AZ736" s="391">
        <v>0</v>
      </c>
      <c r="BA736" s="391">
        <v>0</v>
      </c>
      <c r="BB736" s="391">
        <v>0</v>
      </c>
      <c r="BC736" s="391">
        <v>0</v>
      </c>
      <c r="BD736" s="391">
        <v>0</v>
      </c>
      <c r="BE736" s="391">
        <v>0</v>
      </c>
      <c r="BF736" s="391">
        <v>0</v>
      </c>
      <c r="BG736" s="391">
        <v>0</v>
      </c>
      <c r="BH736" s="391">
        <v>0</v>
      </c>
      <c r="BI736" s="391">
        <v>0</v>
      </c>
      <c r="BJ736" s="391">
        <v>0</v>
      </c>
      <c r="BK736" s="391">
        <v>0</v>
      </c>
      <c r="BL736" s="391">
        <v>0</v>
      </c>
      <c r="BM736" s="391">
        <v>0</v>
      </c>
      <c r="BN736" s="391">
        <v>0</v>
      </c>
      <c r="BO736" s="391">
        <v>0</v>
      </c>
      <c r="BP736" s="391">
        <v>0</v>
      </c>
      <c r="BQ736" s="391">
        <v>0</v>
      </c>
      <c r="BR736" s="42"/>
      <c r="BS736" s="419"/>
      <c r="BT736" s="419"/>
      <c r="BU736" s="419"/>
      <c r="BV736" s="419"/>
      <c r="BW736" s="419"/>
      <c r="BX736" s="419"/>
      <c r="BY736" s="419"/>
      <c r="BZ736" s="419"/>
      <c r="CA736" s="419"/>
      <c r="CB736" s="419"/>
      <c r="CC736" s="17"/>
      <c r="CD736" s="17"/>
      <c r="CE736" s="17"/>
      <c r="CF736" s="17"/>
      <c r="CG736" s="17"/>
      <c r="CH736" s="17"/>
      <c r="CI736" s="17"/>
      <c r="CJ736" s="17"/>
      <c r="CK736" s="17"/>
      <c r="CL736" s="17"/>
      <c r="CM736" s="17"/>
      <c r="CN736" s="17"/>
      <c r="CO736" s="47"/>
      <c r="CP736" s="47"/>
      <c r="CQ736" s="47"/>
      <c r="CR736" s="47"/>
      <c r="CS736" s="47"/>
      <c r="CT736" s="389"/>
      <c r="CU736" s="389"/>
      <c r="CV736" s="17">
        <v>0</v>
      </c>
      <c r="CW736" s="17">
        <v>0</v>
      </c>
      <c r="CX736" s="17">
        <v>0</v>
      </c>
      <c r="CY736" s="20">
        <v>0</v>
      </c>
      <c r="CZ736" s="47">
        <v>0</v>
      </c>
      <c r="DA736" s="47">
        <v>0</v>
      </c>
      <c r="DB736" s="47">
        <v>0</v>
      </c>
      <c r="DC736" s="47">
        <v>0</v>
      </c>
      <c r="DD736" s="47">
        <v>0</v>
      </c>
      <c r="DE736" s="47">
        <v>0</v>
      </c>
      <c r="DF736" s="47">
        <v>0</v>
      </c>
      <c r="DG736" s="47">
        <v>0</v>
      </c>
      <c r="DH736" s="47">
        <v>0</v>
      </c>
      <c r="DI736" s="47">
        <v>0</v>
      </c>
    </row>
    <row r="737" spans="1:113" ht="12" outlineLevel="1">
      <c r="A737" s="1" t="s">
        <v>952</v>
      </c>
      <c r="B737" s="19" t="s">
        <v>390</v>
      </c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  <c r="AA737" s="47"/>
      <c r="AB737" s="47"/>
      <c r="AC737" s="47"/>
      <c r="AD737" s="47"/>
      <c r="AE737" s="47"/>
      <c r="AF737" s="47"/>
      <c r="AG737" s="47"/>
      <c r="AH737" s="47"/>
      <c r="AI737" s="47"/>
      <c r="AJ737" s="47"/>
      <c r="AK737" s="47"/>
      <c r="AL737" s="47"/>
      <c r="AM737" s="47"/>
      <c r="AN737" s="47"/>
      <c r="AO737" s="47"/>
      <c r="AP737" s="47">
        <v>0</v>
      </c>
      <c r="AQ737" s="47">
        <v>0</v>
      </c>
      <c r="AR737" s="47">
        <v>0</v>
      </c>
      <c r="AS737" s="47">
        <v>0</v>
      </c>
      <c r="AT737" s="47">
        <v>0</v>
      </c>
      <c r="AU737" s="47">
        <v>0</v>
      </c>
      <c r="AV737" s="47">
        <v>0</v>
      </c>
      <c r="AW737" s="48">
        <v>0</v>
      </c>
      <c r="AX737" s="47">
        <v>0</v>
      </c>
      <c r="AY737" s="47">
        <v>0</v>
      </c>
      <c r="AZ737" s="47">
        <v>0</v>
      </c>
      <c r="BA737" s="47">
        <v>0</v>
      </c>
      <c r="BB737" s="47">
        <v>5.8571428571428573E-2</v>
      </c>
      <c r="BC737" s="47">
        <v>6.1428571428571423E-2</v>
      </c>
      <c r="BD737" s="47">
        <v>6.5714285714285711E-2</v>
      </c>
      <c r="BE737" s="47">
        <v>6.8571428571428575E-2</v>
      </c>
      <c r="BF737" s="47">
        <v>7.4285714285714288E-2</v>
      </c>
      <c r="BG737" s="47">
        <v>7.571428571428572E-2</v>
      </c>
      <c r="BH737" s="47">
        <v>0.08</v>
      </c>
      <c r="BI737" s="47">
        <v>8.1428571428571433E-2</v>
      </c>
      <c r="BJ737" s="47">
        <v>8.5714285714285715E-2</v>
      </c>
      <c r="BK737" s="47">
        <v>8.7142857142857147E-2</v>
      </c>
      <c r="BL737" s="47">
        <v>0.09</v>
      </c>
      <c r="BM737" s="47">
        <v>9.1428571428571428E-2</v>
      </c>
      <c r="BN737" s="47">
        <v>9.4285714285714292E-2</v>
      </c>
      <c r="BO737" s="47">
        <v>9.5714285714285724E-2</v>
      </c>
      <c r="BP737" s="47">
        <v>9.8571428571428588E-2</v>
      </c>
      <c r="BQ737" s="47">
        <v>9.8571428571428588E-2</v>
      </c>
      <c r="BR737" s="47"/>
      <c r="BS737" s="47"/>
      <c r="BT737" s="47"/>
      <c r="BU737" s="47"/>
      <c r="BV737" s="47"/>
      <c r="BW737" s="47"/>
      <c r="BX737" s="47"/>
      <c r="BY737" s="47"/>
      <c r="BZ737" s="47"/>
      <c r="CA737" s="47"/>
      <c r="CB737" s="47"/>
      <c r="CC737" s="47"/>
      <c r="CD737" s="47"/>
      <c r="CE737" s="47"/>
      <c r="CF737" s="47"/>
      <c r="CG737" s="47"/>
      <c r="CH737" s="47"/>
      <c r="CI737" s="47"/>
      <c r="CJ737" s="47"/>
      <c r="CK737" s="47"/>
      <c r="CL737" s="47"/>
      <c r="CM737" s="47"/>
      <c r="CN737" s="47"/>
      <c r="CO737" s="47"/>
      <c r="CP737" s="47"/>
      <c r="CQ737" s="47"/>
      <c r="CR737" s="47"/>
      <c r="CS737" s="47"/>
      <c r="CT737" s="47"/>
      <c r="CU737" s="47"/>
      <c r="CV737" s="47">
        <v>0</v>
      </c>
      <c r="CW737" s="47">
        <v>0</v>
      </c>
      <c r="CX737" s="47">
        <v>0</v>
      </c>
      <c r="CY737" s="48">
        <v>0</v>
      </c>
      <c r="CZ737" s="47">
        <v>0</v>
      </c>
      <c r="DA737" s="47">
        <v>0</v>
      </c>
      <c r="DB737" s="47">
        <v>0.12</v>
      </c>
      <c r="DC737" s="47">
        <v>0.13428571428571429</v>
      </c>
      <c r="DD737" s="47">
        <v>0.15000000000000002</v>
      </c>
      <c r="DE737" s="47">
        <v>0.16142857142857142</v>
      </c>
      <c r="DF737" s="47">
        <v>0.17285714285714288</v>
      </c>
      <c r="DG737" s="47">
        <v>0.18142857142857144</v>
      </c>
      <c r="DH737" s="47">
        <v>0.19</v>
      </c>
      <c r="DI737" s="47">
        <v>0.19714285714285718</v>
      </c>
    </row>
    <row r="738" spans="1:113" ht="12" outlineLevel="1">
      <c r="A738" s="1" t="s">
        <v>953</v>
      </c>
      <c r="B738" s="19" t="s">
        <v>391</v>
      </c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  <c r="AA738" s="47"/>
      <c r="AB738" s="47"/>
      <c r="AC738" s="47"/>
      <c r="AD738" s="47"/>
      <c r="AE738" s="47"/>
      <c r="AF738" s="47"/>
      <c r="AG738" s="47"/>
      <c r="AH738" s="47"/>
      <c r="AI738" s="47"/>
      <c r="AJ738" s="47"/>
      <c r="AK738" s="47"/>
      <c r="AL738" s="47"/>
      <c r="AM738" s="47"/>
      <c r="AN738" s="47"/>
      <c r="AO738" s="47"/>
      <c r="AP738" s="47">
        <v>-0.21212686567164174</v>
      </c>
      <c r="AQ738" s="47">
        <v>-0.60830090458251318</v>
      </c>
      <c r="AR738" s="47">
        <v>-0.41031055900621155</v>
      </c>
      <c r="AS738" s="47">
        <v>-4.8682469324070783E-3</v>
      </c>
      <c r="AT738" s="47">
        <v>0</v>
      </c>
      <c r="AU738" s="47">
        <v>0</v>
      </c>
      <c r="AV738" s="47">
        <v>0</v>
      </c>
      <c r="AW738" s="48">
        <v>0</v>
      </c>
      <c r="AX738" s="47">
        <v>0</v>
      </c>
      <c r="AY738" s="47">
        <v>0</v>
      </c>
      <c r="AZ738" s="47">
        <v>0</v>
      </c>
      <c r="BA738" s="47">
        <v>0</v>
      </c>
      <c r="BB738" s="47">
        <v>0</v>
      </c>
      <c r="BC738" s="47">
        <v>4.1453391093714632E-2</v>
      </c>
      <c r="BD738" s="47">
        <v>4.347550773243241E-2</v>
      </c>
      <c r="BE738" s="47">
        <v>4.6508682690509097E-2</v>
      </c>
      <c r="BF738" s="47">
        <v>4.8530799329226881E-2</v>
      </c>
      <c r="BG738" s="47">
        <v>5.2575032606662457E-2</v>
      </c>
      <c r="BH738" s="47">
        <v>5.3586090926021346E-2</v>
      </c>
      <c r="BI738" s="47">
        <v>5.6619265884098033E-2</v>
      </c>
      <c r="BJ738" s="47">
        <v>5.7630324203456922E-2</v>
      </c>
      <c r="BK738" s="47">
        <v>6.0663499161533595E-2</v>
      </c>
      <c r="BL738" s="47">
        <v>6.167455748089249E-2</v>
      </c>
      <c r="BM738" s="47">
        <v>6.3696674119610275E-2</v>
      </c>
      <c r="BN738" s="47">
        <v>6.470773243896917E-2</v>
      </c>
      <c r="BO738" s="47">
        <v>6.6729849077686962E-2</v>
      </c>
      <c r="BP738" s="47">
        <v>6.7740907397045858E-2</v>
      </c>
      <c r="BQ738" s="47">
        <v>6.9763024035763649E-2</v>
      </c>
      <c r="BR738" s="47"/>
      <c r="BS738" s="47"/>
      <c r="BT738" s="47"/>
      <c r="BU738" s="47"/>
      <c r="BV738" s="47"/>
      <c r="BW738" s="47"/>
      <c r="BX738" s="47"/>
      <c r="BY738" s="47"/>
      <c r="BZ738" s="47"/>
      <c r="CA738" s="47"/>
      <c r="CB738" s="47"/>
      <c r="CC738" s="47"/>
      <c r="CD738" s="47"/>
      <c r="CE738" s="47"/>
      <c r="CF738" s="47"/>
      <c r="CG738" s="47"/>
      <c r="CH738" s="47"/>
      <c r="CI738" s="47"/>
      <c r="CJ738" s="47"/>
      <c r="CK738" s="47"/>
      <c r="CL738" s="47"/>
      <c r="CM738" s="47"/>
      <c r="CN738" s="47"/>
      <c r="CO738" s="47"/>
      <c r="CP738" s="47"/>
      <c r="CQ738" s="47"/>
      <c r="CR738" s="47"/>
      <c r="CS738" s="47"/>
      <c r="CT738" s="47"/>
      <c r="CU738" s="47"/>
      <c r="CV738" s="47">
        <v>0</v>
      </c>
      <c r="CW738" s="47">
        <v>-0.36949000697187606</v>
      </c>
      <c r="CX738" s="47">
        <v>0</v>
      </c>
      <c r="CY738" s="48">
        <v>0</v>
      </c>
      <c r="CZ738" s="47">
        <v>0</v>
      </c>
      <c r="DA738" s="47">
        <v>0</v>
      </c>
      <c r="DB738" s="47">
        <v>4.1453391093714632E-2</v>
      </c>
      <c r="DC738" s="47">
        <v>8.9984190422941493E-2</v>
      </c>
      <c r="DD738" s="47">
        <v>0.10110583193588935</v>
      </c>
      <c r="DE738" s="47">
        <v>0.11020535681011938</v>
      </c>
      <c r="DF738" s="47">
        <v>0.1182938233649905</v>
      </c>
      <c r="DG738" s="47">
        <v>0.12537123160050276</v>
      </c>
      <c r="DH738" s="47">
        <v>0.13143758151665616</v>
      </c>
      <c r="DI738" s="47">
        <v>0.13750393143280951</v>
      </c>
    </row>
    <row r="739" spans="1:113" ht="12" outlineLevel="1">
      <c r="A739" s="1" t="s">
        <v>959</v>
      </c>
      <c r="B739" s="19" t="s">
        <v>489</v>
      </c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  <c r="AA739" s="47"/>
      <c r="AB739" s="47"/>
      <c r="AC739" s="47"/>
      <c r="AD739" s="47"/>
      <c r="AE739" s="47"/>
      <c r="AF739" s="47"/>
      <c r="AG739" s="47"/>
      <c r="AH739" s="47"/>
      <c r="AI739" s="47"/>
      <c r="AJ739" s="47"/>
      <c r="AK739" s="47"/>
      <c r="AL739" s="47"/>
      <c r="AM739" s="47"/>
      <c r="AN739" s="47"/>
      <c r="AO739" s="47"/>
      <c r="AP739" s="47">
        <v>-0.21212686567164174</v>
      </c>
      <c r="AQ739" s="47">
        <v>-0.60830090458251318</v>
      </c>
      <c r="AR739" s="47">
        <v>-0.41031055900621155</v>
      </c>
      <c r="AS739" s="47">
        <v>-4.8682469324070783E-3</v>
      </c>
      <c r="AT739" s="47">
        <v>0</v>
      </c>
      <c r="AU739" s="47">
        <v>0</v>
      </c>
      <c r="AV739" s="47">
        <v>0</v>
      </c>
      <c r="AW739" s="48">
        <v>0</v>
      </c>
      <c r="AX739" s="47">
        <v>0</v>
      </c>
      <c r="AY739" s="47">
        <v>0</v>
      </c>
      <c r="AZ739" s="47">
        <v>0</v>
      </c>
      <c r="BA739" s="47">
        <v>0</v>
      </c>
      <c r="BB739" s="47">
        <v>0</v>
      </c>
      <c r="BC739" s="47">
        <v>5.2112834517812685E-2</v>
      </c>
      <c r="BD739" s="47">
        <v>5.4654924006486458E-2</v>
      </c>
      <c r="BE739" s="47">
        <v>5.8468058239497155E-2</v>
      </c>
      <c r="BF739" s="47">
        <v>6.1010147728170934E-2</v>
      </c>
      <c r="BG739" s="47">
        <v>6.6094326705518514E-2</v>
      </c>
      <c r="BH739" s="47">
        <v>6.736537144985541E-2</v>
      </c>
      <c r="BI739" s="47">
        <v>7.11785056828661E-2</v>
      </c>
      <c r="BJ739" s="47">
        <v>7.2449550427202997E-2</v>
      </c>
      <c r="BK739" s="47">
        <v>7.6262684660213673E-2</v>
      </c>
      <c r="BL739" s="47">
        <v>7.7533729404550569E-2</v>
      </c>
      <c r="BM739" s="47">
        <v>8.0075818893224349E-2</v>
      </c>
      <c r="BN739" s="47">
        <v>8.1346863637561259E-2</v>
      </c>
      <c r="BO739" s="47">
        <v>8.3888953126235039E-2</v>
      </c>
      <c r="BP739" s="47">
        <v>8.5159997870571949E-2</v>
      </c>
      <c r="BQ739" s="47">
        <v>8.7702087359245728E-2</v>
      </c>
      <c r="BR739" s="47"/>
      <c r="BS739" s="47"/>
      <c r="BT739" s="47"/>
      <c r="BU739" s="47"/>
      <c r="BV739" s="47"/>
      <c r="BW739" s="47"/>
      <c r="BX739" s="47"/>
      <c r="BY739" s="47"/>
      <c r="BZ739" s="47"/>
      <c r="CA739" s="47"/>
      <c r="CB739" s="47"/>
      <c r="CC739" s="47"/>
      <c r="CD739" s="47"/>
      <c r="CE739" s="47"/>
      <c r="CF739" s="47"/>
      <c r="CG739" s="47"/>
      <c r="CH739" s="47"/>
      <c r="CI739" s="47"/>
      <c r="CJ739" s="47"/>
      <c r="CK739" s="47"/>
      <c r="CL739" s="47"/>
      <c r="CM739" s="47"/>
      <c r="CN739" s="47"/>
      <c r="CO739" s="47"/>
      <c r="CP739" s="47"/>
      <c r="CQ739" s="47"/>
      <c r="CR739" s="47"/>
      <c r="CS739" s="47"/>
      <c r="CT739" s="47"/>
      <c r="CU739" s="47"/>
      <c r="CV739" s="47">
        <v>-0.82042777025415492</v>
      </c>
      <c r="CW739" s="47">
        <v>-0.36949000697187606</v>
      </c>
      <c r="CX739" s="47">
        <v>0</v>
      </c>
      <c r="CY739" s="48">
        <v>0</v>
      </c>
      <c r="CZ739" s="47">
        <v>0</v>
      </c>
      <c r="DA739" s="47">
        <v>0</v>
      </c>
      <c r="DB739" s="47">
        <v>5.2112834517812685E-2</v>
      </c>
      <c r="DC739" s="47">
        <v>0.11312298224598358</v>
      </c>
      <c r="DD739" s="47">
        <v>0.12710447443368944</v>
      </c>
      <c r="DE739" s="47">
        <v>0.13854387713272151</v>
      </c>
      <c r="DF739" s="47">
        <v>0.14871223508741663</v>
      </c>
      <c r="DG739" s="47">
        <v>0.15760954829777488</v>
      </c>
      <c r="DH739" s="47">
        <v>0.16523581676379631</v>
      </c>
      <c r="DI739" s="47">
        <v>0.17286208522981769</v>
      </c>
    </row>
    <row r="740" spans="1:113" ht="12" outlineLevel="1">
      <c r="A740" s="1" t="s">
        <v>960</v>
      </c>
      <c r="B740" s="19" t="s">
        <v>490</v>
      </c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  <c r="AA740" s="47"/>
      <c r="AB740" s="47"/>
      <c r="AC740" s="47"/>
      <c r="AD740" s="47"/>
      <c r="AE740" s="47"/>
      <c r="AF740" s="47"/>
      <c r="AG740" s="47"/>
      <c r="AH740" s="47"/>
      <c r="AI740" s="47"/>
      <c r="AJ740" s="47"/>
      <c r="AK740" s="47"/>
      <c r="AL740" s="47"/>
      <c r="AM740" s="47"/>
      <c r="AN740" s="47"/>
      <c r="AO740" s="47"/>
      <c r="AP740" s="47">
        <v>-3.9807462686567145E-2</v>
      </c>
      <c r="AQ740" s="47">
        <v>-2.8793014083504286E-2</v>
      </c>
      <c r="AR740" s="47">
        <v>-2.884024844720498E-2</v>
      </c>
      <c r="AS740" s="47">
        <v>-2.1750929886081988E-2</v>
      </c>
      <c r="AT740" s="47">
        <v>-9.0699168975070165E-4</v>
      </c>
      <c r="AU740" s="47">
        <v>-2.9253205500047382E-4</v>
      </c>
      <c r="AV740" s="47">
        <v>5.6919433551198238E-3</v>
      </c>
      <c r="AW740" s="48">
        <v>-1.842069766951562E-2</v>
      </c>
      <c r="AX740" s="47">
        <v>-1.816146480302518E-2</v>
      </c>
      <c r="AY740" s="47">
        <v>-1.5306233690890153E-3</v>
      </c>
      <c r="AZ740" s="47">
        <v>5.955154039101216E-3</v>
      </c>
      <c r="BA740" s="47">
        <v>1.1981112931851029E-2</v>
      </c>
      <c r="BB740" s="47">
        <v>2.3933146167145734E-2</v>
      </c>
      <c r="BC740" s="47">
        <v>2.5895380211505621E-2</v>
      </c>
      <c r="BD740" s="47">
        <v>2.894829057825361E-2</v>
      </c>
      <c r="BE740" s="47">
        <v>3.0501729395186271E-2</v>
      </c>
      <c r="BF740" s="47">
        <v>3.5375975496887875E-2</v>
      </c>
      <c r="BG740" s="47">
        <v>3.5485795285699562E-2</v>
      </c>
      <c r="BH740" s="47">
        <v>4.0172411195462158E-2</v>
      </c>
      <c r="BI740" s="47">
        <v>3.9530039181249477E-2</v>
      </c>
      <c r="BJ740" s="47">
        <v>4.3551592708237295E-2</v>
      </c>
      <c r="BK740" s="47">
        <v>4.2879646853936838E-2</v>
      </c>
      <c r="BL740" s="47">
        <v>4.6861553383812385E-2</v>
      </c>
      <c r="BM740" s="47">
        <v>4.6710283551327426E-2</v>
      </c>
      <c r="BN740" s="47">
        <v>4.9626442139797805E-2</v>
      </c>
      <c r="BO740" s="47">
        <v>4.8564387738007191E-2</v>
      </c>
      <c r="BP740" s="47">
        <v>5.2204952761203419E-2</v>
      </c>
      <c r="BQ740" s="47">
        <v>5.0906018805085558E-2</v>
      </c>
      <c r="BR740" s="47"/>
      <c r="BS740" s="47"/>
      <c r="BT740" s="47"/>
      <c r="BU740" s="47"/>
      <c r="BV740" s="47"/>
      <c r="BW740" s="47"/>
      <c r="BX740" s="47"/>
      <c r="BY740" s="47"/>
      <c r="BZ740" s="47"/>
      <c r="CA740" s="47"/>
      <c r="CB740" s="47"/>
      <c r="CC740" s="47"/>
      <c r="CD740" s="47"/>
      <c r="CE740" s="47"/>
      <c r="CF740" s="47"/>
      <c r="CG740" s="47"/>
      <c r="CH740" s="47"/>
      <c r="CI740" s="47"/>
      <c r="CJ740" s="47"/>
      <c r="CK740" s="47"/>
      <c r="CL740" s="47"/>
      <c r="CM740" s="47"/>
      <c r="CN740" s="47"/>
      <c r="CO740" s="47"/>
      <c r="CP740" s="47"/>
      <c r="CQ740" s="47"/>
      <c r="CR740" s="47"/>
      <c r="CS740" s="47"/>
      <c r="CT740" s="47"/>
      <c r="CU740" s="47"/>
      <c r="CV740" s="47">
        <v>-4.2329381552653013E-2</v>
      </c>
      <c r="CW740" s="47">
        <v>-2.1055466038595254E-2</v>
      </c>
      <c r="CX740" s="47">
        <v>3.2036942496593793E-2</v>
      </c>
      <c r="CY740" s="48">
        <v>2.3178264568370993E-2</v>
      </c>
      <c r="CZ740" s="47">
        <v>2.4520832618331885E-2</v>
      </c>
      <c r="DA740" s="47">
        <v>7.0468411447776491E-2</v>
      </c>
      <c r="DB740" s="47">
        <v>0.10930486235034202</v>
      </c>
      <c r="DC740" s="47">
        <v>0.12461000210144756</v>
      </c>
      <c r="DD740" s="47">
        <v>0.14122590345259606</v>
      </c>
      <c r="DE740" s="47">
        <v>0.1538719490734077</v>
      </c>
      <c r="DF740" s="47">
        <v>0.16385456798890047</v>
      </c>
      <c r="DG740" s="47">
        <v>0.17439221265895552</v>
      </c>
      <c r="DH740" s="47">
        <v>0.18255779173845241</v>
      </c>
      <c r="DI740" s="47">
        <v>0.19118065933213502</v>
      </c>
    </row>
    <row r="741" spans="1:113" ht="12" outlineLevel="1">
      <c r="A741" s="1" t="s">
        <v>961</v>
      </c>
      <c r="B741" s="19" t="s">
        <v>400</v>
      </c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  <c r="AA741" s="47"/>
      <c r="AB741" s="47"/>
      <c r="AC741" s="47"/>
      <c r="AD741" s="47"/>
      <c r="AE741" s="47"/>
      <c r="AF741" s="47"/>
      <c r="AG741" s="47"/>
      <c r="AH741" s="47"/>
      <c r="AI741" s="47"/>
      <c r="AJ741" s="47"/>
      <c r="AK741" s="47"/>
      <c r="AL741" s="47"/>
      <c r="AM741" s="47"/>
      <c r="AN741" s="47"/>
      <c r="AO741" s="47"/>
      <c r="AP741" s="47">
        <v>-3.9807462686567145E-2</v>
      </c>
      <c r="AQ741" s="47">
        <v>-2.8793014083504286E-2</v>
      </c>
      <c r="AR741" s="47">
        <v>-2.884024844720498E-2</v>
      </c>
      <c r="AS741" s="47">
        <v>-2.1750929886081988E-2</v>
      </c>
      <c r="AT741" s="47">
        <v>-9.0699168975070165E-4</v>
      </c>
      <c r="AU741" s="47">
        <v>-2.9253205500047382E-4</v>
      </c>
      <c r="AV741" s="47">
        <v>5.6919433551198238E-3</v>
      </c>
      <c r="AW741" s="48">
        <v>-1.842069766951562E-2</v>
      </c>
      <c r="AX741" s="47">
        <v>-1.816146480302518E-2</v>
      </c>
      <c r="AY741" s="47">
        <v>-1.5306233690890153E-3</v>
      </c>
      <c r="AZ741" s="47">
        <v>5.955154039101216E-3</v>
      </c>
      <c r="BA741" s="47">
        <v>1.1981112931851029E-2</v>
      </c>
      <c r="BB741" s="47">
        <v>4.1504574738574308E-2</v>
      </c>
      <c r="BC741" s="47">
        <v>4.4323951640077047E-2</v>
      </c>
      <c r="BD741" s="47">
        <v>4.8662576292539325E-2</v>
      </c>
      <c r="BE741" s="47">
        <v>5.1073157966614838E-2</v>
      </c>
      <c r="BF741" s="47">
        <v>5.7661689782602166E-2</v>
      </c>
      <c r="BG741" s="47">
        <v>5.8200080999985276E-2</v>
      </c>
      <c r="BH741" s="47">
        <v>6.4172411195462159E-2</v>
      </c>
      <c r="BI741" s="47">
        <v>6.3958610609820901E-2</v>
      </c>
      <c r="BJ741" s="47">
        <v>6.9265878422523006E-2</v>
      </c>
      <c r="BK741" s="47">
        <v>6.902250399679398E-2</v>
      </c>
      <c r="BL741" s="47">
        <v>7.3861553383812395E-2</v>
      </c>
      <c r="BM741" s="47">
        <v>7.4138854979898861E-2</v>
      </c>
      <c r="BN741" s="47">
        <v>7.7912156425512094E-2</v>
      </c>
      <c r="BO741" s="47">
        <v>7.7278673452292904E-2</v>
      </c>
      <c r="BP741" s="47">
        <v>8.1776381332631987E-2</v>
      </c>
      <c r="BQ741" s="47">
        <v>8.0477447376514133E-2</v>
      </c>
      <c r="BR741" s="47"/>
      <c r="BS741" s="47"/>
      <c r="BT741" s="47"/>
      <c r="BU741" s="47"/>
      <c r="BV741" s="47"/>
      <c r="BW741" s="47"/>
      <c r="BX741" s="47"/>
      <c r="BY741" s="47"/>
      <c r="BZ741" s="47"/>
      <c r="CA741" s="47"/>
      <c r="CB741" s="47"/>
      <c r="CC741" s="47"/>
      <c r="CD741" s="47"/>
      <c r="CE741" s="47"/>
      <c r="CF741" s="47"/>
      <c r="CG741" s="47"/>
      <c r="CH741" s="47"/>
      <c r="CI741" s="47"/>
      <c r="CJ741" s="47"/>
      <c r="CK741" s="47"/>
      <c r="CL741" s="47"/>
      <c r="CM741" s="47"/>
      <c r="CN741" s="47"/>
      <c r="CO741" s="47"/>
      <c r="CP741" s="47"/>
      <c r="CQ741" s="47"/>
      <c r="CR741" s="47"/>
      <c r="CS741" s="47"/>
      <c r="CT741" s="47"/>
      <c r="CU741" s="47"/>
      <c r="CV741" s="47">
        <v>-4.2329381552653013E-2</v>
      </c>
      <c r="CW741" s="47">
        <v>-2.1055466038595254E-2</v>
      </c>
      <c r="CX741" s="47">
        <v>3.2036942496593793E-2</v>
      </c>
      <c r="CY741" s="48">
        <v>2.3178264568370993E-2</v>
      </c>
      <c r="CZ741" s="47">
        <v>2.4520832618331885E-2</v>
      </c>
      <c r="DA741" s="47">
        <v>7.0468411447776491E-2</v>
      </c>
      <c r="DB741" s="47">
        <v>0.14530486235034201</v>
      </c>
      <c r="DC741" s="47">
        <v>0.16489571638716183</v>
      </c>
      <c r="DD741" s="47">
        <v>0.18622590345259604</v>
      </c>
      <c r="DE741" s="47">
        <v>0.20230052050197914</v>
      </c>
      <c r="DF741" s="47">
        <v>0.21571171084604332</v>
      </c>
      <c r="DG741" s="47">
        <v>0.22882078408752696</v>
      </c>
      <c r="DH741" s="47">
        <v>0.23955779173845243</v>
      </c>
      <c r="DI741" s="47">
        <v>0.25032351647499218</v>
      </c>
    </row>
    <row r="742" spans="1:113" ht="12" outlineLevel="1">
      <c r="A742" s="1" t="s">
        <v>962</v>
      </c>
      <c r="B742" s="19" t="s">
        <v>401</v>
      </c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  <c r="AA742" s="47"/>
      <c r="AB742" s="47"/>
      <c r="AC742" s="47"/>
      <c r="AD742" s="47"/>
      <c r="AE742" s="47"/>
      <c r="AF742" s="47"/>
      <c r="AG742" s="47"/>
      <c r="AH742" s="47"/>
      <c r="AI742" s="47"/>
      <c r="AJ742" s="47"/>
      <c r="AK742" s="47"/>
      <c r="AL742" s="47"/>
      <c r="AM742" s="47"/>
      <c r="AN742" s="47"/>
      <c r="AO742" s="47"/>
      <c r="AP742" s="47">
        <v>1.1719305736069578</v>
      </c>
      <c r="AQ742" s="47">
        <v>1.3422916658735145</v>
      </c>
      <c r="AR742" s="47">
        <v>1.261955637771796</v>
      </c>
      <c r="AS742" s="47">
        <v>1.2705334696412103</v>
      </c>
      <c r="AT742" s="47">
        <v>1.3043637072637229</v>
      </c>
      <c r="AU742" s="47">
        <v>1.3361134769362153</v>
      </c>
      <c r="AV742" s="47">
        <v>1.3977272475373683</v>
      </c>
      <c r="AW742" s="48">
        <v>1.4110689845664255</v>
      </c>
      <c r="AX742" s="47">
        <v>1.4368355061296327</v>
      </c>
      <c r="AY742" s="47">
        <v>1.4833027268779522</v>
      </c>
      <c r="AZ742" s="47">
        <v>1.5411503281449215</v>
      </c>
      <c r="BA742" s="47">
        <v>1.6092022413213563</v>
      </c>
      <c r="BB742" s="47">
        <v>1.6916994430571828</v>
      </c>
      <c r="BC742" s="47">
        <v>1.7378839936096193</v>
      </c>
      <c r="BD742" s="47">
        <v>1.787962969277348</v>
      </c>
      <c r="BE742" s="47">
        <v>1.8395876278311267</v>
      </c>
      <c r="BF742" s="47">
        <v>1.896171217266349</v>
      </c>
      <c r="BG742" s="47">
        <v>1.951069288104524</v>
      </c>
      <c r="BH742" s="47">
        <v>2.0111605981732268</v>
      </c>
      <c r="BI742" s="47">
        <v>2.0692083566682347</v>
      </c>
      <c r="BJ742" s="47">
        <v>2.131860130278755</v>
      </c>
      <c r="BK742" s="47">
        <v>2.1925091628132565</v>
      </c>
      <c r="BL742" s="47">
        <v>2.257794587365809</v>
      </c>
      <c r="BM742" s="47">
        <v>2.3226654051536548</v>
      </c>
      <c r="BN742" s="47">
        <v>2.3911932736602015</v>
      </c>
      <c r="BO742" s="47">
        <v>2.4584820945744164</v>
      </c>
      <c r="BP742" s="47">
        <v>2.530222499396956</v>
      </c>
      <c r="BQ742" s="47">
        <v>2.6005693219660615</v>
      </c>
      <c r="BR742" s="47"/>
      <c r="BS742" s="47"/>
      <c r="BT742" s="47"/>
      <c r="BU742" s="47"/>
      <c r="BV742" s="47"/>
      <c r="BW742" s="47"/>
      <c r="BX742" s="47"/>
      <c r="BY742" s="47"/>
      <c r="BZ742" s="47"/>
      <c r="CA742" s="47"/>
      <c r="CB742" s="47"/>
      <c r="CC742" s="47"/>
      <c r="CD742" s="47"/>
      <c r="CE742" s="47"/>
      <c r="CF742" s="47"/>
      <c r="CG742" s="47"/>
      <c r="CH742" s="47"/>
      <c r="CI742" s="47"/>
      <c r="CJ742" s="47"/>
      <c r="CK742" s="47"/>
      <c r="CL742" s="47"/>
      <c r="CM742" s="47"/>
      <c r="CN742" s="47"/>
      <c r="CO742" s="47"/>
      <c r="CP742" s="47"/>
      <c r="CQ742" s="47"/>
      <c r="CR742" s="47"/>
      <c r="CS742" s="47"/>
      <c r="CT742" s="47"/>
      <c r="CU742" s="47"/>
      <c r="CV742" s="47">
        <v>0.9730382621683904</v>
      </c>
      <c r="CW742" s="47">
        <v>1.2705334696412101</v>
      </c>
      <c r="CX742" s="47">
        <v>1.3361134769362153</v>
      </c>
      <c r="CY742" s="48">
        <v>1.4110689845664255</v>
      </c>
      <c r="CZ742" s="47">
        <v>1.4833027268779519</v>
      </c>
      <c r="DA742" s="47">
        <v>1.609202241321356</v>
      </c>
      <c r="DB742" s="47">
        <v>1.7378839936096191</v>
      </c>
      <c r="DC742" s="47">
        <v>1.8395876278311267</v>
      </c>
      <c r="DD742" s="47">
        <v>1.951069288104524</v>
      </c>
      <c r="DE742" s="47">
        <v>2.0692083566682351</v>
      </c>
      <c r="DF742" s="47">
        <v>2.1925091628132569</v>
      </c>
      <c r="DG742" s="47">
        <v>2.3226654051536553</v>
      </c>
      <c r="DH742" s="47">
        <v>2.4584820945744168</v>
      </c>
      <c r="DI742" s="47">
        <v>2.6005693219660619</v>
      </c>
    </row>
    <row r="743" spans="1:113" ht="12" outlineLevel="1">
      <c r="A743" s="1" t="s">
        <v>963</v>
      </c>
      <c r="B743" s="19" t="s">
        <v>492</v>
      </c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  <c r="AA743" s="47"/>
      <c r="AB743" s="47"/>
      <c r="AC743" s="47"/>
      <c r="AD743" s="47"/>
      <c r="AE743" s="47"/>
      <c r="AF743" s="47"/>
      <c r="AG743" s="47"/>
      <c r="AH743" s="47"/>
      <c r="AI743" s="47"/>
      <c r="AJ743" s="47"/>
      <c r="AK743" s="47"/>
      <c r="AL743" s="47"/>
      <c r="AM743" s="47"/>
      <c r="AN743" s="47"/>
      <c r="AO743" s="47"/>
      <c r="AP743" s="47">
        <v>1.153268713486701</v>
      </c>
      <c r="AQ743" s="47">
        <v>1.3222015888812644</v>
      </c>
      <c r="AR743" s="47">
        <v>1.2463067003956567</v>
      </c>
      <c r="AS743" s="47">
        <v>1.2490051366087023</v>
      </c>
      <c r="AT743" s="47">
        <v>1.2763226012129771</v>
      </c>
      <c r="AU743" s="47">
        <v>1.3014691426550855</v>
      </c>
      <c r="AV743" s="47">
        <v>1.3571611552192893</v>
      </c>
      <c r="AW743" s="48">
        <v>1.367528045478354</v>
      </c>
      <c r="AX743" s="47">
        <v>1.3932945670415613</v>
      </c>
      <c r="AY743" s="47">
        <v>1.4397617877898807</v>
      </c>
      <c r="AZ743" s="47">
        <v>1.49760938905685</v>
      </c>
      <c r="BA743" s="47">
        <v>1.5656613022332848</v>
      </c>
      <c r="BB743" s="47">
        <v>1.6481585039691113</v>
      </c>
      <c r="BC743" s="47">
        <v>1.6943430545215477</v>
      </c>
      <c r="BD743" s="47">
        <v>1.7444220301892766</v>
      </c>
      <c r="BE743" s="47">
        <v>1.7960466887430551</v>
      </c>
      <c r="BF743" s="47">
        <v>1.8526302781782773</v>
      </c>
      <c r="BG743" s="47">
        <v>1.9075283490164523</v>
      </c>
      <c r="BH743" s="47">
        <v>1.9676196590851551</v>
      </c>
      <c r="BI743" s="47">
        <v>2.0256674175801632</v>
      </c>
      <c r="BJ743" s="47">
        <v>2.0883191911906831</v>
      </c>
      <c r="BK743" s="47">
        <v>2.148968223725185</v>
      </c>
      <c r="BL743" s="47">
        <v>2.2142536482777375</v>
      </c>
      <c r="BM743" s="47">
        <v>2.2791244660655834</v>
      </c>
      <c r="BN743" s="47">
        <v>2.3476523345721296</v>
      </c>
      <c r="BO743" s="47">
        <v>2.4149411554863449</v>
      </c>
      <c r="BP743" s="47">
        <v>2.4866815603088845</v>
      </c>
      <c r="BQ743" s="47">
        <v>2.5570283828779896</v>
      </c>
      <c r="BR743" s="47"/>
      <c r="BS743" s="47"/>
      <c r="BT743" s="47"/>
      <c r="BU743" s="47"/>
      <c r="BV743" s="47"/>
      <c r="BW743" s="47"/>
      <c r="BX743" s="47"/>
      <c r="BY743" s="47"/>
      <c r="BZ743" s="47"/>
      <c r="CA743" s="47"/>
      <c r="CB743" s="47"/>
      <c r="CC743" s="47"/>
      <c r="CD743" s="47"/>
      <c r="CE743" s="47"/>
      <c r="CF743" s="47"/>
      <c r="CG743" s="47"/>
      <c r="CH743" s="47"/>
      <c r="CI743" s="47"/>
      <c r="CJ743" s="47"/>
      <c r="CK743" s="47"/>
      <c r="CL743" s="47"/>
      <c r="CM743" s="47"/>
      <c r="CN743" s="47"/>
      <c r="CO743" s="47"/>
      <c r="CP743" s="47"/>
      <c r="CQ743" s="47"/>
      <c r="CR743" s="47"/>
      <c r="CS743" s="47"/>
      <c r="CT743" s="47"/>
      <c r="CU743" s="47"/>
      <c r="CV743" s="47">
        <v>0.95847480021718556</v>
      </c>
      <c r="CW743" s="47">
        <v>1.249005136608702</v>
      </c>
      <c r="CX743" s="47">
        <v>1.3014691426550855</v>
      </c>
      <c r="CY743" s="48">
        <v>1.367528045478354</v>
      </c>
      <c r="CZ743" s="47">
        <v>1.4397617877898805</v>
      </c>
      <c r="DA743" s="47">
        <v>1.5656613022332846</v>
      </c>
      <c r="DB743" s="47">
        <v>1.6943430545215474</v>
      </c>
      <c r="DC743" s="47">
        <v>1.7960466887430551</v>
      </c>
      <c r="DD743" s="47">
        <v>1.9075283490164523</v>
      </c>
      <c r="DE743" s="47">
        <v>2.0256674175801632</v>
      </c>
      <c r="DF743" s="47">
        <v>2.1489682237251855</v>
      </c>
      <c r="DG743" s="47">
        <v>2.2791244660655834</v>
      </c>
      <c r="DH743" s="47">
        <v>2.4149411554863449</v>
      </c>
      <c r="DI743" s="47">
        <v>2.5570283828779901</v>
      </c>
    </row>
    <row r="744" spans="1:113" ht="12" outlineLevel="1">
      <c r="A744" s="1" t="s">
        <v>2452</v>
      </c>
      <c r="B744" s="19" t="s">
        <v>2453</v>
      </c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7"/>
      <c r="AF744" s="47"/>
      <c r="AG744" s="47"/>
      <c r="AH744" s="47"/>
      <c r="AI744" s="47"/>
      <c r="AJ744" s="47"/>
      <c r="AK744" s="47"/>
      <c r="AL744" s="47"/>
      <c r="AM744" s="47"/>
      <c r="AN744" s="47"/>
      <c r="AO744" s="47"/>
      <c r="AP744" s="47">
        <v>-0.56023958471091906</v>
      </c>
      <c r="AQ744" s="47">
        <v>1.0639618852116299</v>
      </c>
      <c r="AR744" s="47">
        <v>1.2813158833639813</v>
      </c>
      <c r="AS744" s="47">
        <v>0.76638057293244777</v>
      </c>
      <c r="AT744" s="47" t="e">
        <v>#DIV/0!</v>
      </c>
      <c r="AU744" s="47">
        <v>1.3220184302877533</v>
      </c>
      <c r="AV744" s="47">
        <v>1.4913849029855737</v>
      </c>
      <c r="AW744" s="48">
        <v>1.4441502833331363</v>
      </c>
      <c r="AX744" s="47">
        <v>1.4114663706594446</v>
      </c>
      <c r="AY744" s="47">
        <v>1.4480019500877137</v>
      </c>
      <c r="AZ744" s="47">
        <v>1.5014418401626013</v>
      </c>
      <c r="BA744" s="47">
        <v>1.5672390574214472</v>
      </c>
      <c r="BB744" s="47">
        <v>1.6498810128157095</v>
      </c>
      <c r="BC744" s="47">
        <v>1.694016017615231</v>
      </c>
      <c r="BD744" s="47">
        <v>1.7434575996039181</v>
      </c>
      <c r="BE744" s="47">
        <v>1.7957250429219278</v>
      </c>
      <c r="BF744" s="47">
        <v>1.8519973385270752</v>
      </c>
      <c r="BG744" s="47">
        <v>1.906836581172547</v>
      </c>
      <c r="BH744" s="47">
        <v>1.9642455187096395</v>
      </c>
      <c r="BI744" s="47">
        <v>2.0191054573976466</v>
      </c>
      <c r="BJ744" s="47">
        <v>2.0771555800516763</v>
      </c>
      <c r="BK744" s="47">
        <v>2.132781262646084</v>
      </c>
      <c r="BL744" s="47">
        <v>2.191469294229023</v>
      </c>
      <c r="BM744" s="47">
        <v>2.249094039575338</v>
      </c>
      <c r="BN744" s="47">
        <v>2.3088334020959258</v>
      </c>
      <c r="BO744" s="47">
        <v>2.3669931657332959</v>
      </c>
      <c r="BP744" s="47">
        <v>2.4277541669085023</v>
      </c>
      <c r="BQ744" s="47">
        <v>2.4869452463656909</v>
      </c>
      <c r="BR744" s="47"/>
      <c r="BS744" s="47"/>
      <c r="BT744" s="47"/>
      <c r="BU744" s="47"/>
      <c r="BV744" s="47"/>
      <c r="BW744" s="47"/>
      <c r="BX744" s="47"/>
      <c r="BY744" s="47"/>
      <c r="BZ744" s="47"/>
      <c r="CA744" s="47"/>
      <c r="CB744" s="47"/>
      <c r="CC744" s="47"/>
      <c r="CD744" s="47"/>
      <c r="CE744" s="47"/>
      <c r="CF744" s="47"/>
      <c r="CG744" s="47"/>
      <c r="CH744" s="47"/>
      <c r="CI744" s="47"/>
      <c r="CJ744" s="47"/>
      <c r="CK744" s="47"/>
      <c r="CL744" s="47"/>
      <c r="CM744" s="47"/>
      <c r="CN744" s="47"/>
      <c r="CO744" s="47"/>
      <c r="CP744" s="47"/>
      <c r="CQ744" s="47"/>
      <c r="CR744" s="47"/>
      <c r="CS744" s="47"/>
      <c r="CT744" s="47"/>
      <c r="CU744" s="47"/>
      <c r="CV744" s="47"/>
      <c r="CW744" s="47" t="e">
        <v>#VALUE!</v>
      </c>
      <c r="CX744" s="47">
        <v>2.4016748414019675</v>
      </c>
      <c r="CY744" s="48">
        <v>1.4520978116438281</v>
      </c>
      <c r="CZ744" s="47">
        <v>1.4526562196568364</v>
      </c>
      <c r="DA744" s="47">
        <v>1.5690277887344859</v>
      </c>
      <c r="DB744" s="47">
        <v>1.6955183413904695</v>
      </c>
      <c r="DC744" s="47">
        <v>1.7958750317792216</v>
      </c>
      <c r="DD744" s="47">
        <v>1.9070059850120822</v>
      </c>
      <c r="DE744" s="47">
        <v>2.0201728801400254</v>
      </c>
      <c r="DF744" s="47">
        <v>2.1347120396151258</v>
      </c>
      <c r="DG744" s="47">
        <v>2.2518715310347326</v>
      </c>
      <c r="DH744" s="47">
        <v>2.3705739426763115</v>
      </c>
      <c r="DI744" s="47">
        <v>2.491265270834373</v>
      </c>
    </row>
    <row r="745" spans="1:113" ht="12" hidden="1" outlineLevel="2">
      <c r="A745" s="1" t="s">
        <v>964</v>
      </c>
      <c r="B745" s="19" t="s">
        <v>801</v>
      </c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  <c r="AA745" s="47"/>
      <c r="AB745" s="47"/>
      <c r="AC745" s="47"/>
      <c r="AD745" s="47"/>
      <c r="AE745" s="47"/>
      <c r="AF745" s="47"/>
      <c r="AG745" s="47"/>
      <c r="AH745" s="47"/>
      <c r="AI745" s="47"/>
      <c r="AJ745" s="47"/>
      <c r="AK745" s="47"/>
      <c r="AL745" s="47"/>
      <c r="AM745" s="47"/>
      <c r="AN745" s="47"/>
      <c r="AO745" s="47"/>
      <c r="AP745" s="47"/>
      <c r="AQ745" s="47"/>
      <c r="AR745" s="47"/>
      <c r="AS745" s="47"/>
      <c r="AT745" s="47"/>
      <c r="AU745" s="47"/>
      <c r="AV745" s="47"/>
      <c r="AW745" s="48"/>
      <c r="AX745" s="47"/>
      <c r="AY745" s="47"/>
      <c r="AZ745" s="47"/>
      <c r="BA745" s="47"/>
      <c r="BB745" s="47"/>
      <c r="BC745" s="47"/>
      <c r="BD745" s="47"/>
      <c r="BE745" s="47"/>
      <c r="BF745" s="47"/>
      <c r="BG745" s="47"/>
      <c r="BH745" s="47"/>
      <c r="BI745" s="47"/>
      <c r="BJ745" s="47"/>
      <c r="BK745" s="47"/>
      <c r="BL745" s="47"/>
      <c r="BM745" s="47"/>
      <c r="BN745" s="47"/>
      <c r="BO745" s="47"/>
      <c r="BP745" s="47"/>
      <c r="BQ745" s="47"/>
      <c r="BR745" s="47"/>
      <c r="BS745" s="47"/>
      <c r="BT745" s="47"/>
      <c r="BU745" s="47"/>
      <c r="BV745" s="47"/>
      <c r="BW745" s="47"/>
      <c r="BX745" s="47"/>
      <c r="BY745" s="47"/>
      <c r="BZ745" s="47"/>
      <c r="CA745" s="47"/>
      <c r="CB745" s="47"/>
      <c r="CC745" s="47"/>
      <c r="CD745" s="47"/>
      <c r="CE745" s="47"/>
      <c r="CF745" s="47"/>
      <c r="CG745" s="47"/>
      <c r="CH745" s="47"/>
      <c r="CI745" s="47"/>
      <c r="CJ745" s="47"/>
      <c r="CK745" s="47"/>
      <c r="CL745" s="47"/>
      <c r="CM745" s="47"/>
      <c r="CN745" s="47"/>
      <c r="CO745" s="47"/>
      <c r="CP745" s="47"/>
      <c r="CQ745" s="47"/>
      <c r="CR745" s="47"/>
      <c r="CS745" s="47"/>
      <c r="CT745" s="47"/>
      <c r="CU745" s="47"/>
      <c r="CV745" s="47"/>
      <c r="CW745" s="47"/>
      <c r="CX745" s="47"/>
      <c r="CY745" s="48"/>
      <c r="CZ745" s="47"/>
      <c r="DA745" s="47"/>
      <c r="DB745" s="19"/>
      <c r="DC745" s="19"/>
      <c r="DD745" s="19"/>
      <c r="DE745" s="19"/>
      <c r="DF745" s="19"/>
      <c r="DG745" s="19"/>
      <c r="DH745" s="19"/>
      <c r="DI745" s="19"/>
    </row>
    <row r="746" spans="1:113" ht="12" hidden="1" outlineLevel="2">
      <c r="A746" s="1" t="s">
        <v>34</v>
      </c>
      <c r="B746" s="19" t="s">
        <v>801</v>
      </c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  <c r="AA746" s="47"/>
      <c r="AB746" s="47"/>
      <c r="AC746" s="47"/>
      <c r="AD746" s="47"/>
      <c r="AE746" s="47"/>
      <c r="AF746" s="47"/>
      <c r="AG746" s="47"/>
      <c r="AH746" s="47"/>
      <c r="AI746" s="47"/>
      <c r="AJ746" s="47"/>
      <c r="AK746" s="47"/>
      <c r="AL746" s="47"/>
      <c r="AM746" s="47"/>
      <c r="AN746" s="47"/>
      <c r="AO746" s="47"/>
      <c r="AP746" s="47"/>
      <c r="AQ746" s="47"/>
      <c r="AR746" s="47"/>
      <c r="AS746" s="47"/>
      <c r="AT746" s="47"/>
      <c r="AU746" s="47"/>
      <c r="AV746" s="47"/>
      <c r="AW746" s="48"/>
      <c r="AX746" s="47"/>
      <c r="AY746" s="47"/>
      <c r="AZ746" s="47"/>
      <c r="BA746" s="47"/>
      <c r="BB746" s="47"/>
      <c r="BC746" s="47"/>
      <c r="BD746" s="47"/>
      <c r="BE746" s="47"/>
      <c r="BF746" s="47"/>
      <c r="BG746" s="47"/>
      <c r="BH746" s="47"/>
      <c r="BI746" s="47"/>
      <c r="BJ746" s="47"/>
      <c r="BK746" s="47"/>
      <c r="BL746" s="47"/>
      <c r="BM746" s="47"/>
      <c r="BN746" s="47"/>
      <c r="BO746" s="47"/>
      <c r="BP746" s="47"/>
      <c r="BQ746" s="47"/>
      <c r="BR746" s="47"/>
      <c r="BS746" s="47"/>
      <c r="BT746" s="47"/>
      <c r="BU746" s="47"/>
      <c r="BV746" s="47"/>
      <c r="BW746" s="47"/>
      <c r="BX746" s="47"/>
      <c r="BY746" s="47"/>
      <c r="BZ746" s="47"/>
      <c r="CA746" s="47"/>
      <c r="CB746" s="47"/>
      <c r="CC746" s="47"/>
      <c r="CD746" s="47"/>
      <c r="CE746" s="47"/>
      <c r="CF746" s="47"/>
      <c r="CG746" s="47"/>
      <c r="CH746" s="47"/>
      <c r="CI746" s="47"/>
      <c r="CJ746" s="47"/>
      <c r="CK746" s="47"/>
      <c r="CL746" s="47"/>
      <c r="CM746" s="47"/>
      <c r="CN746" s="47"/>
      <c r="CO746" s="47"/>
      <c r="CP746" s="47"/>
      <c r="CQ746" s="47"/>
      <c r="CR746" s="47"/>
      <c r="CS746" s="47"/>
      <c r="CT746" s="47"/>
      <c r="CU746" s="47"/>
      <c r="CV746" s="47"/>
      <c r="CW746" s="47"/>
      <c r="CX746" s="47"/>
      <c r="CY746" s="48"/>
      <c r="CZ746" s="47"/>
      <c r="DA746" s="47"/>
      <c r="DB746" s="19"/>
      <c r="DC746" s="19"/>
      <c r="DD746" s="19"/>
      <c r="DE746" s="19"/>
      <c r="DF746" s="19"/>
      <c r="DG746" s="19"/>
      <c r="DH746" s="19"/>
      <c r="DI746" s="19"/>
    </row>
    <row r="747" spans="1:113" ht="12" hidden="1" outlineLevel="2">
      <c r="A747" s="1" t="s">
        <v>35</v>
      </c>
      <c r="B747" s="19" t="s">
        <v>801</v>
      </c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  <c r="AA747" s="47"/>
      <c r="AB747" s="47"/>
      <c r="AC747" s="47"/>
      <c r="AD747" s="47"/>
      <c r="AE747" s="47"/>
      <c r="AF747" s="47"/>
      <c r="AG747" s="47"/>
      <c r="AH747" s="47"/>
      <c r="AI747" s="47"/>
      <c r="AJ747" s="47"/>
      <c r="AK747" s="47"/>
      <c r="AL747" s="47"/>
      <c r="AM747" s="47"/>
      <c r="AN747" s="47"/>
      <c r="AO747" s="47"/>
      <c r="AP747" s="47"/>
      <c r="AQ747" s="47"/>
      <c r="AR747" s="47"/>
      <c r="AS747" s="47"/>
      <c r="AT747" s="47"/>
      <c r="AU747" s="47"/>
      <c r="AV747" s="47"/>
      <c r="AW747" s="48"/>
      <c r="AX747" s="47"/>
      <c r="AY747" s="47"/>
      <c r="AZ747" s="47"/>
      <c r="BA747" s="47"/>
      <c r="BB747" s="47"/>
      <c r="BC747" s="47"/>
      <c r="BD747" s="47"/>
      <c r="BE747" s="47"/>
      <c r="BF747" s="47"/>
      <c r="BG747" s="47"/>
      <c r="BH747" s="47"/>
      <c r="BI747" s="47"/>
      <c r="BJ747" s="47"/>
      <c r="BK747" s="47"/>
      <c r="BL747" s="47"/>
      <c r="BM747" s="47"/>
      <c r="BN747" s="47"/>
      <c r="BO747" s="47"/>
      <c r="BP747" s="47"/>
      <c r="BQ747" s="47"/>
      <c r="BR747" s="47"/>
      <c r="BS747" s="47"/>
      <c r="BT747" s="47"/>
      <c r="BU747" s="47"/>
      <c r="BV747" s="47"/>
      <c r="BW747" s="47"/>
      <c r="BX747" s="47"/>
      <c r="BY747" s="47"/>
      <c r="BZ747" s="47"/>
      <c r="CA747" s="47"/>
      <c r="CB747" s="47"/>
      <c r="CC747" s="47"/>
      <c r="CD747" s="47"/>
      <c r="CE747" s="47"/>
      <c r="CF747" s="47"/>
      <c r="CG747" s="47"/>
      <c r="CH747" s="47"/>
      <c r="CI747" s="47"/>
      <c r="CJ747" s="47"/>
      <c r="CK747" s="47"/>
      <c r="CL747" s="47"/>
      <c r="CM747" s="47"/>
      <c r="CN747" s="47"/>
      <c r="CO747" s="47"/>
      <c r="CP747" s="47"/>
      <c r="CQ747" s="47"/>
      <c r="CR747" s="47"/>
      <c r="CS747" s="47"/>
      <c r="CT747" s="47"/>
      <c r="CU747" s="47"/>
      <c r="CV747" s="47"/>
      <c r="CW747" s="47"/>
      <c r="CX747" s="47"/>
      <c r="CY747" s="48"/>
      <c r="CZ747" s="47"/>
      <c r="DA747" s="47"/>
      <c r="DB747" s="19"/>
      <c r="DC747" s="19"/>
      <c r="DD747" s="19"/>
      <c r="DE747" s="19"/>
      <c r="DF747" s="19"/>
      <c r="DG747" s="19"/>
      <c r="DH747" s="19"/>
      <c r="DI747" s="19"/>
    </row>
    <row r="748" spans="1:113" ht="12" hidden="1" outlineLevel="2">
      <c r="A748" s="1" t="s">
        <v>36</v>
      </c>
      <c r="B748" s="19" t="s">
        <v>801</v>
      </c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  <c r="AA748" s="47"/>
      <c r="AB748" s="47"/>
      <c r="AC748" s="47"/>
      <c r="AD748" s="47"/>
      <c r="AE748" s="47"/>
      <c r="AF748" s="47"/>
      <c r="AG748" s="47"/>
      <c r="AH748" s="47"/>
      <c r="AI748" s="47"/>
      <c r="AJ748" s="47"/>
      <c r="AK748" s="47"/>
      <c r="AL748" s="47"/>
      <c r="AM748" s="47"/>
      <c r="AN748" s="47"/>
      <c r="AO748" s="47"/>
      <c r="AP748" s="47"/>
      <c r="AQ748" s="47"/>
      <c r="AR748" s="47"/>
      <c r="AS748" s="47"/>
      <c r="AT748" s="47"/>
      <c r="AU748" s="47"/>
      <c r="AV748" s="47"/>
      <c r="AW748" s="48"/>
      <c r="AX748" s="47"/>
      <c r="AY748" s="47"/>
      <c r="AZ748" s="47"/>
      <c r="BA748" s="47"/>
      <c r="BB748" s="47"/>
      <c r="BC748" s="47"/>
      <c r="BD748" s="47"/>
      <c r="BE748" s="47"/>
      <c r="BF748" s="47"/>
      <c r="BG748" s="47"/>
      <c r="BH748" s="47"/>
      <c r="BI748" s="47"/>
      <c r="BJ748" s="47"/>
      <c r="BK748" s="47"/>
      <c r="BL748" s="47"/>
      <c r="BM748" s="47"/>
      <c r="BN748" s="47"/>
      <c r="BO748" s="47"/>
      <c r="BP748" s="47"/>
      <c r="BQ748" s="47"/>
      <c r="BR748" s="47"/>
      <c r="BS748" s="47"/>
      <c r="BT748" s="47"/>
      <c r="BU748" s="47"/>
      <c r="BV748" s="47"/>
      <c r="BW748" s="47"/>
      <c r="BX748" s="47"/>
      <c r="BY748" s="47"/>
      <c r="BZ748" s="47"/>
      <c r="CA748" s="47"/>
      <c r="CB748" s="47"/>
      <c r="CC748" s="47"/>
      <c r="CD748" s="47"/>
      <c r="CE748" s="47"/>
      <c r="CF748" s="47"/>
      <c r="CG748" s="47"/>
      <c r="CH748" s="47"/>
      <c r="CI748" s="47"/>
      <c r="CJ748" s="47"/>
      <c r="CK748" s="47"/>
      <c r="CL748" s="47"/>
      <c r="CM748" s="47"/>
      <c r="CN748" s="47"/>
      <c r="CO748" s="47"/>
      <c r="CP748" s="47"/>
      <c r="CQ748" s="47"/>
      <c r="CR748" s="47"/>
      <c r="CS748" s="47"/>
      <c r="CT748" s="47"/>
      <c r="CU748" s="47"/>
      <c r="CV748" s="47"/>
      <c r="CW748" s="47"/>
      <c r="CX748" s="47"/>
      <c r="CY748" s="48"/>
      <c r="CZ748" s="47"/>
      <c r="DA748" s="47"/>
      <c r="DB748" s="19"/>
      <c r="DC748" s="19"/>
      <c r="DD748" s="19"/>
      <c r="DE748" s="19"/>
      <c r="DF748" s="19"/>
      <c r="DG748" s="19"/>
      <c r="DH748" s="19"/>
      <c r="DI748" s="19"/>
    </row>
    <row r="749" spans="1:113" ht="12" hidden="1" outlineLevel="2">
      <c r="A749" s="1" t="s">
        <v>37</v>
      </c>
      <c r="B749" s="19" t="s">
        <v>801</v>
      </c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  <c r="AA749" s="47"/>
      <c r="AB749" s="47"/>
      <c r="AC749" s="47"/>
      <c r="AD749" s="47"/>
      <c r="AE749" s="47"/>
      <c r="AF749" s="47"/>
      <c r="AG749" s="47"/>
      <c r="AH749" s="47"/>
      <c r="AI749" s="47"/>
      <c r="AJ749" s="47"/>
      <c r="AK749" s="47"/>
      <c r="AL749" s="47"/>
      <c r="AM749" s="47"/>
      <c r="AN749" s="47"/>
      <c r="AO749" s="47"/>
      <c r="AP749" s="47"/>
      <c r="AQ749" s="47"/>
      <c r="AR749" s="47"/>
      <c r="AS749" s="47"/>
      <c r="AT749" s="47"/>
      <c r="AU749" s="47"/>
      <c r="AV749" s="47"/>
      <c r="AW749" s="48"/>
      <c r="AX749" s="47"/>
      <c r="AY749" s="47"/>
      <c r="AZ749" s="47"/>
      <c r="BA749" s="47"/>
      <c r="BB749" s="47"/>
      <c r="BC749" s="47"/>
      <c r="BD749" s="47"/>
      <c r="BE749" s="47"/>
      <c r="BF749" s="47"/>
      <c r="BG749" s="47"/>
      <c r="BH749" s="47"/>
      <c r="BI749" s="47"/>
      <c r="BJ749" s="47"/>
      <c r="BK749" s="47"/>
      <c r="BL749" s="47"/>
      <c r="BM749" s="47"/>
      <c r="BN749" s="47"/>
      <c r="BO749" s="47"/>
      <c r="BP749" s="47"/>
      <c r="BQ749" s="47"/>
      <c r="BR749" s="47"/>
      <c r="BS749" s="47"/>
      <c r="BT749" s="47"/>
      <c r="BU749" s="47"/>
      <c r="BV749" s="47"/>
      <c r="BW749" s="47"/>
      <c r="BX749" s="47"/>
      <c r="BY749" s="47"/>
      <c r="BZ749" s="47"/>
      <c r="CA749" s="47"/>
      <c r="CB749" s="47"/>
      <c r="CC749" s="47"/>
      <c r="CD749" s="47"/>
      <c r="CE749" s="47"/>
      <c r="CF749" s="47"/>
      <c r="CG749" s="47"/>
      <c r="CH749" s="47"/>
      <c r="CI749" s="47"/>
      <c r="CJ749" s="47"/>
      <c r="CK749" s="47"/>
      <c r="CL749" s="47"/>
      <c r="CM749" s="47"/>
      <c r="CN749" s="47"/>
      <c r="CO749" s="47"/>
      <c r="CP749" s="47"/>
      <c r="CQ749" s="47"/>
      <c r="CR749" s="47"/>
      <c r="CS749" s="47"/>
      <c r="CT749" s="47"/>
      <c r="CU749" s="47"/>
      <c r="CV749" s="47"/>
      <c r="CW749" s="47"/>
      <c r="CX749" s="47"/>
      <c r="CY749" s="48"/>
      <c r="CZ749" s="47"/>
      <c r="DA749" s="47"/>
      <c r="DB749" s="19"/>
      <c r="DC749" s="19"/>
      <c r="DD749" s="19"/>
      <c r="DE749" s="19"/>
      <c r="DF749" s="19"/>
      <c r="DG749" s="19"/>
      <c r="DH749" s="19"/>
      <c r="DI749" s="19"/>
    </row>
    <row r="750" spans="1:113" ht="12" hidden="1" outlineLevel="2">
      <c r="A750" s="1" t="s">
        <v>12</v>
      </c>
      <c r="B750" s="19" t="s">
        <v>801</v>
      </c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  <c r="AA750" s="47"/>
      <c r="AB750" s="47"/>
      <c r="AC750" s="47"/>
      <c r="AD750" s="47"/>
      <c r="AE750" s="47"/>
      <c r="AF750" s="47"/>
      <c r="AG750" s="47"/>
      <c r="AH750" s="47"/>
      <c r="AI750" s="47"/>
      <c r="AJ750" s="47"/>
      <c r="AK750" s="47"/>
      <c r="AL750" s="47"/>
      <c r="AM750" s="47"/>
      <c r="AN750" s="47"/>
      <c r="AO750" s="47"/>
      <c r="AP750" s="47"/>
      <c r="AQ750" s="47"/>
      <c r="AR750" s="47"/>
      <c r="AS750" s="47"/>
      <c r="AT750" s="47"/>
      <c r="AU750" s="47"/>
      <c r="AV750" s="47"/>
      <c r="AW750" s="48"/>
      <c r="AX750" s="47"/>
      <c r="AY750" s="47"/>
      <c r="AZ750" s="47"/>
      <c r="BA750" s="47"/>
      <c r="BB750" s="47"/>
      <c r="BC750" s="47"/>
      <c r="BD750" s="47"/>
      <c r="BE750" s="47"/>
      <c r="BF750" s="47"/>
      <c r="BG750" s="47"/>
      <c r="BH750" s="47"/>
      <c r="BI750" s="47"/>
      <c r="BJ750" s="47"/>
      <c r="BK750" s="47"/>
      <c r="BL750" s="47"/>
      <c r="BM750" s="47"/>
      <c r="BN750" s="47"/>
      <c r="BO750" s="47"/>
      <c r="BP750" s="47"/>
      <c r="BQ750" s="47"/>
      <c r="BR750" s="47"/>
      <c r="BS750" s="47"/>
      <c r="BT750" s="47"/>
      <c r="BU750" s="47"/>
      <c r="BV750" s="47"/>
      <c r="BW750" s="47"/>
      <c r="BX750" s="47"/>
      <c r="BY750" s="47"/>
      <c r="BZ750" s="47"/>
      <c r="CA750" s="47"/>
      <c r="CB750" s="47"/>
      <c r="CC750" s="47"/>
      <c r="CD750" s="47"/>
      <c r="CE750" s="47"/>
      <c r="CF750" s="47"/>
      <c r="CG750" s="47"/>
      <c r="CH750" s="47"/>
      <c r="CI750" s="47"/>
      <c r="CJ750" s="47"/>
      <c r="CK750" s="47"/>
      <c r="CL750" s="47"/>
      <c r="CM750" s="47"/>
      <c r="CN750" s="47"/>
      <c r="CO750" s="47"/>
      <c r="CP750" s="47"/>
      <c r="CQ750" s="47"/>
      <c r="CR750" s="47"/>
      <c r="CS750" s="47"/>
      <c r="CT750" s="47"/>
      <c r="CU750" s="47"/>
      <c r="CV750" s="47"/>
      <c r="CW750" s="47"/>
      <c r="CX750" s="47"/>
      <c r="CY750" s="48"/>
      <c r="CZ750" s="47"/>
      <c r="DA750" s="47"/>
      <c r="DB750" s="19"/>
      <c r="DC750" s="19"/>
      <c r="DD750" s="19"/>
      <c r="DE750" s="19"/>
      <c r="DF750" s="19"/>
      <c r="DG750" s="19"/>
      <c r="DH750" s="19"/>
      <c r="DI750" s="19"/>
    </row>
    <row r="751" spans="1:113" ht="12" hidden="1" outlineLevel="2">
      <c r="A751" s="1" t="s">
        <v>13</v>
      </c>
      <c r="B751" s="19" t="s">
        <v>801</v>
      </c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  <c r="AA751" s="47"/>
      <c r="AB751" s="47"/>
      <c r="AC751" s="47"/>
      <c r="AD751" s="47"/>
      <c r="AE751" s="47"/>
      <c r="AF751" s="47"/>
      <c r="AG751" s="47"/>
      <c r="AH751" s="47"/>
      <c r="AI751" s="47"/>
      <c r="AJ751" s="47"/>
      <c r="AK751" s="47"/>
      <c r="AL751" s="47"/>
      <c r="AM751" s="47"/>
      <c r="AN751" s="47"/>
      <c r="AO751" s="47"/>
      <c r="AP751" s="47"/>
      <c r="AQ751" s="47"/>
      <c r="AR751" s="47"/>
      <c r="AS751" s="47"/>
      <c r="AT751" s="47"/>
      <c r="AU751" s="47"/>
      <c r="AV751" s="47"/>
      <c r="AW751" s="48"/>
      <c r="AX751" s="47"/>
      <c r="AY751" s="47"/>
      <c r="AZ751" s="47"/>
      <c r="BA751" s="47"/>
      <c r="BB751" s="47"/>
      <c r="BC751" s="47"/>
      <c r="BD751" s="47"/>
      <c r="BE751" s="47"/>
      <c r="BF751" s="47"/>
      <c r="BG751" s="47"/>
      <c r="BH751" s="47"/>
      <c r="BI751" s="47"/>
      <c r="BJ751" s="47"/>
      <c r="BK751" s="47"/>
      <c r="BL751" s="47"/>
      <c r="BM751" s="47"/>
      <c r="BN751" s="47"/>
      <c r="BO751" s="47"/>
      <c r="BP751" s="47"/>
      <c r="BQ751" s="47"/>
      <c r="BR751" s="47"/>
      <c r="BS751" s="47"/>
      <c r="BT751" s="47"/>
      <c r="BU751" s="47"/>
      <c r="BV751" s="47"/>
      <c r="BW751" s="47"/>
      <c r="BX751" s="47"/>
      <c r="BY751" s="47"/>
      <c r="BZ751" s="47"/>
      <c r="CA751" s="47"/>
      <c r="CB751" s="47"/>
      <c r="CC751" s="47"/>
      <c r="CD751" s="47"/>
      <c r="CE751" s="47"/>
      <c r="CF751" s="47"/>
      <c r="CG751" s="47"/>
      <c r="CH751" s="47"/>
      <c r="CI751" s="47"/>
      <c r="CJ751" s="47"/>
      <c r="CK751" s="47"/>
      <c r="CL751" s="47"/>
      <c r="CM751" s="47"/>
      <c r="CN751" s="47"/>
      <c r="CO751" s="47"/>
      <c r="CP751" s="47"/>
      <c r="CQ751" s="47"/>
      <c r="CR751" s="47"/>
      <c r="CS751" s="47"/>
      <c r="CT751" s="47"/>
      <c r="CU751" s="47"/>
      <c r="CV751" s="47"/>
      <c r="CW751" s="47"/>
      <c r="CX751" s="47"/>
      <c r="CY751" s="48"/>
      <c r="CZ751" s="47"/>
      <c r="DA751" s="47"/>
      <c r="DB751" s="19"/>
      <c r="DC751" s="19"/>
      <c r="DD751" s="19"/>
      <c r="DE751" s="19"/>
      <c r="DF751" s="19"/>
      <c r="DG751" s="19"/>
      <c r="DH751" s="19"/>
      <c r="DI751" s="19"/>
    </row>
    <row r="752" spans="1:113" ht="12" hidden="1" outlineLevel="2">
      <c r="A752" s="1" t="s">
        <v>14</v>
      </c>
      <c r="B752" s="19" t="s">
        <v>801</v>
      </c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  <c r="AA752" s="47"/>
      <c r="AB752" s="47"/>
      <c r="AC752" s="47"/>
      <c r="AD752" s="47"/>
      <c r="AE752" s="47"/>
      <c r="AF752" s="47"/>
      <c r="AG752" s="47"/>
      <c r="AH752" s="47"/>
      <c r="AI752" s="47"/>
      <c r="AJ752" s="47"/>
      <c r="AK752" s="47"/>
      <c r="AL752" s="47"/>
      <c r="AM752" s="47"/>
      <c r="AN752" s="47"/>
      <c r="AO752" s="47"/>
      <c r="AP752" s="47"/>
      <c r="AQ752" s="47"/>
      <c r="AR752" s="47"/>
      <c r="AS752" s="47"/>
      <c r="AT752" s="47"/>
      <c r="AU752" s="47"/>
      <c r="AV752" s="47"/>
      <c r="AW752" s="48"/>
      <c r="AX752" s="47"/>
      <c r="AY752" s="47"/>
      <c r="AZ752" s="47"/>
      <c r="BA752" s="47"/>
      <c r="BB752" s="47"/>
      <c r="BC752" s="47"/>
      <c r="BD752" s="47"/>
      <c r="BE752" s="47"/>
      <c r="BF752" s="47"/>
      <c r="BG752" s="47"/>
      <c r="BH752" s="47"/>
      <c r="BI752" s="47"/>
      <c r="BJ752" s="47"/>
      <c r="BK752" s="47"/>
      <c r="BL752" s="47"/>
      <c r="BM752" s="47"/>
      <c r="BN752" s="47"/>
      <c r="BO752" s="47"/>
      <c r="BP752" s="47"/>
      <c r="BQ752" s="47"/>
      <c r="BR752" s="47"/>
      <c r="BS752" s="47"/>
      <c r="BT752" s="47"/>
      <c r="BU752" s="47"/>
      <c r="BV752" s="47"/>
      <c r="BW752" s="47"/>
      <c r="BX752" s="47"/>
      <c r="BY752" s="47"/>
      <c r="BZ752" s="47"/>
      <c r="CA752" s="47"/>
      <c r="CB752" s="47"/>
      <c r="CC752" s="47"/>
      <c r="CD752" s="47"/>
      <c r="CE752" s="47"/>
      <c r="CF752" s="47"/>
      <c r="CG752" s="47"/>
      <c r="CH752" s="47"/>
      <c r="CI752" s="47"/>
      <c r="CJ752" s="47"/>
      <c r="CK752" s="47"/>
      <c r="CL752" s="47"/>
      <c r="CM752" s="47"/>
      <c r="CN752" s="47"/>
      <c r="CO752" s="47"/>
      <c r="CP752" s="47"/>
      <c r="CQ752" s="47"/>
      <c r="CR752" s="47"/>
      <c r="CS752" s="47"/>
      <c r="CT752" s="47"/>
      <c r="CU752" s="47"/>
      <c r="CV752" s="47"/>
      <c r="CW752" s="47"/>
      <c r="CX752" s="47"/>
      <c r="CY752" s="48"/>
      <c r="CZ752" s="47"/>
      <c r="DA752" s="47"/>
      <c r="DB752" s="19"/>
      <c r="DC752" s="19"/>
      <c r="DD752" s="19"/>
      <c r="DE752" s="19"/>
      <c r="DF752" s="19"/>
      <c r="DG752" s="19"/>
      <c r="DH752" s="19"/>
      <c r="DI752" s="19"/>
    </row>
    <row r="753" spans="1:113" ht="12" hidden="1" outlineLevel="2">
      <c r="A753" s="1" t="s">
        <v>15</v>
      </c>
      <c r="B753" s="19" t="s">
        <v>801</v>
      </c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47"/>
      <c r="AH753" s="47"/>
      <c r="AI753" s="47"/>
      <c r="AJ753" s="47"/>
      <c r="AK753" s="47"/>
      <c r="AL753" s="47"/>
      <c r="AM753" s="47"/>
      <c r="AN753" s="47"/>
      <c r="AO753" s="47"/>
      <c r="AP753" s="47"/>
      <c r="AQ753" s="47"/>
      <c r="AR753" s="47"/>
      <c r="AS753" s="47"/>
      <c r="AT753" s="47"/>
      <c r="AU753" s="47"/>
      <c r="AV753" s="47"/>
      <c r="AW753" s="48"/>
      <c r="AX753" s="47"/>
      <c r="AY753" s="47"/>
      <c r="AZ753" s="47"/>
      <c r="BA753" s="47"/>
      <c r="BB753" s="47"/>
      <c r="BC753" s="47"/>
      <c r="BD753" s="47"/>
      <c r="BE753" s="47"/>
      <c r="BF753" s="47"/>
      <c r="BG753" s="47"/>
      <c r="BH753" s="47"/>
      <c r="BI753" s="47"/>
      <c r="BJ753" s="47"/>
      <c r="BK753" s="47"/>
      <c r="BL753" s="47"/>
      <c r="BM753" s="47"/>
      <c r="BN753" s="47"/>
      <c r="BO753" s="47"/>
      <c r="BP753" s="47"/>
      <c r="BQ753" s="47"/>
      <c r="BR753" s="47"/>
      <c r="BS753" s="47"/>
      <c r="BT753" s="47"/>
      <c r="BU753" s="47"/>
      <c r="BV753" s="47"/>
      <c r="BW753" s="47"/>
      <c r="BX753" s="47"/>
      <c r="BY753" s="47"/>
      <c r="BZ753" s="47"/>
      <c r="CA753" s="47"/>
      <c r="CB753" s="47"/>
      <c r="CC753" s="47"/>
      <c r="CD753" s="47"/>
      <c r="CE753" s="47"/>
      <c r="CF753" s="47"/>
      <c r="CG753" s="47"/>
      <c r="CH753" s="47"/>
      <c r="CI753" s="47"/>
      <c r="CJ753" s="47"/>
      <c r="CK753" s="47"/>
      <c r="CL753" s="47"/>
      <c r="CM753" s="47"/>
      <c r="CN753" s="47"/>
      <c r="CO753" s="47"/>
      <c r="CP753" s="47"/>
      <c r="CQ753" s="47"/>
      <c r="CR753" s="47"/>
      <c r="CS753" s="47"/>
      <c r="CT753" s="47"/>
      <c r="CU753" s="47"/>
      <c r="CV753" s="47"/>
      <c r="CW753" s="47"/>
      <c r="CX753" s="47"/>
      <c r="CY753" s="48"/>
      <c r="CZ753" s="47"/>
      <c r="DA753" s="47"/>
      <c r="DB753" s="19"/>
      <c r="DC753" s="19"/>
      <c r="DD753" s="19"/>
      <c r="DE753" s="19"/>
      <c r="DF753" s="19"/>
      <c r="DG753" s="19"/>
      <c r="DH753" s="19"/>
      <c r="DI753" s="19"/>
    </row>
    <row r="754" spans="1:113" ht="12" hidden="1" outlineLevel="2">
      <c r="A754" s="1" t="s">
        <v>16</v>
      </c>
      <c r="B754" s="19" t="s">
        <v>801</v>
      </c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47"/>
      <c r="AH754" s="47"/>
      <c r="AI754" s="47"/>
      <c r="AJ754" s="47"/>
      <c r="AK754" s="47"/>
      <c r="AL754" s="47"/>
      <c r="AM754" s="47"/>
      <c r="AN754" s="47"/>
      <c r="AO754" s="47"/>
      <c r="AP754" s="47"/>
      <c r="AQ754" s="47"/>
      <c r="AR754" s="47"/>
      <c r="AS754" s="47"/>
      <c r="AT754" s="47"/>
      <c r="AU754" s="47"/>
      <c r="AV754" s="47"/>
      <c r="AW754" s="48"/>
      <c r="AX754" s="47"/>
      <c r="AY754" s="47"/>
      <c r="AZ754" s="47"/>
      <c r="BA754" s="47"/>
      <c r="BB754" s="47"/>
      <c r="BC754" s="47"/>
      <c r="BD754" s="47"/>
      <c r="BE754" s="47"/>
      <c r="BF754" s="47"/>
      <c r="BG754" s="47"/>
      <c r="BH754" s="47"/>
      <c r="BI754" s="47"/>
      <c r="BJ754" s="47"/>
      <c r="BK754" s="47"/>
      <c r="BL754" s="47"/>
      <c r="BM754" s="47"/>
      <c r="BN754" s="47"/>
      <c r="BO754" s="47"/>
      <c r="BP754" s="47"/>
      <c r="BQ754" s="47"/>
      <c r="BR754" s="47"/>
      <c r="BS754" s="47"/>
      <c r="BT754" s="47"/>
      <c r="BU754" s="47"/>
      <c r="BV754" s="47"/>
      <c r="BW754" s="47"/>
      <c r="BX754" s="47"/>
      <c r="BY754" s="47"/>
      <c r="BZ754" s="47"/>
      <c r="CA754" s="47"/>
      <c r="CB754" s="47"/>
      <c r="CC754" s="47"/>
      <c r="CD754" s="47"/>
      <c r="CE754" s="47"/>
      <c r="CF754" s="47"/>
      <c r="CG754" s="47"/>
      <c r="CH754" s="47"/>
      <c r="CI754" s="47"/>
      <c r="CJ754" s="47"/>
      <c r="CK754" s="47"/>
      <c r="CL754" s="47"/>
      <c r="CM754" s="47"/>
      <c r="CN754" s="47"/>
      <c r="CO754" s="47"/>
      <c r="CP754" s="47"/>
      <c r="CQ754" s="47"/>
      <c r="CR754" s="47"/>
      <c r="CS754" s="47"/>
      <c r="CT754" s="47"/>
      <c r="CU754" s="47"/>
      <c r="CV754" s="47"/>
      <c r="CW754" s="47"/>
      <c r="CX754" s="47"/>
      <c r="CY754" s="48"/>
      <c r="CZ754" s="47"/>
      <c r="DA754" s="47"/>
      <c r="DC754" s="19"/>
      <c r="DD754" s="19"/>
      <c r="DE754" s="19"/>
      <c r="DF754" s="19"/>
      <c r="DG754" s="19"/>
      <c r="DH754" s="19"/>
      <c r="DI754" s="19"/>
    </row>
    <row r="755" spans="1:113" ht="12" outlineLevel="1" collapsed="1">
      <c r="CN755" s="285"/>
      <c r="CO755" s="285"/>
      <c r="CP755" s="285"/>
      <c r="CQ755" s="285"/>
      <c r="CR755" s="285"/>
      <c r="CS755" s="285"/>
      <c r="CZ755" s="47"/>
      <c r="DA755" s="47"/>
      <c r="DB755" s="47"/>
      <c r="DC755" s="19"/>
      <c r="DD755" s="19"/>
      <c r="DE755" s="19"/>
      <c r="DF755" s="19"/>
      <c r="DG755" s="19"/>
      <c r="DH755" s="19"/>
      <c r="DI755" s="19"/>
    </row>
    <row r="756" spans="1:113" s="24" customFormat="1" ht="12" outlineLevel="1">
      <c r="A756" s="1"/>
      <c r="B756" s="24" t="s">
        <v>343</v>
      </c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2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13"/>
      <c r="CI756" s="13"/>
      <c r="CJ756" s="13"/>
      <c r="CK756" s="13"/>
      <c r="CL756" s="13"/>
      <c r="CM756" s="13"/>
      <c r="CN756" s="13"/>
      <c r="CO756" s="13"/>
      <c r="CP756" s="13"/>
      <c r="CQ756" s="13"/>
      <c r="CR756" s="13"/>
      <c r="CS756" s="13"/>
      <c r="CT756" s="13"/>
      <c r="CU756" s="13"/>
      <c r="CV756" s="13"/>
      <c r="CW756" s="13"/>
      <c r="CX756" s="13"/>
      <c r="CY756" s="23"/>
      <c r="CZ756" s="13"/>
      <c r="DA756" s="13"/>
      <c r="DB756" s="13"/>
    </row>
    <row r="757" spans="1:113" ht="12" outlineLevel="1">
      <c r="A757" s="1" t="s">
        <v>965</v>
      </c>
      <c r="B757" s="19" t="s">
        <v>344</v>
      </c>
      <c r="C757" s="69"/>
      <c r="D757" s="69"/>
      <c r="E757" s="69"/>
      <c r="F757" s="69"/>
      <c r="G757" s="69"/>
      <c r="H757" s="69"/>
      <c r="I757" s="69"/>
      <c r="J757" s="69"/>
      <c r="K757" s="69"/>
      <c r="L757" s="69"/>
      <c r="M757" s="69"/>
      <c r="N757" s="69"/>
      <c r="O757" s="69"/>
      <c r="P757" s="69"/>
      <c r="Q757" s="69"/>
      <c r="R757" s="69"/>
      <c r="S757" s="69"/>
      <c r="T757" s="69"/>
      <c r="U757" s="69"/>
      <c r="V757" s="69"/>
      <c r="W757" s="69"/>
      <c r="X757" s="69"/>
      <c r="Y757" s="69"/>
      <c r="Z757" s="69"/>
      <c r="AA757" s="69"/>
      <c r="AB757" s="69"/>
      <c r="AC757" s="69"/>
      <c r="AD757" s="69"/>
      <c r="AE757" s="69"/>
      <c r="AF757" s="69"/>
      <c r="AG757" s="69"/>
      <c r="AH757" s="69"/>
      <c r="AI757" s="69"/>
      <c r="AJ757" s="69"/>
      <c r="AK757" s="69"/>
      <c r="AL757" s="69"/>
      <c r="AM757" s="69"/>
      <c r="AN757" s="69"/>
      <c r="AO757" s="69"/>
      <c r="AP757" s="69"/>
      <c r="AQ757" s="69"/>
      <c r="AR757" s="69">
        <v>-59.166666666666657</v>
      </c>
      <c r="AS757" s="69">
        <v>72.194023477678641</v>
      </c>
      <c r="AT757" s="69">
        <v>20.703125</v>
      </c>
      <c r="AU757" s="69">
        <v>17.56087196139411</v>
      </c>
      <c r="AV757" s="69">
        <v>12.195121951219514</v>
      </c>
      <c r="AW757" s="70">
        <v>28.80065997054875</v>
      </c>
      <c r="AX757" s="69">
        <v>25.54704342406308</v>
      </c>
      <c r="AY757" s="69">
        <v>14.965176363115845</v>
      </c>
      <c r="AZ757" s="69">
        <v>12.69916831162022</v>
      </c>
      <c r="BA757" s="69">
        <v>11.403873531200764</v>
      </c>
      <c r="BB757" s="69">
        <v>9.9376937999411386</v>
      </c>
      <c r="BC757" s="69">
        <v>9.933845316139795</v>
      </c>
      <c r="BD757" s="69">
        <v>9.8296358285272181</v>
      </c>
      <c r="BE757" s="69">
        <v>9.900601782422223</v>
      </c>
      <c r="BF757" s="69">
        <v>9.7631435483945062</v>
      </c>
      <c r="BG757" s="69">
        <v>10.090564149311646</v>
      </c>
      <c r="BH757" s="69">
        <v>10.076000436813606</v>
      </c>
      <c r="BI757" s="69">
        <v>10.555109812751535</v>
      </c>
      <c r="BJ757" s="69">
        <v>10.628267259883719</v>
      </c>
      <c r="BK757" s="69">
        <v>11.134990757154325</v>
      </c>
      <c r="BL757" s="69">
        <v>11.238091746012399</v>
      </c>
      <c r="BM757" s="69">
        <v>11.724827353696787</v>
      </c>
      <c r="BN757" s="69">
        <v>11.950959740629493</v>
      </c>
      <c r="BO757" s="69">
        <v>12.553024245172352</v>
      </c>
      <c r="BP757" s="69">
        <v>12.740052971114492</v>
      </c>
      <c r="BQ757" s="69">
        <v>13.400136371849912</v>
      </c>
      <c r="BR757" s="69"/>
      <c r="BS757" s="69"/>
      <c r="BT757" s="69"/>
      <c r="BU757" s="69"/>
      <c r="BV757" s="69"/>
      <c r="BW757" s="69"/>
      <c r="BX757" s="69"/>
      <c r="BY757" s="69"/>
      <c r="BZ757" s="69"/>
      <c r="CA757" s="69"/>
      <c r="CB757" s="69"/>
      <c r="CC757" s="69"/>
      <c r="CD757" s="69"/>
      <c r="CE757" s="69"/>
      <c r="CF757" s="69"/>
      <c r="CG757" s="69"/>
      <c r="CH757" s="69"/>
      <c r="CI757" s="69"/>
      <c r="CJ757" s="69"/>
      <c r="CK757" s="69"/>
      <c r="CL757" s="69"/>
      <c r="CM757" s="69"/>
      <c r="CN757" s="69"/>
      <c r="CO757" s="69"/>
      <c r="CP757" s="69"/>
      <c r="CQ757" s="69"/>
      <c r="CR757" s="69"/>
      <c r="CS757" s="69"/>
      <c r="CT757" s="69"/>
      <c r="CU757" s="69"/>
      <c r="CV757" s="69"/>
      <c r="CW757" s="69">
        <v>-157.51423304220788</v>
      </c>
      <c r="CX757" s="69">
        <v>18.028944179608082</v>
      </c>
      <c r="CY757" s="70">
        <v>19.978662692703857</v>
      </c>
      <c r="CZ757" s="69">
        <v>19.253886932879276</v>
      </c>
      <c r="DA757" s="69">
        <v>12.32817163515239</v>
      </c>
      <c r="DB757" s="69">
        <v>10.208261377142565</v>
      </c>
      <c r="DC757" s="69">
        <v>10.13659621570962</v>
      </c>
      <c r="DD757" s="69">
        <v>10.200996529304748</v>
      </c>
      <c r="DE757" s="69">
        <v>10.599555791304336</v>
      </c>
      <c r="DF757" s="69">
        <v>11.181201458979082</v>
      </c>
      <c r="DG757" s="69">
        <v>11.797965285704128</v>
      </c>
      <c r="DH757" s="69">
        <v>12.588959739078717</v>
      </c>
      <c r="DI757" s="69">
        <v>13.429357708545268</v>
      </c>
    </row>
    <row r="758" spans="1:113" ht="12" outlineLevel="1">
      <c r="A758" s="1" t="s">
        <v>966</v>
      </c>
      <c r="B758" s="19" t="s">
        <v>648</v>
      </c>
      <c r="C758" s="69"/>
      <c r="D758" s="69"/>
      <c r="E758" s="69"/>
      <c r="F758" s="69"/>
      <c r="G758" s="69"/>
      <c r="H758" s="69"/>
      <c r="I758" s="69"/>
      <c r="J758" s="69"/>
      <c r="K758" s="69"/>
      <c r="L758" s="69"/>
      <c r="M758" s="69"/>
      <c r="N758" s="69"/>
      <c r="O758" s="69"/>
      <c r="P758" s="69"/>
      <c r="Q758" s="69"/>
      <c r="R758" s="69"/>
      <c r="S758" s="69"/>
      <c r="T758" s="69"/>
      <c r="U758" s="69"/>
      <c r="V758" s="69"/>
      <c r="W758" s="69"/>
      <c r="X758" s="69"/>
      <c r="Y758" s="69"/>
      <c r="Z758" s="69"/>
      <c r="AA758" s="69"/>
      <c r="AB758" s="69"/>
      <c r="AC758" s="69"/>
      <c r="AD758" s="69"/>
      <c r="AE758" s="69"/>
      <c r="AF758" s="69"/>
      <c r="AG758" s="69"/>
      <c r="AH758" s="69"/>
      <c r="AI758" s="69"/>
      <c r="AJ758" s="69"/>
      <c r="AK758" s="69"/>
      <c r="AL758" s="69"/>
      <c r="AM758" s="69"/>
      <c r="AN758" s="69"/>
      <c r="AO758" s="69"/>
      <c r="AP758" s="69"/>
      <c r="AQ758" s="69"/>
      <c r="AR758" s="69">
        <v>-59.166666666666657</v>
      </c>
      <c r="AS758" s="69">
        <v>72.194023477678641</v>
      </c>
      <c r="AT758" s="69">
        <v>20.703125</v>
      </c>
      <c r="AU758" s="69">
        <v>17.829005076997433</v>
      </c>
      <c r="AV758" s="69">
        <v>12.500000000000002</v>
      </c>
      <c r="AW758" s="70">
        <v>30.023366600769197</v>
      </c>
      <c r="AX758" s="69">
        <v>26.964182100754666</v>
      </c>
      <c r="AY758" s="69">
        <v>16.269300120255526</v>
      </c>
      <c r="AZ758" s="69">
        <v>13.908020427178442</v>
      </c>
      <c r="BA758" s="69">
        <v>12.546287033070259</v>
      </c>
      <c r="BB758" s="69">
        <v>10.982863676384419</v>
      </c>
      <c r="BC758" s="69">
        <v>10.991248694542183</v>
      </c>
      <c r="BD758" s="69">
        <v>10.889918923963183</v>
      </c>
      <c r="BE758" s="69">
        <v>10.978253061589154</v>
      </c>
      <c r="BF758" s="69">
        <v>10.838910814413779</v>
      </c>
      <c r="BG758" s="69">
        <v>11.206520724982482</v>
      </c>
      <c r="BH758" s="69">
        <v>11.200519934186447</v>
      </c>
      <c r="BI758" s="69">
        <v>11.734643999884369</v>
      </c>
      <c r="BJ758" s="69">
        <v>11.82459562932809</v>
      </c>
      <c r="BK758" s="69">
        <v>12.389876687374841</v>
      </c>
      <c r="BL758" s="69">
        <v>12.512819670627913</v>
      </c>
      <c r="BM758" s="69">
        <v>13.057043986064754</v>
      </c>
      <c r="BN758" s="69">
        <v>13.315375915994338</v>
      </c>
      <c r="BO758" s="69">
        <v>13.987248639476149</v>
      </c>
      <c r="BP758" s="69">
        <v>14.203094268425673</v>
      </c>
      <c r="BQ758" s="69">
        <v>14.939814326587047</v>
      </c>
      <c r="BR758" s="69"/>
      <c r="BS758" s="69"/>
      <c r="BT758" s="69"/>
      <c r="BU758" s="69"/>
      <c r="BV758" s="69"/>
      <c r="BW758" s="69"/>
      <c r="BX758" s="69"/>
      <c r="BY758" s="69"/>
      <c r="BZ758" s="69"/>
      <c r="CA758" s="69"/>
      <c r="CB758" s="69"/>
      <c r="CC758" s="69"/>
      <c r="CD758" s="69"/>
      <c r="CE758" s="69"/>
      <c r="CF758" s="69"/>
      <c r="CG758" s="69"/>
      <c r="CH758" s="69"/>
      <c r="CI758" s="69"/>
      <c r="CJ758" s="69"/>
      <c r="CK758" s="69"/>
      <c r="CL758" s="69"/>
      <c r="CM758" s="69"/>
      <c r="CN758" s="69"/>
      <c r="CO758" s="69"/>
      <c r="CP758" s="69"/>
      <c r="CQ758" s="69"/>
      <c r="CR758" s="69"/>
      <c r="CS758" s="69"/>
      <c r="CT758" s="69"/>
      <c r="CU758" s="69"/>
      <c r="CV758" s="69"/>
      <c r="CW758" s="69">
        <v>-157.51423304220788</v>
      </c>
      <c r="CX758" s="69">
        <v>18.162501845982774</v>
      </c>
      <c r="CY758" s="70">
        <v>20.805960921253394</v>
      </c>
      <c r="CZ758" s="69">
        <v>20.710064726484106</v>
      </c>
      <c r="DA758" s="69">
        <v>13.534865399323561</v>
      </c>
      <c r="DB758" s="69">
        <v>11.288556802486704</v>
      </c>
      <c r="DC758" s="69">
        <v>11.235078665716383</v>
      </c>
      <c r="DD758" s="69">
        <v>11.327110157522853</v>
      </c>
      <c r="DE758" s="69">
        <v>11.783284640150599</v>
      </c>
      <c r="DF758" s="69">
        <v>12.440535058199085</v>
      </c>
      <c r="DG758" s="69">
        <v>13.137352719684127</v>
      </c>
      <c r="DH758" s="69">
        <v>14.026753981416546</v>
      </c>
      <c r="DI758" s="69">
        <v>14.971976166778415</v>
      </c>
    </row>
    <row r="759" spans="1:113" ht="12" outlineLevel="1">
      <c r="A759" s="1" t="s">
        <v>967</v>
      </c>
      <c r="B759" s="19" t="s">
        <v>649</v>
      </c>
      <c r="C759" s="69"/>
      <c r="D759" s="69"/>
      <c r="E759" s="69"/>
      <c r="F759" s="69"/>
      <c r="G759" s="69"/>
      <c r="H759" s="69"/>
      <c r="I759" s="69"/>
      <c r="J759" s="69"/>
      <c r="K759" s="69"/>
      <c r="L759" s="69"/>
      <c r="M759" s="69"/>
      <c r="N759" s="69"/>
      <c r="O759" s="69"/>
      <c r="P759" s="69"/>
      <c r="Q759" s="69"/>
      <c r="R759" s="69"/>
      <c r="S759" s="69"/>
      <c r="T759" s="69"/>
      <c r="U759" s="69"/>
      <c r="V759" s="69"/>
      <c r="W759" s="69"/>
      <c r="X759" s="69"/>
      <c r="Y759" s="69"/>
      <c r="Z759" s="69"/>
      <c r="AA759" s="69"/>
      <c r="AB759" s="69"/>
      <c r="AC759" s="69"/>
      <c r="AD759" s="69"/>
      <c r="AE759" s="69"/>
      <c r="AF759" s="69"/>
      <c r="AG759" s="69"/>
      <c r="AH759" s="69"/>
      <c r="AI759" s="69"/>
      <c r="AJ759" s="69"/>
      <c r="AK759" s="69"/>
      <c r="AL759" s="69"/>
      <c r="AM759" s="69"/>
      <c r="AN759" s="69"/>
      <c r="AO759" s="69"/>
      <c r="AP759" s="69"/>
      <c r="AQ759" s="69"/>
      <c r="AR759" s="69">
        <v>1360.8333333333146</v>
      </c>
      <c r="AS759" s="69">
        <v>72.194023477678641</v>
      </c>
      <c r="AT759" s="69">
        <v>20.703125</v>
      </c>
      <c r="AU759" s="69">
        <v>17.56087196139411</v>
      </c>
      <c r="AV759" s="69">
        <v>12.195121951219514</v>
      </c>
      <c r="AW759" s="70">
        <v>28.80065997054875</v>
      </c>
      <c r="AX759" s="69">
        <v>25.54704342406308</v>
      </c>
      <c r="AY759" s="69">
        <v>14.965176363115845</v>
      </c>
      <c r="AZ759" s="69">
        <v>12.69916831162022</v>
      </c>
      <c r="BA759" s="69">
        <v>11.403873531200764</v>
      </c>
      <c r="BB759" s="69">
        <v>9.9376937999411386</v>
      </c>
      <c r="BC759" s="69">
        <v>9.933845316139795</v>
      </c>
      <c r="BD759" s="69">
        <v>9.8296358285272181</v>
      </c>
      <c r="BE759" s="69">
        <v>9.900601782422223</v>
      </c>
      <c r="BF759" s="69">
        <v>9.7631435483945062</v>
      </c>
      <c r="BG759" s="69">
        <v>10.090564149311646</v>
      </c>
      <c r="BH759" s="69">
        <v>10.076000436813606</v>
      </c>
      <c r="BI759" s="69">
        <v>10.555109812751535</v>
      </c>
      <c r="BJ759" s="69">
        <v>10.628267259883719</v>
      </c>
      <c r="BK759" s="69">
        <v>11.134990757154325</v>
      </c>
      <c r="BL759" s="69">
        <v>11.238091746012399</v>
      </c>
      <c r="BM759" s="69">
        <v>11.724827353696787</v>
      </c>
      <c r="BN759" s="69">
        <v>11.950959740629493</v>
      </c>
      <c r="BO759" s="69">
        <v>12.553024245172352</v>
      </c>
      <c r="BP759" s="69">
        <v>12.740052971114492</v>
      </c>
      <c r="BQ759" s="69">
        <v>13.400136371849912</v>
      </c>
      <c r="BR759" s="69"/>
      <c r="BS759" s="69"/>
      <c r="BT759" s="69"/>
      <c r="BU759" s="69"/>
      <c r="BV759" s="69"/>
      <c r="BW759" s="69"/>
      <c r="BX759" s="69"/>
      <c r="BY759" s="69"/>
      <c r="BZ759" s="69"/>
      <c r="CA759" s="69"/>
      <c r="CB759" s="69"/>
      <c r="CC759" s="69"/>
      <c r="CD759" s="69"/>
      <c r="CE759" s="69"/>
      <c r="CF759" s="69"/>
      <c r="CG759" s="69"/>
      <c r="CH759" s="69"/>
      <c r="CI759" s="69"/>
      <c r="CJ759" s="69"/>
      <c r="CK759" s="69"/>
      <c r="CL759" s="69"/>
      <c r="CM759" s="69"/>
      <c r="CN759" s="69"/>
      <c r="CO759" s="69"/>
      <c r="CP759" s="69"/>
      <c r="CQ759" s="69"/>
      <c r="CR759" s="69"/>
      <c r="CS759" s="69"/>
      <c r="CT759" s="69"/>
      <c r="CU759" s="69"/>
      <c r="CV759" s="69"/>
      <c r="CW759" s="69">
        <v>133.28127411263736</v>
      </c>
      <c r="CX759" s="69">
        <v>18.028944179608075</v>
      </c>
      <c r="CY759" s="70">
        <v>19.978662692703868</v>
      </c>
      <c r="CZ759" s="69">
        <v>19.253886932879283</v>
      </c>
      <c r="DA759" s="69">
        <v>12.32817163515239</v>
      </c>
      <c r="DB759" s="69">
        <v>10.208261377142566</v>
      </c>
      <c r="DC759" s="69">
        <v>10.13659621570962</v>
      </c>
      <c r="DD759" s="69">
        <v>10.200996529304746</v>
      </c>
      <c r="DE759" s="69">
        <v>10.599555791304335</v>
      </c>
      <c r="DF759" s="69">
        <v>11.181201458979082</v>
      </c>
      <c r="DG759" s="69">
        <v>11.797965285704128</v>
      </c>
      <c r="DH759" s="69">
        <v>12.588959739078717</v>
      </c>
      <c r="DI759" s="69">
        <v>13.429357708545268</v>
      </c>
    </row>
    <row r="760" spans="1:113" ht="12" outlineLevel="1">
      <c r="A760" s="1" t="s">
        <v>968</v>
      </c>
      <c r="B760" s="19" t="s">
        <v>536</v>
      </c>
      <c r="C760" s="69"/>
      <c r="D760" s="69"/>
      <c r="E760" s="69"/>
      <c r="F760" s="69"/>
      <c r="G760" s="69"/>
      <c r="H760" s="69"/>
      <c r="I760" s="69"/>
      <c r="J760" s="69"/>
      <c r="K760" s="69"/>
      <c r="L760" s="69"/>
      <c r="M760" s="69"/>
      <c r="N760" s="69"/>
      <c r="O760" s="69"/>
      <c r="P760" s="69"/>
      <c r="Q760" s="69"/>
      <c r="R760" s="69"/>
      <c r="S760" s="69"/>
      <c r="T760" s="69"/>
      <c r="U760" s="69"/>
      <c r="V760" s="69"/>
      <c r="W760" s="69"/>
      <c r="X760" s="69"/>
      <c r="Y760" s="69"/>
      <c r="Z760" s="69"/>
      <c r="AA760" s="69"/>
      <c r="AB760" s="69"/>
      <c r="AC760" s="69"/>
      <c r="AD760" s="69"/>
      <c r="AE760" s="69"/>
      <c r="AF760" s="69"/>
      <c r="AG760" s="69"/>
      <c r="AH760" s="69"/>
      <c r="AI760" s="69"/>
      <c r="AJ760" s="69"/>
      <c r="AK760" s="69"/>
      <c r="AL760" s="69"/>
      <c r="AM760" s="69"/>
      <c r="AN760" s="69"/>
      <c r="AO760" s="69"/>
      <c r="AP760" s="69"/>
      <c r="AQ760" s="69"/>
      <c r="AR760" s="69">
        <v>1360.8333333333146</v>
      </c>
      <c r="AS760" s="69">
        <v>72.194023477678641</v>
      </c>
      <c r="AT760" s="69">
        <v>20.703125</v>
      </c>
      <c r="AU760" s="69">
        <v>17.829005076997433</v>
      </c>
      <c r="AV760" s="69">
        <v>12.500000000000002</v>
      </c>
      <c r="AW760" s="70">
        <v>30.023366600769197</v>
      </c>
      <c r="AX760" s="69">
        <v>26.964182100754666</v>
      </c>
      <c r="AY760" s="69">
        <v>16.269300120255526</v>
      </c>
      <c r="AZ760" s="69">
        <v>13.908020427178442</v>
      </c>
      <c r="BA760" s="69">
        <v>12.546287033070259</v>
      </c>
      <c r="BB760" s="69">
        <v>10.982863676384419</v>
      </c>
      <c r="BC760" s="69">
        <v>10.991248694542183</v>
      </c>
      <c r="BD760" s="69">
        <v>10.889918923963183</v>
      </c>
      <c r="BE760" s="69">
        <v>10.978253061589154</v>
      </c>
      <c r="BF760" s="69">
        <v>10.838910814413779</v>
      </c>
      <c r="BG760" s="69">
        <v>11.206520724982482</v>
      </c>
      <c r="BH760" s="69">
        <v>11.200519934186447</v>
      </c>
      <c r="BI760" s="69">
        <v>11.734643999884369</v>
      </c>
      <c r="BJ760" s="69">
        <v>11.82459562932809</v>
      </c>
      <c r="BK760" s="69">
        <v>12.389876687374841</v>
      </c>
      <c r="BL760" s="69">
        <v>12.512819670627913</v>
      </c>
      <c r="BM760" s="69">
        <v>13.057043986064754</v>
      </c>
      <c r="BN760" s="69">
        <v>13.315375915994338</v>
      </c>
      <c r="BO760" s="69">
        <v>13.987248639476149</v>
      </c>
      <c r="BP760" s="69">
        <v>14.203094268425673</v>
      </c>
      <c r="BQ760" s="69">
        <v>14.939814326587047</v>
      </c>
      <c r="BR760" s="69"/>
      <c r="BS760" s="69"/>
      <c r="BT760" s="69"/>
      <c r="BU760" s="69"/>
      <c r="BV760" s="69"/>
      <c r="BW760" s="69"/>
      <c r="BX760" s="69"/>
      <c r="BY760" s="69"/>
      <c r="BZ760" s="69"/>
      <c r="CA760" s="69"/>
      <c r="CB760" s="69"/>
      <c r="CC760" s="69"/>
      <c r="CD760" s="69"/>
      <c r="CE760" s="69"/>
      <c r="CF760" s="69"/>
      <c r="CG760" s="69"/>
      <c r="CH760" s="69"/>
      <c r="CI760" s="69"/>
      <c r="CJ760" s="69"/>
      <c r="CK760" s="69"/>
      <c r="CL760" s="69"/>
      <c r="CM760" s="69"/>
      <c r="CN760" s="69"/>
      <c r="CO760" s="69"/>
      <c r="CP760" s="69"/>
      <c r="CQ760" s="69"/>
      <c r="CR760" s="69"/>
      <c r="CS760" s="69"/>
      <c r="CT760" s="69"/>
      <c r="CU760" s="69"/>
      <c r="CV760" s="69"/>
      <c r="CW760" s="69">
        <v>133.28127411263736</v>
      </c>
      <c r="CX760" s="69">
        <v>18.162501845982767</v>
      </c>
      <c r="CY760" s="70">
        <v>20.805960921253412</v>
      </c>
      <c r="CZ760" s="69">
        <v>20.710064726484116</v>
      </c>
      <c r="DA760" s="69">
        <v>13.534865399323561</v>
      </c>
      <c r="DB760" s="69">
        <v>11.288556802486704</v>
      </c>
      <c r="DC760" s="69">
        <v>11.235078665716383</v>
      </c>
      <c r="DD760" s="69">
        <v>11.327110157522849</v>
      </c>
      <c r="DE760" s="69">
        <v>11.783284640150598</v>
      </c>
      <c r="DF760" s="69">
        <v>12.440535058199085</v>
      </c>
      <c r="DG760" s="69">
        <v>13.137352719684127</v>
      </c>
      <c r="DH760" s="69">
        <v>14.026753981416546</v>
      </c>
      <c r="DI760" s="69">
        <v>14.971976166778415</v>
      </c>
    </row>
    <row r="761" spans="1:113" ht="12" outlineLevel="1">
      <c r="A761" s="1" t="s">
        <v>969</v>
      </c>
      <c r="B761" s="19" t="s">
        <v>428</v>
      </c>
      <c r="C761" s="69"/>
      <c r="D761" s="69"/>
      <c r="E761" s="69"/>
      <c r="F761" s="69"/>
      <c r="G761" s="69"/>
      <c r="H761" s="69"/>
      <c r="I761" s="69"/>
      <c r="J761" s="69"/>
      <c r="K761" s="69"/>
      <c r="L761" s="69"/>
      <c r="M761" s="69"/>
      <c r="N761" s="69"/>
      <c r="O761" s="69"/>
      <c r="P761" s="69"/>
      <c r="Q761" s="69"/>
      <c r="R761" s="69"/>
      <c r="S761" s="69"/>
      <c r="T761" s="69"/>
      <c r="U761" s="69"/>
      <c r="V761" s="69"/>
      <c r="W761" s="69"/>
      <c r="X761" s="69"/>
      <c r="Y761" s="69"/>
      <c r="Z761" s="69"/>
      <c r="AA761" s="69"/>
      <c r="AB761" s="69"/>
      <c r="AC761" s="69"/>
      <c r="AD761" s="69"/>
      <c r="AE761" s="69"/>
      <c r="AF761" s="69"/>
      <c r="AG761" s="69"/>
      <c r="AH761" s="69"/>
      <c r="AI761" s="69"/>
      <c r="AJ761" s="69"/>
      <c r="AK761" s="69"/>
      <c r="AL761" s="69"/>
      <c r="AM761" s="69"/>
      <c r="AN761" s="69"/>
      <c r="AO761" s="69"/>
      <c r="AP761" s="69"/>
      <c r="AQ761" s="69"/>
      <c r="AR761" s="69">
        <v>75.60185185185172</v>
      </c>
      <c r="AS761" s="69">
        <v>21.353161873679586</v>
      </c>
      <c r="AT761" s="69">
        <v>9.8991100993377454</v>
      </c>
      <c r="AU761" s="69">
        <v>7.5637473921478087</v>
      </c>
      <c r="AV761" s="69">
        <v>5.9422091036196996</v>
      </c>
      <c r="AW761" s="70">
        <v>8.6186513627577366</v>
      </c>
      <c r="AX761" s="69">
        <v>8.8633391674778981</v>
      </c>
      <c r="AY761" s="69">
        <v>7.2279509259621175</v>
      </c>
      <c r="AZ761" s="69">
        <v>6.2979422242372127</v>
      </c>
      <c r="BA761" s="69">
        <v>5.7815744970259431</v>
      </c>
      <c r="BB761" s="69">
        <v>5.1791347859138979</v>
      </c>
      <c r="BC761" s="69">
        <v>5.2143132552385794</v>
      </c>
      <c r="BD761" s="69">
        <v>5.1603400297830007</v>
      </c>
      <c r="BE761" s="69">
        <v>5.2083283841188184</v>
      </c>
      <c r="BF761" s="69">
        <v>5.1586694773712116</v>
      </c>
      <c r="BG761" s="69">
        <v>5.3357178793895805</v>
      </c>
      <c r="BH761" s="69">
        <v>5.3538378534628208</v>
      </c>
      <c r="BI761" s="69">
        <v>5.6093555259126591</v>
      </c>
      <c r="BJ761" s="69">
        <v>5.6620609423792221</v>
      </c>
      <c r="BK761" s="69">
        <v>5.9328534090790424</v>
      </c>
      <c r="BL761" s="69">
        <v>6.0023745579083068</v>
      </c>
      <c r="BM761" s="69">
        <v>6.2624669912618085</v>
      </c>
      <c r="BN761" s="69">
        <v>6.3859412604164882</v>
      </c>
      <c r="BO761" s="69">
        <v>6.7050970829614522</v>
      </c>
      <c r="BP761" s="69">
        <v>6.8104998922413724</v>
      </c>
      <c r="BQ761" s="69">
        <v>7.1586625303403748</v>
      </c>
      <c r="BR761" s="69"/>
      <c r="BS761" s="69"/>
      <c r="BT761" s="69"/>
      <c r="BU761" s="69"/>
      <c r="BV761" s="69"/>
      <c r="BW761" s="69"/>
      <c r="BX761" s="69"/>
      <c r="BY761" s="69"/>
      <c r="BZ761" s="69"/>
      <c r="CA761" s="69"/>
      <c r="CB761" s="69"/>
      <c r="CC761" s="69"/>
      <c r="CD761" s="69"/>
      <c r="CE761" s="69"/>
      <c r="CF761" s="69"/>
      <c r="CG761" s="69"/>
      <c r="CH761" s="69"/>
      <c r="CI761" s="69"/>
      <c r="CJ761" s="69"/>
      <c r="CK761" s="69"/>
      <c r="CL761" s="69"/>
      <c r="CM761" s="69"/>
      <c r="CN761" s="69"/>
      <c r="CO761" s="69"/>
      <c r="CP761" s="69"/>
      <c r="CQ761" s="69"/>
      <c r="CR761" s="69"/>
      <c r="CS761" s="69"/>
      <c r="CT761" s="69"/>
      <c r="CU761" s="69"/>
      <c r="CV761" s="69"/>
      <c r="CW761" s="69">
        <v>29.581941327439022</v>
      </c>
      <c r="CX761" s="69">
        <v>8.1636304921852734</v>
      </c>
      <c r="CY761" s="70">
        <v>8.0075029943807348</v>
      </c>
      <c r="CZ761" s="69">
        <v>8.1582165214992965</v>
      </c>
      <c r="DA761" s="69">
        <v>6.1868398666179036</v>
      </c>
      <c r="DB761" s="69">
        <v>5.3397090839026378</v>
      </c>
      <c r="DC761" s="69">
        <v>5.3271070214188452</v>
      </c>
      <c r="DD761" s="69">
        <v>5.3920894793376588</v>
      </c>
      <c r="DE761" s="69">
        <v>5.6325031239256225</v>
      </c>
      <c r="DF761" s="69">
        <v>5.9570536887584957</v>
      </c>
      <c r="DG761" s="69">
        <v>6.3014703432353425</v>
      </c>
      <c r="DH761" s="69">
        <v>6.7255687945657749</v>
      </c>
      <c r="DI761" s="69">
        <v>7.1766228216243322</v>
      </c>
    </row>
    <row r="762" spans="1:113" ht="12" outlineLevel="1">
      <c r="A762" s="1" t="s">
        <v>970</v>
      </c>
      <c r="B762" s="19" t="s">
        <v>429</v>
      </c>
      <c r="C762" s="408"/>
      <c r="D762" s="408"/>
      <c r="E762" s="408"/>
      <c r="F762" s="408"/>
      <c r="G762" s="408"/>
      <c r="H762" s="408"/>
      <c r="I762" s="408"/>
      <c r="J762" s="408"/>
      <c r="K762" s="408"/>
      <c r="L762" s="408"/>
      <c r="M762" s="408"/>
      <c r="N762" s="408"/>
      <c r="O762" s="408"/>
      <c r="P762" s="408"/>
      <c r="Q762" s="408"/>
      <c r="R762" s="408"/>
      <c r="S762" s="408"/>
      <c r="T762" s="394"/>
      <c r="U762" s="408"/>
      <c r="V762" s="408"/>
      <c r="W762" s="408"/>
      <c r="X762" s="408"/>
      <c r="Y762" s="394"/>
      <c r="Z762" s="394"/>
      <c r="AA762" s="394"/>
      <c r="AB762" s="394"/>
      <c r="AC762" s="394"/>
      <c r="AD762" s="394"/>
      <c r="AE762" s="394"/>
      <c r="AF762" s="394"/>
      <c r="AG762" s="394"/>
      <c r="AH762" s="394"/>
      <c r="AI762" s="394"/>
      <c r="AJ762" s="394"/>
      <c r="AK762" s="394"/>
      <c r="AL762" s="394"/>
      <c r="AM762" s="394"/>
      <c r="AN762" s="394"/>
      <c r="AO762" s="394"/>
      <c r="AP762" s="285"/>
      <c r="AQ762" s="285"/>
      <c r="AR762" s="285">
        <v>0</v>
      </c>
      <c r="AS762" s="285">
        <v>0</v>
      </c>
      <c r="AT762" s="285">
        <v>0</v>
      </c>
      <c r="AU762" s="285">
        <v>0</v>
      </c>
      <c r="AV762" s="285">
        <v>0</v>
      </c>
      <c r="AW762" s="286">
        <v>0</v>
      </c>
      <c r="AX762" s="162">
        <v>0</v>
      </c>
      <c r="AY762" s="162">
        <v>0</v>
      </c>
      <c r="AZ762" s="162">
        <v>0</v>
      </c>
      <c r="BA762" s="162">
        <v>0</v>
      </c>
      <c r="BB762" s="162">
        <v>4.9463269627229654E-2</v>
      </c>
      <c r="BC762" s="162">
        <v>4.9106086254046936E-2</v>
      </c>
      <c r="BD762" s="162">
        <v>4.9727039139185324E-2</v>
      </c>
      <c r="BE762" s="162">
        <v>4.9118365845508313E-2</v>
      </c>
      <c r="BF762" s="162">
        <v>5.0370228207060087E-2</v>
      </c>
      <c r="BG762" s="162">
        <v>4.8597546852821472E-2</v>
      </c>
      <c r="BH762" s="162">
        <v>4.8606506403283796E-2</v>
      </c>
      <c r="BI762" s="162">
        <v>4.6832693761595039E-2</v>
      </c>
      <c r="BJ762" s="162">
        <v>4.6665232722046646E-2</v>
      </c>
      <c r="BK762" s="162">
        <v>4.4909676153199039E-2</v>
      </c>
      <c r="BL762" s="162">
        <v>4.3905460894398722E-2</v>
      </c>
      <c r="BM762" s="162">
        <v>4.2220742608330954E-2</v>
      </c>
      <c r="BN762" s="162">
        <v>4.1215230400954588E-2</v>
      </c>
      <c r="BO762" s="162">
        <v>3.9605591324459198E-2</v>
      </c>
      <c r="BP762" s="162">
        <v>3.86099014020021E-2</v>
      </c>
      <c r="BQ762" s="162">
        <v>3.6548250700632383E-2</v>
      </c>
      <c r="BR762" s="162"/>
      <c r="BS762" s="162"/>
      <c r="BT762" s="162"/>
      <c r="BU762" s="162"/>
      <c r="BV762" s="162"/>
      <c r="BW762" s="162"/>
      <c r="BX762" s="162"/>
      <c r="BY762" s="162"/>
      <c r="BZ762" s="162"/>
      <c r="CA762" s="162"/>
      <c r="CB762" s="162"/>
      <c r="CC762" s="162"/>
      <c r="CD762" s="162"/>
      <c r="CE762" s="162"/>
      <c r="CF762" s="162"/>
      <c r="CG762" s="162"/>
      <c r="CH762" s="162"/>
      <c r="CI762" s="162"/>
      <c r="CJ762" s="162"/>
      <c r="CK762" s="162"/>
      <c r="CL762" s="162"/>
      <c r="CM762" s="285"/>
      <c r="CN762" s="285"/>
      <c r="CO762" s="285"/>
      <c r="CP762" s="285"/>
      <c r="CQ762" s="285"/>
      <c r="CR762" s="285"/>
      <c r="CS762" s="285"/>
      <c r="CT762" s="285"/>
      <c r="CU762" s="285"/>
      <c r="CV762" s="285"/>
      <c r="CW762" s="285">
        <v>0</v>
      </c>
      <c r="CX762" s="285">
        <v>0</v>
      </c>
      <c r="CY762" s="286">
        <v>0</v>
      </c>
      <c r="CZ762" s="162">
        <v>0</v>
      </c>
      <c r="DA762" s="162">
        <v>0</v>
      </c>
      <c r="DB762" s="162">
        <v>4.7964084248138868E-2</v>
      </c>
      <c r="DC762" s="162">
        <v>4.8095066557060223E-2</v>
      </c>
      <c r="DD762" s="162">
        <v>4.8139079429681646E-2</v>
      </c>
      <c r="DE762" s="162">
        <v>4.6421880658423155E-2</v>
      </c>
      <c r="DF762" s="162">
        <v>4.4541564053582651E-2</v>
      </c>
      <c r="DG762" s="162">
        <v>4.189089305670337E-2</v>
      </c>
      <c r="DH762" s="162">
        <v>3.9310027210097562E-2</v>
      </c>
      <c r="DI762" s="162">
        <v>3.6548250700632383E-2</v>
      </c>
    </row>
    <row r="763" spans="1:113" ht="12" outlineLevel="1">
      <c r="A763" s="1" t="s">
        <v>971</v>
      </c>
      <c r="B763" s="19" t="s">
        <v>363</v>
      </c>
      <c r="C763" s="408"/>
      <c r="D763" s="408"/>
      <c r="E763" s="408"/>
      <c r="F763" s="408"/>
      <c r="G763" s="408"/>
      <c r="H763" s="408"/>
      <c r="I763" s="408"/>
      <c r="J763" s="408"/>
      <c r="K763" s="408"/>
      <c r="L763" s="408"/>
      <c r="M763" s="408"/>
      <c r="N763" s="408"/>
      <c r="O763" s="408"/>
      <c r="P763" s="408"/>
      <c r="Q763" s="408"/>
      <c r="R763" s="408"/>
      <c r="S763" s="408"/>
      <c r="T763" s="394"/>
      <c r="U763" s="408"/>
      <c r="V763" s="408"/>
      <c r="W763" s="408"/>
      <c r="X763" s="408"/>
      <c r="Y763" s="394"/>
      <c r="Z763" s="394"/>
      <c r="AA763" s="394"/>
      <c r="AB763" s="394"/>
      <c r="AC763" s="394"/>
      <c r="AD763" s="394"/>
      <c r="AE763" s="394"/>
      <c r="AF763" s="394"/>
      <c r="AG763" s="394"/>
      <c r="AH763" s="394"/>
      <c r="AI763" s="394"/>
      <c r="AJ763" s="394"/>
      <c r="AK763" s="394"/>
      <c r="AL763" s="394"/>
      <c r="AM763" s="394"/>
      <c r="AN763" s="394"/>
      <c r="AO763" s="394"/>
      <c r="AP763" s="285"/>
      <c r="AQ763" s="285"/>
      <c r="AR763" s="285">
        <v>0</v>
      </c>
      <c r="AS763" s="285">
        <v>0</v>
      </c>
      <c r="AT763" s="285">
        <v>0</v>
      </c>
      <c r="AU763" s="285">
        <v>0</v>
      </c>
      <c r="AV763" s="285">
        <v>0</v>
      </c>
      <c r="AW763" s="286">
        <v>0</v>
      </c>
      <c r="AX763" s="162">
        <v>0</v>
      </c>
      <c r="AY763" s="162">
        <v>0</v>
      </c>
      <c r="AZ763" s="162">
        <v>0</v>
      </c>
      <c r="BA763" s="162">
        <v>0</v>
      </c>
      <c r="BB763" s="162">
        <v>7.0661813753185213E-2</v>
      </c>
      <c r="BC763" s="162">
        <v>7.0151551791495625E-2</v>
      </c>
      <c r="BD763" s="162">
        <v>7.1038627341693319E-2</v>
      </c>
      <c r="BE763" s="162">
        <v>7.0169094065011872E-2</v>
      </c>
      <c r="BF763" s="162">
        <v>7.1957468867228702E-2</v>
      </c>
      <c r="BG763" s="162">
        <v>6.9425066932602114E-2</v>
      </c>
      <c r="BH763" s="162">
        <v>6.9437866290405423E-2</v>
      </c>
      <c r="BI763" s="162">
        <v>6.6903848230850063E-2</v>
      </c>
      <c r="BJ763" s="162">
        <v>6.6664618174352347E-2</v>
      </c>
      <c r="BK763" s="162">
        <v>6.4156680218855774E-2</v>
      </c>
      <c r="BL763" s="162">
        <v>6.2722086991998174E-2</v>
      </c>
      <c r="BM763" s="162">
        <v>6.0315346583329932E-2</v>
      </c>
      <c r="BN763" s="162">
        <v>5.887890057279227E-2</v>
      </c>
      <c r="BO763" s="162">
        <v>5.6579416177798859E-2</v>
      </c>
      <c r="BP763" s="162">
        <v>5.5157002002860146E-2</v>
      </c>
      <c r="BQ763" s="162">
        <v>5.2211786715189126E-2</v>
      </c>
      <c r="BR763" s="162"/>
      <c r="BS763" s="162"/>
      <c r="BT763" s="162"/>
      <c r="BU763" s="162"/>
      <c r="BV763" s="162"/>
      <c r="BW763" s="162"/>
      <c r="BX763" s="162"/>
      <c r="BY763" s="162"/>
      <c r="BZ763" s="162"/>
      <c r="CA763" s="162"/>
      <c r="CB763" s="162"/>
      <c r="CC763" s="162"/>
      <c r="CD763" s="162"/>
      <c r="CE763" s="162"/>
      <c r="CF763" s="162"/>
      <c r="CG763" s="162"/>
      <c r="CH763" s="162"/>
      <c r="CI763" s="162"/>
      <c r="CJ763" s="162"/>
      <c r="CK763" s="162"/>
      <c r="CL763" s="162"/>
      <c r="CM763" s="285"/>
      <c r="CN763" s="285"/>
      <c r="CO763" s="285"/>
      <c r="CP763" s="285"/>
      <c r="CQ763" s="285"/>
      <c r="CR763" s="285"/>
      <c r="CS763" s="285"/>
      <c r="CT763" s="285"/>
      <c r="CU763" s="285"/>
      <c r="CV763" s="285"/>
      <c r="CW763" s="285">
        <v>0</v>
      </c>
      <c r="CX763" s="285">
        <v>0</v>
      </c>
      <c r="CY763" s="286">
        <v>0</v>
      </c>
      <c r="CZ763" s="162">
        <v>0</v>
      </c>
      <c r="DA763" s="162">
        <v>0</v>
      </c>
      <c r="DB763" s="162">
        <v>6.8520120354484099E-2</v>
      </c>
      <c r="DC763" s="162">
        <v>6.8707237938657462E-2</v>
      </c>
      <c r="DD763" s="162">
        <v>6.8770113470973795E-2</v>
      </c>
      <c r="DE763" s="162">
        <v>6.6316972369175928E-2</v>
      </c>
      <c r="DF763" s="162">
        <v>6.363080579083237E-2</v>
      </c>
      <c r="DG763" s="162">
        <v>5.9844132938147672E-2</v>
      </c>
      <c r="DH763" s="162">
        <v>5.61571817287108E-2</v>
      </c>
      <c r="DI763" s="162">
        <v>5.2211786715189126E-2</v>
      </c>
    </row>
    <row r="764" spans="1:113" ht="12" outlineLevel="1">
      <c r="A764" s="1" t="s">
        <v>17</v>
      </c>
      <c r="B764" s="19" t="s">
        <v>364</v>
      </c>
      <c r="C764" s="408"/>
      <c r="D764" s="408"/>
      <c r="E764" s="408"/>
      <c r="F764" s="408"/>
      <c r="G764" s="408"/>
      <c r="H764" s="408"/>
      <c r="I764" s="408"/>
      <c r="J764" s="408"/>
      <c r="K764" s="408"/>
      <c r="L764" s="408"/>
      <c r="M764" s="408"/>
      <c r="N764" s="408"/>
      <c r="O764" s="408"/>
      <c r="P764" s="408"/>
      <c r="Q764" s="408"/>
      <c r="R764" s="408"/>
      <c r="S764" s="408"/>
      <c r="T764" s="394"/>
      <c r="U764" s="408"/>
      <c r="V764" s="408"/>
      <c r="W764" s="408"/>
      <c r="X764" s="408"/>
      <c r="Y764" s="394"/>
      <c r="Z764" s="394"/>
      <c r="AA764" s="394"/>
      <c r="AB764" s="394"/>
      <c r="AC764" s="394"/>
      <c r="AD764" s="394"/>
      <c r="AE764" s="394"/>
      <c r="AF764" s="394"/>
      <c r="AG764" s="394"/>
      <c r="AH764" s="394"/>
      <c r="AI764" s="394"/>
      <c r="AJ764" s="394"/>
      <c r="AK764" s="394"/>
      <c r="AL764" s="394"/>
      <c r="AM764" s="394"/>
      <c r="AN764" s="394"/>
      <c r="AO764" s="394"/>
      <c r="AP764" s="285"/>
      <c r="AQ764" s="285"/>
      <c r="AR764" s="285">
        <v>-0.38526813052226438</v>
      </c>
      <c r="AS764" s="285">
        <v>-8.0800778961113325E-3</v>
      </c>
      <c r="AT764" s="285">
        <v>0</v>
      </c>
      <c r="AU764" s="285">
        <v>0</v>
      </c>
      <c r="AV764" s="285">
        <v>0</v>
      </c>
      <c r="AW764" s="286">
        <v>0</v>
      </c>
      <c r="AX764" s="162">
        <v>0</v>
      </c>
      <c r="AY764" s="162">
        <v>0</v>
      </c>
      <c r="AZ764" s="162">
        <v>0</v>
      </c>
      <c r="BA764" s="162">
        <v>0</v>
      </c>
      <c r="BB764" s="162">
        <v>0</v>
      </c>
      <c r="BC764" s="162">
        <v>4.7339855780713765E-2</v>
      </c>
      <c r="BD764" s="162">
        <v>4.6998005969709149E-2</v>
      </c>
      <c r="BE764" s="162">
        <v>4.7592301903855952E-2</v>
      </c>
      <c r="BF764" s="162">
        <v>4.7009758409311479E-2</v>
      </c>
      <c r="BG764" s="162">
        <v>4.8207879441337649E-2</v>
      </c>
      <c r="BH764" s="162">
        <v>4.6511297709332218E-2</v>
      </c>
      <c r="BI764" s="162">
        <v>4.6519872634320857E-2</v>
      </c>
      <c r="BJ764" s="162">
        <v>4.4822208180021909E-2</v>
      </c>
      <c r="BK764" s="162">
        <v>4.466193609285795E-2</v>
      </c>
      <c r="BL764" s="162">
        <v>4.2981743994550341E-2</v>
      </c>
      <c r="BM764" s="162">
        <v>4.202063879704377E-2</v>
      </c>
      <c r="BN764" s="162">
        <v>4.0408243957506626E-2</v>
      </c>
      <c r="BO764" s="162">
        <v>3.9445897488264332E-2</v>
      </c>
      <c r="BP764" s="162">
        <v>3.7905358775102829E-2</v>
      </c>
      <c r="BQ764" s="162">
        <v>3.6952412928888873E-2</v>
      </c>
      <c r="BR764" s="162"/>
      <c r="BS764" s="162"/>
      <c r="BT764" s="162"/>
      <c r="BU764" s="162"/>
      <c r="BV764" s="162"/>
      <c r="BW764" s="162"/>
      <c r="BX764" s="162"/>
      <c r="BY764" s="162"/>
      <c r="BZ764" s="162"/>
      <c r="CA764" s="162"/>
      <c r="CB764" s="162"/>
      <c r="CC764" s="162"/>
      <c r="CD764" s="162"/>
      <c r="CE764" s="162"/>
      <c r="CF764" s="162"/>
      <c r="CG764" s="162"/>
      <c r="CH764" s="162"/>
      <c r="CI764" s="162"/>
      <c r="CJ764" s="162"/>
      <c r="CK764" s="162"/>
      <c r="CL764" s="162"/>
      <c r="CM764" s="285"/>
      <c r="CN764" s="285"/>
      <c r="CO764" s="285"/>
      <c r="CP764" s="285"/>
      <c r="CQ764" s="285"/>
      <c r="CR764" s="285"/>
      <c r="CS764" s="285"/>
      <c r="CT764" s="285"/>
      <c r="CU764" s="285"/>
      <c r="CV764" s="285"/>
      <c r="CW764" s="285">
        <v>-0.30663071117998014</v>
      </c>
      <c r="CX764" s="285">
        <v>0</v>
      </c>
      <c r="CY764" s="286">
        <v>0</v>
      </c>
      <c r="CZ764" s="162">
        <v>0</v>
      </c>
      <c r="DA764" s="162">
        <v>0</v>
      </c>
      <c r="DB764" s="162">
        <v>2.3669927890356882E-2</v>
      </c>
      <c r="DC764" s="162">
        <v>4.6040379015686722E-2</v>
      </c>
      <c r="DD764" s="162">
        <v>4.6353730232055433E-2</v>
      </c>
      <c r="DE764" s="162">
        <v>4.5273804617330118E-2</v>
      </c>
      <c r="DF764" s="162">
        <v>4.3545387690536501E-2</v>
      </c>
      <c r="DG764" s="162">
        <v>4.1353644530424026E-2</v>
      </c>
      <c r="DH764" s="162">
        <v>3.8848232374805787E-2</v>
      </c>
      <c r="DI764" s="162">
        <v>3.6416870712528165E-2</v>
      </c>
    </row>
    <row r="765" spans="1:113" ht="12" outlineLevel="1">
      <c r="A765" s="1" t="s">
        <v>18</v>
      </c>
      <c r="B765" s="19" t="s">
        <v>714</v>
      </c>
      <c r="C765" s="408"/>
      <c r="D765" s="408"/>
      <c r="E765" s="408"/>
      <c r="F765" s="408"/>
      <c r="G765" s="408"/>
      <c r="H765" s="408"/>
      <c r="I765" s="408"/>
      <c r="J765" s="408"/>
      <c r="K765" s="408"/>
      <c r="L765" s="408"/>
      <c r="M765" s="408"/>
      <c r="N765" s="408"/>
      <c r="O765" s="408"/>
      <c r="P765" s="408"/>
      <c r="Q765" s="408"/>
      <c r="R765" s="408"/>
      <c r="S765" s="408"/>
      <c r="T765" s="394"/>
      <c r="U765" s="408"/>
      <c r="V765" s="408"/>
      <c r="W765" s="408"/>
      <c r="X765" s="408"/>
      <c r="Y765" s="394"/>
      <c r="Z765" s="394"/>
      <c r="AA765" s="394"/>
      <c r="AB765" s="394"/>
      <c r="AC765" s="394"/>
      <c r="AD765" s="394"/>
      <c r="AE765" s="394"/>
      <c r="AF765" s="394"/>
      <c r="AG765" s="394"/>
      <c r="AH765" s="394"/>
      <c r="AI765" s="394"/>
      <c r="AJ765" s="394"/>
      <c r="AK765" s="394"/>
      <c r="AL765" s="394"/>
      <c r="AM765" s="394"/>
      <c r="AN765" s="394"/>
      <c r="AO765" s="394"/>
      <c r="AP765" s="285"/>
      <c r="AQ765" s="285"/>
      <c r="AR765" s="285">
        <v>-0.38526813052226438</v>
      </c>
      <c r="AS765" s="285">
        <v>-8.0800778961113325E-3</v>
      </c>
      <c r="AT765" s="285">
        <v>0</v>
      </c>
      <c r="AU765" s="285">
        <v>0</v>
      </c>
      <c r="AV765" s="285">
        <v>0</v>
      </c>
      <c r="AW765" s="286">
        <v>0</v>
      </c>
      <c r="AX765" s="162">
        <v>0</v>
      </c>
      <c r="AY765" s="162">
        <v>0</v>
      </c>
      <c r="AZ765" s="162">
        <v>0</v>
      </c>
      <c r="BA765" s="162">
        <v>0</v>
      </c>
      <c r="BB765" s="162">
        <v>0</v>
      </c>
      <c r="BC765" s="162">
        <v>5.9512961552897307E-2</v>
      </c>
      <c r="BD765" s="162">
        <v>5.9083207504777212E-2</v>
      </c>
      <c r="BE765" s="162">
        <v>5.9830322393418914E-2</v>
      </c>
      <c r="BF765" s="162">
        <v>5.9097982000277285E-2</v>
      </c>
      <c r="BG765" s="162">
        <v>6.060419129768161E-2</v>
      </c>
      <c r="BH765" s="162">
        <v>5.847134569173193E-2</v>
      </c>
      <c r="BI765" s="162">
        <v>5.8482125597431933E-2</v>
      </c>
      <c r="BJ765" s="162">
        <v>5.6347918854884695E-2</v>
      </c>
      <c r="BK765" s="162">
        <v>5.6146433945307148E-2</v>
      </c>
      <c r="BL765" s="162">
        <v>5.4034192450291861E-2</v>
      </c>
      <c r="BM765" s="162">
        <v>5.2825945916283597E-2</v>
      </c>
      <c r="BN765" s="162">
        <v>5.0798935260865485E-2</v>
      </c>
      <c r="BO765" s="162">
        <v>4.9589128270960875E-2</v>
      </c>
      <c r="BP765" s="162">
        <v>4.7652451031557845E-2</v>
      </c>
      <c r="BQ765" s="162">
        <v>4.6454461967746018E-2</v>
      </c>
      <c r="BR765" s="162"/>
      <c r="BS765" s="162"/>
      <c r="BT765" s="162"/>
      <c r="BU765" s="162"/>
      <c r="BV765" s="162"/>
      <c r="BW765" s="162"/>
      <c r="BX765" s="162"/>
      <c r="BY765" s="162"/>
      <c r="BZ765" s="162"/>
      <c r="CA765" s="162"/>
      <c r="CB765" s="162"/>
      <c r="CC765" s="162"/>
      <c r="CD765" s="162"/>
      <c r="CE765" s="162"/>
      <c r="CF765" s="162"/>
      <c r="CG765" s="162"/>
      <c r="CH765" s="162"/>
      <c r="CI765" s="162"/>
      <c r="CJ765" s="162"/>
      <c r="CK765" s="162"/>
      <c r="CL765" s="162"/>
      <c r="CM765" s="285"/>
      <c r="CN765" s="285"/>
      <c r="CO765" s="285"/>
      <c r="CP765" s="285"/>
      <c r="CQ765" s="285"/>
      <c r="CR765" s="285"/>
      <c r="CS765" s="285"/>
      <c r="CT765" s="285"/>
      <c r="CU765" s="285"/>
      <c r="CV765" s="285"/>
      <c r="CW765" s="285">
        <v>-0.30663071117998014</v>
      </c>
      <c r="CX765" s="285">
        <v>0</v>
      </c>
      <c r="CY765" s="286">
        <v>0</v>
      </c>
      <c r="CZ765" s="162">
        <v>0</v>
      </c>
      <c r="DA765" s="162">
        <v>0</v>
      </c>
      <c r="DB765" s="162">
        <v>2.9756480776448654E-2</v>
      </c>
      <c r="DC765" s="162">
        <v>5.7879333619720447E-2</v>
      </c>
      <c r="DD765" s="162">
        <v>5.8273260863155395E-2</v>
      </c>
      <c r="DE765" s="162">
        <v>5.6915640090357864E-2</v>
      </c>
      <c r="DF765" s="162">
        <v>5.4742773096674455E-2</v>
      </c>
      <c r="DG765" s="162">
        <v>5.1987438838247337E-2</v>
      </c>
      <c r="DH765" s="162">
        <v>4.8837777842612992E-2</v>
      </c>
      <c r="DI765" s="162">
        <v>4.57812088957497E-2</v>
      </c>
    </row>
    <row r="766" spans="1:113" ht="12" outlineLevel="1">
      <c r="A766" s="1" t="s">
        <v>19</v>
      </c>
      <c r="B766" s="19" t="s">
        <v>715</v>
      </c>
      <c r="C766" s="408"/>
      <c r="D766" s="408"/>
      <c r="E766" s="408"/>
      <c r="F766" s="408"/>
      <c r="G766" s="408"/>
      <c r="H766" s="408"/>
      <c r="I766" s="408"/>
      <c r="J766" s="408"/>
      <c r="K766" s="408"/>
      <c r="L766" s="408"/>
      <c r="M766" s="408"/>
      <c r="N766" s="408"/>
      <c r="O766" s="408"/>
      <c r="P766" s="408"/>
      <c r="Q766" s="408"/>
      <c r="R766" s="408"/>
      <c r="S766" s="408"/>
      <c r="T766" s="394"/>
      <c r="U766" s="408"/>
      <c r="V766" s="408"/>
      <c r="W766" s="408"/>
      <c r="X766" s="408"/>
      <c r="Y766" s="394"/>
      <c r="Z766" s="394"/>
      <c r="AA766" s="394"/>
      <c r="AB766" s="394"/>
      <c r="AC766" s="394"/>
      <c r="AD766" s="394"/>
      <c r="AE766" s="394"/>
      <c r="AF766" s="394"/>
      <c r="AG766" s="394"/>
      <c r="AH766" s="394"/>
      <c r="AI766" s="394"/>
      <c r="AJ766" s="394"/>
      <c r="AK766" s="394"/>
      <c r="AL766" s="394"/>
      <c r="AM766" s="394"/>
      <c r="AN766" s="394"/>
      <c r="AO766" s="394"/>
      <c r="AP766" s="285"/>
      <c r="AQ766" s="285"/>
      <c r="AR766" s="285">
        <v>-2.7080045490333316E-2</v>
      </c>
      <c r="AS766" s="285">
        <v>-3.6101128441629854E-2</v>
      </c>
      <c r="AT766" s="285">
        <v>-1.3690440600010591E-3</v>
      </c>
      <c r="AU766" s="285">
        <v>-4.9372498734257181E-4</v>
      </c>
      <c r="AV766" s="285">
        <v>1.1383886710239648E-2</v>
      </c>
      <c r="AW766" s="286">
        <v>-2.9239202650024793E-2</v>
      </c>
      <c r="AX766" s="162">
        <v>-2.7288409688200232E-2</v>
      </c>
      <c r="AY766" s="162">
        <v>-2.1770258990285816E-3</v>
      </c>
      <c r="AZ766" s="162">
        <v>8.0178173448060518E-3</v>
      </c>
      <c r="BA766" s="162">
        <v>1.5269619781322432E-2</v>
      </c>
      <c r="BB766" s="162">
        <v>2.8873455168132375E-2</v>
      </c>
      <c r="BC766" s="162">
        <v>2.9572576145291518E-2</v>
      </c>
      <c r="BD766" s="162">
        <v>3.1293756056463631E-2</v>
      </c>
      <c r="BE766" s="162">
        <v>3.1212397986530294E-2</v>
      </c>
      <c r="BF766" s="162">
        <v>3.4267229977415548E-2</v>
      </c>
      <c r="BG766" s="162">
        <v>3.2538162245404074E-2</v>
      </c>
      <c r="BH766" s="162">
        <v>3.4868581464421088E-2</v>
      </c>
      <c r="BI766" s="162">
        <v>3.2478916129110698E-2</v>
      </c>
      <c r="BJ766" s="162">
        <v>3.387242015242805E-2</v>
      </c>
      <c r="BK766" s="162">
        <v>3.156903366842366E-2</v>
      </c>
      <c r="BL766" s="162">
        <v>3.2658382532440522E-2</v>
      </c>
      <c r="BM766" s="162">
        <v>3.0814732171605474E-2</v>
      </c>
      <c r="BN766" s="162">
        <v>3.099038252683952E-2</v>
      </c>
      <c r="BO766" s="162">
        <v>2.8707780502598361E-2</v>
      </c>
      <c r="BP766" s="162">
        <v>2.9212001142119436E-2</v>
      </c>
      <c r="BQ766" s="162">
        <v>2.6964144021150341E-2</v>
      </c>
      <c r="BR766" s="162"/>
      <c r="BS766" s="162"/>
      <c r="BT766" s="162"/>
      <c r="BU766" s="162"/>
      <c r="BV766" s="162"/>
      <c r="BW766" s="162"/>
      <c r="BX766" s="162"/>
      <c r="BY766" s="162"/>
      <c r="BZ766" s="162"/>
      <c r="CA766" s="162"/>
      <c r="CB766" s="162"/>
      <c r="CC766" s="162"/>
      <c r="CD766" s="162"/>
      <c r="CE766" s="162"/>
      <c r="CF766" s="162"/>
      <c r="CG766" s="162"/>
      <c r="CH766" s="162"/>
      <c r="CI766" s="162"/>
      <c r="CJ766" s="162"/>
      <c r="CK766" s="162"/>
      <c r="CL766" s="162"/>
      <c r="CM766" s="285"/>
      <c r="CN766" s="285"/>
      <c r="CO766" s="285"/>
      <c r="CP766" s="285"/>
      <c r="CQ766" s="285"/>
      <c r="CR766" s="285"/>
      <c r="CS766" s="285"/>
      <c r="CT766" s="285"/>
      <c r="CU766" s="285"/>
      <c r="CV766" s="285"/>
      <c r="CW766" s="285">
        <v>-1.7473415799664108E-2</v>
      </c>
      <c r="CX766" s="285">
        <v>2.7035394511893494E-2</v>
      </c>
      <c r="CY766" s="286">
        <v>1.8395448070135708E-2</v>
      </c>
      <c r="CZ766" s="162">
        <v>1.7438152570356063E-2</v>
      </c>
      <c r="DA766" s="162">
        <v>4.4905087512395844E-2</v>
      </c>
      <c r="DB766" s="162">
        <v>6.2413186029797944E-2</v>
      </c>
      <c r="DC766" s="162">
        <v>6.3756663241963135E-2</v>
      </c>
      <c r="DD766" s="162">
        <v>6.4747476036505464E-2</v>
      </c>
      <c r="DE766" s="162">
        <v>6.3212612889953071E-2</v>
      </c>
      <c r="DF766" s="162">
        <v>6.0316849054129949E-2</v>
      </c>
      <c r="DG766" s="162">
        <v>5.7523193152899034E-2</v>
      </c>
      <c r="DH766" s="162">
        <v>5.3957532034991637E-2</v>
      </c>
      <c r="DI766" s="162">
        <v>5.0632743959297566E-2</v>
      </c>
    </row>
    <row r="767" spans="1:113" ht="12" outlineLevel="1">
      <c r="A767" s="1" t="s">
        <v>27</v>
      </c>
      <c r="B767" s="19" t="s">
        <v>583</v>
      </c>
      <c r="C767" s="408"/>
      <c r="D767" s="408"/>
      <c r="E767" s="408"/>
      <c r="F767" s="408"/>
      <c r="G767" s="408"/>
      <c r="H767" s="408"/>
      <c r="I767" s="408"/>
      <c r="J767" s="408"/>
      <c r="K767" s="408"/>
      <c r="L767" s="408"/>
      <c r="M767" s="408"/>
      <c r="N767" s="408"/>
      <c r="O767" s="408"/>
      <c r="P767" s="408"/>
      <c r="Q767" s="408"/>
      <c r="R767" s="408"/>
      <c r="S767" s="408"/>
      <c r="T767" s="394"/>
      <c r="U767" s="408"/>
      <c r="V767" s="408"/>
      <c r="W767" s="408"/>
      <c r="X767" s="408"/>
      <c r="Y767" s="394"/>
      <c r="Z767" s="394"/>
      <c r="AA767" s="394"/>
      <c r="AB767" s="394"/>
      <c r="AC767" s="394"/>
      <c r="AD767" s="394"/>
      <c r="AE767" s="394"/>
      <c r="AF767" s="394"/>
      <c r="AG767" s="394"/>
      <c r="AH767" s="394"/>
      <c r="AI767" s="394"/>
      <c r="AJ767" s="394"/>
      <c r="AK767" s="394"/>
      <c r="AL767" s="394"/>
      <c r="AM767" s="394"/>
      <c r="AN767" s="394"/>
      <c r="AO767" s="394"/>
      <c r="AP767" s="285"/>
      <c r="AQ767" s="285"/>
      <c r="AR767" s="285">
        <v>-2.7080045490333316E-2</v>
      </c>
      <c r="AS767" s="285">
        <v>-3.6101128441629854E-2</v>
      </c>
      <c r="AT767" s="285">
        <v>-1.3690440600010591E-3</v>
      </c>
      <c r="AU767" s="285">
        <v>-4.9372498734257181E-4</v>
      </c>
      <c r="AV767" s="285">
        <v>1.1383886710239648E-2</v>
      </c>
      <c r="AW767" s="286">
        <v>-2.9239202650024793E-2</v>
      </c>
      <c r="AX767" s="162">
        <v>-2.7288409688200232E-2</v>
      </c>
      <c r="AY767" s="162">
        <v>-2.1770258990285816E-3</v>
      </c>
      <c r="AZ767" s="162">
        <v>8.0178173448060518E-3</v>
      </c>
      <c r="BA767" s="162">
        <v>1.5269619781322432E-2</v>
      </c>
      <c r="BB767" s="162">
        <v>5.007199929408794E-2</v>
      </c>
      <c r="BC767" s="162">
        <v>5.06180416827402E-2</v>
      </c>
      <c r="BD767" s="162">
        <v>5.2605344258971634E-2</v>
      </c>
      <c r="BE767" s="162">
        <v>5.226312620603385E-2</v>
      </c>
      <c r="BF767" s="162">
        <v>5.5854470637584162E-2</v>
      </c>
      <c r="BG767" s="162">
        <v>5.3365682325184703E-2</v>
      </c>
      <c r="BH767" s="162">
        <v>5.5699941351542714E-2</v>
      </c>
      <c r="BI767" s="162">
        <v>5.2550070598365715E-2</v>
      </c>
      <c r="BJ767" s="162">
        <v>5.3871805604733751E-2</v>
      </c>
      <c r="BK767" s="162">
        <v>5.0816037734080388E-2</v>
      </c>
      <c r="BL767" s="162">
        <v>5.1475008630039981E-2</v>
      </c>
      <c r="BM767" s="162">
        <v>4.8909336146604462E-2</v>
      </c>
      <c r="BN767" s="162">
        <v>4.8654052698677203E-2</v>
      </c>
      <c r="BO767" s="162">
        <v>4.5681605355938015E-2</v>
      </c>
      <c r="BP767" s="162">
        <v>4.5759101742977475E-2</v>
      </c>
      <c r="BQ767" s="162">
        <v>4.2627680035707077E-2</v>
      </c>
      <c r="BR767" s="162"/>
      <c r="BS767" s="162"/>
      <c r="BT767" s="162"/>
      <c r="BU767" s="162"/>
      <c r="BV767" s="162"/>
      <c r="BW767" s="162"/>
      <c r="BX767" s="162"/>
      <c r="BY767" s="162"/>
      <c r="BZ767" s="162"/>
      <c r="CA767" s="162"/>
      <c r="CB767" s="162"/>
      <c r="CC767" s="162"/>
      <c r="CD767" s="162"/>
      <c r="CE767" s="162"/>
      <c r="CF767" s="162"/>
      <c r="CG767" s="162"/>
      <c r="CH767" s="162"/>
      <c r="CI767" s="162"/>
      <c r="CJ767" s="162"/>
      <c r="CK767" s="162"/>
      <c r="CL767" s="162"/>
      <c r="CM767" s="285"/>
      <c r="CN767" s="285"/>
      <c r="CO767" s="285"/>
      <c r="CP767" s="285"/>
      <c r="CQ767" s="285"/>
      <c r="CR767" s="285"/>
      <c r="CS767" s="285"/>
      <c r="CT767" s="285"/>
      <c r="CU767" s="285"/>
      <c r="CV767" s="285"/>
      <c r="CW767" s="285">
        <v>-1.7473415799664108E-2</v>
      </c>
      <c r="CX767" s="285">
        <v>2.7035394511893494E-2</v>
      </c>
      <c r="CY767" s="286">
        <v>1.8395448070135708E-2</v>
      </c>
      <c r="CZ767" s="162">
        <v>1.7438152570356063E-2</v>
      </c>
      <c r="DA767" s="162">
        <v>4.4905087512395844E-2</v>
      </c>
      <c r="DB767" s="162">
        <v>8.2969222136143161E-2</v>
      </c>
      <c r="DC767" s="162">
        <v>8.436883462356036E-2</v>
      </c>
      <c r="DD767" s="162">
        <v>8.5378510077797592E-2</v>
      </c>
      <c r="DE767" s="162">
        <v>8.3107704600705865E-2</v>
      </c>
      <c r="DF767" s="162">
        <v>7.9406090791379655E-2</v>
      </c>
      <c r="DG767" s="162">
        <v>7.5476433034343343E-2</v>
      </c>
      <c r="DH767" s="162">
        <v>7.080468655360489E-2</v>
      </c>
      <c r="DI767" s="162">
        <v>6.6296279973854302E-2</v>
      </c>
    </row>
    <row r="768" spans="1:113" s="71" customFormat="1" ht="12" outlineLevel="1">
      <c r="A768" s="1" t="s">
        <v>972</v>
      </c>
      <c r="B768" s="71" t="s">
        <v>584</v>
      </c>
      <c r="C768" s="69"/>
      <c r="D768" s="69"/>
      <c r="E768" s="69"/>
      <c r="F768" s="69"/>
      <c r="G768" s="69"/>
      <c r="H768" s="69"/>
      <c r="I768" s="69"/>
      <c r="J768" s="69"/>
      <c r="K768" s="69"/>
      <c r="L768" s="69"/>
      <c r="M768" s="69"/>
      <c r="N768" s="69"/>
      <c r="O768" s="69"/>
      <c r="P768" s="69"/>
      <c r="Q768" s="69"/>
      <c r="R768" s="69"/>
      <c r="S768" s="69"/>
      <c r="T768" s="69"/>
      <c r="U768" s="69"/>
      <c r="V768" s="69"/>
      <c r="W768" s="69"/>
      <c r="X768" s="69"/>
      <c r="Y768" s="69"/>
      <c r="Z768" s="69"/>
      <c r="AA768" s="69"/>
      <c r="AB768" s="69"/>
      <c r="AC768" s="69"/>
      <c r="AD768" s="69"/>
      <c r="AE768" s="69"/>
      <c r="AF768" s="69"/>
      <c r="AG768" s="69"/>
      <c r="AH768" s="69"/>
      <c r="AI768" s="69"/>
      <c r="AJ768" s="69"/>
      <c r="AK768" s="69"/>
      <c r="AL768" s="69"/>
      <c r="AM768" s="69"/>
      <c r="AN768" s="69"/>
      <c r="AO768" s="69"/>
      <c r="AP768" s="69"/>
      <c r="AQ768" s="69"/>
      <c r="AR768" s="69">
        <v>1.6878564794566697</v>
      </c>
      <c r="AS768" s="69">
        <v>0.94842050901680186</v>
      </c>
      <c r="AT768" s="69">
        <v>1.0158209651352288</v>
      </c>
      <c r="AU768" s="69">
        <v>0.88690071648500468</v>
      </c>
      <c r="AV768" s="69">
        <v>0.71544716736536607</v>
      </c>
      <c r="AW768" s="70">
        <v>0.89294004317383258</v>
      </c>
      <c r="AX768" s="69">
        <v>0.92639369577308472</v>
      </c>
      <c r="AY768" s="69">
        <v>0.94799259417507997</v>
      </c>
      <c r="AZ768" s="69">
        <v>0.96387748084218006</v>
      </c>
      <c r="BA768" s="69">
        <v>0.97518790348653106</v>
      </c>
      <c r="BB768" s="69">
        <v>0.97995881822773345</v>
      </c>
      <c r="BC768" s="69">
        <v>1.0077257258825971</v>
      </c>
      <c r="BD768" s="69">
        <v>1.0347530290609535</v>
      </c>
      <c r="BE768" s="69">
        <v>1.0624459454011828</v>
      </c>
      <c r="BF768" s="69">
        <v>1.0888846381124671</v>
      </c>
      <c r="BG768" s="69">
        <v>1.11794084915391</v>
      </c>
      <c r="BH768" s="69">
        <v>1.1457156977577718</v>
      </c>
      <c r="BI768" s="69">
        <v>1.1763904468269881</v>
      </c>
      <c r="BJ768" s="69">
        <v>1.2062271584371045</v>
      </c>
      <c r="BK768" s="69">
        <v>1.2390204952273831</v>
      </c>
      <c r="BL768" s="69">
        <v>1.2710644641003319</v>
      </c>
      <c r="BM768" s="69">
        <v>1.3052612664147525</v>
      </c>
      <c r="BN768" s="69">
        <v>1.3393729351438302</v>
      </c>
      <c r="BO768" s="69">
        <v>1.3761990284513983</v>
      </c>
      <c r="BP768" s="69">
        <v>1.4126080621325487</v>
      </c>
      <c r="BQ768" s="69">
        <v>1.4519245750719079</v>
      </c>
      <c r="BR768" s="69"/>
      <c r="BS768" s="69"/>
      <c r="BT768" s="69"/>
      <c r="BU768" s="69"/>
      <c r="BV768" s="69"/>
      <c r="BW768" s="69"/>
      <c r="BX768" s="69"/>
      <c r="BY768" s="69"/>
      <c r="BZ768" s="69"/>
      <c r="CA768" s="69"/>
      <c r="CB768" s="69"/>
      <c r="CC768" s="69"/>
      <c r="CD768" s="69"/>
      <c r="CE768" s="69"/>
      <c r="CF768" s="69"/>
      <c r="CG768" s="69"/>
      <c r="CH768" s="69"/>
      <c r="CI768" s="69"/>
      <c r="CJ768" s="69"/>
      <c r="CK768" s="69"/>
      <c r="CL768" s="69"/>
      <c r="CM768" s="69"/>
      <c r="CN768" s="69"/>
      <c r="CO768" s="69"/>
      <c r="CP768" s="69"/>
      <c r="CQ768" s="69"/>
      <c r="CR768" s="69"/>
      <c r="CS768" s="69"/>
      <c r="CT768" s="69"/>
      <c r="CU768" s="69"/>
      <c r="CV768" s="69"/>
      <c r="CW768" s="69">
        <v>0.94842050901680208</v>
      </c>
      <c r="CX768" s="69">
        <v>0.88690071648500468</v>
      </c>
      <c r="CY768" s="70">
        <v>0.89294004317383258</v>
      </c>
      <c r="CZ768" s="69">
        <v>0.94799259417508019</v>
      </c>
      <c r="DA768" s="69">
        <v>0.97518790348653117</v>
      </c>
      <c r="DB768" s="69">
        <v>1.0077257258825973</v>
      </c>
      <c r="DC768" s="69">
        <v>1.0624459454011828</v>
      </c>
      <c r="DD768" s="69">
        <v>1.11794084915391</v>
      </c>
      <c r="DE768" s="69">
        <v>1.1763904468269879</v>
      </c>
      <c r="DF768" s="69">
        <v>1.2390204952273829</v>
      </c>
      <c r="DG768" s="69">
        <v>1.3052612664147523</v>
      </c>
      <c r="DH768" s="69">
        <v>1.3761990284513981</v>
      </c>
      <c r="DI768" s="69">
        <v>1.4519245750719076</v>
      </c>
    </row>
    <row r="769" spans="1:113" s="71" customFormat="1" ht="12" outlineLevel="1">
      <c r="A769" s="1" t="s">
        <v>973</v>
      </c>
      <c r="B769" s="71" t="s">
        <v>585</v>
      </c>
      <c r="C769" s="69"/>
      <c r="D769" s="69"/>
      <c r="E769" s="69"/>
      <c r="F769" s="69"/>
      <c r="G769" s="69"/>
      <c r="H769" s="69"/>
      <c r="I769" s="69"/>
      <c r="J769" s="69"/>
      <c r="K769" s="69"/>
      <c r="L769" s="69"/>
      <c r="M769" s="69"/>
      <c r="N769" s="69"/>
      <c r="O769" s="69"/>
      <c r="P769" s="69"/>
      <c r="Q769" s="69"/>
      <c r="R769" s="69"/>
      <c r="S769" s="69"/>
      <c r="T769" s="69"/>
      <c r="U769" s="69"/>
      <c r="V769" s="69"/>
      <c r="W769" s="69"/>
      <c r="X769" s="69"/>
      <c r="Y769" s="69"/>
      <c r="Z769" s="69"/>
      <c r="AA769" s="69"/>
      <c r="AB769" s="69"/>
      <c r="AC769" s="69"/>
      <c r="AD769" s="69"/>
      <c r="AE769" s="69"/>
      <c r="AF769" s="69"/>
      <c r="AG769" s="69"/>
      <c r="AH769" s="69"/>
      <c r="AI769" s="69"/>
      <c r="AJ769" s="69"/>
      <c r="AK769" s="69"/>
      <c r="AL769" s="69"/>
      <c r="AM769" s="69"/>
      <c r="AN769" s="69"/>
      <c r="AO769" s="69"/>
      <c r="AP769" s="69"/>
      <c r="AQ769" s="69"/>
      <c r="AR769" s="69">
        <v>1.7090496258455505</v>
      </c>
      <c r="AS769" s="69">
        <v>0.96476784977187136</v>
      </c>
      <c r="AT769" s="69">
        <v>1.0381387893160878</v>
      </c>
      <c r="AU769" s="69">
        <v>0.91050948590492087</v>
      </c>
      <c r="AV769" s="69">
        <v>0.73683217070740625</v>
      </c>
      <c r="AW769" s="70">
        <v>0.92137050071193138</v>
      </c>
      <c r="AX769" s="69">
        <v>0.95534382048711153</v>
      </c>
      <c r="AY769" s="69">
        <v>0.97666156438179863</v>
      </c>
      <c r="AZ769" s="69">
        <v>0.99190089668637649</v>
      </c>
      <c r="BA769" s="69">
        <v>1.002307815720783</v>
      </c>
      <c r="BB769" s="69">
        <v>1.0058473035345277</v>
      </c>
      <c r="BC769" s="69">
        <v>1.0336220898633419</v>
      </c>
      <c r="BD769" s="69">
        <v>1.0605805626679738</v>
      </c>
      <c r="BE769" s="69">
        <v>1.0882024552308109</v>
      </c>
      <c r="BF769" s="69">
        <v>1.1144758530787968</v>
      </c>
      <c r="BG769" s="69">
        <v>1.1434587893943136</v>
      </c>
      <c r="BH769" s="69">
        <v>1.1710689397717864</v>
      </c>
      <c r="BI769" s="69">
        <v>1.2016765053105032</v>
      </c>
      <c r="BJ769" s="69">
        <v>1.2313766966175888</v>
      </c>
      <c r="BK769" s="69">
        <v>1.2641246895639797</v>
      </c>
      <c r="BL769" s="69">
        <v>1.2960585926869332</v>
      </c>
      <c r="BM769" s="69">
        <v>1.3301972899365799</v>
      </c>
      <c r="BN769" s="69">
        <v>1.3642137322782739</v>
      </c>
      <c r="BO769" s="69">
        <v>1.4010116405246718</v>
      </c>
      <c r="BP769" s="69">
        <v>1.4373423435823183</v>
      </c>
      <c r="BQ769" s="69">
        <v>1.4766478671194241</v>
      </c>
      <c r="BR769" s="69"/>
      <c r="BS769" s="69"/>
      <c r="BT769" s="69"/>
      <c r="BU769" s="69"/>
      <c r="BV769" s="69"/>
      <c r="BW769" s="69"/>
      <c r="BX769" s="69"/>
      <c r="BY769" s="69"/>
      <c r="BZ769" s="69"/>
      <c r="CA769" s="69"/>
      <c r="CB769" s="69"/>
      <c r="CC769" s="69"/>
      <c r="CD769" s="69"/>
      <c r="CE769" s="69"/>
      <c r="CF769" s="69"/>
      <c r="CG769" s="69"/>
      <c r="CH769" s="69"/>
      <c r="CI769" s="69"/>
      <c r="CJ769" s="69"/>
      <c r="CK769" s="69"/>
      <c r="CL769" s="69"/>
      <c r="CM769" s="69"/>
      <c r="CN769" s="69"/>
      <c r="CO769" s="69"/>
      <c r="CP769" s="69"/>
      <c r="CQ769" s="69"/>
      <c r="CR769" s="69"/>
      <c r="CS769" s="69"/>
      <c r="CT769" s="69"/>
      <c r="CU769" s="69"/>
      <c r="CV769" s="69"/>
      <c r="CW769" s="69">
        <v>0.96476784977187147</v>
      </c>
      <c r="CX769" s="69">
        <v>0.91050948590492087</v>
      </c>
      <c r="CY769" s="70">
        <v>0.92137050071193138</v>
      </c>
      <c r="CZ769" s="69">
        <v>0.97666156438179874</v>
      </c>
      <c r="DA769" s="69">
        <v>1.002307815720783</v>
      </c>
      <c r="DB769" s="69">
        <v>1.0336220898633421</v>
      </c>
      <c r="DC769" s="69">
        <v>1.0882024552308109</v>
      </c>
      <c r="DD769" s="69">
        <v>1.1434587893943136</v>
      </c>
      <c r="DE769" s="69">
        <v>1.2016765053105032</v>
      </c>
      <c r="DF769" s="69">
        <v>1.2641246895639793</v>
      </c>
      <c r="DG769" s="69">
        <v>1.3301972899365799</v>
      </c>
      <c r="DH769" s="69">
        <v>1.4010116405246718</v>
      </c>
      <c r="DI769" s="69">
        <v>1.4766478671194239</v>
      </c>
    </row>
    <row r="770" spans="1:113" ht="12" hidden="1" outlineLevel="2">
      <c r="A770" s="1" t="s">
        <v>974</v>
      </c>
      <c r="B770" s="19" t="s">
        <v>801</v>
      </c>
      <c r="DC770" s="19"/>
      <c r="DD770" s="19"/>
      <c r="DE770" s="19"/>
      <c r="DF770" s="19"/>
      <c r="DG770" s="19"/>
      <c r="DH770" s="19"/>
      <c r="DI770" s="19"/>
    </row>
    <row r="771" spans="1:113" ht="12" hidden="1" outlineLevel="2">
      <c r="A771" s="1" t="s">
        <v>28</v>
      </c>
      <c r="B771" s="19" t="s">
        <v>801</v>
      </c>
      <c r="DC771" s="19"/>
      <c r="DD771" s="19"/>
      <c r="DE771" s="19"/>
      <c r="DF771" s="19"/>
      <c r="DG771" s="19"/>
      <c r="DH771" s="19"/>
      <c r="DI771" s="19"/>
    </row>
    <row r="772" spans="1:113" ht="12" hidden="1" outlineLevel="2">
      <c r="A772" s="1" t="s">
        <v>29</v>
      </c>
      <c r="B772" s="19" t="s">
        <v>801</v>
      </c>
      <c r="DC772" s="19"/>
      <c r="DD772" s="19"/>
      <c r="DE772" s="19"/>
      <c r="DF772" s="19"/>
      <c r="DG772" s="19"/>
      <c r="DH772" s="19"/>
      <c r="DI772" s="19"/>
    </row>
    <row r="773" spans="1:113" ht="12" hidden="1" outlineLevel="2">
      <c r="A773" s="1" t="s">
        <v>30</v>
      </c>
      <c r="B773" s="19" t="s">
        <v>801</v>
      </c>
      <c r="DC773" s="19"/>
      <c r="DD773" s="19"/>
      <c r="DE773" s="19"/>
      <c r="DF773" s="19"/>
      <c r="DG773" s="19"/>
      <c r="DH773" s="19"/>
      <c r="DI773" s="19"/>
    </row>
    <row r="774" spans="1:113" ht="12" hidden="1" outlineLevel="2">
      <c r="A774" s="1" t="s">
        <v>31</v>
      </c>
      <c r="B774" s="19" t="s">
        <v>801</v>
      </c>
      <c r="DC774" s="19"/>
      <c r="DD774" s="19"/>
      <c r="DE774" s="19"/>
      <c r="DF774" s="19"/>
      <c r="DG774" s="19"/>
      <c r="DH774" s="19"/>
      <c r="DI774" s="19"/>
    </row>
    <row r="775" spans="1:113" ht="12" hidden="1" outlineLevel="2">
      <c r="A775" s="1" t="s">
        <v>32</v>
      </c>
      <c r="B775" s="19" t="s">
        <v>801</v>
      </c>
      <c r="DC775" s="19"/>
      <c r="DD775" s="19"/>
      <c r="DE775" s="19"/>
      <c r="DF775" s="19"/>
      <c r="DG775" s="19"/>
      <c r="DH775" s="19"/>
      <c r="DI775" s="19"/>
    </row>
    <row r="776" spans="1:113" ht="12" hidden="1" outlineLevel="2">
      <c r="A776" s="1" t="s">
        <v>33</v>
      </c>
      <c r="B776" s="19" t="s">
        <v>801</v>
      </c>
      <c r="DC776" s="19"/>
      <c r="DD776" s="19"/>
      <c r="DE776" s="19"/>
      <c r="DF776" s="19"/>
      <c r="DG776" s="19"/>
      <c r="DH776" s="19"/>
      <c r="DI776" s="19"/>
    </row>
    <row r="777" spans="1:113" ht="12" hidden="1" outlineLevel="2">
      <c r="A777" s="1" t="s">
        <v>40</v>
      </c>
      <c r="B777" s="19" t="s">
        <v>801</v>
      </c>
      <c r="DC777" s="19"/>
      <c r="DD777" s="19"/>
      <c r="DE777" s="19"/>
      <c r="DF777" s="19"/>
      <c r="DG777" s="19"/>
      <c r="DH777" s="19"/>
      <c r="DI777" s="19"/>
    </row>
    <row r="778" spans="1:113" ht="12" hidden="1" outlineLevel="2">
      <c r="A778" s="1" t="s">
        <v>41</v>
      </c>
      <c r="B778" s="19" t="s">
        <v>801</v>
      </c>
      <c r="DC778" s="19"/>
      <c r="DD778" s="19"/>
      <c r="DE778" s="19"/>
      <c r="DF778" s="19"/>
      <c r="DG778" s="19"/>
      <c r="DH778" s="19"/>
      <c r="DI778" s="19"/>
    </row>
    <row r="779" spans="1:113" ht="12" hidden="1" outlineLevel="2">
      <c r="A779" s="1" t="s">
        <v>42</v>
      </c>
      <c r="B779" s="19" t="s">
        <v>801</v>
      </c>
      <c r="DC779" s="19"/>
      <c r="DD779" s="19"/>
      <c r="DE779" s="19"/>
      <c r="DF779" s="19"/>
      <c r="DG779" s="19"/>
      <c r="DH779" s="19"/>
      <c r="DI779" s="19"/>
    </row>
    <row r="780" spans="1:113" ht="12" outlineLevel="1" collapsed="1">
      <c r="AJ780" s="394"/>
      <c r="AK780" s="394"/>
      <c r="AL780" s="394"/>
      <c r="AM780" s="394"/>
      <c r="AN780" s="394"/>
      <c r="AO780" s="394"/>
      <c r="AP780" s="285"/>
      <c r="AQ780" s="285"/>
      <c r="AR780" s="285"/>
      <c r="AS780" s="285"/>
      <c r="AT780" s="285"/>
      <c r="AU780" s="285"/>
      <c r="AV780" s="285"/>
      <c r="AW780" s="286"/>
      <c r="CT780" s="285"/>
      <c r="CU780" s="285"/>
      <c r="CV780" s="285"/>
      <c r="CW780" s="285"/>
      <c r="CX780" s="285"/>
      <c r="CY780" s="286"/>
      <c r="DC780" s="19"/>
      <c r="DD780" s="19"/>
      <c r="DE780" s="19"/>
      <c r="DF780" s="19"/>
      <c r="DG780" s="19"/>
      <c r="DH780" s="19"/>
      <c r="DI780" s="19"/>
    </row>
    <row r="781" spans="1:113" s="24" customFormat="1" ht="12" outlineLevel="1">
      <c r="A781" s="1"/>
      <c r="B781" s="24" t="s">
        <v>721</v>
      </c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21"/>
      <c r="AG781" s="21"/>
      <c r="AH781" s="21"/>
      <c r="AI781" s="21"/>
      <c r="AJ781" s="13"/>
      <c r="AK781" s="394"/>
      <c r="AL781" s="394"/>
      <c r="AM781" s="394"/>
      <c r="AN781" s="394"/>
      <c r="AO781" s="394"/>
      <c r="AP781" s="285"/>
      <c r="AQ781" s="285"/>
      <c r="AR781" s="285"/>
      <c r="AS781" s="285"/>
      <c r="AT781" s="285"/>
      <c r="AU781" s="285"/>
      <c r="AV781" s="285"/>
      <c r="AW781" s="286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13"/>
      <c r="CI781" s="13"/>
      <c r="CJ781" s="13"/>
      <c r="CK781" s="13"/>
      <c r="CL781" s="13"/>
      <c r="CM781" s="13"/>
      <c r="CN781" s="13"/>
      <c r="CO781" s="13"/>
      <c r="CP781" s="13"/>
      <c r="CQ781" s="13"/>
      <c r="CR781" s="21"/>
      <c r="CS781" s="21"/>
      <c r="CT781" s="285"/>
      <c r="CU781" s="285"/>
      <c r="CV781" s="285"/>
      <c r="CW781" s="285"/>
      <c r="CX781" s="285"/>
      <c r="CY781" s="286"/>
      <c r="CZ781" s="609"/>
      <c r="DA781" s="609"/>
      <c r="DB781" s="13"/>
    </row>
    <row r="782" spans="1:113" ht="12" outlineLevel="1">
      <c r="A782" s="1" t="s">
        <v>998</v>
      </c>
      <c r="B782" s="19" t="s">
        <v>722</v>
      </c>
      <c r="C782" s="408"/>
      <c r="D782" s="408"/>
      <c r="E782" s="408"/>
      <c r="F782" s="408"/>
      <c r="G782" s="408"/>
      <c r="H782" s="408"/>
      <c r="I782" s="408"/>
      <c r="J782" s="408"/>
      <c r="K782" s="408"/>
      <c r="L782" s="408"/>
      <c r="M782" s="408"/>
      <c r="N782" s="408"/>
      <c r="O782" s="408"/>
      <c r="P782" s="408"/>
      <c r="Q782" s="408"/>
      <c r="R782" s="408"/>
      <c r="S782" s="408"/>
      <c r="T782" s="394"/>
      <c r="U782" s="408"/>
      <c r="V782" s="408"/>
      <c r="W782" s="408"/>
      <c r="X782" s="408"/>
      <c r="Y782" s="394"/>
      <c r="Z782" s="394"/>
      <c r="AA782" s="394"/>
      <c r="AB782" s="394"/>
      <c r="AC782" s="394"/>
      <c r="AD782" s="394"/>
      <c r="AE782" s="394"/>
      <c r="AF782" s="394"/>
      <c r="AG782" s="394"/>
      <c r="AH782" s="394"/>
      <c r="AI782" s="394"/>
      <c r="AJ782" s="394"/>
      <c r="AK782" s="394"/>
      <c r="AL782" s="394"/>
      <c r="AM782" s="394"/>
      <c r="AN782" s="394"/>
      <c r="AO782" s="394"/>
      <c r="AP782" s="285">
        <v>9.0106853352984531E-2</v>
      </c>
      <c r="AQ782" s="285">
        <v>4.05020265613868E-3</v>
      </c>
      <c r="AR782" s="285">
        <v>-2.7088634435962659E-2</v>
      </c>
      <c r="AS782" s="285">
        <v>1.2162371226035239E-2</v>
      </c>
      <c r="AT782" s="285">
        <v>5.0466112081380007E-2</v>
      </c>
      <c r="AU782" s="285">
        <v>5.123857768678397E-2</v>
      </c>
      <c r="AV782" s="285">
        <v>6.0384316770186339E-2</v>
      </c>
      <c r="AW782" s="286">
        <v>3.0878909957604801E-2</v>
      </c>
      <c r="AX782" s="162">
        <v>3.577799586093959E-2</v>
      </c>
      <c r="AY782" s="162">
        <v>6.3968795273946014E-2</v>
      </c>
      <c r="AZ782" s="162">
        <v>7.5635232034598793E-2</v>
      </c>
      <c r="BA782" s="162">
        <v>8.6837250389717124E-2</v>
      </c>
      <c r="BB782" s="162">
        <v>9.8830789537617744E-2</v>
      </c>
      <c r="BC782" s="162">
        <v>0.10219344613350193</v>
      </c>
      <c r="BD782" s="162">
        <v>0.10467958554539897</v>
      </c>
      <c r="BE782" s="162">
        <v>0.10788631056611173</v>
      </c>
      <c r="BF782" s="162">
        <v>0.11070579276675438</v>
      </c>
      <c r="BG782" s="162">
        <v>0.11169800482039934</v>
      </c>
      <c r="BH782" s="162">
        <v>0.11286913636742243</v>
      </c>
      <c r="BI782" s="162">
        <v>0.11236012248758763</v>
      </c>
      <c r="BJ782" s="162">
        <v>0.11262764814671515</v>
      </c>
      <c r="BK782" s="162">
        <v>0.11215688876800382</v>
      </c>
      <c r="BL782" s="162">
        <v>0.11252199711543402</v>
      </c>
      <c r="BM782" s="162">
        <v>0.11191354192767938</v>
      </c>
      <c r="BN782" s="162">
        <v>0.11117734313441856</v>
      </c>
      <c r="BO782" s="162">
        <v>0.11048566711821528</v>
      </c>
      <c r="BP782" s="162">
        <v>0.10997673085997751</v>
      </c>
      <c r="BQ782" s="162">
        <v>0.10917861004621375</v>
      </c>
      <c r="BR782" s="162"/>
      <c r="BS782" s="162"/>
      <c r="BT782" s="162"/>
      <c r="BU782" s="162"/>
      <c r="BV782" s="162"/>
      <c r="BW782" s="162"/>
      <c r="BX782" s="162"/>
      <c r="BY782" s="162"/>
      <c r="BZ782" s="162"/>
      <c r="CA782" s="162"/>
      <c r="CB782" s="162"/>
      <c r="CC782" s="162"/>
      <c r="CD782" s="162"/>
      <c r="CE782" s="162"/>
      <c r="CF782" s="162"/>
      <c r="CG782" s="162"/>
      <c r="CH782" s="162"/>
      <c r="CI782" s="162"/>
      <c r="CJ782" s="162"/>
      <c r="CK782" s="162"/>
      <c r="CL782" s="162"/>
      <c r="CM782" s="285"/>
      <c r="CN782" s="285"/>
      <c r="CO782" s="285"/>
      <c r="CP782" s="285"/>
      <c r="CQ782" s="285"/>
      <c r="CR782" s="285"/>
      <c r="CS782" s="285"/>
      <c r="CT782" s="285"/>
      <c r="CU782" s="285"/>
      <c r="CV782" s="285">
        <v>3.7080103359173132E-2</v>
      </c>
      <c r="CW782" s="285">
        <v>-5.9922178988326812E-3</v>
      </c>
      <c r="CX782" s="285">
        <v>5.0831024930747905E-2</v>
      </c>
      <c r="CY782" s="286">
        <v>4.5507812500000022E-2</v>
      </c>
      <c r="CZ782" s="162">
        <v>4.9923788906844339E-2</v>
      </c>
      <c r="DA782" s="162">
        <v>8.1277171333992024E-2</v>
      </c>
      <c r="DB782" s="162">
        <v>0.10049885666138589</v>
      </c>
      <c r="DC782" s="162">
        <v>0.10628046801214845</v>
      </c>
      <c r="DD782" s="162">
        <v>0.11117824354129452</v>
      </c>
      <c r="DE782" s="162">
        <v>0.11258579367722611</v>
      </c>
      <c r="DF782" s="162">
        <v>0.1123640817435522</v>
      </c>
      <c r="DG782" s="162">
        <v>0.11219737300086829</v>
      </c>
      <c r="DH782" s="162">
        <v>0.1108035658978478</v>
      </c>
      <c r="DI782" s="162">
        <v>0.10955005878900009</v>
      </c>
    </row>
    <row r="783" spans="1:113" ht="12" outlineLevel="1">
      <c r="A783" s="1" t="s">
        <v>999</v>
      </c>
      <c r="B783" s="19" t="s">
        <v>592</v>
      </c>
      <c r="C783" s="408"/>
      <c r="D783" s="408"/>
      <c r="E783" s="408"/>
      <c r="F783" s="408"/>
      <c r="G783" s="408"/>
      <c r="H783" s="408"/>
      <c r="I783" s="408"/>
      <c r="J783" s="408"/>
      <c r="K783" s="408"/>
      <c r="L783" s="408"/>
      <c r="M783" s="408"/>
      <c r="N783" s="408"/>
      <c r="O783" s="408"/>
      <c r="P783" s="408"/>
      <c r="Q783" s="408"/>
      <c r="R783" s="408"/>
      <c r="S783" s="408"/>
      <c r="T783" s="394"/>
      <c r="U783" s="408"/>
      <c r="V783" s="408"/>
      <c r="W783" s="408"/>
      <c r="X783" s="408"/>
      <c r="Y783" s="394"/>
      <c r="Z783" s="394"/>
      <c r="AA783" s="394"/>
      <c r="AB783" s="394"/>
      <c r="AC783" s="394"/>
      <c r="AD783" s="394"/>
      <c r="AE783" s="394"/>
      <c r="AF783" s="394"/>
      <c r="AG783" s="394"/>
      <c r="AH783" s="394"/>
      <c r="AI783" s="394"/>
      <c r="AJ783" s="394"/>
      <c r="AK783" s="394"/>
      <c r="AL783" s="394"/>
      <c r="AM783" s="394"/>
      <c r="AN783" s="394"/>
      <c r="AO783" s="394"/>
      <c r="AP783" s="285">
        <v>-2.1854274134119365E-2</v>
      </c>
      <c r="AQ783" s="285">
        <v>2.7711912910422572E-3</v>
      </c>
      <c r="AR783" s="285">
        <v>1.1777667146070884E-3</v>
      </c>
      <c r="AS783" s="285">
        <v>1.2162371226035239E-2</v>
      </c>
      <c r="AT783" s="285">
        <v>5.0466112081380007E-2</v>
      </c>
      <c r="AU783" s="285">
        <v>5.123857768678397E-2</v>
      </c>
      <c r="AV783" s="285">
        <v>6.0384316770186339E-2</v>
      </c>
      <c r="AW783" s="286">
        <v>3.0878909957604801E-2</v>
      </c>
      <c r="AX783" s="162">
        <v>3.577799586093959E-2</v>
      </c>
      <c r="AY783" s="162">
        <v>6.3968795273946014E-2</v>
      </c>
      <c r="AZ783" s="162">
        <v>7.5635232034598793E-2</v>
      </c>
      <c r="BA783" s="162">
        <v>8.6837250389717124E-2</v>
      </c>
      <c r="BB783" s="162">
        <v>9.8830789537617744E-2</v>
      </c>
      <c r="BC783" s="162">
        <v>0.10219344613350193</v>
      </c>
      <c r="BD783" s="162">
        <v>0.10467958554539897</v>
      </c>
      <c r="BE783" s="162">
        <v>0.10788631056611173</v>
      </c>
      <c r="BF783" s="162">
        <v>0.11070579276675438</v>
      </c>
      <c r="BG783" s="162">
        <v>0.11169800482039934</v>
      </c>
      <c r="BH783" s="162">
        <v>0.11286913636742243</v>
      </c>
      <c r="BI783" s="162">
        <v>0.11236012248758763</v>
      </c>
      <c r="BJ783" s="162">
        <v>0.11262764814671515</v>
      </c>
      <c r="BK783" s="162">
        <v>0.11215688876800382</v>
      </c>
      <c r="BL783" s="162">
        <v>0.11252199711543402</v>
      </c>
      <c r="BM783" s="162">
        <v>0.11191354192767938</v>
      </c>
      <c r="BN783" s="162">
        <v>0.11117734313441856</v>
      </c>
      <c r="BO783" s="162">
        <v>0.11048566711821528</v>
      </c>
      <c r="BP783" s="162">
        <v>0.10997673085997751</v>
      </c>
      <c r="BQ783" s="162">
        <v>0.10917861004621375</v>
      </c>
      <c r="BR783" s="162"/>
      <c r="BS783" s="162"/>
      <c r="BT783" s="162"/>
      <c r="BU783" s="162"/>
      <c r="BV783" s="162"/>
      <c r="BW783" s="162"/>
      <c r="BX783" s="162"/>
      <c r="BY783" s="162"/>
      <c r="BZ783" s="162"/>
      <c r="CA783" s="162"/>
      <c r="CB783" s="162"/>
      <c r="CC783" s="162"/>
      <c r="CD783" s="162"/>
      <c r="CE783" s="162"/>
      <c r="CF783" s="162"/>
      <c r="CG783" s="162"/>
      <c r="CH783" s="162"/>
      <c r="CI783" s="162"/>
      <c r="CJ783" s="162"/>
      <c r="CK783" s="162"/>
      <c r="CL783" s="162"/>
      <c r="CM783" s="285"/>
      <c r="CN783" s="285"/>
      <c r="CO783" s="285"/>
      <c r="CP783" s="285"/>
      <c r="CQ783" s="285"/>
      <c r="CR783" s="285"/>
      <c r="CS783" s="285"/>
      <c r="CT783" s="285"/>
      <c r="CU783" s="285"/>
      <c r="CV783" s="285">
        <v>-6.7183462532299709E-3</v>
      </c>
      <c r="CW783" s="285">
        <v>7.0817120622568104E-3</v>
      </c>
      <c r="CX783" s="285">
        <v>5.0831024930747926E-2</v>
      </c>
      <c r="CY783" s="286">
        <v>4.5507812499999988E-2</v>
      </c>
      <c r="CZ783" s="162">
        <v>4.9923788906844319E-2</v>
      </c>
      <c r="DA783" s="162">
        <v>8.1277171333992024E-2</v>
      </c>
      <c r="DB783" s="162">
        <v>0.10049885666138587</v>
      </c>
      <c r="DC783" s="162">
        <v>0.10628046801214845</v>
      </c>
      <c r="DD783" s="162">
        <v>0.11117824354129455</v>
      </c>
      <c r="DE783" s="162">
        <v>0.11258579367722613</v>
      </c>
      <c r="DF783" s="162">
        <v>0.1123640817435522</v>
      </c>
      <c r="DG783" s="162">
        <v>0.11219737300086829</v>
      </c>
      <c r="DH783" s="162">
        <v>0.1108035658978478</v>
      </c>
      <c r="DI783" s="162">
        <v>0.10955005878900009</v>
      </c>
    </row>
    <row r="784" spans="1:113" ht="12" outlineLevel="1">
      <c r="A784" s="1" t="s">
        <v>1112</v>
      </c>
      <c r="B784" s="19" t="s">
        <v>1113</v>
      </c>
      <c r="C784" s="408"/>
      <c r="D784" s="408"/>
      <c r="E784" s="408"/>
      <c r="F784" s="408"/>
      <c r="G784" s="408"/>
      <c r="H784" s="408"/>
      <c r="I784" s="408"/>
      <c r="J784" s="408"/>
      <c r="K784" s="408"/>
      <c r="L784" s="408"/>
      <c r="M784" s="408"/>
      <c r="N784" s="408"/>
      <c r="O784" s="408"/>
      <c r="P784" s="408"/>
      <c r="Q784" s="408"/>
      <c r="R784" s="408"/>
      <c r="S784" s="408"/>
      <c r="T784" s="408"/>
      <c r="U784" s="408"/>
      <c r="V784" s="408"/>
      <c r="W784" s="408"/>
      <c r="X784" s="408"/>
      <c r="Y784" s="394"/>
      <c r="Z784" s="394"/>
      <c r="AA784" s="394"/>
      <c r="AB784" s="394"/>
      <c r="AC784" s="394"/>
      <c r="AD784" s="394"/>
      <c r="AE784" s="394"/>
      <c r="AF784" s="394"/>
      <c r="AG784" s="394"/>
      <c r="AH784" s="394"/>
      <c r="AI784" s="394"/>
      <c r="AJ784" s="394"/>
      <c r="AK784" s="394"/>
      <c r="AL784" s="394"/>
      <c r="AM784" s="394"/>
      <c r="AN784" s="394"/>
      <c r="AO784" s="394"/>
      <c r="AP784" s="285">
        <v>-3.9365111070700197E-2</v>
      </c>
      <c r="AQ784" s="285">
        <v>6.8493192839382093E-3</v>
      </c>
      <c r="AR784" s="285">
        <v>2.395725145830638E-3</v>
      </c>
      <c r="AS784" s="285">
        <v>1.7371374468150541E-2</v>
      </c>
      <c r="AT784" s="285">
        <v>6.334047296048069E-2</v>
      </c>
      <c r="AU784" s="285">
        <v>6.1713765242303723E-2</v>
      </c>
      <c r="AV784" s="285">
        <v>7.1956950626016397E-2</v>
      </c>
      <c r="AW784" s="286">
        <v>3.1480042760931554E-2</v>
      </c>
      <c r="AX784" s="162">
        <v>3.6599550339014179E-2</v>
      </c>
      <c r="AY784" s="162">
        <v>6.7798729151796092E-2</v>
      </c>
      <c r="AZ784" s="162">
        <v>7.9220188538100145E-2</v>
      </c>
      <c r="BA784" s="162">
        <v>8.9358541273937483E-2</v>
      </c>
      <c r="BB784" s="162">
        <v>0.1024804957593668</v>
      </c>
      <c r="BC784" s="162">
        <v>0.10469169206913491</v>
      </c>
      <c r="BD784" s="162">
        <v>0.10609711053453438</v>
      </c>
      <c r="BE784" s="162">
        <v>0.10815359447612245</v>
      </c>
      <c r="BF784" s="162">
        <v>0.11108322744616266</v>
      </c>
      <c r="BG784" s="162">
        <v>0.11200983914001508</v>
      </c>
      <c r="BH784" s="162">
        <v>0.11410867930715179</v>
      </c>
      <c r="BI784" s="162">
        <v>0.11433177276199895</v>
      </c>
      <c r="BJ784" s="162">
        <v>0.11549438466990028</v>
      </c>
      <c r="BK784" s="162">
        <v>0.11571756456574932</v>
      </c>
      <c r="BL784" s="162">
        <v>0.11695182832062008</v>
      </c>
      <c r="BM784" s="162">
        <v>0.11705859471964571</v>
      </c>
      <c r="BN784" s="162">
        <v>0.11710623695043611</v>
      </c>
      <c r="BO784" s="162">
        <v>0.11704546607807216</v>
      </c>
      <c r="BP784" s="162">
        <v>0.11729051368541044</v>
      </c>
      <c r="BQ784" s="162">
        <v>0.11706346273476836</v>
      </c>
      <c r="BR784" s="162"/>
      <c r="BS784" s="162"/>
      <c r="BT784" s="162"/>
      <c r="BU784" s="162"/>
      <c r="BV784" s="162"/>
      <c r="BW784" s="162"/>
      <c r="BX784" s="162"/>
      <c r="BY784" s="162"/>
      <c r="BZ784" s="162"/>
      <c r="CA784" s="162"/>
      <c r="CB784" s="162"/>
      <c r="CC784" s="162"/>
      <c r="CD784" s="162"/>
      <c r="CE784" s="162"/>
      <c r="CF784" s="162"/>
      <c r="CG784" s="162"/>
      <c r="CH784" s="162"/>
      <c r="CI784" s="162"/>
      <c r="CJ784" s="162"/>
      <c r="CK784" s="162"/>
      <c r="CL784" s="162"/>
      <c r="CM784" s="285"/>
      <c r="CN784" s="285"/>
      <c r="CO784" s="285"/>
      <c r="CP784" s="285"/>
      <c r="CQ784" s="285"/>
      <c r="CR784" s="285"/>
      <c r="CS784" s="285"/>
      <c r="CT784" s="285">
        <v>0.18338894781985624</v>
      </c>
      <c r="CU784" s="285">
        <v>0.16984616764493246</v>
      </c>
      <c r="CV784" s="285">
        <v>-2.0625099415381199E-2</v>
      </c>
      <c r="CW784" s="285">
        <v>1.1913130590097338E-2</v>
      </c>
      <c r="CX784" s="285">
        <v>6.2812387194426417E-2</v>
      </c>
      <c r="CY784" s="286">
        <v>4.9624985700416457E-2</v>
      </c>
      <c r="CZ784" s="162">
        <v>5.2140473661814471E-2</v>
      </c>
      <c r="DA784" s="162">
        <v>8.3602104035606736E-2</v>
      </c>
      <c r="DB784" s="162">
        <v>0.10299118375131469</v>
      </c>
      <c r="DC784" s="162">
        <v>0.10654638770029656</v>
      </c>
      <c r="DD784" s="162">
        <v>0.11149277686359192</v>
      </c>
      <c r="DE784" s="162">
        <v>0.11459188969261336</v>
      </c>
      <c r="DF784" s="162">
        <v>0.11598634643736752</v>
      </c>
      <c r="DG784" s="162">
        <v>0.11743728024101911</v>
      </c>
      <c r="DH784" s="162">
        <v>0.11748713882023494</v>
      </c>
      <c r="DI784" s="162">
        <v>0.11758963498571119</v>
      </c>
    </row>
    <row r="785" spans="1:113" ht="12" outlineLevel="1">
      <c r="A785" s="1" t="s">
        <v>1000</v>
      </c>
      <c r="B785" s="19" t="s">
        <v>593</v>
      </c>
      <c r="C785" s="408"/>
      <c r="D785" s="408"/>
      <c r="E785" s="408"/>
      <c r="F785" s="408"/>
      <c r="G785" s="408"/>
      <c r="H785" s="408"/>
      <c r="I785" s="408"/>
      <c r="J785" s="408"/>
      <c r="K785" s="408"/>
      <c r="L785" s="408"/>
      <c r="M785" s="408"/>
      <c r="N785" s="408"/>
      <c r="O785" s="408"/>
      <c r="P785" s="408"/>
      <c r="Q785" s="408"/>
      <c r="R785" s="408"/>
      <c r="S785" s="408"/>
      <c r="T785" s="394"/>
      <c r="U785" s="408"/>
      <c r="V785" s="408"/>
      <c r="W785" s="408"/>
      <c r="X785" s="408"/>
      <c r="Y785" s="394"/>
      <c r="Z785" s="394"/>
      <c r="AA785" s="394"/>
      <c r="AB785" s="394"/>
      <c r="AC785" s="394"/>
      <c r="AD785" s="394"/>
      <c r="AE785" s="394"/>
      <c r="AF785" s="394"/>
      <c r="AG785" s="394"/>
      <c r="AH785" s="394"/>
      <c r="AI785" s="394"/>
      <c r="AJ785" s="394"/>
      <c r="AK785" s="394"/>
      <c r="AL785" s="394"/>
      <c r="AM785" s="394"/>
      <c r="AN785" s="394"/>
      <c r="AO785" s="394"/>
      <c r="AP785" s="285">
        <v>-2.2265622067225734E-2</v>
      </c>
      <c r="AQ785" s="285">
        <v>2.8113104142905906E-3</v>
      </c>
      <c r="AR785" s="285">
        <v>1.1946889413419575E-3</v>
      </c>
      <c r="AS785" s="285">
        <v>1.2344513385200945E-2</v>
      </c>
      <c r="AT785" s="285">
        <v>5.1459767924316072E-2</v>
      </c>
      <c r="AU785" s="285">
        <v>5.2477226109602593E-2</v>
      </c>
      <c r="AV785" s="285">
        <v>6.2094798487789815E-2</v>
      </c>
      <c r="AW785" s="286">
        <v>3.1828889282643394E-2</v>
      </c>
      <c r="AX785" s="162">
        <v>3.6902707520420609E-2</v>
      </c>
      <c r="AY785" s="162">
        <v>6.5928442012018321E-2</v>
      </c>
      <c r="AZ785" s="162">
        <v>7.7869996165250296E-2</v>
      </c>
      <c r="BA785" s="162">
        <v>8.929755449791868E-2</v>
      </c>
      <c r="BB785" s="162">
        <v>0.10149974135084699</v>
      </c>
      <c r="BC785" s="162">
        <v>0.1048469693705557</v>
      </c>
      <c r="BD785" s="162">
        <v>0.10732158052738199</v>
      </c>
      <c r="BE785" s="162">
        <v>0.11053102699576242</v>
      </c>
      <c r="BF785" s="162">
        <v>0.11333914830097082</v>
      </c>
      <c r="BG785" s="162">
        <v>0.11427619422076081</v>
      </c>
      <c r="BH785" s="162">
        <v>0.11539705709295697</v>
      </c>
      <c r="BI785" s="162">
        <v>0.1148021983809618</v>
      </c>
      <c r="BJ785" s="162">
        <v>0.11500372527310669</v>
      </c>
      <c r="BK785" s="162">
        <v>0.11445418655869763</v>
      </c>
      <c r="BL785" s="162">
        <v>0.1147602555987665</v>
      </c>
      <c r="BM785" s="162">
        <v>0.11407521792100367</v>
      </c>
      <c r="BN785" s="162">
        <v>0.1132628876203317</v>
      </c>
      <c r="BO785" s="162">
        <v>0.11249913592114121</v>
      </c>
      <c r="BP785" s="162">
        <v>0.1119240814089556</v>
      </c>
      <c r="BQ785" s="162">
        <v>0.1110573703644667</v>
      </c>
      <c r="BR785" s="162"/>
      <c r="BS785" s="285"/>
      <c r="BT785" s="285"/>
      <c r="BU785" s="285"/>
      <c r="BV785" s="285"/>
      <c r="BW785" s="285"/>
      <c r="BX785" s="285"/>
      <c r="BY785" s="285"/>
      <c r="BZ785" s="285"/>
      <c r="CA785" s="285"/>
      <c r="CB785" s="285"/>
      <c r="CC785" s="285"/>
      <c r="CD785" s="285"/>
      <c r="CE785" s="285"/>
      <c r="CF785" s="285"/>
      <c r="CG785" s="285"/>
      <c r="CH785" s="285"/>
      <c r="CI785" s="285"/>
      <c r="CJ785" s="285"/>
      <c r="CK785" s="285"/>
      <c r="CL785" s="285"/>
      <c r="CM785" s="285"/>
      <c r="CN785" s="285"/>
      <c r="CO785" s="285"/>
      <c r="CP785" s="285"/>
      <c r="CQ785" s="285"/>
      <c r="CR785" s="285"/>
      <c r="CS785" s="285"/>
      <c r="CT785" s="285"/>
      <c r="CU785" s="285"/>
      <c r="CV785" s="285">
        <v>-6.861063464837047E-3</v>
      </c>
      <c r="CW785" s="285">
        <v>7.1933915655507698E-3</v>
      </c>
      <c r="CX785" s="285">
        <v>5.2215977804652487E-2</v>
      </c>
      <c r="CY785" s="286">
        <v>4.6985279290179455E-2</v>
      </c>
      <c r="CZ785" s="162">
        <v>5.1472757636457832E-2</v>
      </c>
      <c r="DA785" s="162">
        <v>8.3627849904297238E-2</v>
      </c>
      <c r="DB785" s="162">
        <v>0.10315916257678072</v>
      </c>
      <c r="DC785" s="162">
        <v>0.1089235714101701</v>
      </c>
      <c r="DD785" s="162">
        <v>0.11378272468951646</v>
      </c>
      <c r="DE785" s="162">
        <v>0.1150692050033454</v>
      </c>
      <c r="DF785" s="162">
        <v>0.11469931844847146</v>
      </c>
      <c r="DG785" s="162">
        <v>0.1143962012211448</v>
      </c>
      <c r="DH785" s="162">
        <v>0.11285179126648208</v>
      </c>
      <c r="DI785" s="162">
        <v>0.11146191786005497</v>
      </c>
    </row>
    <row r="786" spans="1:113" ht="12" outlineLevel="1">
      <c r="A786" s="1" t="s">
        <v>1114</v>
      </c>
      <c r="B786" s="19" t="s">
        <v>1115</v>
      </c>
      <c r="C786" s="408"/>
      <c r="D786" s="408"/>
      <c r="E786" s="408"/>
      <c r="F786" s="408"/>
      <c r="G786" s="408"/>
      <c r="H786" s="408"/>
      <c r="I786" s="408"/>
      <c r="J786" s="408"/>
      <c r="K786" s="408"/>
      <c r="L786" s="408"/>
      <c r="M786" s="408"/>
      <c r="N786" s="408"/>
      <c r="O786" s="408"/>
      <c r="P786" s="408"/>
      <c r="Q786" s="408"/>
      <c r="R786" s="408"/>
      <c r="S786" s="408"/>
      <c r="T786" s="394"/>
      <c r="U786" s="408"/>
      <c r="V786" s="408"/>
      <c r="W786" s="408"/>
      <c r="X786" s="408"/>
      <c r="Y786" s="394"/>
      <c r="Z786" s="394"/>
      <c r="AA786" s="394"/>
      <c r="AB786" s="394"/>
      <c r="AC786" s="394"/>
      <c r="AD786" s="394"/>
      <c r="AE786" s="394"/>
      <c r="AF786" s="394"/>
      <c r="AG786" s="394"/>
      <c r="AH786" s="394"/>
      <c r="AI786" s="394"/>
      <c r="AJ786" s="394"/>
      <c r="AK786" s="394"/>
      <c r="AL786" s="394"/>
      <c r="AM786" s="394"/>
      <c r="AN786" s="394"/>
      <c r="AO786" s="394"/>
      <c r="AP786" s="285">
        <v>-4.0701724710568828E-2</v>
      </c>
      <c r="AQ786" s="285">
        <v>7.0695913558167312E-3</v>
      </c>
      <c r="AR786" s="285">
        <v>2.4704098759694691E-3</v>
      </c>
      <c r="AS786" s="285">
        <v>1.7797607634786893E-2</v>
      </c>
      <c r="AT786" s="285">
        <v>6.5104795666154472E-2</v>
      </c>
      <c r="AU786" s="285">
        <v>6.3835312728645427E-2</v>
      </c>
      <c r="AV786" s="285">
        <v>7.4777543630146645E-2</v>
      </c>
      <c r="AW786" s="286">
        <v>3.2693098930562242E-2</v>
      </c>
      <c r="AX786" s="162">
        <v>3.7947758607574045E-2</v>
      </c>
      <c r="AY786" s="162">
        <v>7.0106357783905657E-2</v>
      </c>
      <c r="AZ786" s="162">
        <v>8.1730582051216791E-2</v>
      </c>
      <c r="BA786" s="162">
        <v>9.1993951873470883E-2</v>
      </c>
      <c r="BB786" s="162">
        <v>0.10538580206607041</v>
      </c>
      <c r="BC786" s="162">
        <v>0.10749864112615605</v>
      </c>
      <c r="BD786" s="162">
        <v>0.10882281214179954</v>
      </c>
      <c r="BE786" s="162">
        <v>0.1108134621003537</v>
      </c>
      <c r="BF786" s="162">
        <v>0.11373726379964212</v>
      </c>
      <c r="BG786" s="162">
        <v>0.1146045736233943</v>
      </c>
      <c r="BH786" s="162">
        <v>0.11670059398291109</v>
      </c>
      <c r="BI786" s="162">
        <v>0.11687303124566477</v>
      </c>
      <c r="BJ786" s="162">
        <v>0.11801097372163251</v>
      </c>
      <c r="BK786" s="162">
        <v>0.11818496451180169</v>
      </c>
      <c r="BL786" s="162">
        <v>0.11939632013502192</v>
      </c>
      <c r="BM786" s="162">
        <v>0.119453844594385</v>
      </c>
      <c r="BN786" s="162">
        <v>0.11945444112876753</v>
      </c>
      <c r="BO786" s="162">
        <v>0.11934239748024406</v>
      </c>
      <c r="BP786" s="162">
        <v>0.11954629397040802</v>
      </c>
      <c r="BQ786" s="162">
        <v>0.11926667133870548</v>
      </c>
      <c r="BR786" s="162"/>
      <c r="BS786" s="162"/>
      <c r="BT786" s="162"/>
      <c r="BU786" s="162"/>
      <c r="BV786" s="162"/>
      <c r="BW786" s="162"/>
      <c r="BX786" s="162"/>
      <c r="BY786" s="162"/>
      <c r="BZ786" s="162"/>
      <c r="CA786" s="162"/>
      <c r="CB786" s="162"/>
      <c r="CC786" s="162"/>
      <c r="CD786" s="162"/>
      <c r="CE786" s="162"/>
      <c r="CF786" s="162"/>
      <c r="CG786" s="162"/>
      <c r="CH786" s="162"/>
      <c r="CI786" s="162"/>
      <c r="CJ786" s="162"/>
      <c r="CK786" s="162"/>
      <c r="CL786" s="162"/>
      <c r="CM786" s="162"/>
      <c r="CN786" s="285"/>
      <c r="CO786" s="285"/>
      <c r="CP786" s="285"/>
      <c r="CQ786" s="285"/>
      <c r="CR786" s="285"/>
      <c r="CS786" s="285"/>
      <c r="CT786" s="285">
        <v>0.18338894781985624</v>
      </c>
      <c r="CU786" s="285">
        <v>0.16984616764493246</v>
      </c>
      <c r="CV786" s="285">
        <v>-2.1979468044909047E-2</v>
      </c>
      <c r="CW786" s="285">
        <v>1.2238536829773725E-2</v>
      </c>
      <c r="CX786" s="285">
        <v>6.5266484145360612E-2</v>
      </c>
      <c r="CY786" s="286">
        <v>5.1652868767453224E-2</v>
      </c>
      <c r="CZ786" s="162">
        <v>5.3940433498528381E-2</v>
      </c>
      <c r="DA786" s="162">
        <v>8.612118126460841E-2</v>
      </c>
      <c r="DB786" s="162">
        <v>0.10580806404669767</v>
      </c>
      <c r="DC786" s="162">
        <v>0.10920482321517953</v>
      </c>
      <c r="DD786" s="162">
        <v>0.11411421080079712</v>
      </c>
      <c r="DE786" s="162">
        <v>0.11717772279999565</v>
      </c>
      <c r="DF786" s="162">
        <v>0.11849719158597834</v>
      </c>
      <c r="DG786" s="162">
        <v>0.11987751154615017</v>
      </c>
      <c r="DH786" s="162">
        <v>0.11982838872181842</v>
      </c>
      <c r="DI786" s="162">
        <v>0.11983708300464374</v>
      </c>
    </row>
    <row r="787" spans="1:113" ht="12" outlineLevel="1">
      <c r="A787" s="1" t="s">
        <v>887</v>
      </c>
      <c r="B787" s="19" t="s">
        <v>594</v>
      </c>
      <c r="C787" s="601"/>
      <c r="D787" s="601"/>
      <c r="E787" s="601"/>
      <c r="F787" s="601"/>
      <c r="G787" s="601"/>
      <c r="H787" s="601"/>
      <c r="I787" s="601"/>
      <c r="J787" s="601"/>
      <c r="K787" s="601"/>
      <c r="L787" s="601"/>
      <c r="M787" s="601"/>
      <c r="N787" s="601"/>
      <c r="O787" s="601"/>
      <c r="P787" s="601"/>
      <c r="Q787" s="601"/>
      <c r="R787" s="601"/>
      <c r="S787" s="601"/>
      <c r="T787" s="416"/>
      <c r="U787" s="601"/>
      <c r="V787" s="601"/>
      <c r="W787" s="601"/>
      <c r="X787" s="601"/>
      <c r="Y787" s="416"/>
      <c r="Z787" s="416"/>
      <c r="AA787" s="416"/>
      <c r="AB787" s="416"/>
      <c r="AC787" s="416"/>
      <c r="AD787" s="416"/>
      <c r="AE787" s="416"/>
      <c r="AF787" s="416"/>
      <c r="AG787" s="416"/>
      <c r="AH787" s="416"/>
      <c r="AI787" s="416"/>
      <c r="AJ787" s="416"/>
      <c r="AK787" s="416"/>
      <c r="AL787" s="416"/>
      <c r="AM787" s="416"/>
      <c r="AN787" s="416"/>
      <c r="AO787" s="416"/>
      <c r="AP787" s="167">
        <v>-4.1714725781722495E-3</v>
      </c>
      <c r="AQ787" s="167">
        <v>7.2972775541432864E-4</v>
      </c>
      <c r="AR787" s="167">
        <v>2.8886768390300752E-4</v>
      </c>
      <c r="AS787" s="167">
        <v>2.8635325026349421E-3</v>
      </c>
      <c r="AT787" s="167">
        <v>1.0197424427693591E-2</v>
      </c>
      <c r="AU787" s="167">
        <v>9.453683409061631E-3</v>
      </c>
      <c r="AV787" s="167">
        <v>1.0887322556227253E-2</v>
      </c>
      <c r="AW787" s="174">
        <v>5.3025418879077465E-3</v>
      </c>
      <c r="AX787" s="166">
        <v>5.6259574531963528E-3</v>
      </c>
      <c r="AY787" s="166">
        <v>9.4000461605455461E-3</v>
      </c>
      <c r="AZ787" s="166">
        <v>1.0563664439663828E-2</v>
      </c>
      <c r="BA787" s="166">
        <v>1.1672881968541994E-2</v>
      </c>
      <c r="BB787" s="166">
        <v>1.3088798707970483E-2</v>
      </c>
      <c r="BC787" s="166">
        <v>1.3434502469269092E-2</v>
      </c>
      <c r="BD787" s="166">
        <v>1.3516499734285297E-2</v>
      </c>
      <c r="BE787" s="166">
        <v>1.36930315865239E-2</v>
      </c>
      <c r="BF787" s="166">
        <v>1.3926563870859072E-2</v>
      </c>
      <c r="BG787" s="166">
        <v>1.4026139195612528E-2</v>
      </c>
      <c r="BH787" s="166">
        <v>1.4218346860091239E-2</v>
      </c>
      <c r="BI787" s="166">
        <v>1.426669109040362E-2</v>
      </c>
      <c r="BJ787" s="166">
        <v>1.4410967733303791E-2</v>
      </c>
      <c r="BK787" s="166">
        <v>1.4458166184854635E-2</v>
      </c>
      <c r="BL787" s="166">
        <v>1.4610566419444368E-2</v>
      </c>
      <c r="BM787" s="166">
        <v>1.4638836309147724E-2</v>
      </c>
      <c r="BN787" s="166">
        <v>1.4648120137100918E-2</v>
      </c>
      <c r="BO787" s="166">
        <v>1.4658220559628919E-2</v>
      </c>
      <c r="BP787" s="166">
        <v>1.4690081611957109E-2</v>
      </c>
      <c r="BQ787" s="166">
        <v>1.4680130640292995E-2</v>
      </c>
      <c r="BR787" s="166"/>
      <c r="BS787" s="166"/>
      <c r="BT787" s="166"/>
      <c r="BU787" s="166"/>
      <c r="BV787" s="166"/>
      <c r="BW787" s="166"/>
      <c r="BX787" s="166"/>
      <c r="BY787" s="166"/>
      <c r="BZ787" s="166"/>
      <c r="CA787" s="166"/>
      <c r="CB787" s="166"/>
      <c r="CC787" s="166"/>
      <c r="CD787" s="166"/>
      <c r="CE787" s="166"/>
      <c r="CF787" s="166"/>
      <c r="CG787" s="166"/>
      <c r="CH787" s="166"/>
      <c r="CI787" s="166"/>
      <c r="CJ787" s="166"/>
      <c r="CK787" s="166"/>
      <c r="CL787" s="166"/>
      <c r="CM787" s="167"/>
      <c r="CN787" s="167"/>
      <c r="CO787" s="167"/>
      <c r="CP787" s="167"/>
      <c r="CQ787" s="167"/>
      <c r="CR787" s="167"/>
      <c r="CS787" s="167"/>
      <c r="CT787" s="167"/>
      <c r="CU787" s="167"/>
      <c r="CV787" s="167">
        <v>-1.6840910052484444E-3</v>
      </c>
      <c r="CW787" s="167">
        <v>1.8281411096790026E-3</v>
      </c>
      <c r="CX787" s="167">
        <v>9.7953670995808706E-3</v>
      </c>
      <c r="CY787" s="174">
        <v>7.9922649655422302E-3</v>
      </c>
      <c r="CZ787" s="166">
        <v>7.5792243482927469E-3</v>
      </c>
      <c r="DA787" s="166">
        <v>1.1128400814839672E-2</v>
      </c>
      <c r="DB787" s="166">
        <v>1.325920043085241E-2</v>
      </c>
      <c r="DC787" s="166">
        <v>1.3602905172015871E-2</v>
      </c>
      <c r="DD787" s="166">
        <v>1.3973135281402066E-2</v>
      </c>
      <c r="DE787" s="166">
        <v>1.4240067182070102E-2</v>
      </c>
      <c r="DF787" s="166">
        <v>1.4432079534126346E-2</v>
      </c>
      <c r="DG787" s="166">
        <v>1.4623060072318199E-2</v>
      </c>
      <c r="DH787" s="166">
        <v>1.4650597025379054E-2</v>
      </c>
      <c r="DI787" s="166">
        <v>1.4682501572693223E-2</v>
      </c>
    </row>
    <row r="788" spans="1:113" ht="12" outlineLevel="1">
      <c r="A788" s="1" t="s">
        <v>888</v>
      </c>
      <c r="B788" s="19" t="s">
        <v>498</v>
      </c>
      <c r="C788" s="601"/>
      <c r="D788" s="601"/>
      <c r="E788" s="601"/>
      <c r="F788" s="601"/>
      <c r="G788" s="601"/>
      <c r="H788" s="601"/>
      <c r="I788" s="601"/>
      <c r="J788" s="601"/>
      <c r="K788" s="601"/>
      <c r="L788" s="601"/>
      <c r="M788" s="601"/>
      <c r="N788" s="601"/>
      <c r="O788" s="601"/>
      <c r="P788" s="601"/>
      <c r="Q788" s="601"/>
      <c r="R788" s="601"/>
      <c r="S788" s="601"/>
      <c r="T788" s="416"/>
      <c r="U788" s="601"/>
      <c r="V788" s="601"/>
      <c r="W788" s="601"/>
      <c r="X788" s="601"/>
      <c r="Y788" s="416"/>
      <c r="Z788" s="416"/>
      <c r="AA788" s="416"/>
      <c r="AB788" s="416"/>
      <c r="AC788" s="416"/>
      <c r="AD788" s="416"/>
      <c r="AE788" s="416"/>
      <c r="AF788" s="416"/>
      <c r="AG788" s="416"/>
      <c r="AH788" s="416"/>
      <c r="AI788" s="416"/>
      <c r="AJ788" s="416"/>
      <c r="AK788" s="416"/>
      <c r="AL788" s="416"/>
      <c r="AM788" s="416"/>
      <c r="AN788" s="416"/>
      <c r="AO788" s="416"/>
      <c r="AP788" s="167">
        <v>-4.2456443000100175E-3</v>
      </c>
      <c r="AQ788" s="167">
        <v>5.2599256848434508E-4</v>
      </c>
      <c r="AR788" s="167">
        <v>1.7921876052165165E-4</v>
      </c>
      <c r="AS788" s="167">
        <v>1.9265352902809859E-3</v>
      </c>
      <c r="AT788" s="167">
        <v>7.0888351854561712E-3</v>
      </c>
      <c r="AU788" s="167">
        <v>6.6902278790535322E-3</v>
      </c>
      <c r="AV788" s="167">
        <v>7.0404909744387527E-3</v>
      </c>
      <c r="AW788" s="174">
        <v>3.5587476967804386E-3</v>
      </c>
      <c r="AX788" s="166">
        <v>4.1634777954247413E-3</v>
      </c>
      <c r="AY788" s="166">
        <v>7.1014108330241356E-3</v>
      </c>
      <c r="AZ788" s="166">
        <v>7.9804843302925706E-3</v>
      </c>
      <c r="BA788" s="166">
        <v>8.8184599360739014E-3</v>
      </c>
      <c r="BB788" s="166">
        <v>9.8881362227969585E-3</v>
      </c>
      <c r="BC788" s="166">
        <v>1.0149303497252196E-2</v>
      </c>
      <c r="BD788" s="166">
        <v>1.0211249604337126E-2</v>
      </c>
      <c r="BE788" s="166">
        <v>1.0344613333243357E-2</v>
      </c>
      <c r="BF788" s="166">
        <v>1.0521038923662202E-2</v>
      </c>
      <c r="BG788" s="166">
        <v>1.0596264648922372E-2</v>
      </c>
      <c r="BH788" s="166">
        <v>1.0741470913594606E-2</v>
      </c>
      <c r="BI788" s="166">
        <v>1.0777993313058504E-2</v>
      </c>
      <c r="BJ788" s="166">
        <v>1.0886989343221E-2</v>
      </c>
      <c r="BK788" s="166">
        <v>1.0922646146328192E-2</v>
      </c>
      <c r="BL788" s="166">
        <v>1.1037779269973211E-2</v>
      </c>
      <c r="BM788" s="166">
        <v>1.1059136197115802E-2</v>
      </c>
      <c r="BN788" s="166">
        <v>1.1066149809099484E-2</v>
      </c>
      <c r="BO788" s="166">
        <v>1.1073780330134533E-2</v>
      </c>
      <c r="BP788" s="166">
        <v>1.1097850256844535E-2</v>
      </c>
      <c r="BQ788" s="166">
        <v>1.1090332640785237E-2</v>
      </c>
      <c r="BR788" s="166"/>
      <c r="BS788" s="166"/>
      <c r="BT788" s="166"/>
      <c r="BU788" s="166"/>
      <c r="BV788" s="166"/>
      <c r="BW788" s="166"/>
      <c r="BX788" s="166"/>
      <c r="BY788" s="166"/>
      <c r="BZ788" s="166"/>
      <c r="CA788" s="166"/>
      <c r="CB788" s="166"/>
      <c r="CC788" s="166"/>
      <c r="CD788" s="166"/>
      <c r="CE788" s="166"/>
      <c r="CF788" s="166"/>
      <c r="CG788" s="166"/>
      <c r="CH788" s="166"/>
      <c r="CI788" s="166"/>
      <c r="CJ788" s="166"/>
      <c r="CK788" s="166"/>
      <c r="CL788" s="166"/>
      <c r="CM788" s="167"/>
      <c r="CN788" s="167"/>
      <c r="CO788" s="167"/>
      <c r="CP788" s="167"/>
      <c r="CQ788" s="167"/>
      <c r="CR788" s="167"/>
      <c r="CS788" s="167"/>
      <c r="CT788" s="167"/>
      <c r="CU788" s="167"/>
      <c r="CV788" s="167">
        <v>-1.285219970341077E-3</v>
      </c>
      <c r="CW788" s="167">
        <v>1.1008952334865716E-3</v>
      </c>
      <c r="CX788" s="167">
        <v>6.8861994558588992E-3</v>
      </c>
      <c r="CY788" s="174">
        <v>5.2814506989044187E-3</v>
      </c>
      <c r="CZ788" s="166">
        <v>5.6700025474500657E-3</v>
      </c>
      <c r="DA788" s="166">
        <v>8.4071231939727622E-3</v>
      </c>
      <c r="DB788" s="166">
        <v>1.0016868850293913E-2</v>
      </c>
      <c r="DC788" s="166">
        <v>1.0276525933947882E-2</v>
      </c>
      <c r="DD788" s="166">
        <v>1.0556222018903516E-2</v>
      </c>
      <c r="DE788" s="166">
        <v>1.0757879868100048E-2</v>
      </c>
      <c r="DF788" s="166">
        <v>1.0902938580969981E-2</v>
      </c>
      <c r="DG788" s="166">
        <v>1.1047217794034364E-2</v>
      </c>
      <c r="DH788" s="166">
        <v>1.1068021012809567E-2</v>
      </c>
      <c r="DI788" s="166">
        <v>1.10921237984821E-2</v>
      </c>
    </row>
    <row r="789" spans="1:113" ht="12" outlineLevel="1">
      <c r="A789" s="1" t="s">
        <v>889</v>
      </c>
      <c r="B789" s="19" t="s">
        <v>499</v>
      </c>
      <c r="C789" s="601"/>
      <c r="D789" s="601"/>
      <c r="E789" s="601"/>
      <c r="F789" s="601"/>
      <c r="G789" s="601"/>
      <c r="H789" s="601"/>
      <c r="I789" s="601"/>
      <c r="J789" s="601"/>
      <c r="K789" s="601"/>
      <c r="L789" s="601"/>
      <c r="M789" s="601"/>
      <c r="N789" s="601"/>
      <c r="O789" s="601"/>
      <c r="P789" s="601"/>
      <c r="Q789" s="601"/>
      <c r="R789" s="601"/>
      <c r="S789" s="601"/>
      <c r="T789" s="416"/>
      <c r="U789" s="601"/>
      <c r="V789" s="601"/>
      <c r="W789" s="601"/>
      <c r="X789" s="601"/>
      <c r="Y789" s="416"/>
      <c r="Z789" s="416"/>
      <c r="AA789" s="416"/>
      <c r="AB789" s="416"/>
      <c r="AC789" s="416"/>
      <c r="AD789" s="416"/>
      <c r="AE789" s="416"/>
      <c r="AF789" s="416"/>
      <c r="AG789" s="416"/>
      <c r="AH789" s="416"/>
      <c r="AI789" s="416"/>
      <c r="AJ789" s="416"/>
      <c r="AK789" s="416"/>
      <c r="AL789" s="416"/>
      <c r="AM789" s="416"/>
      <c r="AN789" s="416"/>
      <c r="AO789" s="416"/>
      <c r="AP789" s="167">
        <v>-4.2609370936619491E-3</v>
      </c>
      <c r="AQ789" s="167">
        <v>5.2742117721073841E-4</v>
      </c>
      <c r="AR789" s="167">
        <v>1.7960588213130485E-4</v>
      </c>
      <c r="AS789" s="167">
        <v>1.9310485300648838E-3</v>
      </c>
      <c r="AT789" s="167">
        <v>7.1081147681772211E-3</v>
      </c>
      <c r="AU789" s="167">
        <v>6.7109103520320889E-3</v>
      </c>
      <c r="AV789" s="167">
        <v>7.0631761445823253E-3</v>
      </c>
      <c r="AW789" s="174">
        <v>3.5710311803790729E-3</v>
      </c>
      <c r="AX789" s="166">
        <v>4.1782969186100194E-3</v>
      </c>
      <c r="AY789" s="166">
        <v>7.124921314064149E-3</v>
      </c>
      <c r="AZ789" s="166">
        <v>8.0047232335303514E-3</v>
      </c>
      <c r="BA789" s="166">
        <v>8.8432025444479118E-3</v>
      </c>
      <c r="BB789" s="166">
        <v>9.9142191595480589E-3</v>
      </c>
      <c r="BC789" s="166">
        <v>1.0174878131105385E-2</v>
      </c>
      <c r="BD789" s="166">
        <v>1.0235829774271803E-2</v>
      </c>
      <c r="BE789" s="166">
        <v>1.0368401151949232E-2</v>
      </c>
      <c r="BF789" s="166">
        <v>1.0544321792174519E-2</v>
      </c>
      <c r="BG789" s="166">
        <v>1.061899204740136E-2</v>
      </c>
      <c r="BH789" s="166">
        <v>1.0763911147324534E-2</v>
      </c>
      <c r="BI789" s="166">
        <v>1.0800030677148983E-2</v>
      </c>
      <c r="BJ789" s="166">
        <v>1.0908775841149103E-2</v>
      </c>
      <c r="BK789" s="166">
        <v>1.094403882400492E-2</v>
      </c>
      <c r="BL789" s="166">
        <v>1.1058937357218327E-2</v>
      </c>
      <c r="BM789" s="166">
        <v>1.1079884045873831E-2</v>
      </c>
      <c r="BN789" s="166">
        <v>1.1086468949316199E-2</v>
      </c>
      <c r="BO789" s="166">
        <v>1.1093680708889378E-2</v>
      </c>
      <c r="BP789" s="166">
        <v>1.1117369397321055E-2</v>
      </c>
      <c r="BQ789" s="166">
        <v>1.1109423370190941E-2</v>
      </c>
      <c r="BR789" s="166"/>
      <c r="BS789" s="166"/>
      <c r="BT789" s="166"/>
      <c r="BU789" s="166"/>
      <c r="BV789" s="166"/>
      <c r="BW789" s="166"/>
      <c r="BX789" s="166"/>
      <c r="BY789" s="166"/>
      <c r="BZ789" s="166"/>
      <c r="CA789" s="166"/>
      <c r="CB789" s="166"/>
      <c r="CC789" s="166"/>
      <c r="CD789" s="166"/>
      <c r="CE789" s="166"/>
      <c r="CF789" s="166"/>
      <c r="CG789" s="166"/>
      <c r="CH789" s="166"/>
      <c r="CI789" s="166"/>
      <c r="CJ789" s="166"/>
      <c r="CK789" s="166"/>
      <c r="CL789" s="166"/>
      <c r="CM789" s="167"/>
      <c r="CN789" s="167"/>
      <c r="CO789" s="167"/>
      <c r="CP789" s="167"/>
      <c r="CQ789" s="167"/>
      <c r="CR789" s="167"/>
      <c r="CS789" s="167"/>
      <c r="CT789" s="167"/>
      <c r="CU789" s="167"/>
      <c r="CV789" s="167">
        <v>-1.2903545993697108E-3</v>
      </c>
      <c r="CW789" s="167">
        <v>1.1035586735467287E-3</v>
      </c>
      <c r="CX789" s="167">
        <v>6.9110322295140624E-3</v>
      </c>
      <c r="CY789" s="174">
        <v>5.3007954984946931E-3</v>
      </c>
      <c r="CZ789" s="166">
        <v>5.6894476858511565E-3</v>
      </c>
      <c r="DA789" s="166">
        <v>8.4316382626303307E-3</v>
      </c>
      <c r="DB789" s="166">
        <v>1.0042682199611474E-2</v>
      </c>
      <c r="DC789" s="166">
        <v>1.0300694542825766E-2</v>
      </c>
      <c r="DD789" s="166">
        <v>1.0579214562652546E-2</v>
      </c>
      <c r="DE789" s="166">
        <v>1.0780110707552694E-2</v>
      </c>
      <c r="DF789" s="166">
        <v>1.0924520423051825E-2</v>
      </c>
      <c r="DG789" s="166">
        <v>1.1068164973359964E-2</v>
      </c>
      <c r="DH789" s="166">
        <v>1.1088123211672803E-2</v>
      </c>
      <c r="DI789" s="166">
        <v>1.1111421299486078E-2</v>
      </c>
    </row>
    <row r="790" spans="1:113" ht="12" outlineLevel="1">
      <c r="A790" s="1" t="s">
        <v>1009</v>
      </c>
      <c r="B790" s="19" t="s">
        <v>563</v>
      </c>
      <c r="C790" s="611"/>
      <c r="D790" s="611"/>
      <c r="E790" s="611"/>
      <c r="F790" s="611"/>
      <c r="G790" s="611"/>
      <c r="H790" s="611"/>
      <c r="I790" s="611"/>
      <c r="J790" s="611"/>
      <c r="K790" s="611"/>
      <c r="L790" s="611"/>
      <c r="M790" s="611"/>
      <c r="N790" s="611"/>
      <c r="O790" s="611"/>
      <c r="P790" s="611"/>
      <c r="Q790" s="611"/>
      <c r="R790" s="611"/>
      <c r="S790" s="611"/>
      <c r="T790" s="612"/>
      <c r="U790" s="611"/>
      <c r="V790" s="611"/>
      <c r="W790" s="611"/>
      <c r="X790" s="611"/>
      <c r="Y790" s="612"/>
      <c r="Z790" s="612"/>
      <c r="AA790" s="612"/>
      <c r="AB790" s="612"/>
      <c r="AC790" s="612"/>
      <c r="AD790" s="612"/>
      <c r="AE790" s="612"/>
      <c r="AF790" s="612"/>
      <c r="AG790" s="612"/>
      <c r="AH790" s="612"/>
      <c r="AI790" s="612"/>
      <c r="AJ790" s="612"/>
      <c r="AK790" s="612"/>
      <c r="AL790" s="612"/>
      <c r="AM790" s="612"/>
      <c r="AN790" s="612"/>
      <c r="AO790" s="612"/>
      <c r="AP790" s="517">
        <v>3.0526636225266364</v>
      </c>
      <c r="AQ790" s="517">
        <v>6.6945205479452055</v>
      </c>
      <c r="AR790" s="517">
        <v>5.2616438356164386</v>
      </c>
      <c r="AS790" s="517">
        <v>5.3634462869502526</v>
      </c>
      <c r="AT790" s="517">
        <v>7.6736681887366816</v>
      </c>
      <c r="AU790" s="517">
        <v>-1.4685985247629083</v>
      </c>
      <c r="AV790" s="517">
        <v>-1.9035270740188772</v>
      </c>
      <c r="AW790" s="591">
        <v>-1.949373191899711</v>
      </c>
      <c r="AX790" s="420">
        <v>3.1999999999999997</v>
      </c>
      <c r="AY790" s="420">
        <v>3.2000000000000006</v>
      </c>
      <c r="AZ790" s="420">
        <v>3.1999999999999993</v>
      </c>
      <c r="BA790" s="420">
        <v>3.2</v>
      </c>
      <c r="BB790" s="420">
        <v>3.2</v>
      </c>
      <c r="BC790" s="420">
        <v>3.2</v>
      </c>
      <c r="BD790" s="420">
        <v>3.1999999999999997</v>
      </c>
      <c r="BE790" s="420">
        <v>3.2</v>
      </c>
      <c r="BF790" s="420">
        <v>3.1999999999999997</v>
      </c>
      <c r="BG790" s="420">
        <v>3.2</v>
      </c>
      <c r="BH790" s="420">
        <v>3.2</v>
      </c>
      <c r="BI790" s="420">
        <v>3.2</v>
      </c>
      <c r="BJ790" s="420">
        <v>3.2</v>
      </c>
      <c r="BK790" s="420">
        <v>3.2</v>
      </c>
      <c r="BL790" s="420">
        <v>3.1999999999999997</v>
      </c>
      <c r="BM790" s="420">
        <v>3.2</v>
      </c>
      <c r="BN790" s="420">
        <v>3.2</v>
      </c>
      <c r="BO790" s="420">
        <v>3.2000000000000011</v>
      </c>
      <c r="BP790" s="420">
        <v>3.1999999999999997</v>
      </c>
      <c r="BQ790" s="420">
        <v>3.2</v>
      </c>
      <c r="BR790" s="166"/>
      <c r="BS790" s="420"/>
      <c r="BT790" s="420"/>
      <c r="BU790" s="420"/>
      <c r="BV790" s="420"/>
      <c r="BW790" s="420"/>
      <c r="BX790" s="420"/>
      <c r="BY790" s="420"/>
      <c r="BZ790" s="420"/>
      <c r="CA790" s="420"/>
      <c r="CB790" s="420"/>
      <c r="CC790" s="420"/>
      <c r="CD790" s="420"/>
      <c r="CE790" s="420"/>
      <c r="CF790" s="420"/>
      <c r="CG790" s="420"/>
      <c r="CH790" s="420"/>
      <c r="CI790" s="420"/>
      <c r="CJ790" s="420"/>
      <c r="CK790" s="420"/>
      <c r="CL790" s="420"/>
      <c r="CM790" s="517"/>
      <c r="CN790" s="517"/>
      <c r="CO790" s="517"/>
      <c r="CP790" s="517"/>
      <c r="CQ790" s="517"/>
      <c r="CR790" s="517"/>
      <c r="CS790" s="517"/>
      <c r="CT790" s="517">
        <v>0</v>
      </c>
      <c r="CU790" s="517">
        <v>0</v>
      </c>
      <c r="CV790" s="517">
        <v>4.2368421052631584</v>
      </c>
      <c r="CW790" s="517">
        <v>5.7000000000000011</v>
      </c>
      <c r="CX790" s="517">
        <v>6.6063829787234036</v>
      </c>
      <c r="CY790" s="591">
        <v>3.5785123966942147</v>
      </c>
      <c r="CZ790" s="420">
        <v>3.1960176036767001</v>
      </c>
      <c r="DA790" s="420">
        <v>3.2042017274285808</v>
      </c>
      <c r="DB790" s="420">
        <v>3.203554337212815</v>
      </c>
      <c r="DC790" s="420">
        <v>3.2034988823172932</v>
      </c>
      <c r="DD790" s="420">
        <v>3.2036057913041782</v>
      </c>
      <c r="DE790" s="420">
        <v>3.2040078544450279</v>
      </c>
      <c r="DF790" s="420">
        <v>3.2039552189029732</v>
      </c>
      <c r="DG790" s="420">
        <v>3.2027278944514239</v>
      </c>
      <c r="DH790" s="420">
        <v>3.2053788886689638</v>
      </c>
      <c r="DI790" s="420">
        <v>3.2053081177251812</v>
      </c>
    </row>
    <row r="791" spans="1:113" ht="12" outlineLevel="1">
      <c r="A791" s="1" t="s">
        <v>674</v>
      </c>
      <c r="B791" s="19" t="s">
        <v>773</v>
      </c>
      <c r="C791" s="601"/>
      <c r="D791" s="601"/>
      <c r="E791" s="601"/>
      <c r="F791" s="601"/>
      <c r="G791" s="601"/>
      <c r="H791" s="601"/>
      <c r="I791" s="601"/>
      <c r="J791" s="601"/>
      <c r="K791" s="601"/>
      <c r="L791" s="601"/>
      <c r="M791" s="601"/>
      <c r="N791" s="601"/>
      <c r="O791" s="601"/>
      <c r="P791" s="408"/>
      <c r="Q791" s="408"/>
      <c r="R791" s="408"/>
      <c r="S791" s="408"/>
      <c r="T791" s="394"/>
      <c r="U791" s="408"/>
      <c r="V791" s="408"/>
      <c r="W791" s="408"/>
      <c r="X791" s="408"/>
      <c r="Y791" s="394"/>
      <c r="Z791" s="394"/>
      <c r="AA791" s="394"/>
      <c r="AB791" s="394"/>
      <c r="AC791" s="394"/>
      <c r="AD791" s="394"/>
      <c r="AE791" s="394"/>
      <c r="AF791" s="394"/>
      <c r="AG791" s="394"/>
      <c r="AH791" s="394"/>
      <c r="AI791" s="394"/>
      <c r="AJ791" s="394"/>
      <c r="AK791" s="394"/>
      <c r="AL791" s="394"/>
      <c r="AM791" s="394"/>
      <c r="AN791" s="394"/>
      <c r="AO791" s="394"/>
      <c r="AP791" s="285">
        <v>0.12825989639956514</v>
      </c>
      <c r="AQ791" s="285">
        <v>0.14059032401242788</v>
      </c>
      <c r="AR791" s="285">
        <v>0.12600095791127844</v>
      </c>
      <c r="AS791" s="285">
        <v>0.14470563733229422</v>
      </c>
      <c r="AT791" s="285">
        <v>0.14965904290628207</v>
      </c>
      <c r="AU791" s="285">
        <v>0.15993161904146688</v>
      </c>
      <c r="AV791" s="285">
        <v>0.17917579135974518</v>
      </c>
      <c r="AW791" s="286">
        <v>0.17577684463107379</v>
      </c>
      <c r="AX791" s="162">
        <v>0.18547857220802444</v>
      </c>
      <c r="AY791" s="162">
        <v>0.18739784027998924</v>
      </c>
      <c r="AZ791" s="162">
        <v>0.18806403815590439</v>
      </c>
      <c r="BA791" s="162">
        <v>0.18808399737693435</v>
      </c>
      <c r="BB791" s="162">
        <v>0.18947111841049177</v>
      </c>
      <c r="BC791" s="162">
        <v>0.19131695924255954</v>
      </c>
      <c r="BD791" s="162">
        <v>0.19128316351336222</v>
      </c>
      <c r="BE791" s="162">
        <v>0.19132713400910964</v>
      </c>
      <c r="BF791" s="162">
        <v>0.1920426549138364</v>
      </c>
      <c r="BG791" s="162">
        <v>0.1921462490158716</v>
      </c>
      <c r="BH791" s="162">
        <v>0.19276384332616428</v>
      </c>
      <c r="BI791" s="162">
        <v>0.1926651836906644</v>
      </c>
      <c r="BJ791" s="162">
        <v>0.19331957642264494</v>
      </c>
      <c r="BK791" s="162">
        <v>0.19313497840558397</v>
      </c>
      <c r="BL791" s="162">
        <v>0.19396161307045115</v>
      </c>
      <c r="BM791" s="162">
        <v>0.19319917414070031</v>
      </c>
      <c r="BN791" s="162">
        <v>0.19162847354299928</v>
      </c>
      <c r="BO791" s="162">
        <v>0.19109562637459038</v>
      </c>
      <c r="BP791" s="162">
        <v>0.19019398739312338</v>
      </c>
      <c r="BQ791" s="162">
        <v>0.18958060882398625</v>
      </c>
      <c r="BR791" s="166"/>
      <c r="BS791" s="162"/>
      <c r="BT791" s="162"/>
      <c r="BU791" s="162"/>
      <c r="BV791" s="162"/>
      <c r="BW791" s="162"/>
      <c r="BX791" s="162"/>
      <c r="BY791" s="162"/>
      <c r="BZ791" s="162"/>
      <c r="CA791" s="162"/>
      <c r="CB791" s="162"/>
      <c r="CC791" s="162"/>
      <c r="CD791" s="162"/>
      <c r="CE791" s="162"/>
      <c r="CF791" s="162"/>
      <c r="CG791" s="162"/>
      <c r="CH791" s="162"/>
      <c r="CI791" s="162"/>
      <c r="CJ791" s="162"/>
      <c r="CK791" s="162"/>
      <c r="CL791" s="162"/>
      <c r="CM791" s="285"/>
      <c r="CN791" s="285"/>
      <c r="CO791" s="285"/>
      <c r="CP791" s="285"/>
      <c r="CQ791" s="285"/>
      <c r="CR791" s="285"/>
      <c r="CS791" s="285"/>
      <c r="CT791" s="285">
        <v>0</v>
      </c>
      <c r="CU791" s="285">
        <v>0</v>
      </c>
      <c r="CV791" s="285">
        <v>0.15893385982231001</v>
      </c>
      <c r="CW791" s="285">
        <v>0.1562705187130663</v>
      </c>
      <c r="CX791" s="285">
        <v>0.17060133630289531</v>
      </c>
      <c r="CY791" s="286">
        <v>0.18684719535783365</v>
      </c>
      <c r="CZ791" s="162">
        <v>0.19397791788480517</v>
      </c>
      <c r="DA791" s="162">
        <v>0.19554041965238747</v>
      </c>
      <c r="DB791" s="162">
        <v>0.19790680718231468</v>
      </c>
      <c r="DC791" s="162">
        <v>0.19867431230886168</v>
      </c>
      <c r="DD791" s="162">
        <v>0.19952877604041294</v>
      </c>
      <c r="DE791" s="162">
        <v>0.20013731313387509</v>
      </c>
      <c r="DF791" s="162">
        <v>0.20064299564259133</v>
      </c>
      <c r="DG791" s="162">
        <v>0.20089892083187616</v>
      </c>
      <c r="DH791" s="162">
        <v>0.19878073252746603</v>
      </c>
      <c r="DI791" s="162">
        <v>0.19731419746492571</v>
      </c>
    </row>
    <row r="792" spans="1:113" ht="12" outlineLevel="1">
      <c r="A792" s="1" t="s">
        <v>811</v>
      </c>
      <c r="B792" s="19" t="s">
        <v>500</v>
      </c>
      <c r="C792" s="408"/>
      <c r="D792" s="408"/>
      <c r="E792" s="408"/>
      <c r="F792" s="408"/>
      <c r="G792" s="408"/>
      <c r="H792" s="408"/>
      <c r="I792" s="408"/>
      <c r="J792" s="408"/>
      <c r="K792" s="408"/>
      <c r="L792" s="408"/>
      <c r="M792" s="408"/>
      <c r="N792" s="408"/>
      <c r="O792" s="408"/>
      <c r="P792" s="408"/>
      <c r="Q792" s="408"/>
      <c r="R792" s="408"/>
      <c r="S792" s="408"/>
      <c r="T792" s="394"/>
      <c r="U792" s="408"/>
      <c r="V792" s="408"/>
      <c r="W792" s="408"/>
      <c r="X792" s="408"/>
      <c r="Y792" s="394"/>
      <c r="Z792" s="394"/>
      <c r="AA792" s="394"/>
      <c r="AB792" s="394"/>
      <c r="AC792" s="394"/>
      <c r="AD792" s="394"/>
      <c r="AE792" s="394"/>
      <c r="AF792" s="394"/>
      <c r="AG792" s="394"/>
      <c r="AH792" s="394"/>
      <c r="AI792" s="394"/>
      <c r="AJ792" s="394"/>
      <c r="AK792" s="394"/>
      <c r="AL792" s="394"/>
      <c r="AM792" s="394"/>
      <c r="AN792" s="394"/>
      <c r="AO792" s="394"/>
      <c r="AP792" s="285">
        <v>0.11838790931989925</v>
      </c>
      <c r="AQ792" s="285">
        <v>1.1976047904191616E-2</v>
      </c>
      <c r="AR792" s="285">
        <v>5.4127198917456017E-3</v>
      </c>
      <c r="AS792" s="285">
        <v>2.8254288597376387E-2</v>
      </c>
      <c r="AT792" s="285">
        <v>1.331719128329298E-2</v>
      </c>
      <c r="AU792" s="285">
        <v>1.7039403620873271E-2</v>
      </c>
      <c r="AV792" s="285">
        <v>2.4E-2</v>
      </c>
      <c r="AW792" s="286">
        <v>2.9994916115912557E-2</v>
      </c>
      <c r="AX792" s="162">
        <v>3.5560628523464706E-2</v>
      </c>
      <c r="AY792" s="162">
        <v>3.6012634101395463E-2</v>
      </c>
      <c r="AZ792" s="162">
        <v>3.7090263069830105E-2</v>
      </c>
      <c r="BA792" s="162">
        <v>3.7590326511408909E-2</v>
      </c>
      <c r="BB792" s="162">
        <v>3.7672058063337774E-2</v>
      </c>
      <c r="BC792" s="162">
        <v>3.7898696602227167E-2</v>
      </c>
      <c r="BD792" s="162">
        <v>3.7756032555605827E-2</v>
      </c>
      <c r="BE792" s="162">
        <v>3.7894528290704672E-2</v>
      </c>
      <c r="BF792" s="162">
        <v>3.7977359247483314E-2</v>
      </c>
      <c r="BG792" s="162">
        <v>3.8008157144233064E-2</v>
      </c>
      <c r="BH792" s="162">
        <v>3.8005801720648845E-2</v>
      </c>
      <c r="BI792" s="162">
        <v>3.79669668578081E-2</v>
      </c>
      <c r="BJ792" s="162">
        <v>3.7932146913244119E-2</v>
      </c>
      <c r="BK792" s="162">
        <v>3.7894740407853018E-2</v>
      </c>
      <c r="BL792" s="162">
        <v>3.7861271621282451E-2</v>
      </c>
      <c r="BM792" s="162">
        <v>3.7822290930445743E-2</v>
      </c>
      <c r="BN792" s="162">
        <v>3.7785930507241806E-2</v>
      </c>
      <c r="BO792" s="162">
        <v>3.7747926720152404E-2</v>
      </c>
      <c r="BP792" s="162">
        <v>3.7714588711869064E-2</v>
      </c>
      <c r="BQ792" s="162">
        <v>3.7677698609899758E-2</v>
      </c>
      <c r="BR792" s="162"/>
      <c r="BS792" s="162"/>
      <c r="BT792" s="162"/>
      <c r="BU792" s="162"/>
      <c r="BV792" s="162"/>
      <c r="BW792" s="162"/>
      <c r="BX792" s="162"/>
      <c r="BY792" s="162"/>
      <c r="BZ792" s="162"/>
      <c r="CA792" s="162"/>
      <c r="CB792" s="162"/>
      <c r="CC792" s="162"/>
      <c r="CD792" s="162"/>
      <c r="CE792" s="162"/>
      <c r="CF792" s="162"/>
      <c r="CG792" s="162"/>
      <c r="CH792" s="162"/>
      <c r="CI792" s="162"/>
      <c r="CJ792" s="162"/>
      <c r="CK792" s="162"/>
      <c r="CL792" s="162"/>
      <c r="CM792" s="285"/>
      <c r="CN792" s="285"/>
      <c r="CO792" s="285"/>
      <c r="CP792" s="285"/>
      <c r="CQ792" s="285"/>
      <c r="CR792" s="285"/>
      <c r="CS792" s="285"/>
      <c r="CT792" s="285">
        <v>0.36725663716814161</v>
      </c>
      <c r="CU792" s="285">
        <v>1.4722536806342015E-2</v>
      </c>
      <c r="CV792" s="285">
        <v>5.9020044543429843E-2</v>
      </c>
      <c r="CW792" s="285">
        <v>1.8497109826589593E-2</v>
      </c>
      <c r="CX792" s="285">
        <v>1.5297450424929179E-2</v>
      </c>
      <c r="CY792" s="286">
        <v>2.6972523317368286E-2</v>
      </c>
      <c r="CZ792" s="162">
        <v>3.579961682156433E-2</v>
      </c>
      <c r="DA792" s="162">
        <v>3.735012923841214E-2</v>
      </c>
      <c r="DB792" s="162">
        <v>3.7786852150389558E-2</v>
      </c>
      <c r="DC792" s="162">
        <v>3.782635521591482E-2</v>
      </c>
      <c r="DD792" s="162">
        <v>3.7992865631865026E-2</v>
      </c>
      <c r="DE792" s="162">
        <v>3.7986325554372896E-2</v>
      </c>
      <c r="DF792" s="162">
        <v>3.7913387392535941E-2</v>
      </c>
      <c r="DG792" s="162">
        <v>3.7841668496515109E-2</v>
      </c>
      <c r="DH792" s="162">
        <v>3.7766871205540335E-2</v>
      </c>
      <c r="DI792" s="162">
        <v>3.7696088163610399E-2</v>
      </c>
    </row>
    <row r="793" spans="1:113" ht="12" outlineLevel="1">
      <c r="A793" s="1" t="s">
        <v>812</v>
      </c>
      <c r="B793" s="19" t="s">
        <v>471</v>
      </c>
      <c r="C793" s="408"/>
      <c r="D793" s="408"/>
      <c r="E793" s="408"/>
      <c r="F793" s="408"/>
      <c r="G793" s="408"/>
      <c r="H793" s="408"/>
      <c r="I793" s="408"/>
      <c r="J793" s="408"/>
      <c r="K793" s="408"/>
      <c r="L793" s="408"/>
      <c r="M793" s="408"/>
      <c r="N793" s="408"/>
      <c r="O793" s="408"/>
      <c r="P793" s="408"/>
      <c r="Q793" s="408"/>
      <c r="R793" s="408"/>
      <c r="S793" s="408"/>
      <c r="T793" s="394"/>
      <c r="U793" s="408"/>
      <c r="V793" s="408"/>
      <c r="W793" s="408"/>
      <c r="X793" s="408"/>
      <c r="Y793" s="394"/>
      <c r="Z793" s="394"/>
      <c r="AA793" s="394"/>
      <c r="AB793" s="394"/>
      <c r="AC793" s="394"/>
      <c r="AD793" s="394"/>
      <c r="AE793" s="394"/>
      <c r="AF793" s="394"/>
      <c r="AG793" s="394"/>
      <c r="AH793" s="394"/>
      <c r="AI793" s="394"/>
      <c r="AJ793" s="394"/>
      <c r="AK793" s="394"/>
      <c r="AL793" s="394"/>
      <c r="AM793" s="394"/>
      <c r="AN793" s="394"/>
      <c r="AO793" s="394"/>
      <c r="AP793" s="285">
        <v>0.95214105793450865</v>
      </c>
      <c r="AQ793" s="285">
        <v>0.98403193612774442</v>
      </c>
      <c r="AR793" s="285">
        <v>0.82949932341001342</v>
      </c>
      <c r="AS793" s="285">
        <v>0.71342078708375389</v>
      </c>
      <c r="AT793" s="285">
        <v>0.54297820823244558</v>
      </c>
      <c r="AU793" s="285">
        <v>0.53887113951011723</v>
      </c>
      <c r="AV793" s="285">
        <v>0.52900000000000003</v>
      </c>
      <c r="AW793" s="286">
        <v>0.59227249618708688</v>
      </c>
      <c r="AX793" s="162">
        <v>0.5812077035942147</v>
      </c>
      <c r="AY793" s="162">
        <v>0.51643912709840334</v>
      </c>
      <c r="AZ793" s="162">
        <v>0.47625764333693055</v>
      </c>
      <c r="BA793" s="162">
        <v>0.44291601867465652</v>
      </c>
      <c r="BB793" s="162">
        <v>0.40909411472216478</v>
      </c>
      <c r="BC793" s="162">
        <v>0.39590473051568864</v>
      </c>
      <c r="BD793" s="162">
        <v>0.38746176213887112</v>
      </c>
      <c r="BE793" s="162">
        <v>0.3784689158421185</v>
      </c>
      <c r="BF793" s="162">
        <v>0.36926894603212135</v>
      </c>
      <c r="BG793" s="162">
        <v>0.36472604484697269</v>
      </c>
      <c r="BH793" s="162">
        <v>0.35916611052633296</v>
      </c>
      <c r="BI793" s="162">
        <v>0.35775245322349519</v>
      </c>
      <c r="BJ793" s="162">
        <v>0.35343528388615358</v>
      </c>
      <c r="BK793" s="162">
        <v>0.35204940095630677</v>
      </c>
      <c r="BL793" s="162">
        <v>0.34738773162467124</v>
      </c>
      <c r="BM793" s="162">
        <v>0.34681094919701871</v>
      </c>
      <c r="BN793" s="162">
        <v>0.34730034580889813</v>
      </c>
      <c r="BO793" s="162">
        <v>0.34725860292098426</v>
      </c>
      <c r="BP793" s="162">
        <v>0.34694564218324969</v>
      </c>
      <c r="BQ793" s="162">
        <v>0.34759824485904378</v>
      </c>
      <c r="BR793" s="162"/>
      <c r="BS793" s="162"/>
      <c r="BT793" s="162"/>
      <c r="BU793" s="162"/>
      <c r="BV793" s="162"/>
      <c r="BW793" s="162"/>
      <c r="BX793" s="162"/>
      <c r="BY793" s="162"/>
      <c r="BZ793" s="162"/>
      <c r="CA793" s="162"/>
      <c r="CB793" s="162"/>
      <c r="CC793" s="162"/>
      <c r="CD793" s="162"/>
      <c r="CE793" s="162"/>
      <c r="CF793" s="162"/>
      <c r="CG793" s="162"/>
      <c r="CH793" s="162"/>
      <c r="CI793" s="162"/>
      <c r="CJ793" s="162"/>
      <c r="CK793" s="162"/>
      <c r="CL793" s="162"/>
      <c r="CM793" s="285"/>
      <c r="CN793" s="285"/>
      <c r="CO793" s="285"/>
      <c r="CP793" s="285"/>
      <c r="CQ793" s="285"/>
      <c r="CR793" s="285"/>
      <c r="CS793" s="285"/>
      <c r="CT793" s="285">
        <v>23.26991150442478</v>
      </c>
      <c r="CU793" s="285">
        <v>2.1143827859569648</v>
      </c>
      <c r="CV793" s="285">
        <v>0.96993318485523383</v>
      </c>
      <c r="CW793" s="285">
        <v>0.76300578034682076</v>
      </c>
      <c r="CX793" s="285">
        <v>0.54079320113314444</v>
      </c>
      <c r="CY793" s="286">
        <v>0.56037307789261415</v>
      </c>
      <c r="CZ793" s="162">
        <v>0.54696270171187011</v>
      </c>
      <c r="DA793" s="162">
        <v>0.45893112127018981</v>
      </c>
      <c r="DB793" s="162">
        <v>0.40241359460331355</v>
      </c>
      <c r="DC793" s="162">
        <v>0.38289555022710259</v>
      </c>
      <c r="DD793" s="162">
        <v>0.36698164789103488</v>
      </c>
      <c r="DE793" s="162">
        <v>0.35845714382287924</v>
      </c>
      <c r="DF793" s="162">
        <v>0.35274025773362361</v>
      </c>
      <c r="DG793" s="162">
        <v>0.34709767165779559</v>
      </c>
      <c r="DH793" s="162">
        <v>0.34727941130853451</v>
      </c>
      <c r="DI793" s="162">
        <v>0.34727292529315579</v>
      </c>
    </row>
    <row r="794" spans="1:113" ht="12" outlineLevel="1">
      <c r="A794" s="1" t="s">
        <v>813</v>
      </c>
      <c r="B794" s="19" t="s">
        <v>407</v>
      </c>
      <c r="C794" s="408"/>
      <c r="D794" s="408"/>
      <c r="E794" s="408"/>
      <c r="F794" s="408"/>
      <c r="G794" s="408"/>
      <c r="H794" s="408"/>
      <c r="I794" s="408"/>
      <c r="J794" s="408"/>
      <c r="K794" s="408"/>
      <c r="L794" s="408"/>
      <c r="M794" s="408"/>
      <c r="N794" s="408"/>
      <c r="O794" s="408"/>
      <c r="P794" s="408"/>
      <c r="Q794" s="408"/>
      <c r="R794" s="408"/>
      <c r="S794" s="408"/>
      <c r="T794" s="394"/>
      <c r="U794" s="408"/>
      <c r="V794" s="408"/>
      <c r="W794" s="408"/>
      <c r="X794" s="408"/>
      <c r="Y794" s="394"/>
      <c r="Z794" s="394"/>
      <c r="AA794" s="394"/>
      <c r="AB794" s="394"/>
      <c r="AC794" s="394"/>
      <c r="AD794" s="394"/>
      <c r="AE794" s="394"/>
      <c r="AF794" s="394"/>
      <c r="AG794" s="394"/>
      <c r="AH794" s="394"/>
      <c r="AI794" s="394"/>
      <c r="AJ794" s="394"/>
      <c r="AK794" s="394"/>
      <c r="AL794" s="394"/>
      <c r="AM794" s="394"/>
      <c r="AN794" s="394"/>
      <c r="AO794" s="394"/>
      <c r="AP794" s="285"/>
      <c r="AQ794" s="285">
        <v>-4.2268068716431406E-2</v>
      </c>
      <c r="AR794" s="285">
        <v>0.2316421922888503</v>
      </c>
      <c r="AS794" s="285">
        <v>0.18765714437083725</v>
      </c>
      <c r="AT794" s="285">
        <v>0.39826186741493808</v>
      </c>
      <c r="AU794" s="285">
        <v>8.5987458868814759E-3</v>
      </c>
      <c r="AV794" s="285">
        <v>1.9508180850033918E-2</v>
      </c>
      <c r="AW794" s="286">
        <v>-0.11763421550094511</v>
      </c>
      <c r="AX794" s="162">
        <v>1.8683880383227325E-2</v>
      </c>
      <c r="AY794" s="162">
        <v>0.12502440375398682</v>
      </c>
      <c r="AZ794" s="162">
        <v>8.7094134251064936E-2</v>
      </c>
      <c r="BA794" s="162">
        <v>7.5740203982793686E-2</v>
      </c>
      <c r="BB794" s="162">
        <v>8.4898502404447518E-2</v>
      </c>
      <c r="BC794" s="162">
        <v>3.3090730976473415E-2</v>
      </c>
      <c r="BD794" s="162">
        <v>2.2450581681109805E-2</v>
      </c>
      <c r="BE794" s="162">
        <v>2.3941465500153525E-2</v>
      </c>
      <c r="BF794" s="162">
        <v>2.5548627753582576E-2</v>
      </c>
      <c r="BG794" s="162">
        <v>1.2475288808470264E-2</v>
      </c>
      <c r="BH794" s="162">
        <v>1.5910294043768314E-2</v>
      </c>
      <c r="BI794" s="162">
        <v>3.9598264339142375E-3</v>
      </c>
      <c r="BJ794" s="162">
        <v>1.2545195716497926E-2</v>
      </c>
      <c r="BK794" s="162">
        <v>3.9448433881630329E-3</v>
      </c>
      <c r="BL794" s="162">
        <v>1.3727679748117838E-2</v>
      </c>
      <c r="BM794" s="162">
        <v>1.6796686697932994E-3</v>
      </c>
      <c r="BN794" s="162">
        <v>-1.4630066473504399E-3</v>
      </c>
      <c r="BO794" s="162">
        <v>1.2092092154714074E-4</v>
      </c>
      <c r="BP794" s="162">
        <v>9.3688620712684134E-4</v>
      </c>
      <c r="BQ794" s="162">
        <v>-1.8923472021095122E-3</v>
      </c>
      <c r="BR794" s="162"/>
      <c r="BS794" s="162"/>
      <c r="BT794" s="162"/>
      <c r="BU794" s="162"/>
      <c r="BV794" s="162"/>
      <c r="BW794" s="162"/>
      <c r="BX794" s="162"/>
      <c r="BY794" s="162"/>
      <c r="BZ794" s="162"/>
      <c r="CA794" s="162"/>
      <c r="CB794" s="162"/>
      <c r="CC794" s="162"/>
      <c r="CD794" s="162"/>
      <c r="CE794" s="162"/>
      <c r="CF794" s="162"/>
      <c r="CG794" s="162"/>
      <c r="CH794" s="162"/>
      <c r="CI794" s="162"/>
      <c r="CJ794" s="162"/>
      <c r="CK794" s="162"/>
      <c r="CL794" s="162"/>
      <c r="CM794" s="285"/>
      <c r="CN794" s="285"/>
      <c r="CO794" s="285"/>
      <c r="CP794" s="285"/>
      <c r="CQ794" s="285"/>
      <c r="CR794" s="285"/>
      <c r="CS794" s="285"/>
      <c r="CT794" s="285"/>
      <c r="CU794" s="285">
        <v>18.944369001363587</v>
      </c>
      <c r="CV794" s="285">
        <v>1.720199085748116</v>
      </c>
      <c r="CW794" s="285">
        <v>0.41100391481005105</v>
      </c>
      <c r="CX794" s="285">
        <v>0.5942503065335436</v>
      </c>
      <c r="CY794" s="286">
        <v>-4.0687989054382312E-2</v>
      </c>
      <c r="CZ794" s="162">
        <v>2.5181418079967433E-2</v>
      </c>
      <c r="DA794" s="162">
        <v>0.19831370909885382</v>
      </c>
      <c r="DB794" s="162">
        <v>0.14417931496495906</v>
      </c>
      <c r="DC794" s="162">
        <v>5.2540724558258534E-2</v>
      </c>
      <c r="DD794" s="162">
        <v>4.4672192914955389E-2</v>
      </c>
      <c r="DE794" s="162">
        <v>2.4486981178937439E-2</v>
      </c>
      <c r="DF794" s="162">
        <v>1.6680286192310545E-2</v>
      </c>
      <c r="DG794" s="162">
        <v>1.6730439727793422E-2</v>
      </c>
      <c r="DH794" s="162">
        <v>-5.4764101427906553E-4</v>
      </c>
      <c r="DI794" s="162">
        <v>1.9532944409261788E-5</v>
      </c>
    </row>
    <row r="795" spans="1:113" ht="12" outlineLevel="1">
      <c r="A795" s="1" t="s">
        <v>2099</v>
      </c>
      <c r="B795" s="19" t="s">
        <v>2100</v>
      </c>
      <c r="C795" s="412"/>
      <c r="D795" s="412"/>
      <c r="E795" s="412"/>
      <c r="F795" s="412"/>
      <c r="G795" s="412"/>
      <c r="H795" s="412"/>
      <c r="I795" s="412"/>
      <c r="J795" s="412"/>
      <c r="K795" s="412"/>
      <c r="L795" s="412"/>
      <c r="M795" s="412"/>
      <c r="N795" s="412"/>
      <c r="O795" s="412"/>
      <c r="P795" s="412"/>
      <c r="Q795" s="412"/>
      <c r="R795" s="412"/>
      <c r="S795" s="412"/>
      <c r="T795" s="412"/>
      <c r="U795" s="412"/>
      <c r="V795" s="412"/>
      <c r="W795" s="412"/>
      <c r="X795" s="412"/>
      <c r="Y795" s="388"/>
      <c r="Z795" s="388"/>
      <c r="AA795" s="388"/>
      <c r="AB795" s="388"/>
      <c r="AC795" s="388"/>
      <c r="AD795" s="388"/>
      <c r="AE795" s="388"/>
      <c r="AF795" s="388"/>
      <c r="AG795" s="388"/>
      <c r="AH795" s="388"/>
      <c r="AI795" s="388"/>
      <c r="AJ795" s="388"/>
      <c r="AK795" s="388"/>
      <c r="AL795" s="388"/>
      <c r="AM795" s="388"/>
      <c r="AN795" s="388"/>
      <c r="AO795" s="388"/>
      <c r="AP795" s="172">
        <v>1.3222932501132532</v>
      </c>
      <c r="AQ795" s="172">
        <v>1.3808533186795935</v>
      </c>
      <c r="AR795" s="172">
        <v>1.4968506854390513</v>
      </c>
      <c r="AS795" s="172">
        <v>1.489304486004156</v>
      </c>
      <c r="AT795" s="172">
        <v>1.4233043676674715</v>
      </c>
      <c r="AU795" s="172">
        <v>1.4958522250209907</v>
      </c>
      <c r="AV795" s="172">
        <v>1.4019505851755527</v>
      </c>
      <c r="AW795" s="161">
        <v>1.3017744287797763</v>
      </c>
      <c r="AX795" s="160">
        <v>1.2383872143898882</v>
      </c>
      <c r="AY795" s="160">
        <v>1.175</v>
      </c>
      <c r="AZ795" s="160">
        <v>1.141370928536704</v>
      </c>
      <c r="BA795" s="160">
        <v>1.1077418570734079</v>
      </c>
      <c r="BB795" s="160">
        <v>1.0741127856101118</v>
      </c>
      <c r="BC795" s="160">
        <v>1.1000000000000001</v>
      </c>
      <c r="BD795" s="160">
        <v>1.1000000000000001</v>
      </c>
      <c r="BE795" s="160">
        <v>1.1000000000000001</v>
      </c>
      <c r="BF795" s="160">
        <v>1.1000000000000001</v>
      </c>
      <c r="BG795" s="160">
        <v>1.1000000000000001</v>
      </c>
      <c r="BH795" s="160">
        <v>1.1000000000000001</v>
      </c>
      <c r="BI795" s="160">
        <v>1.1000000000000001</v>
      </c>
      <c r="BJ795" s="160">
        <v>1.1000000000000001</v>
      </c>
      <c r="BK795" s="160">
        <v>1.1000000000000001</v>
      </c>
      <c r="BL795" s="160">
        <v>1.1000000000000001</v>
      </c>
      <c r="BM795" s="160">
        <v>1.1000000000000001</v>
      </c>
      <c r="BN795" s="160">
        <v>1.1000000000000001</v>
      </c>
      <c r="BO795" s="160">
        <v>1.1000000000000001</v>
      </c>
      <c r="BP795" s="160">
        <v>1.1000000000000001</v>
      </c>
      <c r="BQ795" s="160">
        <v>1.1000000000000001</v>
      </c>
      <c r="BR795" s="162"/>
      <c r="BS795" s="160"/>
      <c r="BT795" s="160"/>
      <c r="BU795" s="160"/>
      <c r="BV795" s="160"/>
      <c r="BW795" s="160"/>
      <c r="BX795" s="160"/>
      <c r="BY795" s="160"/>
      <c r="BZ795" s="160"/>
      <c r="CA795" s="160"/>
      <c r="CB795" s="160"/>
      <c r="CC795" s="160"/>
      <c r="CD795" s="160"/>
      <c r="CE795" s="160"/>
      <c r="CF795" s="160"/>
      <c r="CG795" s="160"/>
      <c r="CH795" s="160"/>
      <c r="CI795" s="160"/>
      <c r="CJ795" s="160"/>
      <c r="CK795" s="160"/>
      <c r="CL795" s="160"/>
      <c r="CM795" s="172"/>
      <c r="CN795" s="172"/>
      <c r="CO795" s="172"/>
      <c r="CP795" s="172"/>
      <c r="CQ795" s="172"/>
      <c r="CR795" s="172"/>
      <c r="CS795" s="172"/>
      <c r="CT795" s="172">
        <v>2.2822988505747124</v>
      </c>
      <c r="CU795" s="172">
        <v>1.2901918776599584</v>
      </c>
      <c r="CV795" s="172">
        <v>1.3808533186795935</v>
      </c>
      <c r="CW795" s="172">
        <v>1.489304486004156</v>
      </c>
      <c r="CX795" s="172">
        <v>1.4958522250209907</v>
      </c>
      <c r="CY795" s="161">
        <v>1.3017744287797763</v>
      </c>
      <c r="CZ795" s="160">
        <v>1.175</v>
      </c>
      <c r="DA795" s="160">
        <v>1.1077418570734079</v>
      </c>
      <c r="DB795" s="160">
        <v>1.1000000000000001</v>
      </c>
      <c r="DC795" s="160">
        <v>1.1000000000000001</v>
      </c>
      <c r="DD795" s="160">
        <v>1.1000000000000001</v>
      </c>
      <c r="DE795" s="160">
        <v>1.1000000000000001</v>
      </c>
      <c r="DF795" s="160">
        <v>1.1000000000000001</v>
      </c>
      <c r="DG795" s="160">
        <v>1.1000000000000001</v>
      </c>
      <c r="DH795" s="160">
        <v>1.1000000000000001</v>
      </c>
      <c r="DI795" s="160">
        <v>1.1000000000000001</v>
      </c>
    </row>
    <row r="796" spans="1:113" ht="12" hidden="1" outlineLevel="2">
      <c r="A796" s="1" t="s">
        <v>814</v>
      </c>
      <c r="B796" s="19" t="s">
        <v>801</v>
      </c>
      <c r="DB796" s="19"/>
      <c r="DC796" s="19"/>
      <c r="DD796" s="19"/>
      <c r="DE796" s="19"/>
      <c r="DF796" s="19"/>
      <c r="DG796" s="19"/>
      <c r="DH796" s="19"/>
      <c r="DI796" s="19"/>
    </row>
    <row r="797" spans="1:113" ht="12" hidden="1" outlineLevel="2">
      <c r="A797" s="1" t="s">
        <v>43</v>
      </c>
      <c r="B797" s="19" t="s">
        <v>801</v>
      </c>
      <c r="DB797" s="19"/>
      <c r="DC797" s="19"/>
      <c r="DD797" s="19"/>
      <c r="DE797" s="19"/>
      <c r="DF797" s="19"/>
      <c r="DG797" s="19"/>
      <c r="DH797" s="19"/>
      <c r="DI797" s="19"/>
    </row>
    <row r="798" spans="1:113" ht="12" hidden="1" outlineLevel="2">
      <c r="A798" s="1" t="s">
        <v>44</v>
      </c>
      <c r="B798" s="19" t="s">
        <v>801</v>
      </c>
      <c r="DB798" s="19"/>
      <c r="DC798" s="19"/>
      <c r="DD798" s="19"/>
      <c r="DE798" s="19"/>
      <c r="DF798" s="19"/>
      <c r="DG798" s="19"/>
      <c r="DH798" s="19"/>
      <c r="DI798" s="19"/>
    </row>
    <row r="799" spans="1:113" ht="12" hidden="1" outlineLevel="2">
      <c r="A799" s="1" t="s">
        <v>45</v>
      </c>
      <c r="B799" s="19" t="s">
        <v>801</v>
      </c>
      <c r="DB799" s="19"/>
      <c r="DC799" s="19"/>
      <c r="DD799" s="19"/>
      <c r="DE799" s="19"/>
      <c r="DF799" s="19"/>
      <c r="DG799" s="19"/>
      <c r="DH799" s="19"/>
      <c r="DI799" s="19"/>
    </row>
    <row r="800" spans="1:113" ht="12" hidden="1" outlineLevel="2">
      <c r="A800" s="1" t="s">
        <v>46</v>
      </c>
      <c r="B800" s="19" t="s">
        <v>801</v>
      </c>
      <c r="DB800" s="19"/>
      <c r="DC800" s="19"/>
      <c r="DD800" s="19"/>
      <c r="DE800" s="19"/>
      <c r="DF800" s="19"/>
      <c r="DG800" s="19"/>
      <c r="DH800" s="19"/>
      <c r="DI800" s="19"/>
    </row>
    <row r="801" spans="1:113" ht="12" hidden="1" outlineLevel="2">
      <c r="A801" s="1" t="s">
        <v>47</v>
      </c>
      <c r="B801" s="19" t="s">
        <v>801</v>
      </c>
      <c r="DB801" s="19"/>
      <c r="DC801" s="19"/>
      <c r="DD801" s="19"/>
      <c r="DE801" s="19"/>
      <c r="DF801" s="19"/>
      <c r="DG801" s="19"/>
      <c r="DH801" s="19"/>
      <c r="DI801" s="19"/>
    </row>
    <row r="802" spans="1:113" ht="12" hidden="1" outlineLevel="2">
      <c r="A802" s="1" t="s">
        <v>48</v>
      </c>
      <c r="B802" s="19" t="s">
        <v>801</v>
      </c>
      <c r="DC802" s="19"/>
      <c r="DD802" s="19"/>
      <c r="DE802" s="19"/>
      <c r="DF802" s="19"/>
      <c r="DG802" s="19"/>
      <c r="DH802" s="19"/>
      <c r="DI802" s="19"/>
    </row>
    <row r="803" spans="1:113" ht="12" hidden="1" outlineLevel="2">
      <c r="A803" s="1" t="s">
        <v>139</v>
      </c>
      <c r="B803" s="19" t="s">
        <v>801</v>
      </c>
      <c r="DC803" s="19"/>
      <c r="DD803" s="19"/>
      <c r="DE803" s="19"/>
      <c r="DF803" s="19"/>
      <c r="DG803" s="19"/>
      <c r="DH803" s="19"/>
      <c r="DI803" s="19"/>
    </row>
    <row r="804" spans="1:113" ht="12" hidden="1" outlineLevel="2">
      <c r="A804" s="1" t="s">
        <v>140</v>
      </c>
      <c r="B804" s="19" t="s">
        <v>801</v>
      </c>
      <c r="DC804" s="19"/>
      <c r="DD804" s="19"/>
      <c r="DE804" s="19"/>
      <c r="DF804" s="19"/>
      <c r="DG804" s="19"/>
      <c r="DH804" s="19"/>
      <c r="DI804" s="19"/>
    </row>
    <row r="805" spans="1:113" ht="12" hidden="1" outlineLevel="2">
      <c r="A805" s="1" t="s">
        <v>141</v>
      </c>
      <c r="B805" s="19" t="s">
        <v>801</v>
      </c>
      <c r="DC805" s="19"/>
      <c r="DD805" s="19"/>
      <c r="DE805" s="19"/>
      <c r="DF805" s="19"/>
      <c r="DG805" s="19"/>
      <c r="DH805" s="19"/>
      <c r="DI805" s="19"/>
    </row>
    <row r="806" spans="1:113" ht="12" outlineLevel="1" collapsed="1">
      <c r="CQ806" s="157"/>
      <c r="CR806" s="157"/>
      <c r="CS806" s="157"/>
      <c r="CT806" s="157"/>
      <c r="DC806" s="19"/>
      <c r="DD806" s="19"/>
      <c r="DE806" s="19"/>
      <c r="DF806" s="19"/>
      <c r="DG806" s="19"/>
      <c r="DH806" s="19"/>
      <c r="DI806" s="19"/>
    </row>
    <row r="807" spans="1:113" s="24" customFormat="1" ht="12" outlineLevel="1">
      <c r="A807" s="1"/>
      <c r="B807" s="24" t="s">
        <v>570</v>
      </c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613"/>
      <c r="AK807" s="498"/>
      <c r="AL807" s="498"/>
      <c r="AM807" s="498"/>
      <c r="AN807" s="498"/>
      <c r="AO807" s="498"/>
      <c r="AP807" s="498"/>
      <c r="AQ807" s="498"/>
      <c r="AR807" s="498"/>
      <c r="AS807" s="498"/>
      <c r="AT807" s="498"/>
      <c r="AU807" s="498"/>
      <c r="AV807" s="498"/>
      <c r="AW807" s="496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13"/>
      <c r="CI807" s="13"/>
      <c r="CJ807" s="13"/>
      <c r="CK807" s="13"/>
      <c r="CL807" s="13"/>
      <c r="CM807" s="13"/>
      <c r="CN807" s="13"/>
      <c r="CO807" s="13"/>
      <c r="CP807" s="13"/>
      <c r="CQ807" s="13"/>
      <c r="CR807" s="13"/>
      <c r="CS807" s="13"/>
      <c r="CT807" s="13"/>
      <c r="CU807" s="498"/>
      <c r="CV807" s="498"/>
      <c r="CW807" s="498"/>
      <c r="CX807" s="498"/>
      <c r="CY807" s="496"/>
      <c r="CZ807" s="13"/>
      <c r="DA807" s="13"/>
      <c r="DB807" s="13"/>
    </row>
    <row r="808" spans="1:113" ht="12" outlineLevel="1">
      <c r="A808" s="1" t="s">
        <v>815</v>
      </c>
      <c r="B808" s="19" t="s">
        <v>421</v>
      </c>
      <c r="C808" s="601"/>
      <c r="D808" s="601"/>
      <c r="E808" s="601"/>
      <c r="F808" s="601"/>
      <c r="G808" s="601"/>
      <c r="H808" s="601"/>
      <c r="I808" s="601"/>
      <c r="J808" s="601"/>
      <c r="K808" s="601"/>
      <c r="L808" s="601"/>
      <c r="M808" s="601"/>
      <c r="N808" s="601"/>
      <c r="O808" s="601"/>
      <c r="P808" s="601"/>
      <c r="Q808" s="601"/>
      <c r="R808" s="601"/>
      <c r="S808" s="601"/>
      <c r="T808" s="416"/>
      <c r="U808" s="601"/>
      <c r="V808" s="601"/>
      <c r="W808" s="601"/>
      <c r="X808" s="601"/>
      <c r="Y808" s="416"/>
      <c r="Z808" s="416"/>
      <c r="AA808" s="416"/>
      <c r="AB808" s="416"/>
      <c r="AC808" s="416"/>
      <c r="AD808" s="416"/>
      <c r="AE808" s="416"/>
      <c r="AF808" s="416"/>
      <c r="AG808" s="416"/>
      <c r="AH808" s="416"/>
      <c r="AI808" s="416"/>
      <c r="AJ808" s="416"/>
      <c r="AK808" s="416"/>
      <c r="AL808" s="416"/>
      <c r="AM808" s="416"/>
      <c r="AN808" s="416"/>
      <c r="AO808" s="416"/>
      <c r="AP808" s="167">
        <v>0</v>
      </c>
      <c r="AQ808" s="167">
        <v>0</v>
      </c>
      <c r="AR808" s="167">
        <v>0</v>
      </c>
      <c r="AS808" s="167">
        <v>2.2087143336980437E-3</v>
      </c>
      <c r="AT808" s="167">
        <v>0</v>
      </c>
      <c r="AU808" s="167">
        <v>1.4273119989962222E-3</v>
      </c>
      <c r="AV808" s="167">
        <v>1.4058613835114461E-3</v>
      </c>
      <c r="AW808" s="174">
        <v>5.616227721980482E-3</v>
      </c>
      <c r="AX808" s="166">
        <v>4.4999999999999988E-3</v>
      </c>
      <c r="AY808" s="166">
        <v>1.9499999999999997E-3</v>
      </c>
      <c r="AZ808" s="166">
        <v>2.5000000000000001E-3</v>
      </c>
      <c r="BA808" s="166">
        <v>2.5000000000000001E-3</v>
      </c>
      <c r="BB808" s="166">
        <v>3.5999999999999999E-3</v>
      </c>
      <c r="BC808" s="166">
        <v>3.5000000000000001E-3</v>
      </c>
      <c r="BD808" s="166">
        <v>4.0999999999999995E-3</v>
      </c>
      <c r="BE808" s="166">
        <v>4.1000000000000003E-3</v>
      </c>
      <c r="BF808" s="166">
        <v>4.5999999999999999E-3</v>
      </c>
      <c r="BG808" s="166">
        <v>4.6000000000000008E-3</v>
      </c>
      <c r="BH808" s="166">
        <v>4.899999999999999E-3</v>
      </c>
      <c r="BI808" s="166">
        <v>4.8999999999999998E-3</v>
      </c>
      <c r="BJ808" s="166">
        <v>4.899999999999999E-3</v>
      </c>
      <c r="BK808" s="166">
        <v>4.8999999999999998E-3</v>
      </c>
      <c r="BL808" s="166">
        <v>4.8999999999999998E-3</v>
      </c>
      <c r="BM808" s="166">
        <v>4.8999999999999998E-3</v>
      </c>
      <c r="BN808" s="166">
        <v>4.899999999999999E-3</v>
      </c>
      <c r="BO808" s="166">
        <v>4.8999999999999998E-3</v>
      </c>
      <c r="BP808" s="166">
        <v>4.899999999999999E-3</v>
      </c>
      <c r="BQ808" s="166">
        <v>4.9000000000000007E-3</v>
      </c>
      <c r="BR808" s="166"/>
      <c r="BS808" s="166"/>
      <c r="BT808" s="166"/>
      <c r="BU808" s="166"/>
      <c r="BV808" s="166"/>
      <c r="BW808" s="166"/>
      <c r="BX808" s="166"/>
      <c r="BY808" s="166"/>
      <c r="BZ808" s="166"/>
      <c r="CA808" s="166"/>
      <c r="CB808" s="166"/>
      <c r="CC808" s="166"/>
      <c r="CD808" s="166"/>
      <c r="CE808" s="166"/>
      <c r="CF808" s="166"/>
      <c r="CG808" s="166"/>
      <c r="CH808" s="166"/>
      <c r="CI808" s="166"/>
      <c r="CJ808" s="166"/>
      <c r="CK808" s="166"/>
      <c r="CL808" s="166"/>
      <c r="CM808" s="167"/>
      <c r="CN808" s="167"/>
      <c r="CO808" s="167"/>
      <c r="CP808" s="167"/>
      <c r="CQ808" s="167"/>
      <c r="CR808" s="167"/>
      <c r="CS808" s="167"/>
      <c r="CT808" s="167">
        <v>0</v>
      </c>
      <c r="CU808" s="167">
        <v>0</v>
      </c>
      <c r="CV808" s="167">
        <v>0</v>
      </c>
      <c r="CW808" s="167">
        <v>1.2369382653590428E-3</v>
      </c>
      <c r="CX808" s="167">
        <v>7.6879963270786171E-4</v>
      </c>
      <c r="CY808" s="174">
        <v>3.5704595853006124E-3</v>
      </c>
      <c r="CZ808" s="166">
        <v>3.176413685578547E-3</v>
      </c>
      <c r="DA808" s="166">
        <v>2.5000000000000001E-3</v>
      </c>
      <c r="DB808" s="166">
        <v>3.5492599098777633E-3</v>
      </c>
      <c r="DC808" s="166">
        <v>4.1000000000000012E-3</v>
      </c>
      <c r="DD808" s="166">
        <v>4.5999999999999999E-3</v>
      </c>
      <c r="DE808" s="166">
        <v>4.8999999999999998E-3</v>
      </c>
      <c r="DF808" s="166">
        <v>4.8999999999999998E-3</v>
      </c>
      <c r="DG808" s="166">
        <v>4.8999999999999998E-3</v>
      </c>
      <c r="DH808" s="166">
        <v>4.8999999999999998E-3</v>
      </c>
      <c r="DI808" s="166">
        <v>4.8999999999999998E-3</v>
      </c>
    </row>
    <row r="809" spans="1:113" ht="12" outlineLevel="1">
      <c r="A809" s="1" t="s">
        <v>816</v>
      </c>
      <c r="B809" s="19" t="s">
        <v>859</v>
      </c>
      <c r="C809" s="601"/>
      <c r="D809" s="601"/>
      <c r="E809" s="601"/>
      <c r="F809" s="601"/>
      <c r="G809" s="601"/>
      <c r="H809" s="601"/>
      <c r="I809" s="601"/>
      <c r="J809" s="601"/>
      <c r="K809" s="601"/>
      <c r="L809" s="601"/>
      <c r="M809" s="601"/>
      <c r="N809" s="601"/>
      <c r="O809" s="601"/>
      <c r="P809" s="601"/>
      <c r="Q809" s="601"/>
      <c r="R809" s="601"/>
      <c r="S809" s="601"/>
      <c r="T809" s="416"/>
      <c r="U809" s="601"/>
      <c r="V809" s="601"/>
      <c r="W809" s="601"/>
      <c r="X809" s="601"/>
      <c r="Y809" s="416"/>
      <c r="Z809" s="416"/>
      <c r="AA809" s="416"/>
      <c r="AB809" s="416"/>
      <c r="AC809" s="416"/>
      <c r="AD809" s="416"/>
      <c r="AE809" s="416"/>
      <c r="AF809" s="416"/>
      <c r="AG809" s="416"/>
      <c r="AH809" s="416"/>
      <c r="AI809" s="416"/>
      <c r="AJ809" s="416"/>
      <c r="AK809" s="416"/>
      <c r="AL809" s="416"/>
      <c r="AM809" s="416"/>
      <c r="AN809" s="416"/>
      <c r="AO809" s="416"/>
      <c r="AP809" s="167">
        <v>0</v>
      </c>
      <c r="AQ809" s="167">
        <v>0</v>
      </c>
      <c r="AR809" s="167">
        <v>0</v>
      </c>
      <c r="AS809" s="167">
        <v>1.9840069247943942E-3</v>
      </c>
      <c r="AT809" s="167">
        <v>0</v>
      </c>
      <c r="AU809" s="167">
        <v>1.2775814145019047E-3</v>
      </c>
      <c r="AV809" s="167">
        <v>1.2551732155312717E-3</v>
      </c>
      <c r="AW809" s="174">
        <v>5.0144349964816749E-3</v>
      </c>
      <c r="AX809" s="166">
        <v>4.0200123677647248E-3</v>
      </c>
      <c r="AY809" s="166">
        <v>1.7418365737372334E-3</v>
      </c>
      <c r="AZ809" s="166">
        <v>2.2322097845782858E-3</v>
      </c>
      <c r="BA809" s="166">
        <v>2.2319275720472757E-3</v>
      </c>
      <c r="BB809" s="166">
        <v>3.2152742900739273E-3</v>
      </c>
      <c r="BC809" s="166">
        <v>3.1272505397394877E-3</v>
      </c>
      <c r="BD809" s="166">
        <v>3.6648565125607393E-3</v>
      </c>
      <c r="BE809" s="166">
        <v>3.6663578142532008E-3</v>
      </c>
      <c r="BF809" s="166">
        <v>4.1151602130017721E-3</v>
      </c>
      <c r="BG809" s="166">
        <v>4.1168586800667453E-3</v>
      </c>
      <c r="BH809" s="166">
        <v>4.3871576270737558E-3</v>
      </c>
      <c r="BI809" s="166">
        <v>4.3889732673601193E-3</v>
      </c>
      <c r="BJ809" s="166">
        <v>4.3907832257454845E-3</v>
      </c>
      <c r="BK809" s="166">
        <v>4.3925875147319427E-3</v>
      </c>
      <c r="BL809" s="166">
        <v>4.3943861468320328E-3</v>
      </c>
      <c r="BM809" s="166">
        <v>4.3961791345684068E-3</v>
      </c>
      <c r="BN809" s="166">
        <v>4.397966490473494E-3</v>
      </c>
      <c r="BO809" s="166">
        <v>4.3997482270891758E-3</v>
      </c>
      <c r="BP809" s="166">
        <v>4.4015243569664577E-3</v>
      </c>
      <c r="BQ809" s="166">
        <v>4.40329489266514E-3</v>
      </c>
      <c r="BR809" s="166"/>
      <c r="BS809" s="166"/>
      <c r="BT809" s="166"/>
      <c r="BU809" s="166"/>
      <c r="BV809" s="166"/>
      <c r="BW809" s="166"/>
      <c r="BX809" s="166"/>
      <c r="BY809" s="166"/>
      <c r="BZ809" s="166"/>
      <c r="CA809" s="166"/>
      <c r="CB809" s="166"/>
      <c r="CC809" s="166"/>
      <c r="CD809" s="166"/>
      <c r="CE809" s="166"/>
      <c r="CF809" s="166"/>
      <c r="CG809" s="166"/>
      <c r="CH809" s="166"/>
      <c r="CI809" s="166"/>
      <c r="CJ809" s="166"/>
      <c r="CK809" s="166"/>
      <c r="CL809" s="166"/>
      <c r="CM809" s="167"/>
      <c r="CN809" s="167"/>
      <c r="CO809" s="167"/>
      <c r="CP809" s="167"/>
      <c r="CQ809" s="167"/>
      <c r="CR809" s="167"/>
      <c r="CS809" s="167"/>
      <c r="CT809" s="167">
        <v>0</v>
      </c>
      <c r="CU809" s="167">
        <v>0</v>
      </c>
      <c r="CV809" s="167">
        <v>0</v>
      </c>
      <c r="CW809" s="167">
        <v>1.1104127383197151E-3</v>
      </c>
      <c r="CX809" s="167">
        <v>6.8825910931174085E-4</v>
      </c>
      <c r="CY809" s="174">
        <v>3.1898420563641994E-3</v>
      </c>
      <c r="CZ809" s="166">
        <v>2.8374622406122348E-3</v>
      </c>
      <c r="DA809" s="166">
        <v>2.2320642623733051E-3</v>
      </c>
      <c r="DB809" s="166">
        <v>3.1706200331987578E-3</v>
      </c>
      <c r="DC809" s="166">
        <v>3.6656201880907496E-3</v>
      </c>
      <c r="DD809" s="166">
        <v>4.1160157156886002E-3</v>
      </c>
      <c r="DE809" s="166">
        <v>4.3880677291932273E-3</v>
      </c>
      <c r="DF809" s="166">
        <v>4.3916876392679216E-3</v>
      </c>
      <c r="DG809" s="166">
        <v>4.3952873664678269E-3</v>
      </c>
      <c r="DH809" s="166">
        <v>4.3988596020312779E-3</v>
      </c>
      <c r="DI809" s="166">
        <v>4.4024118552343505E-3</v>
      </c>
    </row>
    <row r="810" spans="1:113" ht="12" outlineLevel="1">
      <c r="A810" s="1" t="s">
        <v>817</v>
      </c>
      <c r="B810" s="19" t="s">
        <v>350</v>
      </c>
      <c r="C810" s="601"/>
      <c r="D810" s="601"/>
      <c r="E810" s="601"/>
      <c r="F810" s="601"/>
      <c r="G810" s="601"/>
      <c r="H810" s="601"/>
      <c r="I810" s="601"/>
      <c r="J810" s="601"/>
      <c r="K810" s="601"/>
      <c r="L810" s="601"/>
      <c r="M810" s="601"/>
      <c r="N810" s="601"/>
      <c r="O810" s="601"/>
      <c r="P810" s="601"/>
      <c r="Q810" s="601"/>
      <c r="R810" s="601"/>
      <c r="S810" s="601"/>
      <c r="T810" s="416"/>
      <c r="U810" s="601"/>
      <c r="V810" s="601"/>
      <c r="W810" s="601"/>
      <c r="X810" s="601"/>
      <c r="Y810" s="416"/>
      <c r="Z810" s="416"/>
      <c r="AA810" s="416"/>
      <c r="AB810" s="416"/>
      <c r="AC810" s="416"/>
      <c r="AD810" s="416"/>
      <c r="AE810" s="416"/>
      <c r="AF810" s="416"/>
      <c r="AG810" s="416"/>
      <c r="AH810" s="416"/>
      <c r="AI810" s="416"/>
      <c r="AJ810" s="416"/>
      <c r="AK810" s="416"/>
      <c r="AL810" s="416"/>
      <c r="AM810" s="416"/>
      <c r="AN810" s="416"/>
      <c r="AO810" s="416"/>
      <c r="AP810" s="167">
        <v>8.4454949788776296E-3</v>
      </c>
      <c r="AQ810" s="167">
        <v>1.1336900122582423E-3</v>
      </c>
      <c r="AR810" s="167">
        <v>5.0858207441235549E-3</v>
      </c>
      <c r="AS810" s="167">
        <v>6.5844691457413382E-3</v>
      </c>
      <c r="AT810" s="167">
        <v>7.2689894870297022E-3</v>
      </c>
      <c r="AU810" s="167">
        <v>9.0396426603094084E-3</v>
      </c>
      <c r="AV810" s="167">
        <v>6.3859466234079251E-3</v>
      </c>
      <c r="AW810" s="174">
        <v>9.7273064144701941E-3</v>
      </c>
      <c r="AX810" s="166">
        <v>7.9953513827986013E-3</v>
      </c>
      <c r="AY810" s="166">
        <v>5.5556267713159496E-3</v>
      </c>
      <c r="AZ810" s="166">
        <v>5.6616575175515525E-3</v>
      </c>
      <c r="BA810" s="166">
        <v>5.7320261568661653E-3</v>
      </c>
      <c r="BB810" s="166">
        <v>5.7064040267822587E-3</v>
      </c>
      <c r="BC810" s="166">
        <v>5.6667660226873348E-3</v>
      </c>
      <c r="BD810" s="166">
        <v>5.6953042912190784E-3</v>
      </c>
      <c r="BE810" s="166">
        <v>5.7124178381431053E-3</v>
      </c>
      <c r="BF810" s="166">
        <v>5.6887582549360613E-3</v>
      </c>
      <c r="BG810" s="166">
        <v>5.7065273729207224E-3</v>
      </c>
      <c r="BH810" s="166">
        <v>5.6500307090572351E-3</v>
      </c>
      <c r="BI810" s="166">
        <v>5.6622828389932701E-3</v>
      </c>
      <c r="BJ810" s="166">
        <v>5.6496786170429072E-3</v>
      </c>
      <c r="BK810" s="166">
        <v>5.6619263259326553E-3</v>
      </c>
      <c r="BL810" s="166">
        <v>5.6513822598554184E-3</v>
      </c>
      <c r="BM810" s="166">
        <v>5.6594631966653706E-3</v>
      </c>
      <c r="BN810" s="166">
        <v>5.6489827445966173E-3</v>
      </c>
      <c r="BO810" s="166">
        <v>5.6612217157583017E-3</v>
      </c>
      <c r="BP810" s="166">
        <v>5.6486389205060977E-3</v>
      </c>
      <c r="BQ810" s="166">
        <v>5.6608735744377815E-3</v>
      </c>
      <c r="BR810" s="166"/>
      <c r="BS810" s="166"/>
      <c r="BT810" s="166"/>
      <c r="BU810" s="166"/>
      <c r="BV810" s="166"/>
      <c r="BW810" s="166"/>
      <c r="BX810" s="166"/>
      <c r="BY810" s="166"/>
      <c r="BZ810" s="166"/>
      <c r="CA810" s="166"/>
      <c r="CB810" s="166"/>
      <c r="CC810" s="166"/>
      <c r="CD810" s="166"/>
      <c r="CE810" s="166"/>
      <c r="CF810" s="166"/>
      <c r="CG810" s="166"/>
      <c r="CH810" s="166"/>
      <c r="CI810" s="166"/>
      <c r="CJ810" s="166"/>
      <c r="CK810" s="166"/>
      <c r="CL810" s="166"/>
      <c r="CM810" s="167"/>
      <c r="CN810" s="167"/>
      <c r="CO810" s="167"/>
      <c r="CP810" s="167"/>
      <c r="CQ810" s="167"/>
      <c r="CR810" s="167"/>
      <c r="CS810" s="167"/>
      <c r="CT810" s="167">
        <v>2.1972568873765613E-2</v>
      </c>
      <c r="CU810" s="167">
        <v>2.563861857390087E-2</v>
      </c>
      <c r="CV810" s="167">
        <v>4.2565548877702159E-3</v>
      </c>
      <c r="CW810" s="167">
        <v>5.9279682905886196E-3</v>
      </c>
      <c r="CX810" s="167">
        <v>8.2306784207547556E-3</v>
      </c>
      <c r="CY810" s="174">
        <v>8.0999746579149823E-3</v>
      </c>
      <c r="CZ810" s="166">
        <v>6.7290038899689413E-3</v>
      </c>
      <c r="DA810" s="166">
        <v>5.6979407131064301E-3</v>
      </c>
      <c r="DB810" s="166">
        <v>5.6862916677818381E-3</v>
      </c>
      <c r="DC810" s="166">
        <v>5.7040112866046291E-3</v>
      </c>
      <c r="DD810" s="166">
        <v>5.6977102339182181E-3</v>
      </c>
      <c r="DE810" s="166">
        <v>5.6561734404147702E-3</v>
      </c>
      <c r="DF810" s="166">
        <v>5.6558191318634154E-3</v>
      </c>
      <c r="DG810" s="166">
        <v>5.6554448512392995E-3</v>
      </c>
      <c r="DH810" s="166">
        <v>5.6551188786672923E-3</v>
      </c>
      <c r="DI810" s="166">
        <v>5.6547728900891089E-3</v>
      </c>
    </row>
    <row r="811" spans="1:113" ht="12" outlineLevel="1">
      <c r="A811" s="1" t="s">
        <v>818</v>
      </c>
      <c r="B811" s="19" t="s">
        <v>349</v>
      </c>
      <c r="C811" s="601"/>
      <c r="D811" s="601"/>
      <c r="E811" s="601"/>
      <c r="F811" s="601"/>
      <c r="G811" s="601"/>
      <c r="H811" s="601"/>
      <c r="I811" s="601"/>
      <c r="J811" s="601"/>
      <c r="K811" s="601"/>
      <c r="L811" s="601"/>
      <c r="M811" s="601"/>
      <c r="N811" s="601"/>
      <c r="O811" s="601"/>
      <c r="P811" s="601"/>
      <c r="Q811" s="601"/>
      <c r="R811" s="601"/>
      <c r="S811" s="601"/>
      <c r="T811" s="416"/>
      <c r="U811" s="601"/>
      <c r="V811" s="601"/>
      <c r="W811" s="601"/>
      <c r="X811" s="601"/>
      <c r="Y811" s="416"/>
      <c r="Z811" s="416"/>
      <c r="AA811" s="416"/>
      <c r="AB811" s="416"/>
      <c r="AC811" s="416"/>
      <c r="AD811" s="416"/>
      <c r="AE811" s="416"/>
      <c r="AF811" s="416"/>
      <c r="AG811" s="416"/>
      <c r="AH811" s="416"/>
      <c r="AI811" s="416"/>
      <c r="AJ811" s="416"/>
      <c r="AK811" s="416"/>
      <c r="AL811" s="416"/>
      <c r="AM811" s="416"/>
      <c r="AN811" s="416"/>
      <c r="AO811" s="416"/>
      <c r="AP811" s="167">
        <v>7.6642786561264831E-3</v>
      </c>
      <c r="AQ811" s="167">
        <v>1.0222581542592224E-3</v>
      </c>
      <c r="AR811" s="167">
        <v>4.5678767716165903E-3</v>
      </c>
      <c r="AS811" s="167">
        <v>5.9145866814625352E-3</v>
      </c>
      <c r="AT811" s="167">
        <v>6.523582516366061E-3</v>
      </c>
      <c r="AU811" s="167">
        <v>8.0913489585120631E-3</v>
      </c>
      <c r="AV811" s="167">
        <v>5.7014647756335737E-3</v>
      </c>
      <c r="AW811" s="174">
        <v>8.6850014139062612E-3</v>
      </c>
      <c r="AX811" s="166">
        <v>7.1425358763278178E-3</v>
      </c>
      <c r="AY811" s="166">
        <v>4.9625609745188844E-3</v>
      </c>
      <c r="AZ811" s="166">
        <v>5.055202923043913E-3</v>
      </c>
      <c r="BA811" s="166">
        <v>5.1173868892823108E-3</v>
      </c>
      <c r="BB811" s="166">
        <v>5.0965705989131473E-3</v>
      </c>
      <c r="BC811" s="166">
        <v>5.0632563151503862E-3</v>
      </c>
      <c r="BD811" s="166">
        <v>5.0908470787047232E-3</v>
      </c>
      <c r="BE811" s="166">
        <v>5.1082360436964271E-3</v>
      </c>
      <c r="BF811" s="166">
        <v>5.0891633982822334E-3</v>
      </c>
      <c r="BG811" s="166">
        <v>5.1071666844015543E-3</v>
      </c>
      <c r="BH811" s="166">
        <v>5.0586888404982435E-3</v>
      </c>
      <c r="BI811" s="166">
        <v>5.0717567372598835E-3</v>
      </c>
      <c r="BJ811" s="166">
        <v>5.0625538984826416E-3</v>
      </c>
      <c r="BK811" s="166">
        <v>5.0756136507395669E-3</v>
      </c>
      <c r="BL811" s="166">
        <v>5.068235900645094E-3</v>
      </c>
      <c r="BM811" s="166">
        <v>5.077553881232268E-3</v>
      </c>
      <c r="BN811" s="166">
        <v>5.0702115951018183E-3</v>
      </c>
      <c r="BO811" s="166">
        <v>5.0832551442992514E-3</v>
      </c>
      <c r="BP811" s="166">
        <v>5.0740044474114924E-3</v>
      </c>
      <c r="BQ811" s="166">
        <v>5.0870399384377431E-3</v>
      </c>
      <c r="BR811" s="166"/>
      <c r="BS811" s="166"/>
      <c r="BT811" s="166"/>
      <c r="BU811" s="166"/>
      <c r="BV811" s="166"/>
      <c r="BW811" s="166"/>
      <c r="BX811" s="166"/>
      <c r="BY811" s="166"/>
      <c r="BZ811" s="166"/>
      <c r="CA811" s="166"/>
      <c r="CB811" s="166"/>
      <c r="CC811" s="166"/>
      <c r="CD811" s="166"/>
      <c r="CE811" s="166"/>
      <c r="CF811" s="166"/>
      <c r="CG811" s="166"/>
      <c r="CH811" s="166"/>
      <c r="CI811" s="166"/>
      <c r="CJ811" s="166"/>
      <c r="CK811" s="166"/>
      <c r="CL811" s="166"/>
      <c r="CM811" s="167"/>
      <c r="CN811" s="167"/>
      <c r="CO811" s="167"/>
      <c r="CP811" s="167"/>
      <c r="CQ811" s="167"/>
      <c r="CR811" s="167"/>
      <c r="CS811" s="167"/>
      <c r="CT811" s="167">
        <v>2.1533117496290301E-2</v>
      </c>
      <c r="CU811" s="167">
        <v>2.4227614955798917E-2</v>
      </c>
      <c r="CV811" s="167">
        <v>3.8813351637709964E-3</v>
      </c>
      <c r="CW811" s="167">
        <v>5.3216006704378798E-3</v>
      </c>
      <c r="CX811" s="167">
        <v>7.3684210526315779E-3</v>
      </c>
      <c r="CY811" s="174">
        <v>7.2365025291627949E-3</v>
      </c>
      <c r="CZ811" s="166">
        <v>6.0109596370921349E-3</v>
      </c>
      <c r="DA811" s="166">
        <v>5.0872679339386915E-3</v>
      </c>
      <c r="DB811" s="166">
        <v>5.079670335301309E-3</v>
      </c>
      <c r="DC811" s="166">
        <v>5.0996924207988813E-3</v>
      </c>
      <c r="DD811" s="166">
        <v>5.0982314926624264E-3</v>
      </c>
      <c r="DE811" s="166">
        <v>5.0652392131844666E-3</v>
      </c>
      <c r="DF811" s="166">
        <v>5.0691001982325692E-3</v>
      </c>
      <c r="DG811" s="166">
        <v>5.0729194502872679E-3</v>
      </c>
      <c r="DH811" s="166">
        <v>5.0767497918477499E-3</v>
      </c>
      <c r="DI811" s="166">
        <v>5.0805386142828797E-3</v>
      </c>
    </row>
    <row r="812" spans="1:113" ht="12" outlineLevel="1">
      <c r="A812" s="1" t="s">
        <v>819</v>
      </c>
      <c r="B812" s="19" t="s">
        <v>622</v>
      </c>
      <c r="C812" s="601"/>
      <c r="D812" s="601"/>
      <c r="E812" s="601"/>
      <c r="F812" s="601"/>
      <c r="G812" s="601"/>
      <c r="H812" s="601"/>
      <c r="I812" s="601"/>
      <c r="J812" s="601"/>
      <c r="K812" s="601"/>
      <c r="L812" s="601"/>
      <c r="M812" s="601"/>
      <c r="N812" s="601"/>
      <c r="O812" s="601"/>
      <c r="P812" s="601"/>
      <c r="Q812" s="601"/>
      <c r="R812" s="601"/>
      <c r="S812" s="601"/>
      <c r="T812" s="416"/>
      <c r="U812" s="601"/>
      <c r="V812" s="601"/>
      <c r="W812" s="601"/>
      <c r="X812" s="601"/>
      <c r="Y812" s="416"/>
      <c r="Z812" s="416"/>
      <c r="AA812" s="416"/>
      <c r="AB812" s="416"/>
      <c r="AC812" s="416"/>
      <c r="AD812" s="416"/>
      <c r="AE812" s="416"/>
      <c r="AF812" s="416"/>
      <c r="AG812" s="416"/>
      <c r="AH812" s="416"/>
      <c r="AI812" s="416"/>
      <c r="AJ812" s="416"/>
      <c r="AK812" s="416"/>
      <c r="AL812" s="416"/>
      <c r="AM812" s="416"/>
      <c r="AN812" s="416"/>
      <c r="AO812" s="416"/>
      <c r="AP812" s="167">
        <v>1.0067114093959731E-2</v>
      </c>
      <c r="AQ812" s="167">
        <v>2.9458346531517268E-3</v>
      </c>
      <c r="AR812" s="167">
        <v>2.3181087904521457E-3</v>
      </c>
      <c r="AS812" s="167">
        <v>1.7001828153564902E-3</v>
      </c>
      <c r="AT812" s="167">
        <v>2.2040208488458674E-3</v>
      </c>
      <c r="AU812" s="167">
        <v>6.546542018496181E-3</v>
      </c>
      <c r="AV812" s="167">
        <v>1.1053999422466071E-2</v>
      </c>
      <c r="AW812" s="174">
        <v>1.3585536628696833E-2</v>
      </c>
      <c r="AX812" s="166">
        <v>1.4571280523914027E-2</v>
      </c>
      <c r="AY812" s="166">
        <v>1.5557024419131222E-2</v>
      </c>
      <c r="AZ812" s="166">
        <v>1.6542768314348415E-2</v>
      </c>
      <c r="BA812" s="166">
        <v>1.7528512209565611E-2</v>
      </c>
      <c r="BB812" s="166">
        <v>1.8514256104782807E-2</v>
      </c>
      <c r="BC812" s="166">
        <v>1.95E-2</v>
      </c>
      <c r="BD812" s="166">
        <v>1.95E-2</v>
      </c>
      <c r="BE812" s="166">
        <v>1.95E-2</v>
      </c>
      <c r="BF812" s="166">
        <v>1.95E-2</v>
      </c>
      <c r="BG812" s="166">
        <v>1.95E-2</v>
      </c>
      <c r="BH812" s="166">
        <v>1.95E-2</v>
      </c>
      <c r="BI812" s="166">
        <v>1.95E-2</v>
      </c>
      <c r="BJ812" s="166">
        <v>1.95E-2</v>
      </c>
      <c r="BK812" s="166">
        <v>1.95E-2</v>
      </c>
      <c r="BL812" s="166">
        <v>1.95E-2</v>
      </c>
      <c r="BM812" s="166">
        <v>1.95E-2</v>
      </c>
      <c r="BN812" s="166">
        <v>1.95E-2</v>
      </c>
      <c r="BO812" s="166">
        <v>1.95E-2</v>
      </c>
      <c r="BP812" s="166">
        <v>1.95E-2</v>
      </c>
      <c r="BQ812" s="166">
        <v>1.95E-2</v>
      </c>
      <c r="BR812" s="166"/>
      <c r="BS812" s="166"/>
      <c r="BT812" s="166"/>
      <c r="BU812" s="166"/>
      <c r="BV812" s="166"/>
      <c r="BW812" s="166"/>
      <c r="BX812" s="166"/>
      <c r="BY812" s="166"/>
      <c r="BZ812" s="166"/>
      <c r="CA812" s="166"/>
      <c r="CB812" s="166"/>
      <c r="CC812" s="166"/>
      <c r="CD812" s="166"/>
      <c r="CE812" s="166"/>
      <c r="CF812" s="166"/>
      <c r="CG812" s="166"/>
      <c r="CH812" s="166"/>
      <c r="CI812" s="166"/>
      <c r="CJ812" s="166"/>
      <c r="CK812" s="166"/>
      <c r="CL812" s="166"/>
      <c r="CM812" s="167"/>
      <c r="CN812" s="167"/>
      <c r="CO812" s="167"/>
      <c r="CP812" s="167"/>
      <c r="CQ812" s="167"/>
      <c r="CR812" s="167"/>
      <c r="CS812" s="167"/>
      <c r="CT812" s="167">
        <v>0</v>
      </c>
      <c r="CU812" s="167">
        <v>0</v>
      </c>
      <c r="CV812" s="167">
        <v>2.9458346531517268E-3</v>
      </c>
      <c r="CW812" s="167">
        <v>1.7001828153564902E-3</v>
      </c>
      <c r="CX812" s="167">
        <v>6.546542018496181E-3</v>
      </c>
      <c r="CY812" s="174">
        <v>1.3585536628696833E-2</v>
      </c>
      <c r="CZ812" s="166">
        <v>1.5557024419131222E-2</v>
      </c>
      <c r="DA812" s="166">
        <v>1.7528512209565611E-2</v>
      </c>
      <c r="DB812" s="166">
        <v>1.95E-2</v>
      </c>
      <c r="DC812" s="166">
        <v>1.95E-2</v>
      </c>
      <c r="DD812" s="166">
        <v>1.95E-2</v>
      </c>
      <c r="DE812" s="166">
        <v>1.95E-2</v>
      </c>
      <c r="DF812" s="166">
        <v>1.95E-2</v>
      </c>
      <c r="DG812" s="166">
        <v>1.95E-2</v>
      </c>
      <c r="DH812" s="166">
        <v>1.95E-2</v>
      </c>
      <c r="DI812" s="166">
        <v>1.95E-2</v>
      </c>
    </row>
    <row r="813" spans="1:113" ht="12" outlineLevel="1">
      <c r="A813" s="1" t="s">
        <v>820</v>
      </c>
      <c r="B813" s="19" t="s">
        <v>345</v>
      </c>
      <c r="C813" s="601"/>
      <c r="D813" s="601"/>
      <c r="E813" s="601"/>
      <c r="F813" s="601"/>
      <c r="G813" s="601"/>
      <c r="H813" s="601"/>
      <c r="I813" s="601"/>
      <c r="J813" s="601"/>
      <c r="K813" s="601"/>
      <c r="L813" s="601"/>
      <c r="M813" s="601"/>
      <c r="N813" s="601"/>
      <c r="O813" s="601"/>
      <c r="P813" s="601"/>
      <c r="Q813" s="601"/>
      <c r="R813" s="601"/>
      <c r="S813" s="601"/>
      <c r="T813" s="416"/>
      <c r="U813" s="601"/>
      <c r="V813" s="601"/>
      <c r="W813" s="601"/>
      <c r="X813" s="601"/>
      <c r="Y813" s="416"/>
      <c r="Z813" s="416"/>
      <c r="AA813" s="416"/>
      <c r="AB813" s="416"/>
      <c r="AC813" s="416"/>
      <c r="AD813" s="416"/>
      <c r="AE813" s="416"/>
      <c r="AF813" s="416"/>
      <c r="AG813" s="416"/>
      <c r="AH813" s="416"/>
      <c r="AI813" s="416"/>
      <c r="AJ813" s="416"/>
      <c r="AK813" s="416"/>
      <c r="AL813" s="416"/>
      <c r="AM813" s="416"/>
      <c r="AN813" s="416"/>
      <c r="AO813" s="416"/>
      <c r="AP813" s="167">
        <v>9.5546250475827942E-3</v>
      </c>
      <c r="AQ813" s="167">
        <v>3.4394542353610009E-3</v>
      </c>
      <c r="AR813" s="167">
        <v>2.1245874587458745E-3</v>
      </c>
      <c r="AS813" s="167">
        <v>1.6414970453053185E-3</v>
      </c>
      <c r="AT813" s="167">
        <v>3.7139460008282902E-3</v>
      </c>
      <c r="AU813" s="167">
        <v>1.0900559060598577E-2</v>
      </c>
      <c r="AV813" s="167">
        <v>1.729379876119511E-2</v>
      </c>
      <c r="AW813" s="174">
        <v>2.3125758565960226E-2</v>
      </c>
      <c r="AX813" s="166">
        <v>2.4801360636696357E-2</v>
      </c>
      <c r="AY813" s="166">
        <v>2.6476563781180011E-2</v>
      </c>
      <c r="AZ813" s="166">
        <v>2.8134577969315181E-2</v>
      </c>
      <c r="BA813" s="166">
        <v>2.9823009755790223E-2</v>
      </c>
      <c r="BB813" s="166">
        <v>3.151317078500665E-2</v>
      </c>
      <c r="BC813" s="166">
        <v>3.3204676240866642E-2</v>
      </c>
      <c r="BD813" s="166">
        <v>3.3218302522372074E-2</v>
      </c>
      <c r="BE813" s="166">
        <v>3.3231887354593176E-2</v>
      </c>
      <c r="BF813" s="166">
        <v>3.3245627736406158E-2</v>
      </c>
      <c r="BG813" s="166">
        <v>3.3259325635151743E-2</v>
      </c>
      <c r="BH813" s="166">
        <v>3.327311479779755E-2</v>
      </c>
      <c r="BI813" s="166">
        <v>3.3286860828719129E-2</v>
      </c>
      <c r="BJ813" s="166">
        <v>3.3300563822674566E-2</v>
      </c>
      <c r="BK813" s="166">
        <v>3.3314223874502412E-2</v>
      </c>
      <c r="BL813" s="166">
        <v>3.3327841079119173E-2</v>
      </c>
      <c r="BM813" s="166">
        <v>3.3341415531516795E-2</v>
      </c>
      <c r="BN813" s="166">
        <v>3.3354947326760143E-2</v>
      </c>
      <c r="BO813" s="166">
        <v>3.3368436559984498E-2</v>
      </c>
      <c r="BP813" s="166">
        <v>3.3381883326393101E-2</v>
      </c>
      <c r="BQ813" s="166">
        <v>3.339528772125467E-2</v>
      </c>
      <c r="BR813" s="166"/>
      <c r="BS813" s="166"/>
      <c r="BT813" s="166"/>
      <c r="BU813" s="166"/>
      <c r="BV813" s="166"/>
      <c r="BW813" s="166"/>
      <c r="BX813" s="166"/>
      <c r="BY813" s="166"/>
      <c r="BZ813" s="166"/>
      <c r="CA813" s="166"/>
      <c r="CB813" s="166"/>
      <c r="CC813" s="166"/>
      <c r="CD813" s="166"/>
      <c r="CE813" s="166"/>
      <c r="CF813" s="166"/>
      <c r="CG813" s="166"/>
      <c r="CH813" s="166"/>
      <c r="CI813" s="166"/>
      <c r="CJ813" s="166"/>
      <c r="CK813" s="166"/>
      <c r="CL813" s="166"/>
      <c r="CM813" s="167"/>
      <c r="CN813" s="167"/>
      <c r="CO813" s="167"/>
      <c r="CP813" s="167"/>
      <c r="CQ813" s="167"/>
      <c r="CR813" s="167"/>
      <c r="CS813" s="167"/>
      <c r="CT813" s="167">
        <v>0</v>
      </c>
      <c r="CU813" s="167">
        <v>0</v>
      </c>
      <c r="CV813" s="167">
        <v>3.4394542353610009E-3</v>
      </c>
      <c r="CW813" s="167">
        <v>1.6414970453053185E-3</v>
      </c>
      <c r="CX813" s="167">
        <v>1.0900559060598577E-2</v>
      </c>
      <c r="CY813" s="174">
        <v>2.3125758565960226E-2</v>
      </c>
      <c r="CZ813" s="166">
        <v>2.6476563781180011E-2</v>
      </c>
      <c r="DA813" s="166">
        <v>2.9823009755790223E-2</v>
      </c>
      <c r="DB813" s="166">
        <v>3.3204676240866642E-2</v>
      </c>
      <c r="DC813" s="166">
        <v>3.3231887354593176E-2</v>
      </c>
      <c r="DD813" s="166">
        <v>3.3259325635151743E-2</v>
      </c>
      <c r="DE813" s="166">
        <v>3.3286860828719129E-2</v>
      </c>
      <c r="DF813" s="166">
        <v>3.3314223874502412E-2</v>
      </c>
      <c r="DG813" s="166">
        <v>3.3341415531516795E-2</v>
      </c>
      <c r="DH813" s="166">
        <v>3.3368436559984498E-2</v>
      </c>
      <c r="DI813" s="166">
        <v>3.339528772125467E-2</v>
      </c>
    </row>
    <row r="814" spans="1:113" ht="12" outlineLevel="1">
      <c r="A814" s="1" t="s">
        <v>821</v>
      </c>
      <c r="B814" s="19" t="s">
        <v>294</v>
      </c>
      <c r="C814" s="601"/>
      <c r="D814" s="601"/>
      <c r="E814" s="601"/>
      <c r="F814" s="601"/>
      <c r="G814" s="601"/>
      <c r="H814" s="601"/>
      <c r="I814" s="601"/>
      <c r="J814" s="601"/>
      <c r="K814" s="601"/>
      <c r="L814" s="601"/>
      <c r="M814" s="601"/>
      <c r="N814" s="601"/>
      <c r="O814" s="601"/>
      <c r="P814" s="601"/>
      <c r="Q814" s="601"/>
      <c r="R814" s="601"/>
      <c r="S814" s="601"/>
      <c r="T814" s="416"/>
      <c r="U814" s="601"/>
      <c r="V814" s="601"/>
      <c r="W814" s="601"/>
      <c r="X814" s="601"/>
      <c r="Y814" s="416"/>
      <c r="Z814" s="416"/>
      <c r="AA814" s="416"/>
      <c r="AB814" s="416"/>
      <c r="AC814" s="416"/>
      <c r="AD814" s="416"/>
      <c r="AE814" s="416"/>
      <c r="AF814" s="416"/>
      <c r="AG814" s="416"/>
      <c r="AH814" s="416"/>
      <c r="AI814" s="416"/>
      <c r="AJ814" s="416"/>
      <c r="AK814" s="416"/>
      <c r="AL814" s="416"/>
      <c r="AM814" s="416"/>
      <c r="AN814" s="416"/>
      <c r="AO814" s="416"/>
      <c r="AP814" s="167">
        <v>8.1203494014881923E-3</v>
      </c>
      <c r="AQ814" s="167">
        <v>2.9555446995603325E-3</v>
      </c>
      <c r="AR814" s="167">
        <v>1.8659420289855071E-3</v>
      </c>
      <c r="AS814" s="167">
        <v>1.5845349389954049E-3</v>
      </c>
      <c r="AT814" s="167">
        <v>3.5945177139901732E-3</v>
      </c>
      <c r="AU814" s="167">
        <v>1.1871866976402983E-2</v>
      </c>
      <c r="AV814" s="167">
        <v>1.9527522401955082E-2</v>
      </c>
      <c r="AW814" s="174">
        <v>2.577255228384143E-2</v>
      </c>
      <c r="AX814" s="166">
        <v>2.7639930681474838E-2</v>
      </c>
      <c r="AY814" s="166">
        <v>2.9506864494872442E-2</v>
      </c>
      <c r="AZ814" s="166">
        <v>3.1354642038220262E-2</v>
      </c>
      <c r="BA814" s="166">
        <v>3.3236318540658526E-2</v>
      </c>
      <c r="BB814" s="166">
        <v>3.5119922201457307E-2</v>
      </c>
      <c r="BC814" s="166">
        <v>3.7005024161473582E-2</v>
      </c>
      <c r="BD814" s="166">
        <v>3.7020210000741571E-2</v>
      </c>
      <c r="BE814" s="166">
        <v>3.7035349646763867E-2</v>
      </c>
      <c r="BF814" s="166">
        <v>3.7050662645369513E-2</v>
      </c>
      <c r="BG814" s="166">
        <v>3.7065928298627648E-2</v>
      </c>
      <c r="BH814" s="166">
        <v>3.7081295661139282E-2</v>
      </c>
      <c r="BI814" s="166">
        <v>3.7096614955406379E-2</v>
      </c>
      <c r="BJ814" s="166">
        <v>3.7111886287032284E-2</v>
      </c>
      <c r="BK814" s="166">
        <v>3.7127109761710055E-2</v>
      </c>
      <c r="BL814" s="166">
        <v>3.7142285485219591E-2</v>
      </c>
      <c r="BM814" s="166">
        <v>3.715741356342487E-2</v>
      </c>
      <c r="BN814" s="166">
        <v>3.7172494102271136E-2</v>
      </c>
      <c r="BO814" s="166">
        <v>3.7187527207782116E-2</v>
      </c>
      <c r="BP814" s="166">
        <v>3.7202512986057278E-2</v>
      </c>
      <c r="BQ814" s="166">
        <v>3.7217451543269046E-2</v>
      </c>
      <c r="BR814" s="166"/>
      <c r="BS814" s="166"/>
      <c r="BT814" s="166"/>
      <c r="BU814" s="166"/>
      <c r="BV814" s="166"/>
      <c r="BW814" s="166"/>
      <c r="BX814" s="166"/>
      <c r="BY814" s="166"/>
      <c r="BZ814" s="166"/>
      <c r="CA814" s="166"/>
      <c r="CB814" s="166"/>
      <c r="CC814" s="166"/>
      <c r="CD814" s="166"/>
      <c r="CE814" s="166"/>
      <c r="CF814" s="166"/>
      <c r="CG814" s="166"/>
      <c r="CH814" s="166"/>
      <c r="CI814" s="166"/>
      <c r="CJ814" s="166"/>
      <c r="CK814" s="166"/>
      <c r="CL814" s="166"/>
      <c r="CM814" s="167"/>
      <c r="CN814" s="167"/>
      <c r="CO814" s="167"/>
      <c r="CP814" s="167"/>
      <c r="CQ814" s="167"/>
      <c r="CR814" s="167"/>
      <c r="CS814" s="167"/>
      <c r="CT814" s="167">
        <v>0</v>
      </c>
      <c r="CU814" s="167">
        <v>0</v>
      </c>
      <c r="CV814" s="167">
        <v>2.9555446995603325E-3</v>
      </c>
      <c r="CW814" s="167">
        <v>1.5845349389954049E-3</v>
      </c>
      <c r="CX814" s="167">
        <v>1.1871866976402983E-2</v>
      </c>
      <c r="CY814" s="174">
        <v>2.577255228384143E-2</v>
      </c>
      <c r="CZ814" s="166">
        <v>2.9506864494872442E-2</v>
      </c>
      <c r="DA814" s="166">
        <v>3.3236318540658526E-2</v>
      </c>
      <c r="DB814" s="166">
        <v>3.7005024161473582E-2</v>
      </c>
      <c r="DC814" s="166">
        <v>3.7035349646763867E-2</v>
      </c>
      <c r="DD814" s="166">
        <v>3.7065928298627648E-2</v>
      </c>
      <c r="DE814" s="166">
        <v>3.7096614955406379E-2</v>
      </c>
      <c r="DF814" s="166">
        <v>3.7127109761710055E-2</v>
      </c>
      <c r="DG814" s="166">
        <v>3.715741356342487E-2</v>
      </c>
      <c r="DH814" s="166">
        <v>3.7187527207782116E-2</v>
      </c>
      <c r="DI814" s="166">
        <v>3.7217451543269046E-2</v>
      </c>
    </row>
    <row r="815" spans="1:113" ht="12" outlineLevel="1">
      <c r="A815" s="1" t="s">
        <v>822</v>
      </c>
      <c r="B815" s="19" t="s">
        <v>512</v>
      </c>
      <c r="C815" s="408"/>
      <c r="D815" s="408"/>
      <c r="E815" s="408"/>
      <c r="F815" s="408"/>
      <c r="G815" s="408"/>
      <c r="H815" s="408"/>
      <c r="I815" s="408"/>
      <c r="J815" s="408"/>
      <c r="K815" s="408"/>
      <c r="L815" s="408"/>
      <c r="M815" s="408"/>
      <c r="N815" s="408"/>
      <c r="O815" s="408"/>
      <c r="P815" s="408"/>
      <c r="Q815" s="408"/>
      <c r="R815" s="408"/>
      <c r="S815" s="408"/>
      <c r="T815" s="394"/>
      <c r="U815" s="408"/>
      <c r="V815" s="408"/>
      <c r="W815" s="408"/>
      <c r="X815" s="408"/>
      <c r="Y815" s="394"/>
      <c r="Z815" s="394"/>
      <c r="AA815" s="394"/>
      <c r="AB815" s="394"/>
      <c r="AC815" s="394"/>
      <c r="AD815" s="394"/>
      <c r="AE815" s="394"/>
      <c r="AF815" s="394"/>
      <c r="AG815" s="394"/>
      <c r="AH815" s="394"/>
      <c r="AI815" s="394"/>
      <c r="AJ815" s="394"/>
      <c r="AK815" s="394"/>
      <c r="AL815" s="394"/>
      <c r="AM815" s="394"/>
      <c r="AN815" s="394"/>
      <c r="AO815" s="394"/>
      <c r="AP815" s="285">
        <v>0.1125</v>
      </c>
      <c r="AQ815" s="285">
        <v>0.62365591397849451</v>
      </c>
      <c r="AR815" s="285">
        <v>0.55445544554455439</v>
      </c>
      <c r="AS815" s="285">
        <v>0.18279569892473116</v>
      </c>
      <c r="AT815" s="285">
        <v>0.29054054054054052</v>
      </c>
      <c r="AU815" s="285">
        <v>0.36084452975047987</v>
      </c>
      <c r="AV815" s="285">
        <v>0.36259143155694884</v>
      </c>
      <c r="AW815" s="286">
        <v>0.27769230769230768</v>
      </c>
      <c r="AX815" s="162">
        <v>0.27769230769230768</v>
      </c>
      <c r="AY815" s="162">
        <v>0.27769230769230768</v>
      </c>
      <c r="AZ815" s="162">
        <v>0.27769230769230768</v>
      </c>
      <c r="BA815" s="162">
        <v>0.27769230769230768</v>
      </c>
      <c r="BB815" s="162">
        <v>0.27769230769230768</v>
      </c>
      <c r="BC815" s="162">
        <v>0.27769230769230768</v>
      </c>
      <c r="BD815" s="162">
        <v>0.27769230769230768</v>
      </c>
      <c r="BE815" s="162">
        <v>0.27769230769230768</v>
      </c>
      <c r="BF815" s="162">
        <v>0.27769230769230768</v>
      </c>
      <c r="BG815" s="162">
        <v>0.27769230769230768</v>
      </c>
      <c r="BH815" s="162">
        <v>0.27769230769230768</v>
      </c>
      <c r="BI815" s="162">
        <v>0.27769230769230768</v>
      </c>
      <c r="BJ815" s="162">
        <v>0.27769230769230768</v>
      </c>
      <c r="BK815" s="162">
        <v>0.27769230769230768</v>
      </c>
      <c r="BL815" s="162">
        <v>0.27769230769230768</v>
      </c>
      <c r="BM815" s="162">
        <v>0.27769230769230768</v>
      </c>
      <c r="BN815" s="162">
        <v>0.27769230769230768</v>
      </c>
      <c r="BO815" s="162">
        <v>0.27769230769230768</v>
      </c>
      <c r="BP815" s="162">
        <v>0.27769230769230768</v>
      </c>
      <c r="BQ815" s="162">
        <v>0.27769230769230768</v>
      </c>
      <c r="BR815" s="162"/>
      <c r="BS815" s="162"/>
      <c r="BT815" s="162"/>
      <c r="BU815" s="162"/>
      <c r="BV815" s="162"/>
      <c r="BW815" s="162"/>
      <c r="BX815" s="162"/>
      <c r="BY815" s="162"/>
      <c r="BZ815" s="162"/>
      <c r="CA815" s="162"/>
      <c r="CB815" s="162"/>
      <c r="CC815" s="162"/>
      <c r="CD815" s="162"/>
      <c r="CE815" s="162"/>
      <c r="CF815" s="162"/>
      <c r="CG815" s="162"/>
      <c r="CH815" s="162"/>
      <c r="CI815" s="162"/>
      <c r="CJ815" s="162"/>
      <c r="CK815" s="162"/>
      <c r="CL815" s="162"/>
      <c r="CM815" s="285"/>
      <c r="CN815" s="285"/>
      <c r="CO815" s="285"/>
      <c r="CP815" s="285"/>
      <c r="CQ815" s="285"/>
      <c r="CR815" s="285"/>
      <c r="CS815" s="285"/>
      <c r="CT815" s="285"/>
      <c r="CU815" s="285"/>
      <c r="CV815" s="285">
        <v>0.62365591397849451</v>
      </c>
      <c r="CW815" s="285">
        <v>0.18279569892473116</v>
      </c>
      <c r="CX815" s="285">
        <v>0.36084452975047987</v>
      </c>
      <c r="CY815" s="286">
        <v>0.27769230769230768</v>
      </c>
      <c r="CZ815" s="162">
        <v>0.27769230769230768</v>
      </c>
      <c r="DA815" s="162">
        <v>0.27769230769230768</v>
      </c>
      <c r="DB815" s="162">
        <v>0.27769230769230768</v>
      </c>
      <c r="DC815" s="162">
        <v>0.27769230769230768</v>
      </c>
      <c r="DD815" s="162">
        <v>0.27769230769230768</v>
      </c>
      <c r="DE815" s="162">
        <v>0.27769230769230768</v>
      </c>
      <c r="DF815" s="162">
        <v>0.27769230769230768</v>
      </c>
      <c r="DG815" s="162">
        <v>0.27769230769230768</v>
      </c>
      <c r="DH815" s="162">
        <v>0.27769230769230768</v>
      </c>
      <c r="DI815" s="162">
        <v>0.27769230769230768</v>
      </c>
    </row>
    <row r="816" spans="1:113" ht="12" outlineLevel="1">
      <c r="A816" s="1" t="s">
        <v>823</v>
      </c>
      <c r="B816" s="19" t="s">
        <v>348</v>
      </c>
      <c r="C816" s="601"/>
      <c r="D816" s="601"/>
      <c r="E816" s="601"/>
      <c r="F816" s="601"/>
      <c r="G816" s="601"/>
      <c r="H816" s="601"/>
      <c r="I816" s="601"/>
      <c r="J816" s="601"/>
      <c r="K816" s="601"/>
      <c r="L816" s="601"/>
      <c r="M816" s="601"/>
      <c r="N816" s="601"/>
      <c r="O816" s="601"/>
      <c r="P816" s="601"/>
      <c r="Q816" s="601"/>
      <c r="R816" s="601"/>
      <c r="S816" s="601"/>
      <c r="T816" s="416"/>
      <c r="U816" s="601"/>
      <c r="V816" s="601"/>
      <c r="W816" s="601"/>
      <c r="X816" s="601"/>
      <c r="Y816" s="416"/>
      <c r="Z816" s="416"/>
      <c r="AA816" s="416"/>
      <c r="AB816" s="416"/>
      <c r="AC816" s="416"/>
      <c r="AD816" s="416"/>
      <c r="AE816" s="416"/>
      <c r="AF816" s="416"/>
      <c r="AG816" s="416"/>
      <c r="AH816" s="416"/>
      <c r="AI816" s="416"/>
      <c r="AJ816" s="416"/>
      <c r="AK816" s="416"/>
      <c r="AL816" s="416"/>
      <c r="AM816" s="416"/>
      <c r="AN816" s="416"/>
      <c r="AO816" s="416"/>
      <c r="AP816" s="167">
        <v>1.3087248322147652E-2</v>
      </c>
      <c r="AQ816" s="167">
        <v>9.2492872980677859E-3</v>
      </c>
      <c r="AR816" s="167">
        <v>8.9740647234335547E-3</v>
      </c>
      <c r="AS816" s="167">
        <v>9.7806215722120657E-3</v>
      </c>
      <c r="AT816" s="167">
        <v>1.0900967982129561E-2</v>
      </c>
      <c r="AU816" s="167">
        <v>1.1145456373140331E-2</v>
      </c>
      <c r="AV816" s="167">
        <v>1.1065550101068437E-2</v>
      </c>
      <c r="AW816" s="174">
        <v>1.180896645417494E-2</v>
      </c>
      <c r="AX816" s="166">
        <v>1.18100922573079E-2</v>
      </c>
      <c r="AY816" s="166">
        <v>1.1811253526101892E-2</v>
      </c>
      <c r="AZ816" s="166">
        <v>1.1819493357091702E-2</v>
      </c>
      <c r="BA816" s="166">
        <v>1.1814753453509663E-2</v>
      </c>
      <c r="BB816" s="166">
        <v>1.1809873406224171E-2</v>
      </c>
      <c r="BC816" s="166">
        <v>1.1805012187126665E-2</v>
      </c>
      <c r="BD816" s="166">
        <v>1.1800169723574274E-2</v>
      </c>
      <c r="BE816" s="166">
        <v>1.1795345943204388E-2</v>
      </c>
      <c r="BF816" s="166">
        <v>1.1790470939544936E-2</v>
      </c>
      <c r="BG816" s="166">
        <v>1.1785615017964796E-2</v>
      </c>
      <c r="BH816" s="166">
        <v>1.178073078144678E-2</v>
      </c>
      <c r="BI816" s="166">
        <v>1.1775865850192559E-2</v>
      </c>
      <c r="BJ816" s="166">
        <v>1.1771020147896813E-2</v>
      </c>
      <c r="BK816" s="166">
        <v>1.1766193598555829E-2</v>
      </c>
      <c r="BL816" s="166">
        <v>1.1761386126466301E-2</v>
      </c>
      <c r="BM816" s="166">
        <v>1.1756597656224154E-2</v>
      </c>
      <c r="BN816" s="166">
        <v>1.1751828112723336E-2</v>
      </c>
      <c r="BO816" s="166">
        <v>1.1747077421154674E-2</v>
      </c>
      <c r="BP816" s="166">
        <v>1.1742345507004665E-2</v>
      </c>
      <c r="BQ816" s="166">
        <v>1.1737632296054347E-2</v>
      </c>
      <c r="BR816" s="166"/>
      <c r="BS816" s="166"/>
      <c r="BT816" s="166"/>
      <c r="BU816" s="166"/>
      <c r="BV816" s="166"/>
      <c r="BW816" s="166"/>
      <c r="BX816" s="166"/>
      <c r="BY816" s="166"/>
      <c r="BZ816" s="166"/>
      <c r="CA816" s="166"/>
      <c r="CB816" s="166"/>
      <c r="CC816" s="166"/>
      <c r="CD816" s="166"/>
      <c r="CE816" s="166"/>
      <c r="CF816" s="166"/>
      <c r="CG816" s="166"/>
      <c r="CH816" s="166"/>
      <c r="CI816" s="166"/>
      <c r="CJ816" s="166"/>
      <c r="CK816" s="166"/>
      <c r="CL816" s="166"/>
      <c r="CM816" s="167"/>
      <c r="CN816" s="167"/>
      <c r="CO816" s="167"/>
      <c r="CP816" s="167"/>
      <c r="CQ816" s="167"/>
      <c r="CR816" s="167"/>
      <c r="CS816" s="167"/>
      <c r="CT816" s="167">
        <v>8.3673469387755099E-3</v>
      </c>
      <c r="CU816" s="167">
        <v>1.4463492063492065E-2</v>
      </c>
      <c r="CV816" s="167">
        <v>9.2492872980677859E-3</v>
      </c>
      <c r="CW816" s="167">
        <v>9.7806215722120657E-3</v>
      </c>
      <c r="CX816" s="167">
        <v>1.1145456373140331E-2</v>
      </c>
      <c r="CY816" s="174">
        <v>1.180896645417494E-2</v>
      </c>
      <c r="CZ816" s="166">
        <v>1.1811253526101892E-2</v>
      </c>
      <c r="DA816" s="166">
        <v>1.1814753453509663E-2</v>
      </c>
      <c r="DB816" s="166">
        <v>1.1805012187126665E-2</v>
      </c>
      <c r="DC816" s="166">
        <v>1.1795345943204388E-2</v>
      </c>
      <c r="DD816" s="166">
        <v>1.1785615017964796E-2</v>
      </c>
      <c r="DE816" s="166">
        <v>1.1775865850192559E-2</v>
      </c>
      <c r="DF816" s="166">
        <v>1.1766193598555829E-2</v>
      </c>
      <c r="DG816" s="166">
        <v>1.1756597656224154E-2</v>
      </c>
      <c r="DH816" s="166">
        <v>1.1747077421154674E-2</v>
      </c>
      <c r="DI816" s="166">
        <v>1.1737632296054347E-2</v>
      </c>
    </row>
    <row r="817" spans="1:113" ht="12" outlineLevel="1">
      <c r="A817" s="1" t="s">
        <v>824</v>
      </c>
      <c r="B817" s="19" t="s">
        <v>295</v>
      </c>
      <c r="C817" s="601"/>
      <c r="D817" s="601"/>
      <c r="E817" s="601"/>
      <c r="F817" s="601"/>
      <c r="G817" s="601"/>
      <c r="H817" s="601"/>
      <c r="I817" s="601"/>
      <c r="J817" s="601"/>
      <c r="K817" s="601"/>
      <c r="L817" s="601"/>
      <c r="M817" s="601"/>
      <c r="N817" s="601"/>
      <c r="O817" s="601"/>
      <c r="P817" s="601"/>
      <c r="Q817" s="601"/>
      <c r="R817" s="601"/>
      <c r="S817" s="601"/>
      <c r="T817" s="416"/>
      <c r="U817" s="601"/>
      <c r="V817" s="601"/>
      <c r="W817" s="601"/>
      <c r="X817" s="601"/>
      <c r="Y817" s="416"/>
      <c r="Z817" s="416"/>
      <c r="AA817" s="416"/>
      <c r="AB817" s="416"/>
      <c r="AC817" s="416"/>
      <c r="AD817" s="416"/>
      <c r="AE817" s="416"/>
      <c r="AF817" s="416"/>
      <c r="AG817" s="416"/>
      <c r="AH817" s="416"/>
      <c r="AI817" s="416"/>
      <c r="AJ817" s="416"/>
      <c r="AK817" s="416"/>
      <c r="AL817" s="416"/>
      <c r="AM817" s="416"/>
      <c r="AN817" s="416"/>
      <c r="AO817" s="416"/>
      <c r="AP817" s="167">
        <v>1.2770607954615223E-2</v>
      </c>
      <c r="AQ817" s="167">
        <v>9.0219245124453125E-3</v>
      </c>
      <c r="AR817" s="167">
        <v>7.9101760064738021E-3</v>
      </c>
      <c r="AS817" s="167">
        <v>9.4489579653832569E-3</v>
      </c>
      <c r="AT817" s="167">
        <v>1.0439247005134057E-2</v>
      </c>
      <c r="AU817" s="167">
        <v>1.192845615922539E-2</v>
      </c>
      <c r="AV817" s="167">
        <v>1.2263184843830004E-2</v>
      </c>
      <c r="AW817" s="174">
        <v>1.293350120178551E-2</v>
      </c>
      <c r="AX817" s="166">
        <v>1.293350120178551E-2</v>
      </c>
      <c r="AY817" s="166">
        <v>1.293350120178551E-2</v>
      </c>
      <c r="AZ817" s="166">
        <v>1.2933501201785508E-2</v>
      </c>
      <c r="BA817" s="166">
        <v>1.293350120178551E-2</v>
      </c>
      <c r="BB817" s="166">
        <v>1.2933501201785508E-2</v>
      </c>
      <c r="BC817" s="166">
        <v>1.2933501201785508E-2</v>
      </c>
      <c r="BD817" s="166">
        <v>1.293350120178551E-2</v>
      </c>
      <c r="BE817" s="166">
        <v>1.293350120178551E-2</v>
      </c>
      <c r="BF817" s="166">
        <v>1.293350120178551E-2</v>
      </c>
      <c r="BG817" s="166">
        <v>1.293350120178551E-2</v>
      </c>
      <c r="BH817" s="166">
        <v>1.293350120178551E-2</v>
      </c>
      <c r="BI817" s="166">
        <v>1.293350120178551E-2</v>
      </c>
      <c r="BJ817" s="166">
        <v>1.293350120178551E-2</v>
      </c>
      <c r="BK817" s="166">
        <v>1.293350120178551E-2</v>
      </c>
      <c r="BL817" s="166">
        <v>1.293350120178551E-2</v>
      </c>
      <c r="BM817" s="166">
        <v>1.293350120178551E-2</v>
      </c>
      <c r="BN817" s="166">
        <v>1.293350120178551E-2</v>
      </c>
      <c r="BO817" s="166">
        <v>1.293350120178551E-2</v>
      </c>
      <c r="BP817" s="166">
        <v>1.293350120178551E-2</v>
      </c>
      <c r="BQ817" s="166">
        <v>1.293350120178551E-2</v>
      </c>
      <c r="BR817" s="166"/>
      <c r="BS817" s="166"/>
      <c r="BT817" s="166"/>
      <c r="BU817" s="166"/>
      <c r="BV817" s="166"/>
      <c r="BW817" s="166"/>
      <c r="BX817" s="166"/>
      <c r="BY817" s="166"/>
      <c r="BZ817" s="166"/>
      <c r="CA817" s="166"/>
      <c r="CB817" s="166"/>
      <c r="CC817" s="166"/>
      <c r="CD817" s="166"/>
      <c r="CE817" s="166"/>
      <c r="CF817" s="166"/>
      <c r="CG817" s="166"/>
      <c r="CH817" s="166"/>
      <c r="CI817" s="166"/>
      <c r="CJ817" s="166"/>
      <c r="CK817" s="166"/>
      <c r="CL817" s="166"/>
      <c r="CM817" s="167"/>
      <c r="CN817" s="167"/>
      <c r="CO817" s="167"/>
      <c r="CP817" s="167"/>
      <c r="CQ817" s="167"/>
      <c r="CR817" s="167"/>
      <c r="CS817" s="167"/>
      <c r="CT817" s="167">
        <v>8.9130434782608691E-3</v>
      </c>
      <c r="CU817" s="167">
        <v>1.4468085106382983E-2</v>
      </c>
      <c r="CV817" s="167">
        <v>9.0219245124453125E-3</v>
      </c>
      <c r="CW817" s="167">
        <v>9.4489579653832569E-3</v>
      </c>
      <c r="CX817" s="167">
        <v>1.192845615922539E-2</v>
      </c>
      <c r="CY817" s="174">
        <v>1.293350120178551E-2</v>
      </c>
      <c r="CZ817" s="166">
        <v>1.293350120178551E-2</v>
      </c>
      <c r="DA817" s="166">
        <v>1.293350120178551E-2</v>
      </c>
      <c r="DB817" s="166">
        <v>1.2933501201785508E-2</v>
      </c>
      <c r="DC817" s="166">
        <v>1.293350120178551E-2</v>
      </c>
      <c r="DD817" s="166">
        <v>1.293350120178551E-2</v>
      </c>
      <c r="DE817" s="166">
        <v>1.293350120178551E-2</v>
      </c>
      <c r="DF817" s="166">
        <v>1.293350120178551E-2</v>
      </c>
      <c r="DG817" s="166">
        <v>1.293350120178551E-2</v>
      </c>
      <c r="DH817" s="166">
        <v>1.293350120178551E-2</v>
      </c>
      <c r="DI817" s="166">
        <v>1.293350120178551E-2</v>
      </c>
    </row>
    <row r="818" spans="1:113" ht="12" outlineLevel="1">
      <c r="A818" s="1" t="s">
        <v>825</v>
      </c>
      <c r="B818" s="19" t="s">
        <v>261</v>
      </c>
      <c r="C818" s="601"/>
      <c r="D818" s="601"/>
      <c r="E818" s="601"/>
      <c r="F818" s="601"/>
      <c r="G818" s="601"/>
      <c r="H818" s="601"/>
      <c r="I818" s="601"/>
      <c r="J818" s="601"/>
      <c r="K818" s="601"/>
      <c r="L818" s="601"/>
      <c r="M818" s="601"/>
      <c r="N818" s="601"/>
      <c r="O818" s="601"/>
      <c r="P818" s="601"/>
      <c r="Q818" s="601"/>
      <c r="R818" s="601"/>
      <c r="S818" s="601"/>
      <c r="T818" s="416"/>
      <c r="U818" s="601"/>
      <c r="V818" s="601"/>
      <c r="W818" s="601"/>
      <c r="X818" s="601"/>
      <c r="Y818" s="416"/>
      <c r="Z818" s="416"/>
      <c r="AA818" s="416"/>
      <c r="AB818" s="416"/>
      <c r="AC818" s="416"/>
      <c r="AD818" s="416"/>
      <c r="AE818" s="416"/>
      <c r="AF818" s="416"/>
      <c r="AG818" s="416"/>
      <c r="AH818" s="416"/>
      <c r="AI818" s="416"/>
      <c r="AJ818" s="416"/>
      <c r="AK818" s="416"/>
      <c r="AL818" s="416"/>
      <c r="AM818" s="416"/>
      <c r="AN818" s="416"/>
      <c r="AO818" s="416"/>
      <c r="AP818" s="167">
        <v>1.0093820769977353E-2</v>
      </c>
      <c r="AQ818" s="167">
        <v>7.1323888617489005E-3</v>
      </c>
      <c r="AR818" s="167">
        <v>7.0833333333333338E-3</v>
      </c>
      <c r="AS818" s="167">
        <v>8.4772619236254156E-3</v>
      </c>
      <c r="AT818" s="167">
        <v>9.4647013188518241E-3</v>
      </c>
      <c r="AU818" s="167">
        <v>1.0844846558258956E-2</v>
      </c>
      <c r="AV818" s="167">
        <v>1.1148609333178168E-2</v>
      </c>
      <c r="AW818" s="174">
        <v>1.1757361356778691E-2</v>
      </c>
      <c r="AX818" s="166">
        <v>1.1757361356778693E-2</v>
      </c>
      <c r="AY818" s="166">
        <v>1.1757361356778691E-2</v>
      </c>
      <c r="AZ818" s="166">
        <v>1.1757361356778691E-2</v>
      </c>
      <c r="BA818" s="166">
        <v>1.1757361356778693E-2</v>
      </c>
      <c r="BB818" s="166">
        <v>1.1757361356778693E-2</v>
      </c>
      <c r="BC818" s="166">
        <v>1.1757361356778693E-2</v>
      </c>
      <c r="BD818" s="166">
        <v>1.1757361356778694E-2</v>
      </c>
      <c r="BE818" s="166">
        <v>1.1757361356778693E-2</v>
      </c>
      <c r="BF818" s="166">
        <v>1.1757361356778693E-2</v>
      </c>
      <c r="BG818" s="166">
        <v>1.1757361356778693E-2</v>
      </c>
      <c r="BH818" s="166">
        <v>1.1757361356778693E-2</v>
      </c>
      <c r="BI818" s="166">
        <v>1.1757361356778696E-2</v>
      </c>
      <c r="BJ818" s="166">
        <v>1.1757361356778694E-2</v>
      </c>
      <c r="BK818" s="166">
        <v>1.1757361356778693E-2</v>
      </c>
      <c r="BL818" s="166">
        <v>1.1757361356778693E-2</v>
      </c>
      <c r="BM818" s="166">
        <v>1.1757361356778694E-2</v>
      </c>
      <c r="BN818" s="166">
        <v>1.1757361356778693E-2</v>
      </c>
      <c r="BO818" s="166">
        <v>1.1757361356778693E-2</v>
      </c>
      <c r="BP818" s="166">
        <v>1.1757361356778693E-2</v>
      </c>
      <c r="BQ818" s="166">
        <v>1.1757361356778693E-2</v>
      </c>
      <c r="BR818" s="166"/>
      <c r="BS818" s="166"/>
      <c r="BT818" s="166"/>
      <c r="BU818" s="166"/>
      <c r="BV818" s="166"/>
      <c r="BW818" s="166"/>
      <c r="BX818" s="166"/>
      <c r="BY818" s="166"/>
      <c r="BZ818" s="166"/>
      <c r="CA818" s="166"/>
      <c r="CB818" s="166"/>
      <c r="CC818" s="166"/>
      <c r="CD818" s="166"/>
      <c r="CE818" s="166"/>
      <c r="CF818" s="166"/>
      <c r="CG818" s="166"/>
      <c r="CH818" s="166"/>
      <c r="CI818" s="166"/>
      <c r="CJ818" s="166"/>
      <c r="CK818" s="166"/>
      <c r="CL818" s="166"/>
      <c r="CM818" s="167"/>
      <c r="CN818" s="167"/>
      <c r="CO818" s="167"/>
      <c r="CP818" s="167"/>
      <c r="CQ818" s="167"/>
      <c r="CR818" s="167"/>
      <c r="CS818" s="167"/>
      <c r="CT818" s="167">
        <v>4.4025020279405127E-3</v>
      </c>
      <c r="CU818" s="167">
        <v>1.0638006122627485E-2</v>
      </c>
      <c r="CV818" s="167">
        <v>7.1323888617489005E-3</v>
      </c>
      <c r="CW818" s="167">
        <v>8.4772619236254156E-3</v>
      </c>
      <c r="CX818" s="167">
        <v>1.0844846558258956E-2</v>
      </c>
      <c r="CY818" s="174">
        <v>1.1757361356778691E-2</v>
      </c>
      <c r="CZ818" s="166">
        <v>1.1757361356778691E-2</v>
      </c>
      <c r="DA818" s="166">
        <v>1.1757361356778693E-2</v>
      </c>
      <c r="DB818" s="166">
        <v>1.1757361356778693E-2</v>
      </c>
      <c r="DC818" s="166">
        <v>1.1757361356778693E-2</v>
      </c>
      <c r="DD818" s="166">
        <v>1.1757361356778693E-2</v>
      </c>
      <c r="DE818" s="166">
        <v>1.1757361356778696E-2</v>
      </c>
      <c r="DF818" s="166">
        <v>1.1757361356778693E-2</v>
      </c>
      <c r="DG818" s="166">
        <v>1.1757361356778694E-2</v>
      </c>
      <c r="DH818" s="166">
        <v>1.1757361356778693E-2</v>
      </c>
      <c r="DI818" s="166">
        <v>1.1757361356778693E-2</v>
      </c>
    </row>
    <row r="819" spans="1:113" ht="12" outlineLevel="1" collapsed="1">
      <c r="A819" s="1" t="s">
        <v>2199</v>
      </c>
      <c r="B819" s="19" t="s">
        <v>2200</v>
      </c>
      <c r="C819" s="165"/>
      <c r="D819" s="165"/>
      <c r="E819" s="165"/>
      <c r="F819" s="165"/>
      <c r="G819" s="165"/>
      <c r="H819" s="165"/>
      <c r="I819" s="165"/>
      <c r="J819" s="165"/>
      <c r="K819" s="165"/>
      <c r="L819" s="165"/>
      <c r="M819" s="165"/>
      <c r="N819" s="165"/>
      <c r="O819" s="165"/>
      <c r="P819" s="165"/>
      <c r="Q819" s="165"/>
      <c r="R819" s="165"/>
      <c r="S819" s="165"/>
      <c r="T819" s="165"/>
      <c r="U819" s="165"/>
      <c r="V819" s="165"/>
      <c r="W819" s="165"/>
      <c r="X819" s="165"/>
      <c r="Y819" s="165"/>
      <c r="Z819" s="165"/>
      <c r="AA819" s="165"/>
      <c r="AB819" s="165"/>
      <c r="AC819" s="165"/>
      <c r="AD819" s="165"/>
      <c r="AE819" s="165"/>
      <c r="AF819" s="165"/>
      <c r="AG819" s="165"/>
      <c r="AH819" s="165"/>
      <c r="AI819" s="165"/>
      <c r="AJ819" s="165"/>
      <c r="AK819" s="165"/>
      <c r="AL819" s="165"/>
      <c r="AM819" s="165"/>
      <c r="AN819" s="165"/>
      <c r="AO819" s="165"/>
      <c r="AP819" s="165">
        <v>1.3087248322147652E-2</v>
      </c>
      <c r="AQ819" s="165">
        <v>9.2492872980677859E-3</v>
      </c>
      <c r="AR819" s="165">
        <v>8.9740647234335547E-3</v>
      </c>
      <c r="AS819" s="165">
        <v>9.7806215722120657E-3</v>
      </c>
      <c r="AT819" s="165">
        <v>1.0900967982129561E-2</v>
      </c>
      <c r="AU819" s="165">
        <v>1.1145456373140331E-2</v>
      </c>
      <c r="AV819" s="165">
        <v>1.1065550101068437E-2</v>
      </c>
      <c r="AW819" s="173">
        <v>1.180896645417494E-2</v>
      </c>
      <c r="AX819" s="165">
        <v>1.18100922573079E-2</v>
      </c>
      <c r="AY819" s="165">
        <v>1.1811253526101892E-2</v>
      </c>
      <c r="AZ819" s="165">
        <v>1.1819493357091702E-2</v>
      </c>
      <c r="BA819" s="165">
        <v>1.1814753453509663E-2</v>
      </c>
      <c r="BB819" s="165">
        <v>1.1809873406224171E-2</v>
      </c>
      <c r="BC819" s="165">
        <v>1.1805012187126665E-2</v>
      </c>
      <c r="BD819" s="165">
        <v>1.1800169723574274E-2</v>
      </c>
      <c r="BE819" s="165">
        <v>1.1795345943204388E-2</v>
      </c>
      <c r="BF819" s="165">
        <v>1.1790470939544936E-2</v>
      </c>
      <c r="BG819" s="165">
        <v>1.1785615017964796E-2</v>
      </c>
      <c r="BH819" s="165">
        <v>1.178073078144678E-2</v>
      </c>
      <c r="BI819" s="165">
        <v>1.1775865850192559E-2</v>
      </c>
      <c r="BJ819" s="165">
        <v>1.1771020147896813E-2</v>
      </c>
      <c r="BK819" s="165">
        <v>1.1766193598555829E-2</v>
      </c>
      <c r="BL819" s="165">
        <v>1.1761386126466301E-2</v>
      </c>
      <c r="BM819" s="165">
        <v>1.1756597656224154E-2</v>
      </c>
      <c r="BN819" s="165">
        <v>1.1751828112723336E-2</v>
      </c>
      <c r="BO819" s="165">
        <v>1.1747077421154674E-2</v>
      </c>
      <c r="BP819" s="165">
        <v>1.1742345507004665E-2</v>
      </c>
      <c r="BQ819" s="165">
        <v>1.1737632296054347E-2</v>
      </c>
      <c r="BS819" s="165"/>
      <c r="BT819" s="165"/>
      <c r="BU819" s="165"/>
      <c r="BV819" s="165"/>
      <c r="BW819" s="165"/>
      <c r="BX819" s="165"/>
      <c r="BY819" s="165"/>
      <c r="BZ819" s="165"/>
      <c r="CA819" s="165"/>
      <c r="CB819" s="165"/>
      <c r="CC819" s="165"/>
      <c r="CD819" s="165"/>
      <c r="CE819" s="165"/>
      <c r="CF819" s="165"/>
      <c r="CG819" s="165"/>
      <c r="CH819" s="165"/>
      <c r="CI819" s="165"/>
      <c r="CJ819" s="165"/>
      <c r="CK819" s="165"/>
      <c r="CL819" s="165"/>
      <c r="CM819" s="165"/>
      <c r="CN819" s="165"/>
      <c r="CO819" s="165"/>
      <c r="CP819" s="165"/>
      <c r="CQ819" s="165"/>
      <c r="CR819" s="165"/>
      <c r="CS819" s="165"/>
      <c r="CT819" s="165">
        <v>8.3673469387755099E-3</v>
      </c>
      <c r="CU819" s="165">
        <v>1.4463492063492065E-2</v>
      </c>
      <c r="CV819" s="165">
        <v>9.2492872980677859E-3</v>
      </c>
      <c r="CW819" s="165">
        <v>9.7806215722120657E-3</v>
      </c>
      <c r="CX819" s="165">
        <v>1.1145456373140331E-2</v>
      </c>
      <c r="CY819" s="173">
        <v>1.180896645417494E-2</v>
      </c>
      <c r="CZ819" s="165">
        <v>1.1811253526101892E-2</v>
      </c>
      <c r="DA819" s="165">
        <v>1.1814753453509663E-2</v>
      </c>
      <c r="DB819" s="165">
        <v>1.1805012187126665E-2</v>
      </c>
      <c r="DC819" s="165">
        <v>1.1795345943204388E-2</v>
      </c>
      <c r="DD819" s="165">
        <v>1.1785615017964796E-2</v>
      </c>
      <c r="DE819" s="165">
        <v>1.1775865850192559E-2</v>
      </c>
      <c r="DF819" s="165">
        <v>1.1766193598555829E-2</v>
      </c>
      <c r="DG819" s="165">
        <v>1.1756597656224154E-2</v>
      </c>
      <c r="DH819" s="165">
        <v>1.1747077421154674E-2</v>
      </c>
      <c r="DI819" s="165">
        <v>1.1737632296054347E-2</v>
      </c>
    </row>
    <row r="820" spans="1:113" ht="12" outlineLevel="1">
      <c r="A820" s="1" t="s">
        <v>2201</v>
      </c>
      <c r="B820" s="19" t="s">
        <v>2202</v>
      </c>
      <c r="C820" s="165"/>
      <c r="D820" s="165"/>
      <c r="E820" s="165"/>
      <c r="F820" s="165"/>
      <c r="G820" s="165"/>
      <c r="H820" s="165"/>
      <c r="I820" s="165"/>
      <c r="J820" s="165"/>
      <c r="K820" s="165"/>
      <c r="L820" s="165"/>
      <c r="M820" s="165"/>
      <c r="N820" s="165"/>
      <c r="O820" s="165"/>
      <c r="P820" s="165"/>
      <c r="Q820" s="165"/>
      <c r="R820" s="165"/>
      <c r="S820" s="165"/>
      <c r="T820" s="165"/>
      <c r="U820" s="165"/>
      <c r="V820" s="165"/>
      <c r="W820" s="165"/>
      <c r="X820" s="165"/>
      <c r="Y820" s="165"/>
      <c r="Z820" s="165"/>
      <c r="AA820" s="165"/>
      <c r="AB820" s="165"/>
      <c r="AC820" s="165"/>
      <c r="AD820" s="165"/>
      <c r="AE820" s="165"/>
      <c r="AF820" s="165"/>
      <c r="AG820" s="165"/>
      <c r="AH820" s="165"/>
      <c r="AI820" s="165"/>
      <c r="AJ820" s="165"/>
      <c r="AK820" s="165"/>
      <c r="AL820" s="165"/>
      <c r="AM820" s="165"/>
      <c r="AN820" s="165"/>
      <c r="AO820" s="165"/>
      <c r="AP820" s="165">
        <v>1.2770607954615223E-2</v>
      </c>
      <c r="AQ820" s="165">
        <v>9.0219245124453125E-3</v>
      </c>
      <c r="AR820" s="165">
        <v>7.9101760064738021E-3</v>
      </c>
      <c r="AS820" s="165">
        <v>9.4489579653832569E-3</v>
      </c>
      <c r="AT820" s="165">
        <v>1.0439247005134057E-2</v>
      </c>
      <c r="AU820" s="165">
        <v>1.192845615922539E-2</v>
      </c>
      <c r="AV820" s="165">
        <v>1.2263184843830004E-2</v>
      </c>
      <c r="AW820" s="173">
        <v>1.293350120178551E-2</v>
      </c>
      <c r="AX820" s="165">
        <v>1.293350120178551E-2</v>
      </c>
      <c r="AY820" s="165">
        <v>1.293350120178551E-2</v>
      </c>
      <c r="AZ820" s="165">
        <v>1.2933501201785508E-2</v>
      </c>
      <c r="BA820" s="165">
        <v>1.293350120178551E-2</v>
      </c>
      <c r="BB820" s="165">
        <v>1.2933501201785508E-2</v>
      </c>
      <c r="BC820" s="165">
        <v>1.2933501201785508E-2</v>
      </c>
      <c r="BD820" s="165">
        <v>1.293350120178551E-2</v>
      </c>
      <c r="BE820" s="165">
        <v>1.293350120178551E-2</v>
      </c>
      <c r="BF820" s="165">
        <v>1.293350120178551E-2</v>
      </c>
      <c r="BG820" s="165">
        <v>1.293350120178551E-2</v>
      </c>
      <c r="BH820" s="165">
        <v>1.293350120178551E-2</v>
      </c>
      <c r="BI820" s="165">
        <v>1.293350120178551E-2</v>
      </c>
      <c r="BJ820" s="165">
        <v>1.293350120178551E-2</v>
      </c>
      <c r="BK820" s="165">
        <v>1.293350120178551E-2</v>
      </c>
      <c r="BL820" s="165">
        <v>1.293350120178551E-2</v>
      </c>
      <c r="BM820" s="165">
        <v>1.293350120178551E-2</v>
      </c>
      <c r="BN820" s="165">
        <v>1.293350120178551E-2</v>
      </c>
      <c r="BO820" s="165">
        <v>1.293350120178551E-2</v>
      </c>
      <c r="BP820" s="165">
        <v>1.293350120178551E-2</v>
      </c>
      <c r="BQ820" s="165">
        <v>1.293350120178551E-2</v>
      </c>
      <c r="BS820" s="165"/>
      <c r="BT820" s="165"/>
      <c r="BU820" s="165"/>
      <c r="BV820" s="165"/>
      <c r="BW820" s="165"/>
      <c r="BX820" s="165"/>
      <c r="BY820" s="165"/>
      <c r="BZ820" s="165"/>
      <c r="CA820" s="165"/>
      <c r="CB820" s="165"/>
      <c r="CC820" s="165"/>
      <c r="CD820" s="165"/>
      <c r="CE820" s="165"/>
      <c r="CF820" s="165"/>
      <c r="CG820" s="165"/>
      <c r="CH820" s="165"/>
      <c r="CI820" s="165"/>
      <c r="CJ820" s="165"/>
      <c r="CK820" s="165"/>
      <c r="CL820" s="165"/>
      <c r="CM820" s="165"/>
      <c r="CN820" s="165"/>
      <c r="CO820" s="165"/>
      <c r="CP820" s="165"/>
      <c r="CQ820" s="165"/>
      <c r="CR820" s="165"/>
      <c r="CS820" s="165"/>
      <c r="CT820" s="165">
        <v>8.9130434782608691E-3</v>
      </c>
      <c r="CU820" s="165">
        <v>1.4468085106382983E-2</v>
      </c>
      <c r="CV820" s="165">
        <v>9.0219245124453125E-3</v>
      </c>
      <c r="CW820" s="165">
        <v>9.4489579653832569E-3</v>
      </c>
      <c r="CX820" s="165">
        <v>1.192845615922539E-2</v>
      </c>
      <c r="CY820" s="173">
        <v>1.293350120178551E-2</v>
      </c>
      <c r="CZ820" s="165">
        <v>1.293350120178551E-2</v>
      </c>
      <c r="DA820" s="165">
        <v>1.293350120178551E-2</v>
      </c>
      <c r="DB820" s="165">
        <v>1.2933501201785508E-2</v>
      </c>
      <c r="DC820" s="165">
        <v>1.293350120178551E-2</v>
      </c>
      <c r="DD820" s="165">
        <v>1.293350120178551E-2</v>
      </c>
      <c r="DE820" s="165">
        <v>1.293350120178551E-2</v>
      </c>
      <c r="DF820" s="165">
        <v>1.293350120178551E-2</v>
      </c>
      <c r="DG820" s="165">
        <v>1.293350120178551E-2</v>
      </c>
      <c r="DH820" s="165">
        <v>1.293350120178551E-2</v>
      </c>
      <c r="DI820" s="165">
        <v>1.293350120178551E-2</v>
      </c>
    </row>
    <row r="821" spans="1:113" ht="12" outlineLevel="1">
      <c r="A821" s="1" t="s">
        <v>2203</v>
      </c>
      <c r="B821" s="19" t="s">
        <v>2204</v>
      </c>
      <c r="C821" s="165"/>
      <c r="D821" s="165"/>
      <c r="E821" s="165"/>
      <c r="F821" s="165"/>
      <c r="G821" s="165"/>
      <c r="H821" s="165"/>
      <c r="I821" s="165"/>
      <c r="J821" s="165"/>
      <c r="K821" s="165"/>
      <c r="L821" s="165"/>
      <c r="M821" s="165"/>
      <c r="N821" s="165"/>
      <c r="O821" s="165"/>
      <c r="P821" s="165"/>
      <c r="Q821" s="165"/>
      <c r="R821" s="165"/>
      <c r="S821" s="165"/>
      <c r="T821" s="165"/>
      <c r="U821" s="165"/>
      <c r="V821" s="165"/>
      <c r="W821" s="165"/>
      <c r="X821" s="165"/>
      <c r="Y821" s="165"/>
      <c r="Z821" s="165"/>
      <c r="AA821" s="165"/>
      <c r="AB821" s="165"/>
      <c r="AC821" s="165"/>
      <c r="AD821" s="165"/>
      <c r="AE821" s="165"/>
      <c r="AF821" s="165"/>
      <c r="AG821" s="165"/>
      <c r="AH821" s="165"/>
      <c r="AI821" s="165"/>
      <c r="AJ821" s="165"/>
      <c r="AK821" s="165"/>
      <c r="AL821" s="165"/>
      <c r="AM821" s="165"/>
      <c r="AN821" s="165"/>
      <c r="AO821" s="165"/>
      <c r="AP821" s="165">
        <v>1.0093820769977353E-2</v>
      </c>
      <c r="AQ821" s="165">
        <v>7.1323888617489005E-3</v>
      </c>
      <c r="AR821" s="165">
        <v>7.0833333333333338E-3</v>
      </c>
      <c r="AS821" s="165">
        <v>8.4772619236254156E-3</v>
      </c>
      <c r="AT821" s="165">
        <v>9.4647013188518241E-3</v>
      </c>
      <c r="AU821" s="165">
        <v>1.0844846558258956E-2</v>
      </c>
      <c r="AV821" s="165">
        <v>1.1148609333178168E-2</v>
      </c>
      <c r="AW821" s="173">
        <v>1.1757361356778691E-2</v>
      </c>
      <c r="AX821" s="165">
        <v>1.1757361356778693E-2</v>
      </c>
      <c r="AY821" s="165">
        <v>1.1757361356778691E-2</v>
      </c>
      <c r="AZ821" s="165">
        <v>1.1757361356778691E-2</v>
      </c>
      <c r="BA821" s="165">
        <v>1.1757361356778693E-2</v>
      </c>
      <c r="BB821" s="165">
        <v>1.1757361356778693E-2</v>
      </c>
      <c r="BC821" s="165">
        <v>1.1757361356778693E-2</v>
      </c>
      <c r="BD821" s="165">
        <v>1.1757361356778694E-2</v>
      </c>
      <c r="BE821" s="165">
        <v>1.1757361356778693E-2</v>
      </c>
      <c r="BF821" s="165">
        <v>1.1757361356778693E-2</v>
      </c>
      <c r="BG821" s="165">
        <v>1.1757361356778693E-2</v>
      </c>
      <c r="BH821" s="165">
        <v>1.1757361356778693E-2</v>
      </c>
      <c r="BI821" s="165">
        <v>1.1757361356778696E-2</v>
      </c>
      <c r="BJ821" s="165">
        <v>1.1757361356778694E-2</v>
      </c>
      <c r="BK821" s="165">
        <v>1.1757361356778693E-2</v>
      </c>
      <c r="BL821" s="165">
        <v>1.1757361356778693E-2</v>
      </c>
      <c r="BM821" s="165">
        <v>1.1757361356778694E-2</v>
      </c>
      <c r="BN821" s="165">
        <v>1.1757361356778693E-2</v>
      </c>
      <c r="BO821" s="165">
        <v>1.1757361356778693E-2</v>
      </c>
      <c r="BP821" s="165">
        <v>1.1757361356778693E-2</v>
      </c>
      <c r="BQ821" s="165">
        <v>1.1757361356778693E-2</v>
      </c>
      <c r="BS821" s="165"/>
      <c r="BT821" s="165"/>
      <c r="BU821" s="165"/>
      <c r="BV821" s="165"/>
      <c r="BW821" s="165"/>
      <c r="BX821" s="165"/>
      <c r="BY821" s="165"/>
      <c r="BZ821" s="165"/>
      <c r="CA821" s="165"/>
      <c r="CB821" s="165"/>
      <c r="CC821" s="165"/>
      <c r="CD821" s="165"/>
      <c r="CE821" s="165"/>
      <c r="CF821" s="165"/>
      <c r="CG821" s="165"/>
      <c r="CH821" s="165"/>
      <c r="CI821" s="165"/>
      <c r="CJ821" s="165"/>
      <c r="CK821" s="165"/>
      <c r="CL821" s="165"/>
      <c r="CM821" s="165"/>
      <c r="CN821" s="165"/>
      <c r="CO821" s="165"/>
      <c r="CP821" s="165"/>
      <c r="CQ821" s="165"/>
      <c r="CR821" s="165"/>
      <c r="CS821" s="165"/>
      <c r="CT821" s="165">
        <v>4.4025020279405127E-3</v>
      </c>
      <c r="CU821" s="165">
        <v>1.0638006122627485E-2</v>
      </c>
      <c r="CV821" s="165">
        <v>7.1323888617489005E-3</v>
      </c>
      <c r="CW821" s="165">
        <v>8.4772619236254156E-3</v>
      </c>
      <c r="CX821" s="165">
        <v>1.0844846558258956E-2</v>
      </c>
      <c r="CY821" s="173">
        <v>1.1757361356778691E-2</v>
      </c>
      <c r="CZ821" s="165">
        <v>1.1757361356778691E-2</v>
      </c>
      <c r="DA821" s="165">
        <v>1.1757361356778693E-2</v>
      </c>
      <c r="DB821" s="165">
        <v>1.1757361356778693E-2</v>
      </c>
      <c r="DC821" s="165">
        <v>1.1757361356778693E-2</v>
      </c>
      <c r="DD821" s="165">
        <v>1.1757361356778693E-2</v>
      </c>
      <c r="DE821" s="165">
        <v>1.1757361356778696E-2</v>
      </c>
      <c r="DF821" s="165">
        <v>1.1757361356778693E-2</v>
      </c>
      <c r="DG821" s="165">
        <v>1.1757361356778694E-2</v>
      </c>
      <c r="DH821" s="165">
        <v>1.1757361356778693E-2</v>
      </c>
      <c r="DI821" s="165">
        <v>1.1757361356778693E-2</v>
      </c>
    </row>
    <row r="822" spans="1:113" ht="12" outlineLevel="1">
      <c r="A822" s="1" t="s">
        <v>826</v>
      </c>
      <c r="B822" s="19" t="s">
        <v>262</v>
      </c>
      <c r="C822" s="601"/>
      <c r="D822" s="601"/>
      <c r="E822" s="601"/>
      <c r="F822" s="601"/>
      <c r="G822" s="601"/>
      <c r="H822" s="601"/>
      <c r="I822" s="601"/>
      <c r="J822" s="601"/>
      <c r="K822" s="601"/>
      <c r="L822" s="601"/>
      <c r="M822" s="601"/>
      <c r="N822" s="601"/>
      <c r="O822" s="601"/>
      <c r="P822" s="601"/>
      <c r="Q822" s="601"/>
      <c r="R822" s="601"/>
      <c r="S822" s="601"/>
      <c r="T822" s="416"/>
      <c r="U822" s="601"/>
      <c r="V822" s="601"/>
      <c r="W822" s="601"/>
      <c r="X822" s="601"/>
      <c r="Y822" s="416"/>
      <c r="Z822" s="416"/>
      <c r="AA822" s="416"/>
      <c r="AB822" s="416"/>
      <c r="AC822" s="416"/>
      <c r="AD822" s="416"/>
      <c r="AE822" s="416"/>
      <c r="AF822" s="416"/>
      <c r="AG822" s="416"/>
      <c r="AH822" s="416"/>
      <c r="AI822" s="416"/>
      <c r="AJ822" s="416"/>
      <c r="AK822" s="416"/>
      <c r="AL822" s="416"/>
      <c r="AM822" s="416"/>
      <c r="AN822" s="416"/>
      <c r="AO822" s="416"/>
      <c r="AP822" s="167">
        <v>1.421979865771812E-2</v>
      </c>
      <c r="AQ822" s="167">
        <v>1.1086474501108648E-2</v>
      </c>
      <c r="AR822" s="167">
        <v>1.0259352765664448E-2</v>
      </c>
      <c r="AS822" s="167">
        <v>1.0091407678244972E-2</v>
      </c>
      <c r="AT822" s="167">
        <v>1.154132539091586E-2</v>
      </c>
      <c r="AU822" s="167">
        <v>1.3507740249296341E-2</v>
      </c>
      <c r="AV822" s="167">
        <v>1.5073635576090096E-2</v>
      </c>
      <c r="AW822" s="174">
        <v>1.5581565471836136E-2</v>
      </c>
      <c r="AX822" s="166">
        <v>1.5856424772025566E-2</v>
      </c>
      <c r="AY822" s="166">
        <v>1.6131319537876027E-2</v>
      </c>
      <c r="AZ822" s="166">
        <v>1.6413292865922299E-2</v>
      </c>
      <c r="BA822" s="166">
        <v>1.6682286459396727E-2</v>
      </c>
      <c r="BB822" s="166">
        <v>1.6951139909167703E-2</v>
      </c>
      <c r="BC822" s="166">
        <v>1.7220012187126665E-2</v>
      </c>
      <c r="BD822" s="166">
        <v>1.7215169723574276E-2</v>
      </c>
      <c r="BE822" s="166">
        <v>1.7210345943204391E-2</v>
      </c>
      <c r="BF822" s="166">
        <v>1.7205470939544939E-2</v>
      </c>
      <c r="BG822" s="166">
        <v>1.7200615017964795E-2</v>
      </c>
      <c r="BH822" s="166">
        <v>1.7195730781446778E-2</v>
      </c>
      <c r="BI822" s="166">
        <v>1.7190865850192558E-2</v>
      </c>
      <c r="BJ822" s="166">
        <v>1.7186020147896809E-2</v>
      </c>
      <c r="BK822" s="166">
        <v>1.7181193598555827E-2</v>
      </c>
      <c r="BL822" s="166">
        <v>1.7176386126466301E-2</v>
      </c>
      <c r="BM822" s="166">
        <v>1.7171597656224155E-2</v>
      </c>
      <c r="BN822" s="166">
        <v>1.7166828112723336E-2</v>
      </c>
      <c r="BO822" s="166">
        <v>1.7162077421154671E-2</v>
      </c>
      <c r="BP822" s="166">
        <v>1.7157345507004665E-2</v>
      </c>
      <c r="BQ822" s="166">
        <v>1.7152632296054349E-2</v>
      </c>
      <c r="BR822" s="166"/>
      <c r="BS822" s="166"/>
      <c r="BT822" s="166"/>
      <c r="BU822" s="166"/>
      <c r="BV822" s="166"/>
      <c r="BW822" s="166"/>
      <c r="BX822" s="166"/>
      <c r="BY822" s="166"/>
      <c r="BZ822" s="166"/>
      <c r="CA822" s="166"/>
      <c r="CB822" s="166"/>
      <c r="CC822" s="166"/>
      <c r="CD822" s="166"/>
      <c r="CE822" s="166"/>
      <c r="CF822" s="166"/>
      <c r="CG822" s="166"/>
      <c r="CH822" s="166"/>
      <c r="CI822" s="166"/>
      <c r="CJ822" s="166"/>
      <c r="CK822" s="166"/>
      <c r="CL822" s="166"/>
      <c r="CM822" s="166"/>
      <c r="CN822" s="167"/>
      <c r="CO822" s="167"/>
      <c r="CP822" s="167"/>
      <c r="CQ822" s="167"/>
      <c r="CR822" s="167"/>
      <c r="CS822" s="167"/>
      <c r="CT822" s="167">
        <v>8.3673469387755099E-3</v>
      </c>
      <c r="CU822" s="167">
        <v>1.5101587301587302E-2</v>
      </c>
      <c r="CV822" s="167">
        <v>1.1086474501108648E-2</v>
      </c>
      <c r="CW822" s="167">
        <v>1.0091407678244972E-2</v>
      </c>
      <c r="CX822" s="167">
        <v>1.3507740249296341E-2</v>
      </c>
      <c r="CY822" s="174">
        <v>1.5581565471836136E-2</v>
      </c>
      <c r="CZ822" s="166">
        <v>1.6131319537876027E-2</v>
      </c>
      <c r="DA822" s="166">
        <v>1.6682286459396727E-2</v>
      </c>
      <c r="DB822" s="166">
        <v>1.7220012187126665E-2</v>
      </c>
      <c r="DC822" s="166">
        <v>1.7210345943204391E-2</v>
      </c>
      <c r="DD822" s="166">
        <v>1.7200615017964795E-2</v>
      </c>
      <c r="DE822" s="166">
        <v>1.7190865850192558E-2</v>
      </c>
      <c r="DF822" s="166">
        <v>1.7181193598555827E-2</v>
      </c>
      <c r="DG822" s="166">
        <v>1.7171597656224155E-2</v>
      </c>
      <c r="DH822" s="166">
        <v>1.7162077421154671E-2</v>
      </c>
      <c r="DI822" s="166">
        <v>1.7152632296054349E-2</v>
      </c>
    </row>
    <row r="823" spans="1:113" ht="12" outlineLevel="1">
      <c r="A823" s="1" t="s">
        <v>827</v>
      </c>
      <c r="B823" s="19" t="s">
        <v>369</v>
      </c>
      <c r="C823" s="601"/>
      <c r="D823" s="601"/>
      <c r="E823" s="601"/>
      <c r="F823" s="601"/>
      <c r="G823" s="601"/>
      <c r="H823" s="601"/>
      <c r="I823" s="601"/>
      <c r="J823" s="601"/>
      <c r="K823" s="601"/>
      <c r="L823" s="601"/>
      <c r="M823" s="601"/>
      <c r="N823" s="601"/>
      <c r="O823" s="601"/>
      <c r="P823" s="601"/>
      <c r="Q823" s="601"/>
      <c r="R823" s="601"/>
      <c r="S823" s="601"/>
      <c r="T823" s="416"/>
      <c r="U823" s="601"/>
      <c r="V823" s="601"/>
      <c r="W823" s="601"/>
      <c r="X823" s="601"/>
      <c r="Y823" s="416"/>
      <c r="Z823" s="416"/>
      <c r="AA823" s="416"/>
      <c r="AB823" s="416"/>
      <c r="AC823" s="416"/>
      <c r="AD823" s="416"/>
      <c r="AE823" s="416"/>
      <c r="AF823" s="416"/>
      <c r="AG823" s="416"/>
      <c r="AH823" s="416"/>
      <c r="AI823" s="416"/>
      <c r="AJ823" s="416"/>
      <c r="AK823" s="416"/>
      <c r="AL823" s="416"/>
      <c r="AM823" s="416"/>
      <c r="AN823" s="416"/>
      <c r="AO823" s="416"/>
      <c r="AP823" s="167">
        <v>1.3875756719918463E-2</v>
      </c>
      <c r="AQ823" s="167">
        <v>1.0813950614232395E-2</v>
      </c>
      <c r="AR823" s="167">
        <v>9.0430912401375692E-3</v>
      </c>
      <c r="AS823" s="167">
        <v>9.7492052278346873E-3</v>
      </c>
      <c r="AT823" s="167">
        <v>1.105248146035368E-2</v>
      </c>
      <c r="AU823" s="167">
        <v>1.4456697149004841E-2</v>
      </c>
      <c r="AV823" s="167">
        <v>1.6705069124423964E-2</v>
      </c>
      <c r="AW823" s="174">
        <v>1.7065354240586014E-2</v>
      </c>
      <c r="AX823" s="166">
        <v>1.7364732161013766E-2</v>
      </c>
      <c r="AY823" s="166">
        <v>1.7664038805740714E-2</v>
      </c>
      <c r="AZ823" s="166">
        <v>1.7960274319143692E-2</v>
      </c>
      <c r="BA823" s="166">
        <v>1.8261944510322769E-2</v>
      </c>
      <c r="BB823" s="166">
        <v>1.8563923663340014E-2</v>
      </c>
      <c r="BC823" s="166">
        <v>1.8866143023539953E-2</v>
      </c>
      <c r="BD823" s="166">
        <v>1.8868577615792796E-2</v>
      </c>
      <c r="BE823" s="166">
        <v>1.8871004802349045E-2</v>
      </c>
      <c r="BF823" s="166">
        <v>1.887345978077435E-2</v>
      </c>
      <c r="BG823" s="166">
        <v>1.8875907168798212E-2</v>
      </c>
      <c r="BH823" s="166">
        <v>1.8878370862839559E-2</v>
      </c>
      <c r="BI823" s="166">
        <v>1.8880826850584689E-2</v>
      </c>
      <c r="BJ823" s="166">
        <v>1.8883275148963912E-2</v>
      </c>
      <c r="BK823" s="166">
        <v>1.8885715774921936E-2</v>
      </c>
      <c r="BL823" s="166">
        <v>1.8888148745417381E-2</v>
      </c>
      <c r="BM823" s="166">
        <v>1.889057407742235E-2</v>
      </c>
      <c r="BN823" s="166">
        <v>1.8892991787921972E-2</v>
      </c>
      <c r="BO823" s="166">
        <v>1.8895401893913959E-2</v>
      </c>
      <c r="BP823" s="166">
        <v>1.8897804412408174E-2</v>
      </c>
      <c r="BQ823" s="166">
        <v>1.8900199360426164E-2</v>
      </c>
      <c r="BR823" s="166"/>
      <c r="BS823" s="166"/>
      <c r="BT823" s="166"/>
      <c r="BU823" s="166"/>
      <c r="BV823" s="166"/>
      <c r="BW823" s="166"/>
      <c r="BX823" s="166"/>
      <c r="BY823" s="166"/>
      <c r="BZ823" s="166"/>
      <c r="CA823" s="166"/>
      <c r="CB823" s="166"/>
      <c r="CC823" s="166"/>
      <c r="CD823" s="166"/>
      <c r="CE823" s="166"/>
      <c r="CF823" s="166"/>
      <c r="CG823" s="166"/>
      <c r="CH823" s="166"/>
      <c r="CI823" s="166"/>
      <c r="CJ823" s="166"/>
      <c r="CK823" s="166"/>
      <c r="CL823" s="166"/>
      <c r="CM823" s="166"/>
      <c r="CN823" s="167"/>
      <c r="CO823" s="167"/>
      <c r="CP823" s="167"/>
      <c r="CQ823" s="167"/>
      <c r="CR823" s="167"/>
      <c r="CS823" s="167"/>
      <c r="CT823" s="167">
        <v>8.9130434782608691E-3</v>
      </c>
      <c r="CU823" s="167">
        <v>1.5106382978723406E-2</v>
      </c>
      <c r="CV823" s="167">
        <v>1.0813950614232395E-2</v>
      </c>
      <c r="CW823" s="167">
        <v>9.7492052278346873E-3</v>
      </c>
      <c r="CX823" s="167">
        <v>1.4456697149004841E-2</v>
      </c>
      <c r="CY823" s="174">
        <v>1.7065354240586014E-2</v>
      </c>
      <c r="CZ823" s="166">
        <v>1.7664038805740714E-2</v>
      </c>
      <c r="DA823" s="166">
        <v>1.8261944510322769E-2</v>
      </c>
      <c r="DB823" s="166">
        <v>1.8866143023539953E-2</v>
      </c>
      <c r="DC823" s="166">
        <v>1.8871004802349045E-2</v>
      </c>
      <c r="DD823" s="166">
        <v>1.8875907168798212E-2</v>
      </c>
      <c r="DE823" s="166">
        <v>1.8880826850584689E-2</v>
      </c>
      <c r="DF823" s="166">
        <v>1.8885715774921936E-2</v>
      </c>
      <c r="DG823" s="166">
        <v>1.889057407742235E-2</v>
      </c>
      <c r="DH823" s="166">
        <v>1.8895401893913959E-2</v>
      </c>
      <c r="DI823" s="166">
        <v>1.8900199360426164E-2</v>
      </c>
    </row>
    <row r="824" spans="1:113" ht="12" outlineLevel="1">
      <c r="A824" s="1" t="s">
        <v>828</v>
      </c>
      <c r="B824" s="19" t="s">
        <v>370</v>
      </c>
      <c r="C824" s="601"/>
      <c r="D824" s="601"/>
      <c r="E824" s="601"/>
      <c r="F824" s="601"/>
      <c r="G824" s="601"/>
      <c r="H824" s="601"/>
      <c r="I824" s="601"/>
      <c r="J824" s="601"/>
      <c r="K824" s="601"/>
      <c r="L824" s="601"/>
      <c r="M824" s="601"/>
      <c r="N824" s="601"/>
      <c r="O824" s="601"/>
      <c r="P824" s="601"/>
      <c r="Q824" s="601"/>
      <c r="R824" s="601"/>
      <c r="S824" s="601"/>
      <c r="T824" s="416"/>
      <c r="U824" s="601"/>
      <c r="V824" s="601"/>
      <c r="W824" s="601"/>
      <c r="X824" s="601"/>
      <c r="Y824" s="416"/>
      <c r="Z824" s="416"/>
      <c r="AA824" s="416"/>
      <c r="AB824" s="416"/>
      <c r="AC824" s="416"/>
      <c r="AD824" s="416"/>
      <c r="AE824" s="416"/>
      <c r="AF824" s="416"/>
      <c r="AG824" s="416"/>
      <c r="AH824" s="416"/>
      <c r="AI824" s="416"/>
      <c r="AJ824" s="416"/>
      <c r="AK824" s="416"/>
      <c r="AL824" s="416"/>
      <c r="AM824" s="416"/>
      <c r="AN824" s="416"/>
      <c r="AO824" s="416"/>
      <c r="AP824" s="167">
        <v>1.0967324490456162E-2</v>
      </c>
      <c r="AQ824" s="167">
        <v>8.5490962383976549E-3</v>
      </c>
      <c r="AR824" s="167">
        <v>8.0978260869565225E-3</v>
      </c>
      <c r="AS824" s="167">
        <v>8.7466328632546352E-3</v>
      </c>
      <c r="AT824" s="167">
        <v>1.0020687871735195E-2</v>
      </c>
      <c r="AU824" s="167">
        <v>1.3143416065533684E-2</v>
      </c>
      <c r="AV824" s="167">
        <v>1.5186779937158152E-2</v>
      </c>
      <c r="AW824" s="174">
        <v>1.551347414420976E-2</v>
      </c>
      <c r="AX824" s="166">
        <v>1.5785627394732837E-2</v>
      </c>
      <c r="AY824" s="166">
        <v>1.6057715851186826E-2</v>
      </c>
      <c r="AZ824" s="166">
        <v>1.6327012457221773E-2</v>
      </c>
      <c r="BA824" s="166">
        <v>1.6601249525199254E-2</v>
      </c>
      <c r="BB824" s="166">
        <v>1.6875767458807797E-2</v>
      </c>
      <c r="BC824" s="166">
        <v>1.7150503755766162E-2</v>
      </c>
      <c r="BD824" s="166">
        <v>1.7152716952365175E-2</v>
      </c>
      <c r="BE824" s="166">
        <v>1.7154923416722881E-2</v>
      </c>
      <c r="BF824" s="166">
        <v>1.7157155145627462E-2</v>
      </c>
      <c r="BG824" s="166">
        <v>1.715937997438248E-2</v>
      </c>
      <c r="BH824" s="166">
        <v>1.7161619626327049E-2</v>
      </c>
      <c r="BI824" s="166">
        <v>1.7163852272766462E-2</v>
      </c>
      <c r="BJ824" s="166">
        <v>1.7166077929091431E-2</v>
      </c>
      <c r="BK824" s="166">
        <v>1.7168296610705753E-2</v>
      </c>
      <c r="BL824" s="166">
        <v>1.7170508333025872E-2</v>
      </c>
      <c r="BM824" s="166">
        <v>1.7172713111480505E-2</v>
      </c>
      <c r="BN824" s="166">
        <v>1.7174910961510175E-2</v>
      </c>
      <c r="BO824" s="166">
        <v>1.7177101898566881E-2</v>
      </c>
      <c r="BP824" s="166">
        <v>1.7179285938113645E-2</v>
      </c>
      <c r="BQ824" s="166">
        <v>1.7181463095624121E-2</v>
      </c>
      <c r="BR824" s="166"/>
      <c r="BS824" s="166"/>
      <c r="BT824" s="166"/>
      <c r="BU824" s="166"/>
      <c r="BV824" s="166"/>
      <c r="BW824" s="166"/>
      <c r="BX824" s="166"/>
      <c r="BY824" s="166"/>
      <c r="BZ824" s="166"/>
      <c r="CA824" s="166"/>
      <c r="CB824" s="166"/>
      <c r="CC824" s="166"/>
      <c r="CD824" s="166"/>
      <c r="CE824" s="166"/>
      <c r="CF824" s="166"/>
      <c r="CG824" s="166"/>
      <c r="CH824" s="166"/>
      <c r="CI824" s="166"/>
      <c r="CJ824" s="166"/>
      <c r="CK824" s="166"/>
      <c r="CL824" s="166"/>
      <c r="CM824" s="166"/>
      <c r="CN824" s="167"/>
      <c r="CO824" s="167"/>
      <c r="CP824" s="167"/>
      <c r="CQ824" s="167"/>
      <c r="CR824" s="167"/>
      <c r="CS824" s="167"/>
      <c r="CT824" s="167">
        <v>4.4025020279405127E-3</v>
      </c>
      <c r="CU824" s="167">
        <v>1.1107329922155166E-2</v>
      </c>
      <c r="CV824" s="167">
        <v>8.5490962383976549E-3</v>
      </c>
      <c r="CW824" s="167">
        <v>8.7466328632546352E-3</v>
      </c>
      <c r="CX824" s="167">
        <v>1.3143416065533684E-2</v>
      </c>
      <c r="CY824" s="174">
        <v>1.551347414420976E-2</v>
      </c>
      <c r="CZ824" s="166">
        <v>1.6057715851186826E-2</v>
      </c>
      <c r="DA824" s="166">
        <v>1.6601249525199254E-2</v>
      </c>
      <c r="DB824" s="166">
        <v>1.7150503755766162E-2</v>
      </c>
      <c r="DC824" s="166">
        <v>1.7154923416722881E-2</v>
      </c>
      <c r="DD824" s="166">
        <v>1.715937997438248E-2</v>
      </c>
      <c r="DE824" s="166">
        <v>1.7163852272766462E-2</v>
      </c>
      <c r="DF824" s="166">
        <v>1.7168296610705753E-2</v>
      </c>
      <c r="DG824" s="166">
        <v>1.7172713111480505E-2</v>
      </c>
      <c r="DH824" s="166">
        <v>1.7177101898566881E-2</v>
      </c>
      <c r="DI824" s="166">
        <v>1.7181463095624121E-2</v>
      </c>
    </row>
    <row r="825" spans="1:113" ht="12" outlineLevel="1">
      <c r="A825" s="1" t="s">
        <v>2205</v>
      </c>
      <c r="B825" s="19" t="s">
        <v>2206</v>
      </c>
      <c r="C825" s="165"/>
      <c r="D825" s="165"/>
      <c r="E825" s="165"/>
      <c r="F825" s="165"/>
      <c r="G825" s="165"/>
      <c r="H825" s="165"/>
      <c r="I825" s="165"/>
      <c r="J825" s="165"/>
      <c r="K825" s="165"/>
      <c r="L825" s="165"/>
      <c r="M825" s="165"/>
      <c r="N825" s="165"/>
      <c r="O825" s="165"/>
      <c r="P825" s="165"/>
      <c r="Q825" s="165"/>
      <c r="R825" s="165"/>
      <c r="S825" s="165"/>
      <c r="T825" s="165"/>
      <c r="U825" s="165"/>
      <c r="V825" s="165"/>
      <c r="W825" s="165"/>
      <c r="X825" s="165"/>
      <c r="Y825" s="165"/>
      <c r="Z825" s="165"/>
      <c r="AA825" s="165"/>
      <c r="AB825" s="165"/>
      <c r="AC825" s="165"/>
      <c r="AD825" s="165"/>
      <c r="AE825" s="165"/>
      <c r="AF825" s="165"/>
      <c r="AG825" s="165"/>
      <c r="AH825" s="165"/>
      <c r="AI825" s="165"/>
      <c r="AJ825" s="165"/>
      <c r="AK825" s="165"/>
      <c r="AL825" s="165"/>
      <c r="AM825" s="165"/>
      <c r="AN825" s="165"/>
      <c r="AO825" s="165"/>
      <c r="AP825" s="165">
        <v>1.421979865771812E-2</v>
      </c>
      <c r="AQ825" s="165">
        <v>1.1086474501108648E-2</v>
      </c>
      <c r="AR825" s="165">
        <v>1.0259352765664448E-2</v>
      </c>
      <c r="AS825" s="165">
        <v>1.0091407678244972E-2</v>
      </c>
      <c r="AT825" s="165">
        <v>1.154132539091586E-2</v>
      </c>
      <c r="AU825" s="165">
        <v>1.3507740249296341E-2</v>
      </c>
      <c r="AV825" s="165">
        <v>1.5073635576090096E-2</v>
      </c>
      <c r="AW825" s="173">
        <v>1.5581565471836136E-2</v>
      </c>
      <c r="AX825" s="165">
        <v>1.5856424772025566E-2</v>
      </c>
      <c r="AY825" s="165">
        <v>1.6131319537876027E-2</v>
      </c>
      <c r="AZ825" s="165">
        <v>1.6413292865922299E-2</v>
      </c>
      <c r="BA825" s="165">
        <v>1.6682286459396727E-2</v>
      </c>
      <c r="BB825" s="165">
        <v>1.6951139909167703E-2</v>
      </c>
      <c r="BC825" s="165">
        <v>1.7220012187126665E-2</v>
      </c>
      <c r="BD825" s="165">
        <v>1.7215169723574276E-2</v>
      </c>
      <c r="BE825" s="165">
        <v>1.7210345943204391E-2</v>
      </c>
      <c r="BF825" s="165">
        <v>1.7205470939544939E-2</v>
      </c>
      <c r="BG825" s="165">
        <v>1.7200615017964795E-2</v>
      </c>
      <c r="BH825" s="165">
        <v>1.7195730781446778E-2</v>
      </c>
      <c r="BI825" s="165">
        <v>1.7190865850192558E-2</v>
      </c>
      <c r="BJ825" s="165">
        <v>1.7186020147896809E-2</v>
      </c>
      <c r="BK825" s="165">
        <v>1.7181193598555827E-2</v>
      </c>
      <c r="BL825" s="165">
        <v>1.7176386126466301E-2</v>
      </c>
      <c r="BM825" s="165">
        <v>1.7171597656224155E-2</v>
      </c>
      <c r="BN825" s="165">
        <v>1.7166828112723336E-2</v>
      </c>
      <c r="BO825" s="165">
        <v>1.7162077421154671E-2</v>
      </c>
      <c r="BP825" s="165">
        <v>1.7157345507004665E-2</v>
      </c>
      <c r="BQ825" s="165">
        <v>1.7152632296054349E-2</v>
      </c>
      <c r="BS825" s="165"/>
      <c r="BT825" s="165"/>
      <c r="BU825" s="165"/>
      <c r="BV825" s="165"/>
      <c r="BW825" s="165"/>
      <c r="BX825" s="165"/>
      <c r="BY825" s="165"/>
      <c r="BZ825" s="165"/>
      <c r="CA825" s="165"/>
      <c r="CB825" s="165"/>
      <c r="CC825" s="165"/>
      <c r="CD825" s="165"/>
      <c r="CE825" s="165"/>
      <c r="CF825" s="165"/>
      <c r="CG825" s="165"/>
      <c r="CH825" s="165"/>
      <c r="CI825" s="165"/>
      <c r="CJ825" s="165"/>
      <c r="CK825" s="165"/>
      <c r="CL825" s="165"/>
      <c r="CM825" s="165"/>
      <c r="CN825" s="165"/>
      <c r="CO825" s="165"/>
      <c r="CP825" s="165"/>
      <c r="CQ825" s="165"/>
      <c r="CR825" s="165"/>
      <c r="CS825" s="165"/>
      <c r="CT825" s="165">
        <v>8.3673469387755099E-3</v>
      </c>
      <c r="CU825" s="165">
        <v>1.5101587301587302E-2</v>
      </c>
      <c r="CV825" s="165">
        <v>1.1086474501108648E-2</v>
      </c>
      <c r="CW825" s="165">
        <v>1.0091407678244972E-2</v>
      </c>
      <c r="CX825" s="165">
        <v>1.3507740249296341E-2</v>
      </c>
      <c r="CY825" s="173">
        <v>1.5581565471836136E-2</v>
      </c>
      <c r="CZ825" s="165">
        <v>1.6131319537876027E-2</v>
      </c>
      <c r="DA825" s="165">
        <v>1.6682286459396727E-2</v>
      </c>
      <c r="DB825" s="165">
        <v>1.7220012187126665E-2</v>
      </c>
      <c r="DC825" s="165">
        <v>1.7210345943204391E-2</v>
      </c>
      <c r="DD825" s="165">
        <v>1.7200615017964795E-2</v>
      </c>
      <c r="DE825" s="165">
        <v>1.7190865850192558E-2</v>
      </c>
      <c r="DF825" s="165">
        <v>1.7181193598555827E-2</v>
      </c>
      <c r="DG825" s="165">
        <v>1.7171597656224155E-2</v>
      </c>
      <c r="DH825" s="165">
        <v>1.7162077421154671E-2</v>
      </c>
      <c r="DI825" s="165">
        <v>1.7152632296054349E-2</v>
      </c>
    </row>
    <row r="826" spans="1:113" ht="12" outlineLevel="1">
      <c r="A826" s="1" t="s">
        <v>2207</v>
      </c>
      <c r="B826" s="19" t="s">
        <v>2208</v>
      </c>
      <c r="C826" s="165"/>
      <c r="D826" s="165"/>
      <c r="E826" s="165"/>
      <c r="F826" s="165"/>
      <c r="G826" s="165"/>
      <c r="H826" s="165"/>
      <c r="I826" s="165"/>
      <c r="J826" s="165"/>
      <c r="K826" s="165"/>
      <c r="L826" s="165"/>
      <c r="M826" s="165"/>
      <c r="N826" s="165"/>
      <c r="O826" s="165"/>
      <c r="P826" s="165"/>
      <c r="Q826" s="165"/>
      <c r="R826" s="165"/>
      <c r="S826" s="165"/>
      <c r="T826" s="165"/>
      <c r="U826" s="165"/>
      <c r="V826" s="165"/>
      <c r="W826" s="165"/>
      <c r="X826" s="165"/>
      <c r="Y826" s="165"/>
      <c r="Z826" s="165"/>
      <c r="AA826" s="165"/>
      <c r="AB826" s="165"/>
      <c r="AC826" s="165"/>
      <c r="AD826" s="165"/>
      <c r="AE826" s="165"/>
      <c r="AF826" s="165"/>
      <c r="AG826" s="165"/>
      <c r="AH826" s="165"/>
      <c r="AI826" s="165"/>
      <c r="AJ826" s="165"/>
      <c r="AK826" s="165"/>
      <c r="AL826" s="165"/>
      <c r="AM826" s="165"/>
      <c r="AN826" s="165"/>
      <c r="AO826" s="165"/>
      <c r="AP826" s="165">
        <v>1.3875756719918463E-2</v>
      </c>
      <c r="AQ826" s="165">
        <v>1.0813950614232395E-2</v>
      </c>
      <c r="AR826" s="165">
        <v>9.0430912401375692E-3</v>
      </c>
      <c r="AS826" s="165">
        <v>9.7492052278346873E-3</v>
      </c>
      <c r="AT826" s="165">
        <v>1.105248146035368E-2</v>
      </c>
      <c r="AU826" s="165">
        <v>1.4456697149004841E-2</v>
      </c>
      <c r="AV826" s="165">
        <v>1.6705069124423964E-2</v>
      </c>
      <c r="AW826" s="173">
        <v>1.7065354240586014E-2</v>
      </c>
      <c r="AX826" s="165">
        <v>1.7364732161013766E-2</v>
      </c>
      <c r="AY826" s="165">
        <v>1.7664038805740714E-2</v>
      </c>
      <c r="AZ826" s="165">
        <v>1.7960274319143692E-2</v>
      </c>
      <c r="BA826" s="165">
        <v>1.8261944510322769E-2</v>
      </c>
      <c r="BB826" s="165">
        <v>1.8563923663340014E-2</v>
      </c>
      <c r="BC826" s="165">
        <v>1.8866143023539953E-2</v>
      </c>
      <c r="BD826" s="165">
        <v>1.8868577615792796E-2</v>
      </c>
      <c r="BE826" s="165">
        <v>1.8871004802349045E-2</v>
      </c>
      <c r="BF826" s="165">
        <v>1.887345978077435E-2</v>
      </c>
      <c r="BG826" s="165">
        <v>1.8875907168798212E-2</v>
      </c>
      <c r="BH826" s="165">
        <v>1.8878370862839559E-2</v>
      </c>
      <c r="BI826" s="165">
        <v>1.8880826850584689E-2</v>
      </c>
      <c r="BJ826" s="165">
        <v>1.8883275148963912E-2</v>
      </c>
      <c r="BK826" s="165">
        <v>1.8885715774921936E-2</v>
      </c>
      <c r="BL826" s="165">
        <v>1.8888148745417381E-2</v>
      </c>
      <c r="BM826" s="165">
        <v>1.889057407742235E-2</v>
      </c>
      <c r="BN826" s="165">
        <v>1.8892991787921972E-2</v>
      </c>
      <c r="BO826" s="165">
        <v>1.8895401893913959E-2</v>
      </c>
      <c r="BP826" s="165">
        <v>1.8897804412408174E-2</v>
      </c>
      <c r="BQ826" s="165">
        <v>1.8900199360426164E-2</v>
      </c>
      <c r="BS826" s="165"/>
      <c r="BT826" s="165"/>
      <c r="BU826" s="165"/>
      <c r="BV826" s="165"/>
      <c r="BW826" s="165"/>
      <c r="BX826" s="165"/>
      <c r="BY826" s="165"/>
      <c r="BZ826" s="165"/>
      <c r="CA826" s="165"/>
      <c r="CB826" s="165"/>
      <c r="CC826" s="165"/>
      <c r="CD826" s="165"/>
      <c r="CE826" s="165"/>
      <c r="CF826" s="165"/>
      <c r="CG826" s="165"/>
      <c r="CH826" s="165"/>
      <c r="CI826" s="165"/>
      <c r="CJ826" s="165"/>
      <c r="CK826" s="165"/>
      <c r="CL826" s="165"/>
      <c r="CM826" s="165"/>
      <c r="CN826" s="165"/>
      <c r="CO826" s="165"/>
      <c r="CP826" s="165"/>
      <c r="CQ826" s="165"/>
      <c r="CR826" s="165"/>
      <c r="CS826" s="165"/>
      <c r="CT826" s="165">
        <v>8.9130434782608691E-3</v>
      </c>
      <c r="CU826" s="165">
        <v>1.5106382978723406E-2</v>
      </c>
      <c r="CV826" s="165">
        <v>1.0813950614232395E-2</v>
      </c>
      <c r="CW826" s="165">
        <v>9.7492052278346873E-3</v>
      </c>
      <c r="CX826" s="165">
        <v>1.4456697149004841E-2</v>
      </c>
      <c r="CY826" s="173">
        <v>1.7065354240586014E-2</v>
      </c>
      <c r="CZ826" s="165">
        <v>1.7664038805740714E-2</v>
      </c>
      <c r="DA826" s="165">
        <v>1.8261944510322769E-2</v>
      </c>
      <c r="DB826" s="165">
        <v>1.8866143023539953E-2</v>
      </c>
      <c r="DC826" s="165">
        <v>1.8871004802349045E-2</v>
      </c>
      <c r="DD826" s="165">
        <v>1.8875907168798212E-2</v>
      </c>
      <c r="DE826" s="165">
        <v>1.8880826850584689E-2</v>
      </c>
      <c r="DF826" s="165">
        <v>1.8885715774921936E-2</v>
      </c>
      <c r="DG826" s="165">
        <v>1.889057407742235E-2</v>
      </c>
      <c r="DH826" s="165">
        <v>1.8895401893913959E-2</v>
      </c>
      <c r="DI826" s="165">
        <v>1.8900199360426164E-2</v>
      </c>
    </row>
    <row r="827" spans="1:113" ht="12" outlineLevel="1">
      <c r="A827" s="1" t="s">
        <v>2209</v>
      </c>
      <c r="B827" s="19" t="s">
        <v>2210</v>
      </c>
      <c r="C827" s="165"/>
      <c r="D827" s="165"/>
      <c r="E827" s="165"/>
      <c r="F827" s="165"/>
      <c r="G827" s="165"/>
      <c r="H827" s="165"/>
      <c r="I827" s="165"/>
      <c r="J827" s="165"/>
      <c r="K827" s="165"/>
      <c r="L827" s="165"/>
      <c r="M827" s="165"/>
      <c r="N827" s="165"/>
      <c r="O827" s="165"/>
      <c r="P827" s="165"/>
      <c r="Q827" s="165"/>
      <c r="R827" s="165"/>
      <c r="S827" s="165"/>
      <c r="T827" s="165"/>
      <c r="U827" s="165"/>
      <c r="V827" s="165"/>
      <c r="W827" s="165"/>
      <c r="X827" s="165"/>
      <c r="Y827" s="165"/>
      <c r="Z827" s="165"/>
      <c r="AA827" s="165"/>
      <c r="AB827" s="165"/>
      <c r="AC827" s="165"/>
      <c r="AD827" s="165"/>
      <c r="AE827" s="165"/>
      <c r="AF827" s="165"/>
      <c r="AG827" s="165"/>
      <c r="AH827" s="165"/>
      <c r="AI827" s="165"/>
      <c r="AJ827" s="165"/>
      <c r="AK827" s="165"/>
      <c r="AL827" s="165"/>
      <c r="AM827" s="165"/>
      <c r="AN827" s="165"/>
      <c r="AO827" s="165"/>
      <c r="AP827" s="165">
        <v>1.0967324490456162E-2</v>
      </c>
      <c r="AQ827" s="165">
        <v>8.5490962383976549E-3</v>
      </c>
      <c r="AR827" s="165">
        <v>8.0978260869565225E-3</v>
      </c>
      <c r="AS827" s="165">
        <v>8.7466328632546352E-3</v>
      </c>
      <c r="AT827" s="165">
        <v>1.0020687871735195E-2</v>
      </c>
      <c r="AU827" s="165">
        <v>1.3143416065533684E-2</v>
      </c>
      <c r="AV827" s="165">
        <v>1.5186779937158152E-2</v>
      </c>
      <c r="AW827" s="173">
        <v>1.551347414420976E-2</v>
      </c>
      <c r="AX827" s="165">
        <v>1.5785627394732837E-2</v>
      </c>
      <c r="AY827" s="165">
        <v>1.6057715851186826E-2</v>
      </c>
      <c r="AZ827" s="165">
        <v>1.6327012457221773E-2</v>
      </c>
      <c r="BA827" s="165">
        <v>1.6601249525199254E-2</v>
      </c>
      <c r="BB827" s="165">
        <v>1.6875767458807797E-2</v>
      </c>
      <c r="BC827" s="165">
        <v>1.7150503755766162E-2</v>
      </c>
      <c r="BD827" s="165">
        <v>1.7152716952365175E-2</v>
      </c>
      <c r="BE827" s="165">
        <v>1.7154923416722881E-2</v>
      </c>
      <c r="BF827" s="165">
        <v>1.7157155145627462E-2</v>
      </c>
      <c r="BG827" s="165">
        <v>1.715937997438248E-2</v>
      </c>
      <c r="BH827" s="165">
        <v>1.7161619626327049E-2</v>
      </c>
      <c r="BI827" s="165">
        <v>1.7163852272766462E-2</v>
      </c>
      <c r="BJ827" s="165">
        <v>1.7166077929091431E-2</v>
      </c>
      <c r="BK827" s="165">
        <v>1.7168296610705753E-2</v>
      </c>
      <c r="BL827" s="165">
        <v>1.7170508333025872E-2</v>
      </c>
      <c r="BM827" s="165">
        <v>1.7172713111480505E-2</v>
      </c>
      <c r="BN827" s="165">
        <v>1.7174910961510175E-2</v>
      </c>
      <c r="BO827" s="165">
        <v>1.7177101898566881E-2</v>
      </c>
      <c r="BP827" s="165">
        <v>1.7179285938113645E-2</v>
      </c>
      <c r="BQ827" s="165">
        <v>1.7181463095624121E-2</v>
      </c>
      <c r="BS827" s="165"/>
      <c r="BT827" s="165"/>
      <c r="BU827" s="165"/>
      <c r="BV827" s="165"/>
      <c r="BW827" s="165"/>
      <c r="BX827" s="165"/>
      <c r="BY827" s="165"/>
      <c r="BZ827" s="165"/>
      <c r="CA827" s="165"/>
      <c r="CB827" s="165"/>
      <c r="CC827" s="165"/>
      <c r="CD827" s="165"/>
      <c r="CE827" s="165"/>
      <c r="CF827" s="165"/>
      <c r="CG827" s="165"/>
      <c r="CH827" s="165"/>
      <c r="CI827" s="165"/>
      <c r="CJ827" s="165"/>
      <c r="CK827" s="165"/>
      <c r="CL827" s="165"/>
      <c r="CM827" s="165"/>
      <c r="CN827" s="165"/>
      <c r="CO827" s="165"/>
      <c r="CP827" s="165"/>
      <c r="CQ827" s="165"/>
      <c r="CR827" s="165"/>
      <c r="CS827" s="165"/>
      <c r="CT827" s="165">
        <v>4.4025020279405127E-3</v>
      </c>
      <c r="CU827" s="165">
        <v>1.1107329922155166E-2</v>
      </c>
      <c r="CV827" s="165">
        <v>8.5490962383976549E-3</v>
      </c>
      <c r="CW827" s="165">
        <v>8.7466328632546352E-3</v>
      </c>
      <c r="CX827" s="165">
        <v>1.3143416065533684E-2</v>
      </c>
      <c r="CY827" s="173">
        <v>1.551347414420976E-2</v>
      </c>
      <c r="CZ827" s="165">
        <v>1.6057715851186826E-2</v>
      </c>
      <c r="DA827" s="165">
        <v>1.6601249525199254E-2</v>
      </c>
      <c r="DB827" s="165">
        <v>1.7150503755766162E-2</v>
      </c>
      <c r="DC827" s="165">
        <v>1.7154923416722881E-2</v>
      </c>
      <c r="DD827" s="165">
        <v>1.715937997438248E-2</v>
      </c>
      <c r="DE827" s="165">
        <v>1.7163852272766462E-2</v>
      </c>
      <c r="DF827" s="165">
        <v>1.7168296610705753E-2</v>
      </c>
      <c r="DG827" s="165">
        <v>1.7172713111480505E-2</v>
      </c>
      <c r="DH827" s="165">
        <v>1.7177101898566881E-2</v>
      </c>
      <c r="DI827" s="165">
        <v>1.7181463095624121E-2</v>
      </c>
    </row>
    <row r="828" spans="1:113" ht="12" hidden="1" outlineLevel="2">
      <c r="A828" s="1" t="s">
        <v>180</v>
      </c>
      <c r="B828" s="19" t="s">
        <v>801</v>
      </c>
      <c r="DB828" s="19"/>
      <c r="DC828" s="19"/>
      <c r="DD828" s="19"/>
      <c r="DE828" s="19"/>
      <c r="DF828" s="19"/>
      <c r="DG828" s="19"/>
      <c r="DH828" s="19"/>
      <c r="DI828" s="19"/>
    </row>
    <row r="829" spans="1:113" ht="12" hidden="1" outlineLevel="2">
      <c r="A829" s="1" t="s">
        <v>181</v>
      </c>
      <c r="B829" s="19" t="s">
        <v>801</v>
      </c>
      <c r="DB829" s="19"/>
      <c r="DC829" s="19"/>
      <c r="DD829" s="19"/>
      <c r="DE829" s="19"/>
      <c r="DF829" s="19"/>
      <c r="DG829" s="19"/>
      <c r="DH829" s="19"/>
      <c r="DI829" s="19"/>
    </row>
    <row r="830" spans="1:113" ht="12" hidden="1" outlineLevel="2">
      <c r="A830" s="1" t="s">
        <v>182</v>
      </c>
      <c r="B830" s="19" t="s">
        <v>801</v>
      </c>
      <c r="DB830" s="19"/>
      <c r="DC830" s="19"/>
      <c r="DD830" s="19"/>
      <c r="DE830" s="19"/>
      <c r="DF830" s="19"/>
      <c r="DG830" s="19"/>
      <c r="DH830" s="19"/>
      <c r="DI830" s="19"/>
    </row>
    <row r="831" spans="1:113" ht="12" hidden="1" outlineLevel="2">
      <c r="A831" s="1" t="s">
        <v>183</v>
      </c>
      <c r="B831" s="19" t="s">
        <v>801</v>
      </c>
      <c r="DB831" s="19"/>
      <c r="DC831" s="19"/>
      <c r="DD831" s="19"/>
      <c r="DE831" s="19"/>
      <c r="DF831" s="19"/>
      <c r="DG831" s="19"/>
      <c r="DH831" s="19"/>
      <c r="DI831" s="19"/>
    </row>
    <row r="832" spans="1:113" ht="12" outlineLevel="1" collapsed="1">
      <c r="DB832" s="19"/>
      <c r="DC832" s="19"/>
      <c r="DD832" s="19"/>
      <c r="DE832" s="19"/>
      <c r="DF832" s="19"/>
      <c r="DG832" s="19"/>
      <c r="DH832" s="19"/>
      <c r="DI832" s="19"/>
    </row>
    <row r="833" spans="1:113" s="24" customFormat="1" ht="12" outlineLevel="1">
      <c r="A833" s="1"/>
      <c r="B833" s="24" t="s">
        <v>620</v>
      </c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428"/>
      <c r="AC833" s="428"/>
      <c r="AD833" s="428"/>
      <c r="AE833" s="428"/>
      <c r="AF833" s="428"/>
      <c r="AG833" s="428"/>
      <c r="AH833" s="428"/>
      <c r="AI833" s="428"/>
      <c r="AJ833" s="515"/>
      <c r="AK833" s="428"/>
      <c r="AL833" s="428"/>
      <c r="AM833" s="428"/>
      <c r="AN833" s="428"/>
      <c r="AO833" s="428"/>
      <c r="AP833" s="428"/>
      <c r="AQ833" s="428"/>
      <c r="AR833" s="428"/>
      <c r="AS833" s="428"/>
      <c r="AT833" s="428"/>
      <c r="AU833" s="428"/>
      <c r="AV833" s="428"/>
      <c r="AW833" s="497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13"/>
      <c r="CI833" s="13"/>
      <c r="CJ833" s="13"/>
      <c r="CK833" s="13"/>
      <c r="CL833" s="13"/>
      <c r="CM833" s="13"/>
      <c r="CN833" s="13"/>
      <c r="CO833" s="13"/>
      <c r="CP833" s="13"/>
      <c r="CQ833" s="13"/>
      <c r="CR833" s="13"/>
      <c r="CS833" s="13"/>
      <c r="CT833" s="13"/>
      <c r="CU833" s="428"/>
      <c r="CV833" s="428"/>
      <c r="CW833" s="428"/>
      <c r="CX833" s="428"/>
      <c r="CY833" s="497"/>
      <c r="CZ833" s="13"/>
      <c r="DA833" s="13"/>
      <c r="DB833" s="13"/>
    </row>
    <row r="834" spans="1:113" ht="12" outlineLevel="1">
      <c r="A834" s="1" t="s">
        <v>954</v>
      </c>
      <c r="B834" s="19" t="s">
        <v>543</v>
      </c>
      <c r="C834" s="408"/>
      <c r="D834" s="408"/>
      <c r="E834" s="408"/>
      <c r="F834" s="408"/>
      <c r="G834" s="408"/>
      <c r="H834" s="408"/>
      <c r="I834" s="408"/>
      <c r="J834" s="408"/>
      <c r="K834" s="408"/>
      <c r="L834" s="408"/>
      <c r="M834" s="408"/>
      <c r="N834" s="408"/>
      <c r="O834" s="408"/>
      <c r="P834" s="408"/>
      <c r="Q834" s="408"/>
      <c r="R834" s="408"/>
      <c r="S834" s="408"/>
      <c r="T834" s="394"/>
      <c r="U834" s="408"/>
      <c r="V834" s="408"/>
      <c r="W834" s="408"/>
      <c r="X834" s="408"/>
      <c r="Y834" s="394"/>
      <c r="Z834" s="394"/>
      <c r="AA834" s="394"/>
      <c r="AB834" s="394"/>
      <c r="AC834" s="394"/>
      <c r="AD834" s="394"/>
      <c r="AE834" s="394"/>
      <c r="AF834" s="394"/>
      <c r="AG834" s="394"/>
      <c r="AH834" s="394"/>
      <c r="AI834" s="394"/>
      <c r="AJ834" s="394"/>
      <c r="AK834" s="394"/>
      <c r="AL834" s="394"/>
      <c r="AM834" s="394"/>
      <c r="AN834" s="394"/>
      <c r="AO834" s="394"/>
      <c r="AP834" s="285">
        <v>0.20349401488191524</v>
      </c>
      <c r="AQ834" s="285">
        <v>0.24523693209574987</v>
      </c>
      <c r="AR834" s="285">
        <v>0.23351449275362318</v>
      </c>
      <c r="AS834" s="285">
        <v>0.20472191411820631</v>
      </c>
      <c r="AT834" s="285">
        <v>0.17274372898888027</v>
      </c>
      <c r="AU834" s="285">
        <v>0.16701308228389777</v>
      </c>
      <c r="AV834" s="285">
        <v>0.16245781450017457</v>
      </c>
      <c r="AW834" s="286">
        <v>0.14681094579128082</v>
      </c>
      <c r="AX834" s="162">
        <v>0.13636200313710248</v>
      </c>
      <c r="AY834" s="162">
        <v>0.12861980982791871</v>
      </c>
      <c r="AZ834" s="162">
        <v>0.12381971995686539</v>
      </c>
      <c r="BA834" s="162">
        <v>0.11994808441731906</v>
      </c>
      <c r="BB834" s="162">
        <v>0.12097963986612771</v>
      </c>
      <c r="BC834" s="162">
        <v>0.11895238073074393</v>
      </c>
      <c r="BD834" s="162">
        <v>0.11716525472238747</v>
      </c>
      <c r="BE834" s="162">
        <v>0.11539156840592038</v>
      </c>
      <c r="BF834" s="162">
        <v>0.11553348711328011</v>
      </c>
      <c r="BG834" s="162">
        <v>0.11543536831635673</v>
      </c>
      <c r="BH834" s="162">
        <v>0.11670407991421641</v>
      </c>
      <c r="BI834" s="162">
        <v>0.11772538398158246</v>
      </c>
      <c r="BJ834" s="162">
        <v>0.11894277367727177</v>
      </c>
      <c r="BK834" s="162">
        <v>0.11992190875329202</v>
      </c>
      <c r="BL834" s="162">
        <v>0.12108638342189441</v>
      </c>
      <c r="BM834" s="162">
        <v>0.12211312308734538</v>
      </c>
      <c r="BN834" s="162">
        <v>0.12325210148492784</v>
      </c>
      <c r="BO834" s="162">
        <v>0.12419967974030917</v>
      </c>
      <c r="BP834" s="162">
        <v>0.12529998183935639</v>
      </c>
      <c r="BQ834" s="162">
        <v>0.12620491840499767</v>
      </c>
      <c r="BR834" s="162"/>
      <c r="BS834" s="162"/>
      <c r="BT834" s="162"/>
      <c r="BU834" s="162"/>
      <c r="BV834" s="162"/>
      <c r="BW834" s="162"/>
      <c r="BX834" s="162"/>
      <c r="BY834" s="162"/>
      <c r="BZ834" s="162"/>
      <c r="CA834" s="162"/>
      <c r="CB834" s="162"/>
      <c r="CC834" s="162"/>
      <c r="CD834" s="162"/>
      <c r="CE834" s="162"/>
      <c r="CF834" s="162"/>
      <c r="CG834" s="162"/>
      <c r="CH834" s="162"/>
      <c r="CI834" s="162"/>
      <c r="CJ834" s="162"/>
      <c r="CK834" s="162"/>
      <c r="CL834" s="162"/>
      <c r="CM834" s="285"/>
      <c r="CN834" s="285"/>
      <c r="CO834" s="285"/>
      <c r="CP834" s="285"/>
      <c r="CQ834" s="285"/>
      <c r="CR834" s="285"/>
      <c r="CS834" s="285"/>
      <c r="CT834" s="285">
        <v>0.436</v>
      </c>
      <c r="CU834" s="285">
        <v>0.23100000000000001</v>
      </c>
      <c r="CV834" s="285">
        <v>0.24523693209574987</v>
      </c>
      <c r="CW834" s="285">
        <v>0.20472191411820628</v>
      </c>
      <c r="CX834" s="285">
        <v>0.16701308228389777</v>
      </c>
      <c r="CY834" s="286">
        <v>0.14681094579128082</v>
      </c>
      <c r="CZ834" s="162">
        <v>0.12861980982791868</v>
      </c>
      <c r="DA834" s="162">
        <v>0.11994808441731905</v>
      </c>
      <c r="DB834" s="162">
        <v>0.11895238073074392</v>
      </c>
      <c r="DC834" s="162">
        <v>0.11539156840592038</v>
      </c>
      <c r="DD834" s="162">
        <v>0.11543536831635673</v>
      </c>
      <c r="DE834" s="162">
        <v>0.11772538398158247</v>
      </c>
      <c r="DF834" s="162">
        <v>0.11992190875329203</v>
      </c>
      <c r="DG834" s="162">
        <v>0.12211312308734541</v>
      </c>
      <c r="DH834" s="162">
        <v>0.1241996797403092</v>
      </c>
      <c r="DI834" s="162">
        <v>0.1262049184049977</v>
      </c>
    </row>
    <row r="835" spans="1:113" ht="12" outlineLevel="1">
      <c r="A835" s="1" t="s">
        <v>2454</v>
      </c>
      <c r="B835" s="19" t="s">
        <v>2455</v>
      </c>
      <c r="C835" s="408"/>
      <c r="D835" s="408"/>
      <c r="E835" s="408"/>
      <c r="F835" s="408"/>
      <c r="G835" s="408"/>
      <c r="H835" s="408"/>
      <c r="I835" s="408"/>
      <c r="J835" s="408"/>
      <c r="K835" s="408"/>
      <c r="L835" s="408"/>
      <c r="M835" s="408"/>
      <c r="N835" s="408"/>
      <c r="O835" s="408"/>
      <c r="P835" s="408"/>
      <c r="Q835" s="408"/>
      <c r="R835" s="408"/>
      <c r="S835" s="408"/>
      <c r="T835" s="394"/>
      <c r="U835" s="408"/>
      <c r="V835" s="408"/>
      <c r="W835" s="408"/>
      <c r="X835" s="408"/>
      <c r="Y835" s="394"/>
      <c r="Z835" s="394"/>
      <c r="AA835" s="394"/>
      <c r="AB835" s="394"/>
      <c r="AC835" s="394"/>
      <c r="AD835" s="394"/>
      <c r="AE835" s="394"/>
      <c r="AF835" s="394"/>
      <c r="AG835" s="394"/>
      <c r="AH835" s="394"/>
      <c r="AI835" s="394"/>
      <c r="AJ835" s="394"/>
      <c r="AK835" s="394"/>
      <c r="AL835" s="394"/>
      <c r="AM835" s="394"/>
      <c r="AN835" s="394"/>
      <c r="AO835" s="394"/>
      <c r="AP835" s="285">
        <v>0.20349401488191524</v>
      </c>
      <c r="AQ835" s="285">
        <v>0.24523693209574987</v>
      </c>
      <c r="AR835" s="285">
        <v>0.23351449275362318</v>
      </c>
      <c r="AS835" s="285">
        <v>0.20472191411820631</v>
      </c>
      <c r="AT835" s="285">
        <v>0.17274372898888027</v>
      </c>
      <c r="AU835" s="285">
        <v>0.16701308228389777</v>
      </c>
      <c r="AV835" s="285">
        <v>0.16245781450017457</v>
      </c>
      <c r="AW835" s="286">
        <v>0.14681094579128082</v>
      </c>
      <c r="AX835" s="162">
        <v>0.13636200313710248</v>
      </c>
      <c r="AY835" s="162">
        <v>0.12861980982791871</v>
      </c>
      <c r="AZ835" s="162">
        <v>0.12381971995686539</v>
      </c>
      <c r="BA835" s="162">
        <v>0.11994808441731906</v>
      </c>
      <c r="BB835" s="162">
        <v>0.12097963986612771</v>
      </c>
      <c r="BC835" s="162">
        <v>0.11895238073074393</v>
      </c>
      <c r="BD835" s="162">
        <v>0.11716525472238747</v>
      </c>
      <c r="BE835" s="162">
        <v>0.11539156840592038</v>
      </c>
      <c r="BF835" s="162">
        <v>0.11553348711328011</v>
      </c>
      <c r="BG835" s="162">
        <v>0.11543536831635673</v>
      </c>
      <c r="BH835" s="162">
        <v>0.11670407991421641</v>
      </c>
      <c r="BI835" s="162">
        <v>0.11772538398158246</v>
      </c>
      <c r="BJ835" s="162">
        <v>0.11894277367727177</v>
      </c>
      <c r="BK835" s="162">
        <v>0.11992190875329202</v>
      </c>
      <c r="BL835" s="162">
        <v>0.12108638342189441</v>
      </c>
      <c r="BM835" s="162">
        <v>0.12211312308734538</v>
      </c>
      <c r="BN835" s="162">
        <v>0.12325210148492784</v>
      </c>
      <c r="BO835" s="162">
        <v>0.12419967974030917</v>
      </c>
      <c r="BP835" s="162">
        <v>0.12529998183935639</v>
      </c>
      <c r="BQ835" s="162">
        <v>0.12620491840499767</v>
      </c>
      <c r="BR835" s="162"/>
      <c r="BS835" s="162"/>
      <c r="BT835" s="162"/>
      <c r="BU835" s="162"/>
      <c r="BV835" s="162"/>
      <c r="BW835" s="162"/>
      <c r="BX835" s="162"/>
      <c r="BY835" s="162"/>
      <c r="BZ835" s="162"/>
      <c r="CA835" s="162"/>
      <c r="CB835" s="162"/>
      <c r="CC835" s="162"/>
      <c r="CD835" s="162"/>
      <c r="CE835" s="162"/>
      <c r="CF835" s="162"/>
      <c r="CG835" s="162"/>
      <c r="CH835" s="162"/>
      <c r="CI835" s="162"/>
      <c r="CJ835" s="162"/>
      <c r="CK835" s="162"/>
      <c r="CL835" s="162"/>
      <c r="CM835" s="285"/>
      <c r="CN835" s="285"/>
      <c r="CO835" s="285"/>
      <c r="CP835" s="285"/>
      <c r="CQ835" s="285"/>
      <c r="CR835" s="285"/>
      <c r="CS835" s="285"/>
      <c r="CT835" s="285">
        <v>0.436</v>
      </c>
      <c r="CU835" s="285">
        <v>0.23100000000000001</v>
      </c>
      <c r="CV835" s="285">
        <v>0.24523693209574987</v>
      </c>
      <c r="CW835" s="285">
        <v>0.20472191411820628</v>
      </c>
      <c r="CX835" s="285">
        <v>0.16701308228389777</v>
      </c>
      <c r="CY835" s="286">
        <v>0.14681094579128082</v>
      </c>
      <c r="CZ835" s="162">
        <v>0.12861980982791868</v>
      </c>
      <c r="DA835" s="162">
        <v>0.11994808441731905</v>
      </c>
      <c r="DB835" s="162">
        <v>0.11895238073074392</v>
      </c>
      <c r="DC835" s="162">
        <v>0.11539156840592038</v>
      </c>
      <c r="DD835" s="162">
        <v>0.11543536831635673</v>
      </c>
      <c r="DE835" s="162">
        <v>0.11772538398158247</v>
      </c>
      <c r="DF835" s="162">
        <v>0.11992190875329203</v>
      </c>
      <c r="DG835" s="162">
        <v>0.12211312308734541</v>
      </c>
      <c r="DH835" s="162">
        <v>0.1241996797403092</v>
      </c>
      <c r="DI835" s="162">
        <v>0.1262049184049977</v>
      </c>
    </row>
    <row r="836" spans="1:113" ht="12" outlineLevel="1">
      <c r="A836" s="1" t="s">
        <v>955</v>
      </c>
      <c r="B836" s="19" t="s">
        <v>544</v>
      </c>
      <c r="C836" s="408"/>
      <c r="D836" s="408"/>
      <c r="E836" s="408"/>
      <c r="F836" s="408"/>
      <c r="G836" s="408"/>
      <c r="H836" s="408"/>
      <c r="I836" s="408"/>
      <c r="J836" s="408"/>
      <c r="K836" s="408"/>
      <c r="L836" s="408"/>
      <c r="M836" s="408"/>
      <c r="N836" s="408"/>
      <c r="O836" s="408"/>
      <c r="P836" s="408"/>
      <c r="Q836" s="408"/>
      <c r="R836" s="408"/>
      <c r="S836" s="408"/>
      <c r="T836" s="394"/>
      <c r="U836" s="408"/>
      <c r="V836" s="408"/>
      <c r="W836" s="408"/>
      <c r="X836" s="408"/>
      <c r="Y836" s="394"/>
      <c r="Z836" s="394"/>
      <c r="AA836" s="394"/>
      <c r="AB836" s="394"/>
      <c r="AC836" s="394"/>
      <c r="AD836" s="394"/>
      <c r="AE836" s="394"/>
      <c r="AF836" s="394"/>
      <c r="AG836" s="394"/>
      <c r="AH836" s="394"/>
      <c r="AI836" s="394"/>
      <c r="AJ836" s="394"/>
      <c r="AK836" s="394"/>
      <c r="AL836" s="394"/>
      <c r="AM836" s="394"/>
      <c r="AN836" s="394"/>
      <c r="AO836" s="394"/>
      <c r="AP836" s="285">
        <v>0.20349401488191524</v>
      </c>
      <c r="AQ836" s="285">
        <v>0.24523693209574987</v>
      </c>
      <c r="AR836" s="285">
        <v>0.23351449275362318</v>
      </c>
      <c r="AS836" s="285">
        <v>0.20472191411820631</v>
      </c>
      <c r="AT836" s="285">
        <v>0.17274372898888027</v>
      </c>
      <c r="AU836" s="285">
        <v>0.16701308228389777</v>
      </c>
      <c r="AV836" s="285">
        <v>0.17118584894681718</v>
      </c>
      <c r="AW836" s="286">
        <v>0.15461450421392156</v>
      </c>
      <c r="AX836" s="162">
        <v>0.14347408516306959</v>
      </c>
      <c r="AY836" s="162">
        <v>0.13510166804983154</v>
      </c>
      <c r="AZ836" s="162">
        <v>0.12980550108955766</v>
      </c>
      <c r="BA836" s="162">
        <v>0.12548183021761894</v>
      </c>
      <c r="BB836" s="162">
        <v>0.12626654791337039</v>
      </c>
      <c r="BC836" s="162">
        <v>0.12400345425323497</v>
      </c>
      <c r="BD836" s="162">
        <v>0.12199100680211497</v>
      </c>
      <c r="BE836" s="162">
        <v>0.12000204379622482</v>
      </c>
      <c r="BF836" s="162">
        <v>0.12000232524625218</v>
      </c>
      <c r="BG836" s="162">
        <v>0.1197669141219279</v>
      </c>
      <c r="BH836" s="162">
        <v>0.12094363828786964</v>
      </c>
      <c r="BI836" s="162">
        <v>0.12187490233685531</v>
      </c>
      <c r="BJ836" s="162">
        <v>0.12300415834851892</v>
      </c>
      <c r="BK836" s="162">
        <v>0.12389702585862487</v>
      </c>
      <c r="BL836" s="162">
        <v>0.12497705970807976</v>
      </c>
      <c r="BM836" s="162">
        <v>0.12592114675703786</v>
      </c>
      <c r="BN836" s="162">
        <v>0.12697922300660386</v>
      </c>
      <c r="BO836" s="162">
        <v>0.12784761264126196</v>
      </c>
      <c r="BP836" s="162">
        <v>0.12887040348210446</v>
      </c>
      <c r="BQ836" s="162">
        <v>0.12969947074745175</v>
      </c>
      <c r="BR836" s="162"/>
      <c r="BS836" s="162"/>
      <c r="BT836" s="162"/>
      <c r="BU836" s="162"/>
      <c r="BV836" s="162"/>
      <c r="BW836" s="162"/>
      <c r="BX836" s="162"/>
      <c r="BY836" s="162"/>
      <c r="BZ836" s="162"/>
      <c r="CA836" s="162"/>
      <c r="CB836" s="162"/>
      <c r="CC836" s="162"/>
      <c r="CD836" s="162"/>
      <c r="CE836" s="162"/>
      <c r="CF836" s="162"/>
      <c r="CG836" s="162"/>
      <c r="CH836" s="162"/>
      <c r="CI836" s="162"/>
      <c r="CJ836" s="162"/>
      <c r="CK836" s="162"/>
      <c r="CL836" s="162"/>
      <c r="CM836" s="285"/>
      <c r="CN836" s="285"/>
      <c r="CO836" s="285"/>
      <c r="CP836" s="285"/>
      <c r="CQ836" s="285"/>
      <c r="CR836" s="285"/>
      <c r="CS836" s="285"/>
      <c r="CT836" s="285">
        <v>0.436</v>
      </c>
      <c r="CU836" s="285">
        <v>0.23100000000000001</v>
      </c>
      <c r="CV836" s="285">
        <v>0.24523693209574987</v>
      </c>
      <c r="CW836" s="285">
        <v>0.20472191411820628</v>
      </c>
      <c r="CX836" s="285">
        <v>0.16701308228389777</v>
      </c>
      <c r="CY836" s="286">
        <v>0.15461450421392156</v>
      </c>
      <c r="CZ836" s="162">
        <v>0.13510166804983151</v>
      </c>
      <c r="DA836" s="162">
        <v>0.12548183021761891</v>
      </c>
      <c r="DB836" s="162">
        <v>0.12400345425323496</v>
      </c>
      <c r="DC836" s="162">
        <v>0.12000204379622482</v>
      </c>
      <c r="DD836" s="162">
        <v>0.1197669141219279</v>
      </c>
      <c r="DE836" s="162">
        <v>0.12187490233685533</v>
      </c>
      <c r="DF836" s="162">
        <v>0.1238970258586249</v>
      </c>
      <c r="DG836" s="162">
        <v>0.12592114675703789</v>
      </c>
      <c r="DH836" s="162">
        <v>0.12784761264126199</v>
      </c>
      <c r="DI836" s="162">
        <v>0.12969947074745178</v>
      </c>
    </row>
    <row r="837" spans="1:113" ht="12" outlineLevel="1">
      <c r="A837" s="1" t="s">
        <v>956</v>
      </c>
      <c r="B837" s="19" t="s">
        <v>652</v>
      </c>
      <c r="C837" s="408"/>
      <c r="D837" s="408"/>
      <c r="E837" s="408"/>
      <c r="F837" s="408"/>
      <c r="G837" s="408"/>
      <c r="H837" s="408"/>
      <c r="I837" s="408"/>
      <c r="J837" s="408"/>
      <c r="K837" s="408"/>
      <c r="L837" s="408"/>
      <c r="M837" s="408"/>
      <c r="N837" s="408"/>
      <c r="O837" s="408"/>
      <c r="P837" s="408"/>
      <c r="Q837" s="408"/>
      <c r="R837" s="408"/>
      <c r="S837" s="408"/>
      <c r="T837" s="394"/>
      <c r="U837" s="408"/>
      <c r="V837" s="408"/>
      <c r="W837" s="408"/>
      <c r="X837" s="408"/>
      <c r="Y837" s="394"/>
      <c r="Z837" s="394"/>
      <c r="AA837" s="394"/>
      <c r="AB837" s="394"/>
      <c r="AC837" s="394"/>
      <c r="AD837" s="394"/>
      <c r="AE837" s="394"/>
      <c r="AF837" s="394"/>
      <c r="AG837" s="394"/>
      <c r="AH837" s="394"/>
      <c r="AI837" s="394"/>
      <c r="AJ837" s="394"/>
      <c r="AK837" s="394"/>
      <c r="AL837" s="394"/>
      <c r="AM837" s="394"/>
      <c r="AN837" s="394"/>
      <c r="AO837" s="394"/>
      <c r="AP837" s="285">
        <v>0.20964089291491428</v>
      </c>
      <c r="AQ837" s="285">
        <v>0.26380068392769906</v>
      </c>
      <c r="AR837" s="285">
        <v>0.24891304347826088</v>
      </c>
      <c r="AS837" s="285">
        <v>0.21898272856916495</v>
      </c>
      <c r="AT837" s="285">
        <v>0.18554434962503233</v>
      </c>
      <c r="AU837" s="285">
        <v>0.18938745567917839</v>
      </c>
      <c r="AV837" s="285">
        <v>0.19294774816711277</v>
      </c>
      <c r="AW837" s="286">
        <v>0.17500780355842263</v>
      </c>
      <c r="AX837" s="162">
        <v>0.16280712069933784</v>
      </c>
      <c r="AY837" s="162">
        <v>0.15346836041988318</v>
      </c>
      <c r="AZ837" s="162">
        <v>0.14741154192280448</v>
      </c>
      <c r="BA837" s="162">
        <v>0.14239475020786405</v>
      </c>
      <c r="BB837" s="162">
        <v>0.14280098334892777</v>
      </c>
      <c r="BC837" s="162">
        <v>0.14017627675083988</v>
      </c>
      <c r="BD837" s="162">
        <v>0.13781833642081578</v>
      </c>
      <c r="BE837" s="162">
        <v>0.13549928249114362</v>
      </c>
      <c r="BF837" s="162">
        <v>0.13528238681326132</v>
      </c>
      <c r="BG837" s="162">
        <v>0.13483646078692232</v>
      </c>
      <c r="BH837" s="162">
        <v>0.13587213755725655</v>
      </c>
      <c r="BI837" s="162">
        <v>0.13666534024472568</v>
      </c>
      <c r="BJ837" s="162">
        <v>0.13765945794088316</v>
      </c>
      <c r="BK837" s="162">
        <v>0.13842004851658726</v>
      </c>
      <c r="BL837" s="162">
        <v>0.13937060644334925</v>
      </c>
      <c r="BM837" s="162">
        <v>0.14018795948035165</v>
      </c>
      <c r="BN837" s="162">
        <v>0.14112198576962576</v>
      </c>
      <c r="BO837" s="162">
        <v>0.14186895285250822</v>
      </c>
      <c r="BP837" s="162">
        <v>0.14277289309743676</v>
      </c>
      <c r="BQ837" s="162">
        <v>0.14348562743566665</v>
      </c>
      <c r="BR837" s="162"/>
      <c r="BS837" s="162"/>
      <c r="BT837" s="162"/>
      <c r="BU837" s="162"/>
      <c r="BV837" s="162"/>
      <c r="BW837" s="162"/>
      <c r="BX837" s="162"/>
      <c r="BY837" s="162"/>
      <c r="BZ837" s="162"/>
      <c r="CA837" s="162"/>
      <c r="CB837" s="162"/>
      <c r="CC837" s="162"/>
      <c r="CD837" s="162"/>
      <c r="CE837" s="162"/>
      <c r="CF837" s="162"/>
      <c r="CG837" s="162"/>
      <c r="CH837" s="162"/>
      <c r="CI837" s="162"/>
      <c r="CJ837" s="162"/>
      <c r="CK837" s="162"/>
      <c r="CL837" s="162"/>
      <c r="CM837" s="285"/>
      <c r="CN837" s="285"/>
      <c r="CO837" s="285"/>
      <c r="CP837" s="285"/>
      <c r="CQ837" s="285"/>
      <c r="CR837" s="285"/>
      <c r="CS837" s="285"/>
      <c r="CT837" s="285">
        <v>0.442</v>
      </c>
      <c r="CU837" s="285">
        <v>0.23800000000000004</v>
      </c>
      <c r="CV837" s="285">
        <v>0.26380068392769906</v>
      </c>
      <c r="CW837" s="285">
        <v>0.21898272856916493</v>
      </c>
      <c r="CX837" s="285">
        <v>0.18938745567917839</v>
      </c>
      <c r="CY837" s="286">
        <v>0.17500780355842263</v>
      </c>
      <c r="CZ837" s="162">
        <v>0.15346836041988315</v>
      </c>
      <c r="DA837" s="162">
        <v>0.14239475020786405</v>
      </c>
      <c r="DB837" s="162">
        <v>0.14017627675083985</v>
      </c>
      <c r="DC837" s="162">
        <v>0.13549928249114362</v>
      </c>
      <c r="DD837" s="162">
        <v>0.13483646078692232</v>
      </c>
      <c r="DE837" s="162">
        <v>0.13666534024472571</v>
      </c>
      <c r="DF837" s="162">
        <v>0.13842004851658729</v>
      </c>
      <c r="DG837" s="162">
        <v>0.14018795948035165</v>
      </c>
      <c r="DH837" s="162">
        <v>0.14186895285250825</v>
      </c>
      <c r="DI837" s="162">
        <v>0.14348562743566665</v>
      </c>
    </row>
    <row r="838" spans="1:113" ht="12" outlineLevel="1">
      <c r="A838" s="1" t="s">
        <v>1010</v>
      </c>
      <c r="B838" s="19" t="s">
        <v>653</v>
      </c>
      <c r="C838" s="408"/>
      <c r="D838" s="408"/>
      <c r="E838" s="408"/>
      <c r="F838" s="408"/>
      <c r="G838" s="408"/>
      <c r="H838" s="408"/>
      <c r="I838" s="408"/>
      <c r="J838" s="408"/>
      <c r="K838" s="408"/>
      <c r="L838" s="408"/>
      <c r="M838" s="408"/>
      <c r="N838" s="408"/>
      <c r="O838" s="408"/>
      <c r="P838" s="408"/>
      <c r="Q838" s="408"/>
      <c r="R838" s="408"/>
      <c r="S838" s="408"/>
      <c r="T838" s="394"/>
      <c r="U838" s="408"/>
      <c r="V838" s="408"/>
      <c r="W838" s="408"/>
      <c r="X838" s="408"/>
      <c r="Y838" s="394"/>
      <c r="Z838" s="394"/>
      <c r="AA838" s="394"/>
      <c r="AB838" s="394"/>
      <c r="AC838" s="394"/>
      <c r="AD838" s="394"/>
      <c r="AE838" s="394"/>
      <c r="AF838" s="394"/>
      <c r="AG838" s="394"/>
      <c r="AH838" s="394"/>
      <c r="AI838" s="394"/>
      <c r="AJ838" s="394"/>
      <c r="AK838" s="394"/>
      <c r="AL838" s="394"/>
      <c r="AM838" s="394"/>
      <c r="AN838" s="394"/>
      <c r="AO838" s="394"/>
      <c r="AP838" s="285">
        <v>0</v>
      </c>
      <c r="AQ838" s="285">
        <v>0</v>
      </c>
      <c r="AR838" s="285">
        <v>0</v>
      </c>
      <c r="AS838" s="285">
        <v>0</v>
      </c>
      <c r="AT838" s="285">
        <v>0</v>
      </c>
      <c r="AU838" s="285">
        <v>0</v>
      </c>
      <c r="AV838" s="285">
        <v>0</v>
      </c>
      <c r="AW838" s="286">
        <v>0</v>
      </c>
      <c r="AX838" s="162">
        <v>0</v>
      </c>
      <c r="AY838" s="162">
        <v>0</v>
      </c>
      <c r="AZ838" s="162">
        <v>0</v>
      </c>
      <c r="BA838" s="162">
        <v>0</v>
      </c>
      <c r="BB838" s="162">
        <v>0.49698655393537633</v>
      </c>
      <c r="BC838" s="162">
        <v>0.49320664874148779</v>
      </c>
      <c r="BD838" s="162">
        <v>0.49420397753634193</v>
      </c>
      <c r="BE838" s="162">
        <v>0.49167905640927939</v>
      </c>
      <c r="BF838" s="162">
        <v>0.49720993781924155</v>
      </c>
      <c r="BG838" s="162">
        <v>0.49579940577442838</v>
      </c>
      <c r="BH838" s="162">
        <v>0.49517509317011227</v>
      </c>
      <c r="BI838" s="162">
        <v>0.4997906206328015</v>
      </c>
      <c r="BJ838" s="162">
        <v>0.50145516601623052</v>
      </c>
      <c r="BK838" s="162">
        <v>0.50559874968376695</v>
      </c>
      <c r="BL838" s="162">
        <v>0.49886992282140286</v>
      </c>
      <c r="BM838" s="162">
        <v>0.50050512780941336</v>
      </c>
      <c r="BN838" s="162">
        <v>0.49800846224837481</v>
      </c>
      <c r="BO838" s="162">
        <v>0.50266781220250434</v>
      </c>
      <c r="BP838" s="162">
        <v>0.49733168998790689</v>
      </c>
      <c r="BQ838" s="162">
        <v>0.49516737251602078</v>
      </c>
      <c r="BR838" s="162"/>
      <c r="BS838" s="162"/>
      <c r="BT838" s="162"/>
      <c r="BU838" s="162"/>
      <c r="BV838" s="162"/>
      <c r="BW838" s="162"/>
      <c r="BX838" s="162"/>
      <c r="BY838" s="162"/>
      <c r="BZ838" s="162"/>
      <c r="CA838" s="162"/>
      <c r="CB838" s="162"/>
      <c r="CC838" s="162"/>
      <c r="CD838" s="162"/>
      <c r="CE838" s="162"/>
      <c r="CF838" s="162"/>
      <c r="CG838" s="162"/>
      <c r="CH838" s="162"/>
      <c r="CI838" s="162"/>
      <c r="CJ838" s="162"/>
      <c r="CK838" s="162"/>
      <c r="CL838" s="162"/>
      <c r="CM838" s="285"/>
      <c r="CN838" s="285"/>
      <c r="CO838" s="285"/>
      <c r="CP838" s="285"/>
      <c r="CQ838" s="285"/>
      <c r="CR838" s="285"/>
      <c r="CS838" s="285"/>
      <c r="CT838" s="285">
        <v>0</v>
      </c>
      <c r="CU838" s="285">
        <v>0</v>
      </c>
      <c r="CV838" s="285">
        <v>0</v>
      </c>
      <c r="CW838" s="285">
        <v>0</v>
      </c>
      <c r="CX838" s="285">
        <v>0</v>
      </c>
      <c r="CY838" s="286">
        <v>0</v>
      </c>
      <c r="CZ838" s="162">
        <v>0</v>
      </c>
      <c r="DA838" s="162">
        <v>0</v>
      </c>
      <c r="DB838" s="162">
        <v>0.48962990872028811</v>
      </c>
      <c r="DC838" s="162">
        <v>0.48752026965659889</v>
      </c>
      <c r="DD838" s="162">
        <v>0.49106658218610794</v>
      </c>
      <c r="DE838" s="162">
        <v>0.49205131397622787</v>
      </c>
      <c r="DF838" s="162">
        <v>0.4980282009811286</v>
      </c>
      <c r="DG838" s="162">
        <v>0.49422730207013044</v>
      </c>
      <c r="DH838" s="162">
        <v>0.49487234989000717</v>
      </c>
      <c r="DI838" s="162">
        <v>0.4908195322803825</v>
      </c>
    </row>
    <row r="839" spans="1:113" ht="12" outlineLevel="1">
      <c r="A839" s="1" t="s">
        <v>1072</v>
      </c>
      <c r="B839" s="19" t="s">
        <v>769</v>
      </c>
      <c r="C839" s="614"/>
      <c r="D839" s="614"/>
      <c r="E839" s="614"/>
      <c r="F839" s="614"/>
      <c r="G839" s="614"/>
      <c r="H839" s="614"/>
      <c r="I839" s="614"/>
      <c r="J839" s="614"/>
      <c r="K839" s="614"/>
      <c r="L839" s="614"/>
      <c r="M839" s="614"/>
      <c r="N839" s="614"/>
      <c r="O839" s="614"/>
      <c r="P839" s="614"/>
      <c r="Q839" s="614"/>
      <c r="R839" s="614"/>
      <c r="S839" s="614"/>
      <c r="T839" s="614"/>
      <c r="U839" s="614"/>
      <c r="V839" s="614"/>
      <c r="W839" s="614"/>
      <c r="X839" s="614"/>
      <c r="Y839" s="511"/>
      <c r="Z839" s="511"/>
      <c r="AA839" s="511"/>
      <c r="AB839" s="511"/>
      <c r="AC839" s="511"/>
      <c r="AD839" s="511"/>
      <c r="AE839" s="511"/>
      <c r="AF839" s="511"/>
      <c r="AG839" s="511"/>
      <c r="AH839" s="511"/>
      <c r="AI839" s="511"/>
      <c r="AJ839" s="511"/>
      <c r="AK839" s="511"/>
      <c r="AL839" s="511"/>
      <c r="AM839" s="511"/>
      <c r="AN839" s="511"/>
      <c r="AO839" s="511"/>
      <c r="AP839" s="518">
        <v>0</v>
      </c>
      <c r="AQ839" s="518">
        <v>0</v>
      </c>
      <c r="AR839" s="518">
        <v>0</v>
      </c>
      <c r="AS839" s="518">
        <v>0</v>
      </c>
      <c r="AT839" s="518">
        <v>0</v>
      </c>
      <c r="AU839" s="518">
        <v>36</v>
      </c>
      <c r="AV839" s="518">
        <v>57.5</v>
      </c>
      <c r="AW839" s="592">
        <v>75.5</v>
      </c>
      <c r="AX839" s="421">
        <v>89.578107261314628</v>
      </c>
      <c r="AY839" s="421">
        <v>114.96649801577853</v>
      </c>
      <c r="AZ839" s="421">
        <v>146.5728106276074</v>
      </c>
      <c r="BA839" s="421">
        <v>183.75447407742041</v>
      </c>
      <c r="BB839" s="421">
        <v>209.33663912895273</v>
      </c>
      <c r="BC839" s="421">
        <v>236.52901128677718</v>
      </c>
      <c r="BD839" s="421">
        <v>265.5156886625013</v>
      </c>
      <c r="BE839" s="421">
        <v>296.03517083932843</v>
      </c>
      <c r="BF839" s="421">
        <v>328.45515979123832</v>
      </c>
      <c r="BG839" s="421">
        <v>361.66430205405373</v>
      </c>
      <c r="BH839" s="421">
        <v>396.83101321609888</v>
      </c>
      <c r="BI839" s="421">
        <v>432.04488642481368</v>
      </c>
      <c r="BJ839" s="421">
        <v>468.8943929439053</v>
      </c>
      <c r="BK839" s="421">
        <v>505.81335922502774</v>
      </c>
      <c r="BL839" s="421">
        <v>544.86106329392135</v>
      </c>
      <c r="BM839" s="421">
        <v>584.2995672754131</v>
      </c>
      <c r="BN839" s="421">
        <v>625.33172432926835</v>
      </c>
      <c r="BO839" s="421">
        <v>666.30422986891847</v>
      </c>
      <c r="BP839" s="421">
        <v>709.30449921018817</v>
      </c>
      <c r="BQ839" s="421">
        <v>752.63609826006348</v>
      </c>
      <c r="BR839" s="421"/>
      <c r="BS839" s="421"/>
      <c r="BT839" s="421"/>
      <c r="BU839" s="421"/>
      <c r="BV839" s="421"/>
      <c r="BW839" s="421"/>
      <c r="BX839" s="421"/>
      <c r="BY839" s="421"/>
      <c r="BZ839" s="421"/>
      <c r="CA839" s="421"/>
      <c r="CB839" s="421"/>
      <c r="CC839" s="421"/>
      <c r="CD839" s="421"/>
      <c r="CE839" s="421"/>
      <c r="CF839" s="421"/>
      <c r="CG839" s="421"/>
      <c r="CH839" s="421"/>
      <c r="CI839" s="421"/>
      <c r="CJ839" s="421"/>
      <c r="CK839" s="421"/>
      <c r="CL839" s="421"/>
      <c r="CM839" s="518"/>
      <c r="CN839" s="518"/>
      <c r="CO839" s="518"/>
      <c r="CP839" s="518"/>
      <c r="CQ839" s="518"/>
      <c r="CR839" s="518"/>
      <c r="CS839" s="518"/>
      <c r="CT839" s="518">
        <v>0</v>
      </c>
      <c r="CU839" s="518">
        <v>0</v>
      </c>
      <c r="CV839" s="518">
        <v>0</v>
      </c>
      <c r="CW839" s="518">
        <v>0</v>
      </c>
      <c r="CX839" s="518">
        <v>36</v>
      </c>
      <c r="CY839" s="592">
        <v>75.5</v>
      </c>
      <c r="CZ839" s="421">
        <v>114.96649801577853</v>
      </c>
      <c r="DA839" s="421">
        <v>183.75447407742041</v>
      </c>
      <c r="DB839" s="421">
        <v>236.52901128677718</v>
      </c>
      <c r="DC839" s="421">
        <v>296.03517083932843</v>
      </c>
      <c r="DD839" s="421">
        <v>361.66430205405373</v>
      </c>
      <c r="DE839" s="421">
        <v>432.04488642481368</v>
      </c>
      <c r="DF839" s="421">
        <v>505.81335922502774</v>
      </c>
      <c r="DG839" s="421">
        <v>584.2995672754131</v>
      </c>
      <c r="DH839" s="421">
        <v>666.30422986891847</v>
      </c>
      <c r="DI839" s="421">
        <v>752.63609826006348</v>
      </c>
    </row>
    <row r="840" spans="1:113" ht="12" outlineLevel="1">
      <c r="A840" s="1" t="s">
        <v>1011</v>
      </c>
      <c r="B840" s="19" t="s">
        <v>654</v>
      </c>
      <c r="C840" s="408"/>
      <c r="D840" s="408"/>
      <c r="E840" s="408"/>
      <c r="F840" s="408"/>
      <c r="G840" s="408"/>
      <c r="H840" s="408"/>
      <c r="I840" s="408"/>
      <c r="J840" s="408"/>
      <c r="K840" s="408"/>
      <c r="L840" s="408"/>
      <c r="M840" s="408"/>
      <c r="N840" s="408"/>
      <c r="O840" s="408"/>
      <c r="P840" s="408"/>
      <c r="Q840" s="408"/>
      <c r="R840" s="408"/>
      <c r="S840" s="408"/>
      <c r="T840" s="394"/>
      <c r="U840" s="408"/>
      <c r="V840" s="408"/>
      <c r="W840" s="408"/>
      <c r="X840" s="408"/>
      <c r="Y840" s="394"/>
      <c r="Z840" s="394"/>
      <c r="AA840" s="394"/>
      <c r="AB840" s="394"/>
      <c r="AC840" s="394"/>
      <c r="AD840" s="394"/>
      <c r="AE840" s="394"/>
      <c r="AF840" s="394"/>
      <c r="AG840" s="394"/>
      <c r="AH840" s="394"/>
      <c r="AI840" s="394"/>
      <c r="AJ840" s="394"/>
      <c r="AK840" s="394"/>
      <c r="AL840" s="394"/>
      <c r="AM840" s="394"/>
      <c r="AN840" s="394"/>
      <c r="AO840" s="394"/>
      <c r="AP840" s="285">
        <v>17.492307692307705</v>
      </c>
      <c r="AQ840" s="285">
        <v>-298.23076923076826</v>
      </c>
      <c r="AR840" s="285">
        <v>-524.28571428570751</v>
      </c>
      <c r="AS840" s="285">
        <v>-0.58333333333333381</v>
      </c>
      <c r="AT840" s="285">
        <v>0</v>
      </c>
      <c r="AU840" s="285">
        <v>0</v>
      </c>
      <c r="AV840" s="285">
        <v>0</v>
      </c>
      <c r="AW840" s="286">
        <v>0</v>
      </c>
      <c r="AX840" s="162">
        <v>0</v>
      </c>
      <c r="AY840" s="162">
        <v>0</v>
      </c>
      <c r="AZ840" s="162">
        <v>0</v>
      </c>
      <c r="BA840" s="162">
        <v>0</v>
      </c>
      <c r="BB840" s="162">
        <v>0</v>
      </c>
      <c r="BC840" s="162">
        <v>0.4702668046139768</v>
      </c>
      <c r="BD840" s="162">
        <v>0.46197328334918913</v>
      </c>
      <c r="BE840" s="162">
        <v>0.47119242905889275</v>
      </c>
      <c r="BF840" s="162">
        <v>0.45896301952545376</v>
      </c>
      <c r="BG840" s="162">
        <v>0.4864447000050996</v>
      </c>
      <c r="BH840" s="162">
        <v>0.46864785603599907</v>
      </c>
      <c r="BI840" s="162">
        <v>0.49102236413047168</v>
      </c>
      <c r="BJ840" s="162">
        <v>0.47638240771541907</v>
      </c>
      <c r="BK840" s="162">
        <v>0.49731024559059045</v>
      </c>
      <c r="BL840" s="162">
        <v>0.4830327824143742</v>
      </c>
      <c r="BM840" s="162">
        <v>0.49268473518739125</v>
      </c>
      <c r="BN840" s="162">
        <v>0.48291729672569672</v>
      </c>
      <c r="BO840" s="162">
        <v>0.49516530754276539</v>
      </c>
      <c r="BP840" s="162">
        <v>0.48291627868390957</v>
      </c>
      <c r="BQ840" s="162">
        <v>0.49516737251602078</v>
      </c>
      <c r="BR840" s="162"/>
      <c r="BS840" s="162"/>
      <c r="BT840" s="162"/>
      <c r="BU840" s="162"/>
      <c r="BV840" s="162"/>
      <c r="BW840" s="162"/>
      <c r="BX840" s="162"/>
      <c r="BY840" s="162"/>
      <c r="BZ840" s="162"/>
      <c r="CA840" s="162"/>
      <c r="CB840" s="162"/>
      <c r="CC840" s="162"/>
      <c r="CD840" s="162"/>
      <c r="CE840" s="162"/>
      <c r="CF840" s="162"/>
      <c r="CG840" s="162"/>
      <c r="CH840" s="162"/>
      <c r="CI840" s="162"/>
      <c r="CJ840" s="162"/>
      <c r="CK840" s="162"/>
      <c r="CL840" s="162"/>
      <c r="CM840" s="285"/>
      <c r="CN840" s="285"/>
      <c r="CO840" s="285"/>
      <c r="CP840" s="285"/>
      <c r="CQ840" s="285"/>
      <c r="CR840" s="285"/>
      <c r="CS840" s="285"/>
      <c r="CT840" s="285" t="e">
        <v>#DIV/0!</v>
      </c>
      <c r="CU840" s="285" t="e">
        <v>#DIV/0!</v>
      </c>
      <c r="CV840" s="285">
        <v>0</v>
      </c>
      <c r="CW840" s="285">
        <v>-40.868131868131869</v>
      </c>
      <c r="CX840" s="285">
        <v>0</v>
      </c>
      <c r="CY840" s="286">
        <v>0</v>
      </c>
      <c r="CZ840" s="162">
        <v>0</v>
      </c>
      <c r="DA840" s="162">
        <v>0</v>
      </c>
      <c r="DB840" s="162">
        <v>0.24162881068287981</v>
      </c>
      <c r="DC840" s="162">
        <v>0.46669273170024661</v>
      </c>
      <c r="DD840" s="162">
        <v>0.47285424121752595</v>
      </c>
      <c r="DE840" s="162">
        <v>0.47988221792600239</v>
      </c>
      <c r="DF840" s="162">
        <v>0.48688975237723653</v>
      </c>
      <c r="DG840" s="162">
        <v>0.48788886260729103</v>
      </c>
      <c r="DH840" s="162">
        <v>0.48905883330080452</v>
      </c>
      <c r="DI840" s="162">
        <v>0.48905518342438653</v>
      </c>
    </row>
    <row r="841" spans="1:113" ht="12" outlineLevel="1">
      <c r="A841" s="1" t="s">
        <v>1012</v>
      </c>
      <c r="B841" s="19" t="s">
        <v>545</v>
      </c>
      <c r="C841" s="408"/>
      <c r="D841" s="408"/>
      <c r="E841" s="408"/>
      <c r="F841" s="408"/>
      <c r="G841" s="408"/>
      <c r="H841" s="408"/>
      <c r="I841" s="408"/>
      <c r="J841" s="408"/>
      <c r="K841" s="408"/>
      <c r="L841" s="408"/>
      <c r="M841" s="408"/>
      <c r="N841" s="408"/>
      <c r="O841" s="408"/>
      <c r="P841" s="408"/>
      <c r="Q841" s="408"/>
      <c r="R841" s="408"/>
      <c r="S841" s="408"/>
      <c r="T841" s="394"/>
      <c r="U841" s="408"/>
      <c r="V841" s="408"/>
      <c r="W841" s="408"/>
      <c r="X841" s="408"/>
      <c r="Y841" s="394"/>
      <c r="Z841" s="394"/>
      <c r="AA841" s="394"/>
      <c r="AB841" s="394"/>
      <c r="AC841" s="394"/>
      <c r="AD841" s="394"/>
      <c r="AE841" s="394"/>
      <c r="AF841" s="394"/>
      <c r="AG841" s="394"/>
      <c r="AH841" s="394"/>
      <c r="AI841" s="394"/>
      <c r="AJ841" s="394"/>
      <c r="AK841" s="394"/>
      <c r="AL841" s="394"/>
      <c r="AM841" s="394"/>
      <c r="AN841" s="394"/>
      <c r="AO841" s="394"/>
      <c r="AP841" s="285">
        <v>0</v>
      </c>
      <c r="AQ841" s="285">
        <v>0</v>
      </c>
      <c r="AR841" s="285">
        <v>0</v>
      </c>
      <c r="AS841" s="285">
        <v>0</v>
      </c>
      <c r="AT841" s="285">
        <v>0</v>
      </c>
      <c r="AU841" s="285">
        <v>0</v>
      </c>
      <c r="AV841" s="285">
        <v>0</v>
      </c>
      <c r="AW841" s="286">
        <v>0</v>
      </c>
      <c r="AX841" s="162">
        <v>0</v>
      </c>
      <c r="AY841" s="162">
        <v>0</v>
      </c>
      <c r="AZ841" s="162">
        <v>0</v>
      </c>
      <c r="BA841" s="162">
        <v>0</v>
      </c>
      <c r="BB841" s="162">
        <v>0.44654254725608689</v>
      </c>
      <c r="BC841" s="162">
        <v>0.44149542634753458</v>
      </c>
      <c r="BD841" s="162">
        <v>0.44116522556422294</v>
      </c>
      <c r="BE841" s="162">
        <v>0.4373332653520543</v>
      </c>
      <c r="BF841" s="162">
        <v>0.44085658694003005</v>
      </c>
      <c r="BG841" s="162">
        <v>0.439141336585612</v>
      </c>
      <c r="BH841" s="162">
        <v>0.43803334467255051</v>
      </c>
      <c r="BI841" s="162">
        <v>0.44241355865397058</v>
      </c>
      <c r="BJ841" s="162">
        <v>0.44378595386691988</v>
      </c>
      <c r="BK841" s="162">
        <v>0.44773085606361679</v>
      </c>
      <c r="BL841" s="162">
        <v>0.44161948296788178</v>
      </c>
      <c r="BM841" s="162">
        <v>0.44340989628397476</v>
      </c>
      <c r="BN841" s="162">
        <v>0.44160258575476297</v>
      </c>
      <c r="BO841" s="162">
        <v>0.44611811767435211</v>
      </c>
      <c r="BP841" s="162">
        <v>0.44166829743044694</v>
      </c>
      <c r="BQ841" s="162">
        <v>0.44017538623410918</v>
      </c>
      <c r="BR841" s="162"/>
      <c r="BS841" s="162"/>
      <c r="BT841" s="162"/>
      <c r="BU841" s="162"/>
      <c r="BV841" s="162"/>
      <c r="BW841" s="162"/>
      <c r="BX841" s="162"/>
      <c r="BY841" s="162"/>
      <c r="BZ841" s="162"/>
      <c r="CA841" s="162"/>
      <c r="CB841" s="162"/>
      <c r="CC841" s="162"/>
      <c r="CD841" s="162"/>
      <c r="CE841" s="162"/>
      <c r="CF841" s="162"/>
      <c r="CG841" s="162"/>
      <c r="CH841" s="162"/>
      <c r="CI841" s="162"/>
      <c r="CJ841" s="162"/>
      <c r="CK841" s="162"/>
      <c r="CL841" s="162"/>
      <c r="CM841" s="285"/>
      <c r="CN841" s="285"/>
      <c r="CO841" s="285"/>
      <c r="CP841" s="285"/>
      <c r="CQ841" s="285"/>
      <c r="CR841" s="285"/>
      <c r="CS841" s="285"/>
      <c r="CT841" s="285">
        <v>0</v>
      </c>
      <c r="CU841" s="285">
        <v>0</v>
      </c>
      <c r="CV841" s="285">
        <v>0</v>
      </c>
      <c r="CW841" s="285">
        <v>0</v>
      </c>
      <c r="CX841" s="285">
        <v>0</v>
      </c>
      <c r="CY841" s="286">
        <v>0</v>
      </c>
      <c r="CZ841" s="162">
        <v>0</v>
      </c>
      <c r="DA841" s="162">
        <v>0</v>
      </c>
      <c r="DB841" s="162">
        <v>0.43912009736415764</v>
      </c>
      <c r="DC841" s="162">
        <v>0.43441782075075297</v>
      </c>
      <c r="DD841" s="162">
        <v>0.4351916884610042</v>
      </c>
      <c r="DE841" s="162">
        <v>0.43543136045613184</v>
      </c>
      <c r="DF841" s="162">
        <v>0.4409047057604748</v>
      </c>
      <c r="DG841" s="162">
        <v>0.43768957617353227</v>
      </c>
      <c r="DH841" s="162">
        <v>0.43902511875666661</v>
      </c>
      <c r="DI841" s="162">
        <v>0.43611184588923591</v>
      </c>
    </row>
    <row r="842" spans="1:113" ht="12" hidden="1" outlineLevel="2">
      <c r="A842" s="1" t="s">
        <v>1013</v>
      </c>
      <c r="B842" s="19" t="s">
        <v>801</v>
      </c>
      <c r="DB842" s="19"/>
      <c r="DC842" s="19"/>
      <c r="DD842" s="19"/>
      <c r="DE842" s="19"/>
      <c r="DF842" s="19"/>
      <c r="DG842" s="19"/>
      <c r="DH842" s="19"/>
      <c r="DI842" s="19"/>
    </row>
    <row r="843" spans="1:113" ht="12" hidden="1" outlineLevel="2">
      <c r="A843" s="1" t="s">
        <v>184</v>
      </c>
      <c r="B843" s="19" t="s">
        <v>801</v>
      </c>
      <c r="DB843" s="19"/>
      <c r="DC843" s="19"/>
      <c r="DD843" s="19"/>
      <c r="DE843" s="19"/>
      <c r="DF843" s="19"/>
      <c r="DG843" s="19"/>
      <c r="DH843" s="19"/>
      <c r="DI843" s="19"/>
    </row>
    <row r="844" spans="1:113" ht="12" hidden="1" outlineLevel="2">
      <c r="A844" s="1" t="s">
        <v>185</v>
      </c>
      <c r="B844" s="19" t="s">
        <v>801</v>
      </c>
      <c r="DB844" s="19"/>
      <c r="DC844" s="19"/>
      <c r="DD844" s="19"/>
      <c r="DE844" s="19"/>
      <c r="DF844" s="19"/>
      <c r="DG844" s="19"/>
      <c r="DH844" s="19"/>
      <c r="DI844" s="19"/>
    </row>
    <row r="845" spans="1:113" ht="12" hidden="1" outlineLevel="2">
      <c r="A845" s="1" t="s">
        <v>186</v>
      </c>
      <c r="B845" s="19" t="s">
        <v>801</v>
      </c>
      <c r="DB845" s="19"/>
      <c r="DC845" s="19"/>
      <c r="DD845" s="19"/>
      <c r="DE845" s="19"/>
      <c r="DF845" s="19"/>
      <c r="DG845" s="19"/>
      <c r="DH845" s="19"/>
      <c r="DI845" s="19"/>
    </row>
    <row r="846" spans="1:113" ht="12" hidden="1" outlineLevel="2">
      <c r="A846" s="1" t="s">
        <v>187</v>
      </c>
      <c r="B846" s="19" t="s">
        <v>801</v>
      </c>
      <c r="DB846" s="19"/>
      <c r="DC846" s="19"/>
      <c r="DD846" s="19"/>
      <c r="DE846" s="19"/>
      <c r="DF846" s="19"/>
      <c r="DG846" s="19"/>
      <c r="DH846" s="19"/>
      <c r="DI846" s="19"/>
    </row>
    <row r="847" spans="1:113" ht="12" hidden="1" outlineLevel="2">
      <c r="A847" s="1" t="s">
        <v>188</v>
      </c>
      <c r="B847" s="19" t="s">
        <v>801</v>
      </c>
      <c r="DB847" s="19"/>
      <c r="DC847" s="19"/>
      <c r="DD847" s="19"/>
      <c r="DE847" s="19"/>
      <c r="DF847" s="19"/>
      <c r="DG847" s="19"/>
      <c r="DH847" s="19"/>
      <c r="DI847" s="19"/>
    </row>
    <row r="848" spans="1:113" ht="12" hidden="1" outlineLevel="2">
      <c r="A848" s="1" t="s">
        <v>7</v>
      </c>
      <c r="B848" s="19" t="s">
        <v>801</v>
      </c>
      <c r="DB848" s="19"/>
      <c r="DC848" s="19"/>
      <c r="DD848" s="19"/>
      <c r="DE848" s="19"/>
      <c r="DF848" s="19"/>
      <c r="DG848" s="19"/>
      <c r="DH848" s="19"/>
      <c r="DI848" s="19"/>
    </row>
    <row r="849" spans="1:113" ht="12" hidden="1" outlineLevel="2">
      <c r="A849" s="1" t="s">
        <v>8</v>
      </c>
      <c r="B849" s="19" t="s">
        <v>801</v>
      </c>
      <c r="DB849" s="19"/>
      <c r="DC849" s="19"/>
      <c r="DD849" s="19"/>
      <c r="DE849" s="19"/>
      <c r="DF849" s="19"/>
      <c r="DG849" s="19"/>
      <c r="DH849" s="19"/>
      <c r="DI849" s="19"/>
    </row>
    <row r="850" spans="1:113" ht="12" hidden="1" outlineLevel="2">
      <c r="A850" s="1" t="s">
        <v>9</v>
      </c>
      <c r="B850" s="19" t="s">
        <v>801</v>
      </c>
      <c r="BR850" s="19"/>
      <c r="BS850" s="19"/>
      <c r="BT850" s="19"/>
      <c r="BU850" s="19"/>
      <c r="BV850" s="19"/>
      <c r="BW850" s="19"/>
      <c r="BX850" s="19"/>
      <c r="BY850" s="19"/>
      <c r="BZ850" s="19"/>
      <c r="CA850" s="19"/>
      <c r="CB850" s="19"/>
      <c r="CC850" s="19"/>
      <c r="CD850" s="19"/>
      <c r="CE850" s="19"/>
      <c r="CF850" s="19"/>
      <c r="CG850" s="19"/>
      <c r="CH850" s="19"/>
      <c r="CI850" s="19"/>
      <c r="CJ850" s="19"/>
      <c r="CK850" s="19"/>
      <c r="CL850" s="19"/>
      <c r="CM850" s="19"/>
      <c r="CN850" s="19"/>
      <c r="CO850" s="19"/>
      <c r="CP850" s="19"/>
      <c r="CQ850" s="19"/>
      <c r="CR850" s="19"/>
      <c r="CS850" s="19"/>
      <c r="CT850" s="19"/>
      <c r="CV850" s="19"/>
      <c r="CW850" s="19"/>
      <c r="CX850" s="19"/>
      <c r="CY850" s="296"/>
      <c r="CZ850" s="19"/>
      <c r="DA850" s="19"/>
      <c r="DB850" s="19"/>
      <c r="DC850" s="19"/>
      <c r="DD850" s="19"/>
      <c r="DE850" s="19"/>
      <c r="DF850" s="19"/>
      <c r="DG850" s="19"/>
      <c r="DH850" s="19"/>
      <c r="DI850" s="19"/>
    </row>
    <row r="851" spans="1:113" ht="12" hidden="1" outlineLevel="2">
      <c r="A851" s="1" t="s">
        <v>10</v>
      </c>
      <c r="B851" s="19" t="s">
        <v>801</v>
      </c>
      <c r="BR851" s="19"/>
      <c r="BS851" s="19"/>
      <c r="BT851" s="19"/>
      <c r="BU851" s="19"/>
      <c r="BV851" s="19"/>
      <c r="BW851" s="19"/>
      <c r="BX851" s="19"/>
      <c r="BY851" s="19"/>
      <c r="BZ851" s="19"/>
      <c r="CA851" s="19"/>
      <c r="CB851" s="19"/>
      <c r="CC851" s="19"/>
      <c r="CD851" s="19"/>
      <c r="CE851" s="19"/>
      <c r="CF851" s="19"/>
      <c r="CG851" s="19"/>
      <c r="CH851" s="19"/>
      <c r="CI851" s="19"/>
      <c r="CJ851" s="19"/>
      <c r="CK851" s="19"/>
      <c r="CL851" s="19"/>
      <c r="CM851" s="19"/>
      <c r="CN851" s="19"/>
      <c r="CO851" s="19"/>
      <c r="CP851" s="19"/>
      <c r="CQ851" s="19"/>
      <c r="CR851" s="19"/>
      <c r="CS851" s="19"/>
      <c r="CT851" s="19"/>
      <c r="CV851" s="19"/>
      <c r="CW851" s="19"/>
      <c r="CX851" s="19"/>
      <c r="CY851" s="296"/>
      <c r="CZ851" s="19"/>
      <c r="DA851" s="19"/>
      <c r="DB851" s="19"/>
      <c r="DC851" s="19"/>
      <c r="DD851" s="19"/>
      <c r="DE851" s="19"/>
      <c r="DF851" s="19"/>
      <c r="DG851" s="19"/>
      <c r="DH851" s="19"/>
      <c r="DI851" s="19"/>
    </row>
    <row r="852" spans="1:113" ht="12" outlineLevel="1" collapsed="1">
      <c r="AF852" s="394"/>
      <c r="AG852" s="394"/>
      <c r="AH852" s="394"/>
      <c r="BR852" s="19"/>
      <c r="BS852" s="19"/>
      <c r="BT852" s="19"/>
      <c r="BU852" s="19"/>
      <c r="BV852" s="19"/>
      <c r="BW852" s="19"/>
      <c r="BX852" s="19"/>
      <c r="BY852" s="19"/>
      <c r="BZ852" s="19"/>
      <c r="CA852" s="19"/>
      <c r="CB852" s="19"/>
      <c r="CC852" s="19"/>
      <c r="CD852" s="19"/>
      <c r="CE852" s="19"/>
      <c r="CF852" s="19"/>
      <c r="CG852" s="19"/>
      <c r="CH852" s="19"/>
      <c r="CI852" s="19"/>
      <c r="CJ852" s="19"/>
      <c r="CK852" s="19"/>
      <c r="CL852" s="19"/>
      <c r="CM852" s="19"/>
      <c r="CN852" s="19"/>
      <c r="CO852" s="19"/>
      <c r="CP852" s="19"/>
      <c r="CQ852" s="19"/>
      <c r="CR852" s="19"/>
      <c r="CS852" s="19"/>
      <c r="CT852" s="19"/>
      <c r="CV852" s="19"/>
      <c r="CW852" s="19"/>
      <c r="CX852" s="19"/>
      <c r="CY852" s="296"/>
      <c r="CZ852" s="19"/>
      <c r="DA852" s="19"/>
      <c r="DB852" s="19"/>
      <c r="DC852" s="19"/>
      <c r="DD852" s="19"/>
      <c r="DE852" s="19"/>
      <c r="DF852" s="19"/>
      <c r="DG852" s="19"/>
      <c r="DH852" s="19"/>
      <c r="DI852" s="19"/>
    </row>
    <row r="853" spans="1:113" ht="12">
      <c r="Z853" s="42"/>
      <c r="AA853" s="42"/>
      <c r="AB853" s="42"/>
      <c r="AC853" s="42"/>
      <c r="AD853" s="42"/>
      <c r="AE853" s="42"/>
      <c r="AF853" s="416"/>
      <c r="AG853" s="416"/>
      <c r="AH853" s="416"/>
      <c r="AI853" s="42"/>
      <c r="AJ853" s="42"/>
      <c r="AK853" s="42"/>
      <c r="AL853" s="42"/>
      <c r="AM853" s="42"/>
      <c r="AN853" s="42"/>
      <c r="AO853" s="42"/>
      <c r="AP853" s="42"/>
      <c r="AQ853" s="42"/>
      <c r="AR853" s="42"/>
      <c r="AS853" s="42"/>
      <c r="AT853" s="42"/>
      <c r="AU853" s="42"/>
      <c r="AV853" s="42"/>
      <c r="AW853" s="43"/>
      <c r="AX853" s="42"/>
      <c r="AY853" s="42"/>
      <c r="AZ853" s="42"/>
      <c r="BA853" s="42"/>
      <c r="BB853" s="42"/>
      <c r="BC853" s="42"/>
      <c r="BD853" s="42"/>
      <c r="BE853" s="42"/>
      <c r="BF853" s="42"/>
      <c r="BG853" s="42"/>
      <c r="BH853" s="42"/>
      <c r="BI853" s="42"/>
      <c r="BJ853" s="42"/>
      <c r="BK853" s="42"/>
      <c r="BL853" s="42"/>
      <c r="BM853" s="42"/>
      <c r="BN853" s="42"/>
      <c r="BO853" s="42"/>
      <c r="BP853" s="42"/>
      <c r="BQ853" s="42"/>
      <c r="BR853" s="19"/>
      <c r="BS853" s="19"/>
      <c r="BT853" s="19"/>
      <c r="BU853" s="19"/>
      <c r="BV853" s="19"/>
      <c r="BW853" s="19"/>
      <c r="BX853" s="19"/>
      <c r="BY853" s="19"/>
      <c r="BZ853" s="19"/>
      <c r="CA853" s="19"/>
      <c r="CB853" s="19"/>
      <c r="CC853" s="19"/>
      <c r="CD853" s="19"/>
      <c r="CE853" s="19"/>
      <c r="CF853" s="19"/>
      <c r="CG853" s="19"/>
      <c r="CH853" s="19"/>
      <c r="CI853" s="19"/>
      <c r="CJ853" s="19"/>
      <c r="CK853" s="19"/>
      <c r="CL853" s="19"/>
      <c r="CM853" s="19"/>
      <c r="CN853" s="19"/>
      <c r="CO853" s="19"/>
      <c r="CP853" s="19"/>
      <c r="CQ853" s="19"/>
      <c r="CR853" s="19"/>
      <c r="CS853" s="19"/>
      <c r="CT853" s="19"/>
      <c r="CU853" s="42"/>
      <c r="CV853" s="19"/>
      <c r="CW853" s="19"/>
      <c r="CX853" s="19"/>
      <c r="CY853" s="296"/>
      <c r="CZ853" s="19"/>
      <c r="DA853" s="19"/>
      <c r="DB853" s="19"/>
      <c r="DC853" s="19"/>
      <c r="DD853" s="19"/>
      <c r="DE853" s="19"/>
      <c r="DF853" s="19"/>
      <c r="DG853" s="19"/>
      <c r="DH853" s="19"/>
      <c r="DI853" s="19"/>
    </row>
    <row r="854" spans="1:113" ht="12">
      <c r="CY854" s="296"/>
      <c r="CZ854" s="19"/>
      <c r="DA854" s="19"/>
      <c r="DB854" s="19"/>
      <c r="DC854" s="19"/>
      <c r="DD854" s="19"/>
      <c r="DE854" s="19"/>
      <c r="DF854" s="19"/>
      <c r="DG854" s="19"/>
      <c r="DH854" s="19"/>
      <c r="DI854" s="19"/>
    </row>
    <row r="855" spans="1:113" ht="12">
      <c r="Y855" s="42"/>
      <c r="Z855" s="157"/>
      <c r="AA855" s="157"/>
      <c r="AB855" s="157"/>
      <c r="AC855" s="157"/>
      <c r="AD855" s="157"/>
      <c r="AE855" s="157"/>
      <c r="AF855" s="157"/>
      <c r="AG855" s="157"/>
      <c r="AH855" s="157"/>
      <c r="AI855" s="157"/>
      <c r="AJ855" s="157"/>
      <c r="AK855" s="157"/>
      <c r="AL855" s="157"/>
      <c r="AM855" s="157"/>
      <c r="AN855" s="157"/>
      <c r="AO855" s="157"/>
      <c r="AP855" s="157"/>
      <c r="AQ855" s="157"/>
      <c r="AR855" s="157"/>
      <c r="AS855" s="157"/>
      <c r="AT855" s="157"/>
      <c r="AU855" s="157"/>
      <c r="AV855" s="157"/>
      <c r="AW855" s="657"/>
      <c r="AX855" s="157"/>
      <c r="AY855" s="157"/>
      <c r="AZ855" s="157"/>
      <c r="BA855" s="157"/>
      <c r="BB855" s="157"/>
      <c r="BC855" s="157"/>
      <c r="BD855" s="157"/>
      <c r="BE855" s="157"/>
      <c r="BF855" s="157"/>
      <c r="BG855" s="157"/>
      <c r="BH855" s="157"/>
      <c r="BI855" s="157"/>
      <c r="BJ855" s="157"/>
      <c r="BK855" s="157"/>
      <c r="BL855" s="157"/>
      <c r="BM855" s="157"/>
      <c r="BN855" s="157"/>
      <c r="BO855" s="157"/>
      <c r="BP855" s="157"/>
      <c r="BQ855" s="157"/>
      <c r="BR855" s="19"/>
      <c r="BS855" s="19"/>
      <c r="BT855" s="19"/>
      <c r="BU855" s="19"/>
      <c r="BV855" s="19"/>
      <c r="BW855" s="19"/>
      <c r="BX855" s="19"/>
      <c r="BY855" s="19"/>
      <c r="BZ855" s="19"/>
      <c r="CA855" s="19"/>
      <c r="CB855" s="19"/>
      <c r="CC855" s="19"/>
      <c r="CD855" s="19"/>
      <c r="CE855" s="19"/>
      <c r="CF855" s="19"/>
      <c r="CG855" s="19"/>
      <c r="CH855" s="19"/>
      <c r="CI855" s="19"/>
      <c r="CJ855" s="19"/>
      <c r="CK855" s="19"/>
      <c r="CL855" s="19"/>
      <c r="CM855" s="19"/>
      <c r="CN855" s="19"/>
      <c r="CO855" s="19"/>
      <c r="CP855" s="19"/>
      <c r="CQ855" s="19"/>
      <c r="CR855" s="19"/>
      <c r="CS855" s="19"/>
      <c r="CT855" s="19"/>
      <c r="CU855" s="157"/>
      <c r="CV855" s="19"/>
      <c r="CW855" s="19"/>
      <c r="CX855" s="19"/>
      <c r="DC855" s="19"/>
      <c r="DD855" s="19"/>
      <c r="DE855" s="19"/>
      <c r="DF855" s="19"/>
      <c r="DG855" s="19"/>
      <c r="DH855" s="19"/>
      <c r="DI855" s="19"/>
    </row>
    <row r="856" spans="1:113" ht="12">
      <c r="Z856" s="157"/>
      <c r="AA856" s="157"/>
      <c r="AB856" s="157"/>
      <c r="AC856" s="157"/>
      <c r="AD856" s="157"/>
      <c r="AE856" s="157"/>
      <c r="AF856" s="157"/>
      <c r="AG856" s="157"/>
      <c r="AH856" s="157"/>
      <c r="AI856" s="157"/>
      <c r="AJ856" s="157"/>
      <c r="AK856" s="157"/>
      <c r="AL856" s="157"/>
      <c r="AM856" s="157"/>
      <c r="AN856" s="157"/>
      <c r="AO856" s="157"/>
      <c r="AP856" s="157"/>
      <c r="AQ856" s="157"/>
      <c r="AR856" s="157"/>
      <c r="AS856" s="157"/>
      <c r="AT856" s="157"/>
      <c r="AU856" s="157"/>
      <c r="AV856" s="157"/>
      <c r="AW856" s="657"/>
      <c r="AX856" s="157"/>
      <c r="AY856" s="157"/>
      <c r="AZ856" s="157"/>
      <c r="BA856" s="157"/>
      <c r="BB856" s="157"/>
      <c r="BC856" s="157"/>
      <c r="BD856" s="157"/>
      <c r="BE856" s="157"/>
      <c r="BF856" s="157"/>
      <c r="BG856" s="157"/>
      <c r="BH856" s="157"/>
      <c r="BI856" s="157"/>
      <c r="BJ856" s="157"/>
      <c r="BK856" s="157"/>
      <c r="BL856" s="157"/>
      <c r="BM856" s="157"/>
      <c r="BN856" s="157"/>
      <c r="BO856" s="157"/>
      <c r="BP856" s="157"/>
      <c r="BQ856" s="157"/>
      <c r="BR856" s="19"/>
      <c r="BS856" s="19"/>
      <c r="BT856" s="19"/>
      <c r="BU856" s="19"/>
      <c r="BV856" s="19"/>
      <c r="BW856" s="19"/>
      <c r="BX856" s="19"/>
      <c r="BY856" s="19"/>
      <c r="BZ856" s="19"/>
      <c r="CA856" s="19"/>
      <c r="CB856" s="19"/>
      <c r="CC856" s="19"/>
      <c r="CD856" s="19"/>
      <c r="CE856" s="19"/>
      <c r="CF856" s="19"/>
      <c r="CG856" s="19"/>
      <c r="CH856" s="19"/>
      <c r="CI856" s="19"/>
      <c r="CJ856" s="19"/>
      <c r="CK856" s="19"/>
      <c r="CL856" s="19"/>
      <c r="CM856" s="19"/>
      <c r="CN856" s="19"/>
      <c r="CO856" s="19"/>
      <c r="CP856" s="19"/>
      <c r="CQ856" s="19"/>
      <c r="CR856" s="19"/>
      <c r="CS856" s="19"/>
      <c r="CT856" s="19"/>
      <c r="CU856" s="157"/>
      <c r="CV856" s="19"/>
      <c r="CW856" s="19"/>
      <c r="CX856" s="19"/>
      <c r="DC856" s="19"/>
      <c r="DD856" s="19"/>
      <c r="DE856" s="19"/>
      <c r="DF856" s="19"/>
      <c r="DG856" s="19"/>
      <c r="DH856" s="19"/>
      <c r="DI856" s="19"/>
    </row>
    <row r="857" spans="1:113" ht="12">
      <c r="Z857" s="157"/>
      <c r="AA857" s="157"/>
      <c r="AB857" s="157"/>
      <c r="AC857" s="157"/>
      <c r="AD857" s="157"/>
      <c r="AE857" s="157"/>
      <c r="AF857" s="157"/>
      <c r="AG857" s="157"/>
      <c r="AH857" s="157"/>
      <c r="AI857" s="157"/>
      <c r="AJ857" s="157"/>
      <c r="AK857" s="157"/>
      <c r="AL857" s="157"/>
      <c r="AM857" s="157"/>
      <c r="AN857" s="157"/>
      <c r="AO857" s="157"/>
      <c r="AP857" s="157"/>
      <c r="AQ857" s="157"/>
      <c r="AR857" s="157"/>
      <c r="AS857" s="157"/>
      <c r="AT857" s="157"/>
      <c r="AU857" s="157"/>
      <c r="AV857" s="157"/>
      <c r="AW857" s="657"/>
      <c r="AX857" s="157"/>
      <c r="AY857" s="157"/>
      <c r="AZ857" s="157"/>
      <c r="BA857" s="157"/>
      <c r="BB857" s="157"/>
      <c r="BC857" s="157"/>
      <c r="BD857" s="157"/>
      <c r="BE857" s="157"/>
      <c r="BF857" s="157"/>
      <c r="BG857" s="157"/>
      <c r="BH857" s="157"/>
      <c r="BI857" s="157"/>
      <c r="BJ857" s="157"/>
      <c r="BK857" s="157"/>
      <c r="BL857" s="157"/>
      <c r="BM857" s="157"/>
      <c r="BN857" s="157"/>
      <c r="BO857" s="157"/>
      <c r="BP857" s="157"/>
      <c r="BQ857" s="157"/>
      <c r="BR857" s="19"/>
      <c r="BS857" s="19"/>
      <c r="BT857" s="19"/>
      <c r="BU857" s="19"/>
      <c r="BV857" s="19"/>
      <c r="BW857" s="19"/>
      <c r="BX857" s="19"/>
      <c r="BY857" s="19"/>
      <c r="BZ857" s="19"/>
      <c r="CA857" s="19"/>
      <c r="CB857" s="19"/>
      <c r="CC857" s="19"/>
      <c r="CD857" s="19"/>
      <c r="CE857" s="19"/>
      <c r="CF857" s="19"/>
      <c r="CG857" s="19"/>
      <c r="CH857" s="19"/>
      <c r="CI857" s="19"/>
      <c r="CJ857" s="19"/>
      <c r="CK857" s="19"/>
      <c r="CL857" s="19"/>
      <c r="CM857" s="19"/>
      <c r="CN857" s="19"/>
      <c r="CO857" s="19"/>
      <c r="CP857" s="19"/>
      <c r="CQ857" s="19"/>
      <c r="CR857" s="19"/>
      <c r="CS857" s="19"/>
      <c r="CT857" s="19"/>
      <c r="CU857" s="157"/>
      <c r="CV857" s="19"/>
      <c r="CW857" s="19"/>
      <c r="CX857" s="19"/>
      <c r="DC857" s="19"/>
      <c r="DD857" s="19"/>
      <c r="DE857" s="19"/>
      <c r="DF857" s="19"/>
      <c r="DG857" s="19"/>
      <c r="DH857" s="19"/>
      <c r="DI857" s="19"/>
    </row>
    <row r="858" spans="1:113" ht="12">
      <c r="Z858" s="157"/>
      <c r="AA858" s="157"/>
      <c r="AB858" s="157"/>
      <c r="AC858" s="157"/>
      <c r="AD858" s="157"/>
      <c r="AE858" s="157"/>
      <c r="AF858" s="157"/>
      <c r="AG858" s="157"/>
      <c r="AH858" s="157"/>
      <c r="AI858" s="157"/>
      <c r="AJ858" s="157"/>
      <c r="AK858" s="157"/>
      <c r="AL858" s="157"/>
      <c r="AM858" s="157"/>
      <c r="AN858" s="157"/>
      <c r="AO858" s="157"/>
      <c r="AP858" s="157"/>
      <c r="AQ858" s="157"/>
      <c r="AR858" s="157"/>
      <c r="AS858" s="157"/>
      <c r="AT858" s="157"/>
      <c r="AU858" s="157"/>
      <c r="AV858" s="157"/>
      <c r="AW858" s="657"/>
      <c r="AX858" s="157"/>
      <c r="AY858" s="157"/>
      <c r="AZ858" s="157"/>
      <c r="BA858" s="157"/>
      <c r="BB858" s="157"/>
      <c r="BC858" s="157"/>
      <c r="BD858" s="157"/>
      <c r="BE858" s="157"/>
      <c r="BF858" s="157"/>
      <c r="BG858" s="157"/>
      <c r="BH858" s="157"/>
      <c r="BI858" s="157"/>
      <c r="BJ858" s="157"/>
      <c r="BK858" s="157"/>
      <c r="BL858" s="157"/>
      <c r="BM858" s="157"/>
      <c r="BN858" s="157"/>
      <c r="BO858" s="157"/>
      <c r="BP858" s="157"/>
      <c r="BQ858" s="157"/>
      <c r="BR858" s="19"/>
      <c r="BS858" s="19"/>
      <c r="BT858" s="19"/>
      <c r="BU858" s="19"/>
      <c r="BV858" s="19"/>
      <c r="BW858" s="19"/>
      <c r="BX858" s="19"/>
      <c r="BY858" s="19"/>
      <c r="BZ858" s="19"/>
      <c r="CA858" s="19"/>
      <c r="CB858" s="19"/>
      <c r="CC858" s="19"/>
      <c r="CD858" s="19"/>
      <c r="CE858" s="19"/>
      <c r="CF858" s="19"/>
      <c r="CG858" s="19"/>
      <c r="CH858" s="19"/>
      <c r="CI858" s="19"/>
      <c r="CJ858" s="19"/>
      <c r="CK858" s="19"/>
      <c r="CL858" s="19"/>
      <c r="CM858" s="19"/>
      <c r="CN858" s="19"/>
      <c r="CO858" s="19"/>
      <c r="CP858" s="19"/>
      <c r="CQ858" s="19"/>
      <c r="CR858" s="19"/>
      <c r="CS858" s="19"/>
      <c r="CT858" s="19"/>
      <c r="CU858" s="157"/>
      <c r="CV858" s="19"/>
      <c r="CW858" s="19"/>
      <c r="CX858" s="19"/>
      <c r="DC858" s="19"/>
      <c r="DD858" s="19"/>
      <c r="DE858" s="19"/>
      <c r="DF858" s="19"/>
      <c r="DG858" s="19"/>
      <c r="DH858" s="19"/>
      <c r="DI858" s="19"/>
    </row>
    <row r="859" spans="1:113" ht="12">
      <c r="DC859" s="19"/>
      <c r="DD859" s="19"/>
      <c r="DE859" s="19"/>
      <c r="DF859" s="19"/>
      <c r="DG859" s="19"/>
      <c r="DH859" s="19"/>
      <c r="DI859" s="19"/>
    </row>
    <row r="860" spans="1:113" ht="12">
      <c r="DC860" s="19"/>
      <c r="DD860" s="19"/>
      <c r="DE860" s="19"/>
      <c r="DF860" s="19"/>
      <c r="DG860" s="19"/>
      <c r="DH860" s="19"/>
      <c r="DI860" s="19"/>
    </row>
    <row r="861" spans="1:113" ht="12">
      <c r="DC861" s="19"/>
      <c r="DD861" s="19"/>
      <c r="DE861" s="19"/>
      <c r="DF861" s="19"/>
      <c r="DG861" s="19"/>
      <c r="DH861" s="19"/>
      <c r="DI861" s="19"/>
    </row>
    <row r="862" spans="1:113" ht="12">
      <c r="DC862" s="19"/>
      <c r="DD862" s="19"/>
      <c r="DE862" s="19"/>
      <c r="DF862" s="19"/>
      <c r="DG862" s="19"/>
      <c r="DH862" s="19"/>
      <c r="DI862" s="19"/>
    </row>
    <row r="863" spans="1:113" ht="12">
      <c r="DC863" s="19"/>
      <c r="DD863" s="19"/>
      <c r="DE863" s="19"/>
      <c r="DF863" s="19"/>
      <c r="DG863" s="19"/>
      <c r="DH863" s="19"/>
      <c r="DI863" s="19"/>
    </row>
    <row r="864" spans="1:113" ht="12">
      <c r="DC864" s="19"/>
      <c r="DD864" s="19"/>
      <c r="DE864" s="19"/>
      <c r="DF864" s="19"/>
      <c r="DG864" s="19"/>
      <c r="DH864" s="19"/>
      <c r="DI864" s="19"/>
    </row>
    <row r="865" spans="3:106" s="19" customFormat="1" ht="12"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2"/>
      <c r="AX865" s="21"/>
      <c r="AY865" s="21"/>
      <c r="AZ865" s="21"/>
      <c r="BA865" s="21"/>
      <c r="BB865" s="21"/>
      <c r="BC865" s="21"/>
      <c r="BD865" s="21"/>
      <c r="BE865" s="21"/>
      <c r="BF865" s="21"/>
      <c r="BG865" s="21"/>
      <c r="BH865" s="21"/>
      <c r="BI865" s="21"/>
      <c r="BJ865" s="21"/>
      <c r="BK865" s="21"/>
      <c r="BL865" s="21"/>
      <c r="BM865" s="21"/>
      <c r="BN865" s="21"/>
      <c r="BO865" s="21"/>
      <c r="BP865" s="21"/>
      <c r="BQ865" s="21"/>
      <c r="BR865" s="21"/>
      <c r="BS865" s="21"/>
      <c r="BT865" s="21"/>
      <c r="BU865" s="21"/>
      <c r="BV865" s="21"/>
      <c r="BW865" s="21"/>
      <c r="BX865" s="21"/>
      <c r="BY865" s="21"/>
      <c r="BZ865" s="21"/>
      <c r="CA865" s="21"/>
      <c r="CB865" s="21"/>
      <c r="CC865" s="21"/>
      <c r="CD865" s="21"/>
      <c r="CE865" s="21"/>
      <c r="CF865" s="21"/>
      <c r="CG865" s="21"/>
      <c r="CH865" s="21"/>
      <c r="CI865" s="21"/>
      <c r="CJ865" s="21"/>
      <c r="CK865" s="21"/>
      <c r="CL865" s="21"/>
      <c r="CM865" s="21"/>
      <c r="CN865" s="21"/>
      <c r="CO865" s="21"/>
      <c r="CP865" s="21"/>
      <c r="CQ865" s="21"/>
      <c r="CR865" s="21"/>
      <c r="CS865" s="21"/>
      <c r="CT865" s="21"/>
      <c r="CU865" s="21"/>
      <c r="CV865" s="21"/>
      <c r="CW865" s="21"/>
      <c r="CX865" s="21"/>
      <c r="CY865" s="22"/>
      <c r="CZ865" s="21"/>
      <c r="DA865" s="21"/>
      <c r="DB865" s="21"/>
    </row>
    <row r="866" spans="3:106" s="19" customFormat="1" ht="12"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2"/>
      <c r="AX866" s="21"/>
      <c r="AY866" s="21"/>
      <c r="AZ866" s="21"/>
      <c r="BA866" s="21"/>
      <c r="BB866" s="21"/>
      <c r="BC866" s="21"/>
      <c r="BD866" s="21"/>
      <c r="BE866" s="21"/>
      <c r="BF866" s="21"/>
      <c r="BG866" s="21"/>
      <c r="BH866" s="21"/>
      <c r="BI866" s="21"/>
      <c r="BJ866" s="21"/>
      <c r="BK866" s="21"/>
      <c r="BL866" s="21"/>
      <c r="BM866" s="21"/>
      <c r="BN866" s="21"/>
      <c r="BO866" s="21"/>
      <c r="BP866" s="21"/>
      <c r="BQ866" s="21"/>
      <c r="BR866" s="21"/>
      <c r="BS866" s="21"/>
      <c r="BT866" s="21"/>
      <c r="BU866" s="21"/>
      <c r="BV866" s="21"/>
      <c r="BW866" s="21"/>
      <c r="BX866" s="21"/>
      <c r="BY866" s="21"/>
      <c r="BZ866" s="21"/>
      <c r="CA866" s="21"/>
      <c r="CB866" s="21"/>
      <c r="CC866" s="21"/>
      <c r="CD866" s="21"/>
      <c r="CE866" s="21"/>
      <c r="CF866" s="21"/>
      <c r="CG866" s="21"/>
      <c r="CH866" s="21"/>
      <c r="CI866" s="21"/>
      <c r="CJ866" s="21"/>
      <c r="CK866" s="21"/>
      <c r="CL866" s="21"/>
      <c r="CM866" s="21"/>
      <c r="CN866" s="21"/>
      <c r="CO866" s="21"/>
      <c r="CP866" s="21"/>
      <c r="CQ866" s="21"/>
      <c r="CR866" s="21"/>
      <c r="CS866" s="21"/>
      <c r="CT866" s="21"/>
      <c r="CU866" s="21"/>
      <c r="CV866" s="21"/>
      <c r="CW866" s="21"/>
      <c r="CX866" s="21"/>
      <c r="CY866" s="22"/>
      <c r="CZ866" s="21"/>
      <c r="DA866" s="21"/>
      <c r="DB866" s="21"/>
    </row>
    <row r="867" spans="3:106" s="19" customFormat="1" ht="12"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2"/>
      <c r="AX867" s="21"/>
      <c r="AY867" s="21"/>
      <c r="AZ867" s="21"/>
      <c r="BA867" s="21"/>
      <c r="BB867" s="21"/>
      <c r="BC867" s="21"/>
      <c r="BD867" s="21"/>
      <c r="BE867" s="21"/>
      <c r="BF867" s="21"/>
      <c r="BG867" s="21"/>
      <c r="BH867" s="21"/>
      <c r="BI867" s="21"/>
      <c r="BJ867" s="21"/>
      <c r="BK867" s="21"/>
      <c r="BL867" s="21"/>
      <c r="BM867" s="21"/>
      <c r="BN867" s="21"/>
      <c r="BO867" s="21"/>
      <c r="BP867" s="21"/>
      <c r="BQ867" s="21"/>
      <c r="BR867" s="21"/>
      <c r="BS867" s="21"/>
      <c r="BT867" s="21"/>
      <c r="BU867" s="21"/>
      <c r="BV867" s="21"/>
      <c r="BW867" s="21"/>
      <c r="BX867" s="21"/>
      <c r="BY867" s="21"/>
      <c r="BZ867" s="21"/>
      <c r="CA867" s="21"/>
      <c r="CB867" s="21"/>
      <c r="CC867" s="21"/>
      <c r="CD867" s="21"/>
      <c r="CE867" s="21"/>
      <c r="CF867" s="21"/>
      <c r="CG867" s="21"/>
      <c r="CH867" s="21"/>
      <c r="CI867" s="21"/>
      <c r="CJ867" s="21"/>
      <c r="CK867" s="21"/>
      <c r="CL867" s="21"/>
      <c r="CM867" s="21"/>
      <c r="CN867" s="21"/>
      <c r="CO867" s="21"/>
      <c r="CP867" s="21"/>
      <c r="CQ867" s="21"/>
      <c r="CR867" s="21"/>
      <c r="CS867" s="21"/>
      <c r="CT867" s="21"/>
      <c r="CU867" s="21"/>
      <c r="CV867" s="21"/>
      <c r="CW867" s="21"/>
      <c r="CX867" s="21"/>
      <c r="CY867" s="22"/>
      <c r="CZ867" s="21"/>
      <c r="DA867" s="21"/>
      <c r="DB867" s="21"/>
    </row>
    <row r="868" spans="3:106" s="19" customFormat="1" ht="12"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2"/>
      <c r="AX868" s="21"/>
      <c r="AY868" s="21"/>
      <c r="AZ868" s="21"/>
      <c r="BA868" s="21"/>
      <c r="BB868" s="21"/>
      <c r="BC868" s="21"/>
      <c r="BD868" s="21"/>
      <c r="BE868" s="21"/>
      <c r="BF868" s="21"/>
      <c r="BG868" s="21"/>
      <c r="BH868" s="21"/>
      <c r="BI868" s="21"/>
      <c r="BJ868" s="21"/>
      <c r="BK868" s="21"/>
      <c r="BL868" s="21"/>
      <c r="BM868" s="21"/>
      <c r="BN868" s="21"/>
      <c r="BO868" s="21"/>
      <c r="BP868" s="21"/>
      <c r="BQ868" s="21"/>
      <c r="BR868" s="21"/>
      <c r="BS868" s="21"/>
      <c r="BT868" s="21"/>
      <c r="BU868" s="21"/>
      <c r="BV868" s="21"/>
      <c r="BW868" s="21"/>
      <c r="BX868" s="21"/>
      <c r="BY868" s="21"/>
      <c r="BZ868" s="21"/>
      <c r="CA868" s="21"/>
      <c r="CB868" s="21"/>
      <c r="CC868" s="21"/>
      <c r="CD868" s="21"/>
      <c r="CE868" s="21"/>
      <c r="CF868" s="21"/>
      <c r="CG868" s="21"/>
      <c r="CH868" s="21"/>
      <c r="CI868" s="21"/>
      <c r="CJ868" s="21"/>
      <c r="CK868" s="21"/>
      <c r="CL868" s="21"/>
      <c r="CM868" s="21"/>
      <c r="CN868" s="21"/>
      <c r="CO868" s="21"/>
      <c r="CP868" s="21"/>
      <c r="CQ868" s="21"/>
      <c r="CR868" s="21"/>
      <c r="CS868" s="21"/>
      <c r="CT868" s="21"/>
      <c r="CU868" s="21"/>
      <c r="CV868" s="21"/>
      <c r="CW868" s="21"/>
      <c r="CX868" s="21"/>
      <c r="CY868" s="22"/>
      <c r="CZ868" s="21"/>
      <c r="DA868" s="21"/>
      <c r="DB868" s="21"/>
    </row>
    <row r="869" spans="3:106" s="19" customFormat="1" ht="12"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2"/>
      <c r="AX869" s="21"/>
      <c r="AY869" s="21"/>
      <c r="AZ869" s="21"/>
      <c r="BA869" s="21"/>
      <c r="BB869" s="21"/>
      <c r="BC869" s="21"/>
      <c r="BD869" s="21"/>
      <c r="BE869" s="21"/>
      <c r="BF869" s="21"/>
      <c r="BG869" s="21"/>
      <c r="BH869" s="21"/>
      <c r="BI869" s="21"/>
      <c r="BJ869" s="21"/>
      <c r="BK869" s="21"/>
      <c r="BL869" s="21"/>
      <c r="BM869" s="21"/>
      <c r="BN869" s="21"/>
      <c r="BO869" s="21"/>
      <c r="BP869" s="21"/>
      <c r="BQ869" s="21"/>
      <c r="BR869" s="21"/>
      <c r="BS869" s="21"/>
      <c r="BT869" s="21"/>
      <c r="BU869" s="21"/>
      <c r="BV869" s="21"/>
      <c r="BW869" s="21"/>
      <c r="BX869" s="21"/>
      <c r="BY869" s="21"/>
      <c r="BZ869" s="21"/>
      <c r="CA869" s="21"/>
      <c r="CB869" s="21"/>
      <c r="CC869" s="21"/>
      <c r="CD869" s="21"/>
      <c r="CE869" s="21"/>
      <c r="CF869" s="21"/>
      <c r="CG869" s="21"/>
      <c r="CH869" s="21"/>
      <c r="CI869" s="21"/>
      <c r="CJ869" s="21"/>
      <c r="CK869" s="21"/>
      <c r="CL869" s="21"/>
      <c r="CM869" s="21"/>
      <c r="CN869" s="21"/>
      <c r="CO869" s="21"/>
      <c r="CP869" s="21"/>
      <c r="CQ869" s="21"/>
      <c r="CR869" s="21"/>
      <c r="CS869" s="21"/>
      <c r="CT869" s="21"/>
      <c r="CU869" s="21"/>
      <c r="CV869" s="21"/>
      <c r="CW869" s="21"/>
      <c r="CX869" s="21"/>
      <c r="CY869" s="22"/>
      <c r="CZ869" s="21"/>
      <c r="DA869" s="21"/>
      <c r="DB869" s="21"/>
    </row>
    <row r="870" spans="3:106" s="19" customFormat="1" ht="12"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2"/>
      <c r="AX870" s="21"/>
      <c r="AY870" s="21"/>
      <c r="AZ870" s="21"/>
      <c r="BA870" s="21"/>
      <c r="BB870" s="21"/>
      <c r="BC870" s="21"/>
      <c r="BD870" s="21"/>
      <c r="BE870" s="21"/>
      <c r="BF870" s="21"/>
      <c r="BG870" s="21"/>
      <c r="BH870" s="21"/>
      <c r="BI870" s="21"/>
      <c r="BJ870" s="21"/>
      <c r="BK870" s="21"/>
      <c r="BL870" s="21"/>
      <c r="BM870" s="21"/>
      <c r="BN870" s="21"/>
      <c r="BO870" s="21"/>
      <c r="BP870" s="21"/>
      <c r="BQ870" s="21"/>
      <c r="BR870" s="21"/>
      <c r="BS870" s="21"/>
      <c r="BT870" s="21"/>
      <c r="BU870" s="21"/>
      <c r="BV870" s="21"/>
      <c r="BW870" s="21"/>
      <c r="BX870" s="21"/>
      <c r="BY870" s="21"/>
      <c r="BZ870" s="21"/>
      <c r="CA870" s="21"/>
      <c r="CB870" s="21"/>
      <c r="CC870" s="21"/>
      <c r="CD870" s="21"/>
      <c r="CE870" s="21"/>
      <c r="CF870" s="21"/>
      <c r="CG870" s="21"/>
      <c r="CH870" s="21"/>
      <c r="CI870" s="21"/>
      <c r="CJ870" s="21"/>
      <c r="CK870" s="21"/>
      <c r="CL870" s="21"/>
      <c r="CM870" s="21"/>
      <c r="CN870" s="21"/>
      <c r="CO870" s="21"/>
      <c r="CP870" s="21"/>
      <c r="CQ870" s="21"/>
      <c r="CR870" s="21"/>
      <c r="CS870" s="21"/>
      <c r="CT870" s="21"/>
      <c r="CU870" s="21"/>
      <c r="CV870" s="21"/>
      <c r="CW870" s="21"/>
      <c r="CX870" s="21"/>
      <c r="CY870" s="22"/>
      <c r="CZ870" s="21"/>
      <c r="DA870" s="21"/>
      <c r="DB870" s="21"/>
    </row>
    <row r="871" spans="3:106" s="19" customFormat="1" ht="12"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2"/>
      <c r="AX871" s="21"/>
      <c r="AY871" s="21"/>
      <c r="AZ871" s="21"/>
      <c r="BA871" s="21"/>
      <c r="BB871" s="21"/>
      <c r="BC871" s="21"/>
      <c r="BD871" s="21"/>
      <c r="BE871" s="21"/>
      <c r="BF871" s="21"/>
      <c r="BG871" s="21"/>
      <c r="BH871" s="21"/>
      <c r="BI871" s="21"/>
      <c r="BJ871" s="21"/>
      <c r="BK871" s="21"/>
      <c r="BL871" s="21"/>
      <c r="BM871" s="21"/>
      <c r="BN871" s="21"/>
      <c r="BO871" s="21"/>
      <c r="BP871" s="21"/>
      <c r="BQ871" s="21"/>
      <c r="BR871" s="21"/>
      <c r="BS871" s="21"/>
      <c r="BT871" s="21"/>
      <c r="BU871" s="21"/>
      <c r="BV871" s="21"/>
      <c r="BW871" s="21"/>
      <c r="BX871" s="21"/>
      <c r="BY871" s="21"/>
      <c r="BZ871" s="21"/>
      <c r="CA871" s="21"/>
      <c r="CB871" s="21"/>
      <c r="CC871" s="21"/>
      <c r="CD871" s="21"/>
      <c r="CE871" s="21"/>
      <c r="CF871" s="21"/>
      <c r="CG871" s="21"/>
      <c r="CH871" s="21"/>
      <c r="CI871" s="21"/>
      <c r="CJ871" s="21"/>
      <c r="CK871" s="21"/>
      <c r="CL871" s="21"/>
      <c r="CM871" s="21"/>
      <c r="CN871" s="21"/>
      <c r="CO871" s="21"/>
      <c r="CP871" s="21"/>
      <c r="CQ871" s="21"/>
      <c r="CR871" s="21"/>
      <c r="CS871" s="21"/>
      <c r="CT871" s="21"/>
      <c r="CU871" s="21"/>
      <c r="CV871" s="21"/>
      <c r="CW871" s="21"/>
      <c r="CX871" s="21"/>
      <c r="CY871" s="22"/>
      <c r="CZ871" s="21"/>
      <c r="DA871" s="21"/>
      <c r="DB871" s="21"/>
    </row>
    <row r="872" spans="3:106" s="19" customFormat="1" ht="12"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2"/>
      <c r="AX872" s="21"/>
      <c r="AY872" s="21"/>
      <c r="AZ872" s="21"/>
      <c r="BA872" s="21"/>
      <c r="BB872" s="21"/>
      <c r="BC872" s="21"/>
      <c r="BD872" s="21"/>
      <c r="BE872" s="21"/>
      <c r="BF872" s="21"/>
      <c r="BG872" s="21"/>
      <c r="BH872" s="21"/>
      <c r="BI872" s="21"/>
      <c r="BJ872" s="21"/>
      <c r="BK872" s="21"/>
      <c r="BL872" s="21"/>
      <c r="BM872" s="21"/>
      <c r="BN872" s="21"/>
      <c r="BO872" s="21"/>
      <c r="BP872" s="21"/>
      <c r="BQ872" s="21"/>
      <c r="BR872" s="21"/>
      <c r="BS872" s="21"/>
      <c r="BT872" s="21"/>
      <c r="BU872" s="21"/>
      <c r="BV872" s="21"/>
      <c r="BW872" s="21"/>
      <c r="BX872" s="21"/>
      <c r="BY872" s="21"/>
      <c r="BZ872" s="21"/>
      <c r="CA872" s="21"/>
      <c r="CB872" s="21"/>
      <c r="CC872" s="21"/>
      <c r="CD872" s="21"/>
      <c r="CE872" s="21"/>
      <c r="CF872" s="21"/>
      <c r="CG872" s="21"/>
      <c r="CH872" s="21"/>
      <c r="CI872" s="21"/>
      <c r="CJ872" s="21"/>
      <c r="CK872" s="21"/>
      <c r="CL872" s="21"/>
      <c r="CM872" s="21"/>
      <c r="CN872" s="21"/>
      <c r="CO872" s="21"/>
      <c r="CP872" s="21"/>
      <c r="CQ872" s="21"/>
      <c r="CR872" s="21"/>
      <c r="CS872" s="21"/>
      <c r="CT872" s="21"/>
      <c r="CU872" s="21"/>
      <c r="CV872" s="21"/>
      <c r="CW872" s="21"/>
      <c r="CX872" s="21"/>
      <c r="CY872" s="22"/>
      <c r="CZ872" s="21"/>
      <c r="DA872" s="21"/>
      <c r="DB872" s="21"/>
    </row>
    <row r="873" spans="3:106" s="19" customFormat="1" ht="12"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2"/>
      <c r="AX873" s="21"/>
      <c r="AY873" s="21"/>
      <c r="AZ873" s="21"/>
      <c r="BA873" s="21"/>
      <c r="BB873" s="21"/>
      <c r="BC873" s="21"/>
      <c r="BD873" s="21"/>
      <c r="BE873" s="21"/>
      <c r="BF873" s="21"/>
      <c r="BG873" s="21"/>
      <c r="BH873" s="21"/>
      <c r="BI873" s="21"/>
      <c r="BJ873" s="21"/>
      <c r="BK873" s="21"/>
      <c r="BL873" s="21"/>
      <c r="BM873" s="21"/>
      <c r="BN873" s="21"/>
      <c r="BO873" s="21"/>
      <c r="BP873" s="21"/>
      <c r="BQ873" s="21"/>
      <c r="BR873" s="21"/>
      <c r="BS873" s="21"/>
      <c r="BT873" s="21"/>
      <c r="BU873" s="21"/>
      <c r="BV873" s="21"/>
      <c r="BW873" s="21"/>
      <c r="BX873" s="21"/>
      <c r="BY873" s="21"/>
      <c r="BZ873" s="21"/>
      <c r="CA873" s="21"/>
      <c r="CB873" s="21"/>
      <c r="CC873" s="21"/>
      <c r="CD873" s="21"/>
      <c r="CE873" s="21"/>
      <c r="CF873" s="21"/>
      <c r="CG873" s="21"/>
      <c r="CH873" s="21"/>
      <c r="CI873" s="21"/>
      <c r="CJ873" s="21"/>
      <c r="CK873" s="21"/>
      <c r="CL873" s="21"/>
      <c r="CM873" s="21"/>
      <c r="CN873" s="21"/>
      <c r="CO873" s="21"/>
      <c r="CP873" s="21"/>
      <c r="CQ873" s="21"/>
      <c r="CR873" s="21"/>
      <c r="CS873" s="21"/>
      <c r="CT873" s="21"/>
      <c r="CU873" s="21"/>
      <c r="CV873" s="21"/>
      <c r="CW873" s="21"/>
      <c r="CX873" s="21"/>
      <c r="CY873" s="22"/>
      <c r="CZ873" s="21"/>
      <c r="DA873" s="21"/>
      <c r="DB873" s="21"/>
    </row>
    <row r="874" spans="3:106" s="19" customFormat="1" ht="12"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2"/>
      <c r="AX874" s="21"/>
      <c r="AY874" s="21"/>
      <c r="AZ874" s="21"/>
      <c r="BA874" s="21"/>
      <c r="BB874" s="21"/>
      <c r="BC874" s="21"/>
      <c r="BD874" s="21"/>
      <c r="BE874" s="21"/>
      <c r="BF874" s="21"/>
      <c r="BG874" s="21"/>
      <c r="BH874" s="21"/>
      <c r="BI874" s="21"/>
      <c r="BJ874" s="21"/>
      <c r="BK874" s="21"/>
      <c r="BL874" s="21"/>
      <c r="BM874" s="21"/>
      <c r="BN874" s="21"/>
      <c r="BO874" s="21"/>
      <c r="BP874" s="21"/>
      <c r="BQ874" s="21"/>
      <c r="BR874" s="21"/>
      <c r="BS874" s="21"/>
      <c r="BT874" s="21"/>
      <c r="BU874" s="21"/>
      <c r="BV874" s="21"/>
      <c r="BW874" s="21"/>
      <c r="BX874" s="21"/>
      <c r="BY874" s="21"/>
      <c r="BZ874" s="21"/>
      <c r="CA874" s="21"/>
      <c r="CB874" s="21"/>
      <c r="CC874" s="21"/>
      <c r="CD874" s="21"/>
      <c r="CE874" s="21"/>
      <c r="CF874" s="21"/>
      <c r="CG874" s="21"/>
      <c r="CH874" s="21"/>
      <c r="CI874" s="21"/>
      <c r="CJ874" s="21"/>
      <c r="CK874" s="21"/>
      <c r="CL874" s="21"/>
      <c r="CM874" s="21"/>
      <c r="CN874" s="21"/>
      <c r="CO874" s="21"/>
      <c r="CP874" s="21"/>
      <c r="CQ874" s="21"/>
      <c r="CR874" s="21"/>
      <c r="CS874" s="21"/>
      <c r="CT874" s="21"/>
      <c r="CU874" s="21"/>
      <c r="CV874" s="21"/>
      <c r="CW874" s="21"/>
      <c r="CX874" s="21"/>
      <c r="CY874" s="22"/>
      <c r="CZ874" s="21"/>
      <c r="DA874" s="21"/>
      <c r="DB874" s="21"/>
    </row>
    <row r="875" spans="3:106" s="19" customFormat="1" ht="12"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2"/>
      <c r="AX875" s="21"/>
      <c r="AY875" s="21"/>
      <c r="AZ875" s="21"/>
      <c r="BA875" s="21"/>
      <c r="BB875" s="21"/>
      <c r="BC875" s="21"/>
      <c r="BD875" s="21"/>
      <c r="BE875" s="21"/>
      <c r="BF875" s="21"/>
      <c r="BG875" s="21"/>
      <c r="BH875" s="21"/>
      <c r="BI875" s="21"/>
      <c r="BJ875" s="21"/>
      <c r="BK875" s="21"/>
      <c r="BL875" s="21"/>
      <c r="BM875" s="21"/>
      <c r="BN875" s="21"/>
      <c r="BO875" s="21"/>
      <c r="BP875" s="21"/>
      <c r="BQ875" s="21"/>
      <c r="BR875" s="21"/>
      <c r="BS875" s="21"/>
      <c r="BT875" s="21"/>
      <c r="BU875" s="21"/>
      <c r="BV875" s="21"/>
      <c r="BW875" s="21"/>
      <c r="BX875" s="21"/>
      <c r="BY875" s="21"/>
      <c r="BZ875" s="21"/>
      <c r="CA875" s="21"/>
      <c r="CB875" s="21"/>
      <c r="CC875" s="21"/>
      <c r="CD875" s="21"/>
      <c r="CE875" s="21"/>
      <c r="CF875" s="21"/>
      <c r="CG875" s="21"/>
      <c r="CH875" s="21"/>
      <c r="CI875" s="21"/>
      <c r="CJ875" s="21"/>
      <c r="CK875" s="21"/>
      <c r="CL875" s="21"/>
      <c r="CM875" s="21"/>
      <c r="CN875" s="21"/>
      <c r="CO875" s="21"/>
      <c r="CP875" s="21"/>
      <c r="CQ875" s="21"/>
      <c r="CR875" s="21"/>
      <c r="CS875" s="21"/>
      <c r="CT875" s="21"/>
      <c r="CU875" s="21"/>
      <c r="CV875" s="21"/>
      <c r="CW875" s="21"/>
      <c r="CX875" s="21"/>
      <c r="CY875" s="22"/>
      <c r="CZ875" s="21"/>
      <c r="DA875" s="21"/>
      <c r="DB875" s="21"/>
    </row>
    <row r="876" spans="3:106" s="19" customFormat="1" ht="12"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2"/>
      <c r="AX876" s="21"/>
      <c r="AY876" s="21"/>
      <c r="AZ876" s="21"/>
      <c r="BA876" s="21"/>
      <c r="BB876" s="21"/>
      <c r="BC876" s="21"/>
      <c r="BD876" s="21"/>
      <c r="BE876" s="21"/>
      <c r="BF876" s="21"/>
      <c r="BG876" s="21"/>
      <c r="BH876" s="21"/>
      <c r="BI876" s="21"/>
      <c r="BJ876" s="21"/>
      <c r="BK876" s="21"/>
      <c r="BL876" s="21"/>
      <c r="BM876" s="21"/>
      <c r="BN876" s="21"/>
      <c r="BO876" s="21"/>
      <c r="BP876" s="21"/>
      <c r="BQ876" s="21"/>
      <c r="BR876" s="21"/>
      <c r="BS876" s="21"/>
      <c r="BT876" s="21"/>
      <c r="BU876" s="21"/>
      <c r="BV876" s="21"/>
      <c r="BW876" s="21"/>
      <c r="BX876" s="21"/>
      <c r="BY876" s="21"/>
      <c r="BZ876" s="21"/>
      <c r="CA876" s="21"/>
      <c r="CB876" s="21"/>
      <c r="CC876" s="21"/>
      <c r="CD876" s="21"/>
      <c r="CE876" s="21"/>
      <c r="CF876" s="21"/>
      <c r="CG876" s="21"/>
      <c r="CH876" s="21"/>
      <c r="CI876" s="21"/>
      <c r="CJ876" s="21"/>
      <c r="CK876" s="21"/>
      <c r="CL876" s="21"/>
      <c r="CM876" s="21"/>
      <c r="CN876" s="21"/>
      <c r="CO876" s="21"/>
      <c r="CP876" s="21"/>
      <c r="CQ876" s="21"/>
      <c r="CR876" s="21"/>
      <c r="CS876" s="21"/>
      <c r="CT876" s="21"/>
      <c r="CU876" s="21"/>
      <c r="CV876" s="21"/>
      <c r="CW876" s="21"/>
      <c r="CX876" s="21"/>
      <c r="CY876" s="22"/>
      <c r="CZ876" s="21"/>
      <c r="DA876" s="21"/>
      <c r="DB876" s="21"/>
    </row>
    <row r="877" spans="3:106" s="19" customFormat="1" ht="12"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2"/>
      <c r="AX877" s="21"/>
      <c r="AY877" s="21"/>
      <c r="AZ877" s="21"/>
      <c r="BA877" s="21"/>
      <c r="BB877" s="21"/>
      <c r="BC877" s="21"/>
      <c r="BD877" s="21"/>
      <c r="BE877" s="21"/>
      <c r="BF877" s="21"/>
      <c r="BG877" s="21"/>
      <c r="BH877" s="21"/>
      <c r="BI877" s="21"/>
      <c r="BJ877" s="21"/>
      <c r="BK877" s="21"/>
      <c r="BL877" s="21"/>
      <c r="BM877" s="21"/>
      <c r="BN877" s="21"/>
      <c r="BO877" s="21"/>
      <c r="BP877" s="21"/>
      <c r="BQ877" s="21"/>
      <c r="BR877" s="21"/>
      <c r="BS877" s="21"/>
      <c r="BT877" s="21"/>
      <c r="BU877" s="21"/>
      <c r="BV877" s="21"/>
      <c r="BW877" s="21"/>
      <c r="BX877" s="21"/>
      <c r="BY877" s="21"/>
      <c r="BZ877" s="21"/>
      <c r="CA877" s="21"/>
      <c r="CB877" s="21"/>
      <c r="CC877" s="21"/>
      <c r="CD877" s="21"/>
      <c r="CE877" s="21"/>
      <c r="CF877" s="21"/>
      <c r="CG877" s="21"/>
      <c r="CH877" s="21"/>
      <c r="CI877" s="21"/>
      <c r="CJ877" s="21"/>
      <c r="CK877" s="21"/>
      <c r="CL877" s="21"/>
      <c r="CM877" s="21"/>
      <c r="CN877" s="21"/>
      <c r="CO877" s="21"/>
      <c r="CP877" s="21"/>
      <c r="CQ877" s="21"/>
      <c r="CR877" s="21"/>
      <c r="CS877" s="21"/>
      <c r="CT877" s="21"/>
      <c r="CU877" s="21"/>
      <c r="CV877" s="21"/>
      <c r="CW877" s="21"/>
      <c r="CX877" s="21"/>
      <c r="CY877" s="22"/>
      <c r="CZ877" s="21"/>
      <c r="DA877" s="21"/>
      <c r="DB877" s="21"/>
    </row>
    <row r="878" spans="3:106" s="19" customFormat="1" ht="12"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2"/>
      <c r="AX878" s="21"/>
      <c r="AY878" s="21"/>
      <c r="AZ878" s="21"/>
      <c r="BA878" s="21"/>
      <c r="BB878" s="21"/>
      <c r="BC878" s="21"/>
      <c r="BD878" s="21"/>
      <c r="BE878" s="21"/>
      <c r="BF878" s="21"/>
      <c r="BG878" s="21"/>
      <c r="BH878" s="21"/>
      <c r="BI878" s="21"/>
      <c r="BJ878" s="21"/>
      <c r="BK878" s="21"/>
      <c r="BL878" s="21"/>
      <c r="BM878" s="21"/>
      <c r="BN878" s="21"/>
      <c r="BO878" s="21"/>
      <c r="BP878" s="21"/>
      <c r="BQ878" s="21"/>
      <c r="BR878" s="21"/>
      <c r="BS878" s="21"/>
      <c r="BT878" s="21"/>
      <c r="BU878" s="21"/>
      <c r="BV878" s="21"/>
      <c r="BW878" s="21"/>
      <c r="BX878" s="21"/>
      <c r="BY878" s="21"/>
      <c r="BZ878" s="21"/>
      <c r="CA878" s="21"/>
      <c r="CB878" s="21"/>
      <c r="CC878" s="21"/>
      <c r="CD878" s="21"/>
      <c r="CE878" s="21"/>
      <c r="CF878" s="21"/>
      <c r="CG878" s="21"/>
      <c r="CH878" s="21"/>
      <c r="CI878" s="21"/>
      <c r="CJ878" s="21"/>
      <c r="CK878" s="21"/>
      <c r="CL878" s="21"/>
      <c r="CM878" s="21"/>
      <c r="CN878" s="21"/>
      <c r="CO878" s="21"/>
      <c r="CP878" s="21"/>
      <c r="CQ878" s="21"/>
      <c r="CR878" s="21"/>
      <c r="CS878" s="21"/>
      <c r="CT878" s="21"/>
      <c r="CU878" s="21"/>
      <c r="CV878" s="21"/>
      <c r="CW878" s="21"/>
      <c r="CX878" s="21"/>
      <c r="CY878" s="22"/>
      <c r="CZ878" s="21"/>
      <c r="DA878" s="21"/>
      <c r="DB878" s="21"/>
    </row>
    <row r="879" spans="3:106" s="19" customFormat="1" ht="12"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2"/>
      <c r="AX879" s="21"/>
      <c r="AY879" s="21"/>
      <c r="AZ879" s="21"/>
      <c r="BA879" s="21"/>
      <c r="BB879" s="21"/>
      <c r="BC879" s="21"/>
      <c r="BD879" s="21"/>
      <c r="BE879" s="21"/>
      <c r="BF879" s="21"/>
      <c r="BG879" s="21"/>
      <c r="BH879" s="21"/>
      <c r="BI879" s="21"/>
      <c r="BJ879" s="21"/>
      <c r="BK879" s="21"/>
      <c r="BL879" s="21"/>
      <c r="BM879" s="21"/>
      <c r="BN879" s="21"/>
      <c r="BO879" s="21"/>
      <c r="BP879" s="21"/>
      <c r="BQ879" s="21"/>
      <c r="BR879" s="21"/>
      <c r="BS879" s="21"/>
      <c r="BT879" s="21"/>
      <c r="BU879" s="21"/>
      <c r="BV879" s="21"/>
      <c r="BW879" s="21"/>
      <c r="BX879" s="21"/>
      <c r="BY879" s="21"/>
      <c r="BZ879" s="21"/>
      <c r="CA879" s="21"/>
      <c r="CB879" s="21"/>
      <c r="CC879" s="21"/>
      <c r="CD879" s="21"/>
      <c r="CE879" s="21"/>
      <c r="CF879" s="21"/>
      <c r="CG879" s="21"/>
      <c r="CH879" s="21"/>
      <c r="CI879" s="21"/>
      <c r="CJ879" s="21"/>
      <c r="CK879" s="21"/>
      <c r="CL879" s="21"/>
      <c r="CM879" s="21"/>
      <c r="CN879" s="21"/>
      <c r="CO879" s="21"/>
      <c r="CP879" s="21"/>
      <c r="CQ879" s="21"/>
      <c r="CR879" s="21"/>
      <c r="CS879" s="21"/>
      <c r="CT879" s="21"/>
      <c r="CU879" s="21"/>
      <c r="CV879" s="21"/>
      <c r="CW879" s="21"/>
      <c r="CX879" s="21"/>
      <c r="CY879" s="22"/>
      <c r="CZ879" s="21"/>
      <c r="DA879" s="21"/>
      <c r="DB879" s="21"/>
    </row>
    <row r="880" spans="3:106" s="19" customFormat="1" ht="12"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2"/>
      <c r="AX880" s="21"/>
      <c r="AY880" s="21"/>
      <c r="AZ880" s="21"/>
      <c r="BA880" s="21"/>
      <c r="BB880" s="21"/>
      <c r="BC880" s="21"/>
      <c r="BD880" s="21"/>
      <c r="BE880" s="21"/>
      <c r="BF880" s="21"/>
      <c r="BG880" s="21"/>
      <c r="BH880" s="21"/>
      <c r="BI880" s="21"/>
      <c r="BJ880" s="21"/>
      <c r="BK880" s="21"/>
      <c r="BL880" s="21"/>
      <c r="BM880" s="21"/>
      <c r="BN880" s="21"/>
      <c r="BO880" s="21"/>
      <c r="BP880" s="21"/>
      <c r="BQ880" s="21"/>
      <c r="BR880" s="21"/>
      <c r="BS880" s="21"/>
      <c r="BT880" s="21"/>
      <c r="BU880" s="21"/>
      <c r="BV880" s="21"/>
      <c r="BW880" s="21"/>
      <c r="BX880" s="21"/>
      <c r="BY880" s="21"/>
      <c r="BZ880" s="21"/>
      <c r="CA880" s="21"/>
      <c r="CB880" s="21"/>
      <c r="CC880" s="21"/>
      <c r="CD880" s="21"/>
      <c r="CE880" s="21"/>
      <c r="CF880" s="21"/>
      <c r="CG880" s="21"/>
      <c r="CH880" s="21"/>
      <c r="CI880" s="21"/>
      <c r="CJ880" s="21"/>
      <c r="CK880" s="21"/>
      <c r="CL880" s="21"/>
      <c r="CM880" s="21"/>
      <c r="CN880" s="21"/>
      <c r="CO880" s="21"/>
      <c r="CP880" s="21"/>
      <c r="CQ880" s="21"/>
      <c r="CR880" s="21"/>
      <c r="CS880" s="21"/>
      <c r="CT880" s="21"/>
      <c r="CU880" s="21"/>
      <c r="CV880" s="21"/>
      <c r="CW880" s="21"/>
      <c r="CX880" s="21"/>
      <c r="CY880" s="22"/>
      <c r="CZ880" s="21"/>
      <c r="DA880" s="21"/>
      <c r="DB880" s="21"/>
    </row>
    <row r="881" spans="3:106" s="19" customFormat="1" ht="12"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2"/>
      <c r="AX881" s="21"/>
      <c r="AY881" s="21"/>
      <c r="AZ881" s="21"/>
      <c r="BA881" s="21"/>
      <c r="BB881" s="21"/>
      <c r="BC881" s="21"/>
      <c r="BD881" s="21"/>
      <c r="BE881" s="21"/>
      <c r="BF881" s="21"/>
      <c r="BG881" s="21"/>
      <c r="BH881" s="21"/>
      <c r="BI881" s="21"/>
      <c r="BJ881" s="21"/>
      <c r="BK881" s="21"/>
      <c r="BL881" s="21"/>
      <c r="BM881" s="21"/>
      <c r="BN881" s="21"/>
      <c r="BO881" s="21"/>
      <c r="BP881" s="21"/>
      <c r="BQ881" s="21"/>
      <c r="BR881" s="21"/>
      <c r="BS881" s="21"/>
      <c r="BT881" s="21"/>
      <c r="BU881" s="21"/>
      <c r="BV881" s="21"/>
      <c r="BW881" s="21"/>
      <c r="BX881" s="21"/>
      <c r="BY881" s="21"/>
      <c r="BZ881" s="21"/>
      <c r="CA881" s="21"/>
      <c r="CB881" s="21"/>
      <c r="CC881" s="21"/>
      <c r="CD881" s="21"/>
      <c r="CE881" s="21"/>
      <c r="CF881" s="21"/>
      <c r="CG881" s="21"/>
      <c r="CH881" s="21"/>
      <c r="CI881" s="21"/>
      <c r="CJ881" s="21"/>
      <c r="CK881" s="21"/>
      <c r="CL881" s="21"/>
      <c r="CM881" s="21"/>
      <c r="CN881" s="21"/>
      <c r="CO881" s="21"/>
      <c r="CP881" s="21"/>
      <c r="CQ881" s="21"/>
      <c r="CR881" s="21"/>
      <c r="CS881" s="21"/>
      <c r="CT881" s="21"/>
      <c r="CU881" s="21"/>
      <c r="CV881" s="21"/>
      <c r="CW881" s="21"/>
      <c r="CX881" s="21"/>
      <c r="CY881" s="22"/>
      <c r="CZ881" s="21"/>
      <c r="DA881" s="21"/>
      <c r="DB881" s="21"/>
    </row>
    <row r="882" spans="3:106" s="19" customFormat="1" ht="12"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2"/>
      <c r="AX882" s="21"/>
      <c r="AY882" s="21"/>
      <c r="AZ882" s="21"/>
      <c r="BA882" s="21"/>
      <c r="BB882" s="21"/>
      <c r="BC882" s="21"/>
      <c r="BD882" s="21"/>
      <c r="BE882" s="21"/>
      <c r="BF882" s="21"/>
      <c r="BG882" s="21"/>
      <c r="BH882" s="21"/>
      <c r="BI882" s="21"/>
      <c r="BJ882" s="21"/>
      <c r="BK882" s="21"/>
      <c r="BL882" s="21"/>
      <c r="BM882" s="21"/>
      <c r="BN882" s="21"/>
      <c r="BO882" s="21"/>
      <c r="BP882" s="21"/>
      <c r="BQ882" s="21"/>
      <c r="BR882" s="21"/>
      <c r="BS882" s="21"/>
      <c r="BT882" s="21"/>
      <c r="BU882" s="21"/>
      <c r="BV882" s="21"/>
      <c r="BW882" s="21"/>
      <c r="BX882" s="21"/>
      <c r="BY882" s="21"/>
      <c r="BZ882" s="21"/>
      <c r="CA882" s="21"/>
      <c r="CB882" s="21"/>
      <c r="CC882" s="21"/>
      <c r="CD882" s="21"/>
      <c r="CE882" s="21"/>
      <c r="CF882" s="21"/>
      <c r="CG882" s="21"/>
      <c r="CH882" s="21"/>
      <c r="CI882" s="21"/>
      <c r="CJ882" s="21"/>
      <c r="CK882" s="21"/>
      <c r="CL882" s="21"/>
      <c r="CM882" s="21"/>
      <c r="CN882" s="21"/>
      <c r="CO882" s="21"/>
      <c r="CP882" s="21"/>
      <c r="CQ882" s="21"/>
      <c r="CR882" s="21"/>
      <c r="CS882" s="21"/>
      <c r="CT882" s="21"/>
      <c r="CU882" s="21"/>
      <c r="CV882" s="21"/>
      <c r="CW882" s="21"/>
      <c r="CX882" s="21"/>
      <c r="CY882" s="22"/>
      <c r="CZ882" s="21"/>
      <c r="DA882" s="21"/>
      <c r="DB882" s="21"/>
    </row>
    <row r="883" spans="3:106" s="19" customFormat="1" ht="12"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2"/>
      <c r="AX883" s="21"/>
      <c r="AY883" s="21"/>
      <c r="AZ883" s="21"/>
      <c r="BA883" s="21"/>
      <c r="BB883" s="21"/>
      <c r="BC883" s="21"/>
      <c r="BD883" s="21"/>
      <c r="BE883" s="21"/>
      <c r="BF883" s="21"/>
      <c r="BG883" s="21"/>
      <c r="BH883" s="21"/>
      <c r="BI883" s="21"/>
      <c r="BJ883" s="21"/>
      <c r="BK883" s="21"/>
      <c r="BL883" s="21"/>
      <c r="BM883" s="21"/>
      <c r="BN883" s="21"/>
      <c r="BO883" s="21"/>
      <c r="BP883" s="21"/>
      <c r="BQ883" s="21"/>
      <c r="BR883" s="21"/>
      <c r="BS883" s="21"/>
      <c r="BT883" s="21"/>
      <c r="BU883" s="21"/>
      <c r="BV883" s="21"/>
      <c r="BW883" s="21"/>
      <c r="BX883" s="21"/>
      <c r="BY883" s="21"/>
      <c r="BZ883" s="21"/>
      <c r="CA883" s="21"/>
      <c r="CB883" s="21"/>
      <c r="CC883" s="21"/>
      <c r="CD883" s="21"/>
      <c r="CE883" s="21"/>
      <c r="CF883" s="21"/>
      <c r="CG883" s="21"/>
      <c r="CH883" s="21"/>
      <c r="CI883" s="21"/>
      <c r="CJ883" s="21"/>
      <c r="CK883" s="21"/>
      <c r="CL883" s="21"/>
      <c r="CM883" s="21"/>
      <c r="CN883" s="21"/>
      <c r="CO883" s="21"/>
      <c r="CP883" s="21"/>
      <c r="CQ883" s="21"/>
      <c r="CR883" s="21"/>
      <c r="CS883" s="21"/>
      <c r="CT883" s="21"/>
      <c r="CU883" s="21"/>
      <c r="CV883" s="21"/>
      <c r="CW883" s="21"/>
      <c r="CX883" s="21"/>
      <c r="CY883" s="22"/>
      <c r="CZ883" s="21"/>
      <c r="DA883" s="21"/>
      <c r="DB883" s="21"/>
    </row>
    <row r="884" spans="3:106" s="19" customFormat="1" ht="12"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2"/>
      <c r="AX884" s="21"/>
      <c r="AY884" s="21"/>
      <c r="AZ884" s="21"/>
      <c r="BA884" s="21"/>
      <c r="BB884" s="21"/>
      <c r="BC884" s="21"/>
      <c r="BD884" s="21"/>
      <c r="BE884" s="21"/>
      <c r="BF884" s="21"/>
      <c r="BG884" s="21"/>
      <c r="BH884" s="21"/>
      <c r="BI884" s="21"/>
      <c r="BJ884" s="21"/>
      <c r="BK884" s="21"/>
      <c r="BL884" s="21"/>
      <c r="BM884" s="21"/>
      <c r="BN884" s="21"/>
      <c r="BO884" s="21"/>
      <c r="BP884" s="21"/>
      <c r="BQ884" s="21"/>
      <c r="BR884" s="21"/>
      <c r="BS884" s="21"/>
      <c r="BT884" s="21"/>
      <c r="BU884" s="21"/>
      <c r="BV884" s="21"/>
      <c r="BW884" s="21"/>
      <c r="BX884" s="21"/>
      <c r="BY884" s="21"/>
      <c r="BZ884" s="21"/>
      <c r="CA884" s="21"/>
      <c r="CB884" s="21"/>
      <c r="CC884" s="21"/>
      <c r="CD884" s="21"/>
      <c r="CE884" s="21"/>
      <c r="CF884" s="21"/>
      <c r="CG884" s="21"/>
      <c r="CH884" s="21"/>
      <c r="CI884" s="21"/>
      <c r="CJ884" s="21"/>
      <c r="CK884" s="21"/>
      <c r="CL884" s="21"/>
      <c r="CM884" s="21"/>
      <c r="CN884" s="21"/>
      <c r="CO884" s="21"/>
      <c r="CP884" s="21"/>
      <c r="CQ884" s="21"/>
      <c r="CR884" s="21"/>
      <c r="CS884" s="21"/>
      <c r="CT884" s="21"/>
      <c r="CU884" s="21"/>
      <c r="CV884" s="21"/>
      <c r="CW884" s="21"/>
      <c r="CX884" s="21"/>
      <c r="CY884" s="22"/>
      <c r="CZ884" s="21"/>
      <c r="DA884" s="21"/>
      <c r="DB884" s="21"/>
    </row>
    <row r="885" spans="3:106" s="19" customFormat="1" ht="12"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2"/>
      <c r="AX885" s="21"/>
      <c r="AY885" s="21"/>
      <c r="AZ885" s="21"/>
      <c r="BA885" s="21"/>
      <c r="BB885" s="21"/>
      <c r="BC885" s="21"/>
      <c r="BD885" s="21"/>
      <c r="BE885" s="21"/>
      <c r="BF885" s="21"/>
      <c r="BG885" s="21"/>
      <c r="BH885" s="21"/>
      <c r="BI885" s="21"/>
      <c r="BJ885" s="21"/>
      <c r="BK885" s="21"/>
      <c r="BL885" s="21"/>
      <c r="BM885" s="21"/>
      <c r="BN885" s="21"/>
      <c r="BO885" s="21"/>
      <c r="BP885" s="21"/>
      <c r="BQ885" s="21"/>
      <c r="BR885" s="21"/>
      <c r="BS885" s="21"/>
      <c r="BT885" s="21"/>
      <c r="BU885" s="21"/>
      <c r="BV885" s="21"/>
      <c r="BW885" s="21"/>
      <c r="BX885" s="21"/>
      <c r="BY885" s="21"/>
      <c r="BZ885" s="21"/>
      <c r="CA885" s="21"/>
      <c r="CB885" s="21"/>
      <c r="CC885" s="21"/>
      <c r="CD885" s="21"/>
      <c r="CE885" s="21"/>
      <c r="CF885" s="21"/>
      <c r="CG885" s="21"/>
      <c r="CH885" s="21"/>
      <c r="CI885" s="21"/>
      <c r="CJ885" s="21"/>
      <c r="CK885" s="21"/>
      <c r="CL885" s="21"/>
      <c r="CM885" s="21"/>
      <c r="CN885" s="21"/>
      <c r="CO885" s="21"/>
      <c r="CP885" s="21"/>
      <c r="CQ885" s="21"/>
      <c r="CR885" s="21"/>
      <c r="CS885" s="21"/>
      <c r="CT885" s="21"/>
      <c r="CU885" s="21"/>
      <c r="CV885" s="21"/>
      <c r="CW885" s="21"/>
      <c r="CX885" s="21"/>
      <c r="CY885" s="22"/>
      <c r="CZ885" s="21"/>
      <c r="DA885" s="21"/>
      <c r="DB885" s="21"/>
    </row>
    <row r="886" spans="3:106" s="19" customFormat="1" ht="12"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2"/>
      <c r="AX886" s="21"/>
      <c r="AY886" s="21"/>
      <c r="AZ886" s="21"/>
      <c r="BA886" s="21"/>
      <c r="BB886" s="21"/>
      <c r="BC886" s="21"/>
      <c r="BD886" s="21"/>
      <c r="BE886" s="21"/>
      <c r="BF886" s="21"/>
      <c r="BG886" s="21"/>
      <c r="BH886" s="21"/>
      <c r="BI886" s="21"/>
      <c r="BJ886" s="21"/>
      <c r="BK886" s="21"/>
      <c r="BL886" s="21"/>
      <c r="BM886" s="21"/>
      <c r="BN886" s="21"/>
      <c r="BO886" s="21"/>
      <c r="BP886" s="21"/>
      <c r="BQ886" s="21"/>
      <c r="BR886" s="21"/>
      <c r="BS886" s="21"/>
      <c r="BT886" s="21"/>
      <c r="BU886" s="21"/>
      <c r="BV886" s="21"/>
      <c r="BW886" s="21"/>
      <c r="BX886" s="21"/>
      <c r="BY886" s="21"/>
      <c r="BZ886" s="21"/>
      <c r="CA886" s="21"/>
      <c r="CB886" s="21"/>
      <c r="CC886" s="21"/>
      <c r="CD886" s="21"/>
      <c r="CE886" s="21"/>
      <c r="CF886" s="21"/>
      <c r="CG886" s="21"/>
      <c r="CH886" s="21"/>
      <c r="CI886" s="21"/>
      <c r="CJ886" s="21"/>
      <c r="CK886" s="21"/>
      <c r="CL886" s="21"/>
      <c r="CM886" s="21"/>
      <c r="CN886" s="21"/>
      <c r="CO886" s="21"/>
      <c r="CP886" s="21"/>
      <c r="CQ886" s="21"/>
      <c r="CR886" s="21"/>
      <c r="CS886" s="21"/>
      <c r="CT886" s="21"/>
      <c r="CU886" s="21"/>
      <c r="CV886" s="21"/>
      <c r="CW886" s="21"/>
      <c r="CX886" s="21"/>
      <c r="CY886" s="22"/>
      <c r="CZ886" s="21"/>
      <c r="DA886" s="21"/>
      <c r="DB886" s="21"/>
    </row>
    <row r="887" spans="3:106" s="19" customFormat="1" ht="12"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2"/>
      <c r="AX887" s="21"/>
      <c r="AY887" s="21"/>
      <c r="AZ887" s="21"/>
      <c r="BA887" s="21"/>
      <c r="BB887" s="21"/>
      <c r="BC887" s="21"/>
      <c r="BD887" s="21"/>
      <c r="BE887" s="21"/>
      <c r="BF887" s="21"/>
      <c r="BG887" s="21"/>
      <c r="BH887" s="21"/>
      <c r="BI887" s="21"/>
      <c r="BJ887" s="21"/>
      <c r="BK887" s="21"/>
      <c r="BL887" s="21"/>
      <c r="BM887" s="21"/>
      <c r="BN887" s="21"/>
      <c r="BO887" s="21"/>
      <c r="BP887" s="21"/>
      <c r="BQ887" s="21"/>
      <c r="BR887" s="21"/>
      <c r="BS887" s="21"/>
      <c r="BT887" s="21"/>
      <c r="BU887" s="21"/>
      <c r="BV887" s="21"/>
      <c r="BW887" s="21"/>
      <c r="BX887" s="21"/>
      <c r="BY887" s="21"/>
      <c r="BZ887" s="21"/>
      <c r="CA887" s="21"/>
      <c r="CB887" s="21"/>
      <c r="CC887" s="21"/>
      <c r="CD887" s="21"/>
      <c r="CE887" s="21"/>
      <c r="CF887" s="21"/>
      <c r="CG887" s="21"/>
      <c r="CH887" s="21"/>
      <c r="CI887" s="21"/>
      <c r="CJ887" s="21"/>
      <c r="CK887" s="21"/>
      <c r="CL887" s="21"/>
      <c r="CM887" s="21"/>
      <c r="CN887" s="21"/>
      <c r="CO887" s="21"/>
      <c r="CP887" s="21"/>
      <c r="CQ887" s="21"/>
      <c r="CR887" s="21"/>
      <c r="CS887" s="21"/>
      <c r="CT887" s="21"/>
      <c r="CU887" s="21"/>
      <c r="CV887" s="21"/>
      <c r="CW887" s="21"/>
      <c r="CX887" s="21"/>
      <c r="CY887" s="22"/>
      <c r="CZ887" s="21"/>
      <c r="DA887" s="21"/>
      <c r="DB887" s="21"/>
    </row>
    <row r="888" spans="3:106" s="19" customFormat="1" ht="12"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2"/>
      <c r="AX888" s="21"/>
      <c r="AY888" s="21"/>
      <c r="AZ888" s="21"/>
      <c r="BA888" s="21"/>
      <c r="BB888" s="21"/>
      <c r="BC888" s="21"/>
      <c r="BD888" s="21"/>
      <c r="BE888" s="21"/>
      <c r="BF888" s="21"/>
      <c r="BG888" s="21"/>
      <c r="BH888" s="21"/>
      <c r="BI888" s="21"/>
      <c r="BJ888" s="21"/>
      <c r="BK888" s="21"/>
      <c r="BL888" s="21"/>
      <c r="BM888" s="21"/>
      <c r="BN888" s="21"/>
      <c r="BO888" s="21"/>
      <c r="BP888" s="21"/>
      <c r="BQ888" s="21"/>
      <c r="BR888" s="21"/>
      <c r="BS888" s="21"/>
      <c r="BT888" s="21"/>
      <c r="BU888" s="21"/>
      <c r="BV888" s="21"/>
      <c r="BW888" s="21"/>
      <c r="BX888" s="21"/>
      <c r="BY888" s="21"/>
      <c r="BZ888" s="21"/>
      <c r="CA888" s="21"/>
      <c r="CB888" s="21"/>
      <c r="CC888" s="21"/>
      <c r="CD888" s="21"/>
      <c r="CE888" s="21"/>
      <c r="CF888" s="21"/>
      <c r="CG888" s="21"/>
      <c r="CH888" s="21"/>
      <c r="CI888" s="21"/>
      <c r="CJ888" s="21"/>
      <c r="CK888" s="21"/>
      <c r="CL888" s="21"/>
      <c r="CM888" s="21"/>
      <c r="CN888" s="21"/>
      <c r="CO888" s="21"/>
      <c r="CP888" s="21"/>
      <c r="CQ888" s="21"/>
      <c r="CR888" s="21"/>
      <c r="CS888" s="21"/>
      <c r="CT888" s="21"/>
      <c r="CU888" s="21"/>
      <c r="CV888" s="21"/>
      <c r="CW888" s="21"/>
      <c r="CX888" s="21"/>
      <c r="CY888" s="22"/>
      <c r="CZ888" s="21"/>
      <c r="DA888" s="21"/>
      <c r="DB888" s="21"/>
    </row>
    <row r="889" spans="3:106" s="19" customFormat="1" ht="12"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2"/>
      <c r="AX889" s="21"/>
      <c r="AY889" s="21"/>
      <c r="AZ889" s="21"/>
      <c r="BA889" s="21"/>
      <c r="BB889" s="21"/>
      <c r="BC889" s="21"/>
      <c r="BD889" s="21"/>
      <c r="BE889" s="21"/>
      <c r="BF889" s="21"/>
      <c r="BG889" s="21"/>
      <c r="BH889" s="21"/>
      <c r="BI889" s="21"/>
      <c r="BJ889" s="21"/>
      <c r="BK889" s="21"/>
      <c r="BL889" s="21"/>
      <c r="BM889" s="21"/>
      <c r="BN889" s="21"/>
      <c r="BO889" s="21"/>
      <c r="BP889" s="21"/>
      <c r="BQ889" s="21"/>
      <c r="BR889" s="21"/>
      <c r="BS889" s="21"/>
      <c r="BT889" s="21"/>
      <c r="BU889" s="21"/>
      <c r="BV889" s="21"/>
      <c r="BW889" s="21"/>
      <c r="BX889" s="21"/>
      <c r="BY889" s="21"/>
      <c r="BZ889" s="21"/>
      <c r="CA889" s="21"/>
      <c r="CB889" s="21"/>
      <c r="CC889" s="21"/>
      <c r="CD889" s="21"/>
      <c r="CE889" s="21"/>
      <c r="CF889" s="21"/>
      <c r="CG889" s="21"/>
      <c r="CH889" s="21"/>
      <c r="CI889" s="21"/>
      <c r="CJ889" s="21"/>
      <c r="CK889" s="21"/>
      <c r="CL889" s="21"/>
      <c r="CM889" s="21"/>
      <c r="CN889" s="21"/>
      <c r="CO889" s="21"/>
      <c r="CP889" s="21"/>
      <c r="CQ889" s="21"/>
      <c r="CR889" s="21"/>
      <c r="CS889" s="21"/>
      <c r="CT889" s="21"/>
      <c r="CU889" s="21"/>
      <c r="CV889" s="21"/>
      <c r="CW889" s="21"/>
      <c r="CX889" s="21"/>
      <c r="CY889" s="22"/>
      <c r="CZ889" s="21"/>
      <c r="DA889" s="21"/>
      <c r="DB889" s="21"/>
    </row>
    <row r="890" spans="3:106" s="19" customFormat="1" ht="12"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2"/>
      <c r="AX890" s="21"/>
      <c r="AY890" s="21"/>
      <c r="AZ890" s="21"/>
      <c r="BA890" s="21"/>
      <c r="BB890" s="21"/>
      <c r="BC890" s="21"/>
      <c r="BD890" s="21"/>
      <c r="BE890" s="21"/>
      <c r="BF890" s="21"/>
      <c r="BG890" s="21"/>
      <c r="BH890" s="21"/>
      <c r="BI890" s="21"/>
      <c r="BJ890" s="21"/>
      <c r="BK890" s="21"/>
      <c r="BL890" s="21"/>
      <c r="BM890" s="21"/>
      <c r="BN890" s="21"/>
      <c r="BO890" s="21"/>
      <c r="BP890" s="21"/>
      <c r="BQ890" s="21"/>
      <c r="BR890" s="21"/>
      <c r="BS890" s="21"/>
      <c r="BT890" s="21"/>
      <c r="BU890" s="21"/>
      <c r="BV890" s="21"/>
      <c r="BW890" s="21"/>
      <c r="BX890" s="21"/>
      <c r="BY890" s="21"/>
      <c r="BZ890" s="21"/>
      <c r="CA890" s="21"/>
      <c r="CB890" s="21"/>
      <c r="CC890" s="21"/>
      <c r="CD890" s="21"/>
      <c r="CE890" s="21"/>
      <c r="CF890" s="21"/>
      <c r="CG890" s="21"/>
      <c r="CH890" s="21"/>
      <c r="CI890" s="21"/>
      <c r="CJ890" s="21"/>
      <c r="CK890" s="21"/>
      <c r="CL890" s="21"/>
      <c r="CM890" s="21"/>
      <c r="CN890" s="21"/>
      <c r="CO890" s="21"/>
      <c r="CP890" s="21"/>
      <c r="CQ890" s="21"/>
      <c r="CR890" s="21"/>
      <c r="CS890" s="21"/>
      <c r="CT890" s="21"/>
      <c r="CU890" s="21"/>
      <c r="CV890" s="21"/>
      <c r="CW890" s="21"/>
      <c r="CX890" s="21"/>
      <c r="CY890" s="22"/>
      <c r="CZ890" s="21"/>
      <c r="DA890" s="21"/>
      <c r="DB890" s="21"/>
    </row>
    <row r="891" spans="3:106" s="19" customFormat="1" ht="12"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2"/>
      <c r="AX891" s="21"/>
      <c r="AY891" s="21"/>
      <c r="AZ891" s="21"/>
      <c r="BA891" s="21"/>
      <c r="BB891" s="21"/>
      <c r="BC891" s="21"/>
      <c r="BD891" s="21"/>
      <c r="BE891" s="21"/>
      <c r="BF891" s="21"/>
      <c r="BG891" s="21"/>
      <c r="BH891" s="21"/>
      <c r="BI891" s="21"/>
      <c r="BJ891" s="21"/>
      <c r="BK891" s="21"/>
      <c r="BL891" s="21"/>
      <c r="BM891" s="21"/>
      <c r="BN891" s="21"/>
      <c r="BO891" s="21"/>
      <c r="BP891" s="21"/>
      <c r="BQ891" s="21"/>
      <c r="BR891" s="21"/>
      <c r="BS891" s="21"/>
      <c r="BT891" s="21"/>
      <c r="BU891" s="21"/>
      <c r="BV891" s="21"/>
      <c r="BW891" s="21"/>
      <c r="BX891" s="21"/>
      <c r="BY891" s="21"/>
      <c r="BZ891" s="21"/>
      <c r="CA891" s="21"/>
      <c r="CB891" s="21"/>
      <c r="CC891" s="21"/>
      <c r="CD891" s="21"/>
      <c r="CE891" s="21"/>
      <c r="CF891" s="21"/>
      <c r="CG891" s="21"/>
      <c r="CH891" s="21"/>
      <c r="CI891" s="21"/>
      <c r="CJ891" s="21"/>
      <c r="CK891" s="21"/>
      <c r="CL891" s="21"/>
      <c r="CM891" s="21"/>
      <c r="CN891" s="21"/>
      <c r="CO891" s="21"/>
      <c r="CP891" s="21"/>
      <c r="CQ891" s="21"/>
      <c r="CR891" s="21"/>
      <c r="CS891" s="21"/>
      <c r="CT891" s="21"/>
      <c r="CU891" s="21"/>
      <c r="CV891" s="21"/>
      <c r="CW891" s="21"/>
      <c r="CX891" s="21"/>
      <c r="CY891" s="22"/>
      <c r="CZ891" s="21"/>
      <c r="DA891" s="21"/>
      <c r="DB891" s="21"/>
    </row>
    <row r="892" spans="3:106" s="19" customFormat="1" ht="12"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2"/>
      <c r="AX892" s="21"/>
      <c r="AY892" s="21"/>
      <c r="AZ892" s="21"/>
      <c r="BA892" s="21"/>
      <c r="BB892" s="21"/>
      <c r="BC892" s="21"/>
      <c r="BD892" s="21"/>
      <c r="BE892" s="21"/>
      <c r="BF892" s="21"/>
      <c r="BG892" s="21"/>
      <c r="BH892" s="21"/>
      <c r="BI892" s="21"/>
      <c r="BJ892" s="21"/>
      <c r="BK892" s="21"/>
      <c r="BL892" s="21"/>
      <c r="BM892" s="21"/>
      <c r="BN892" s="21"/>
      <c r="BO892" s="21"/>
      <c r="BP892" s="21"/>
      <c r="BQ892" s="21"/>
      <c r="BR892" s="21"/>
      <c r="BS892" s="21"/>
      <c r="BT892" s="21"/>
      <c r="BU892" s="21"/>
      <c r="BV892" s="21"/>
      <c r="BW892" s="21"/>
      <c r="BX892" s="21"/>
      <c r="BY892" s="21"/>
      <c r="BZ892" s="21"/>
      <c r="CA892" s="21"/>
      <c r="CB892" s="21"/>
      <c r="CC892" s="21"/>
      <c r="CD892" s="21"/>
      <c r="CE892" s="21"/>
      <c r="CF892" s="21"/>
      <c r="CG892" s="21"/>
      <c r="CH892" s="21"/>
      <c r="CI892" s="21"/>
      <c r="CJ892" s="21"/>
      <c r="CK892" s="21"/>
      <c r="CL892" s="21"/>
      <c r="CM892" s="21"/>
      <c r="CN892" s="21"/>
      <c r="CO892" s="21"/>
      <c r="CP892" s="21"/>
      <c r="CQ892" s="21"/>
      <c r="CR892" s="21"/>
      <c r="CS892" s="21"/>
      <c r="CT892" s="21"/>
      <c r="CU892" s="21"/>
      <c r="CV892" s="21"/>
      <c r="CW892" s="21"/>
      <c r="CX892" s="21"/>
      <c r="CY892" s="22"/>
      <c r="CZ892" s="21"/>
      <c r="DA892" s="21"/>
      <c r="DB892" s="21"/>
    </row>
    <row r="893" spans="3:106" s="19" customFormat="1" ht="12"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2"/>
      <c r="AX893" s="21"/>
      <c r="AY893" s="21"/>
      <c r="AZ893" s="21"/>
      <c r="BA893" s="21"/>
      <c r="BB893" s="21"/>
      <c r="BC893" s="21"/>
      <c r="BD893" s="21"/>
      <c r="BE893" s="21"/>
      <c r="BF893" s="21"/>
      <c r="BG893" s="21"/>
      <c r="BH893" s="21"/>
      <c r="BI893" s="21"/>
      <c r="BJ893" s="21"/>
      <c r="BK893" s="21"/>
      <c r="BL893" s="21"/>
      <c r="BM893" s="21"/>
      <c r="BN893" s="21"/>
      <c r="BO893" s="21"/>
      <c r="BP893" s="21"/>
      <c r="BQ893" s="21"/>
      <c r="BR893" s="21"/>
      <c r="BS893" s="21"/>
      <c r="BT893" s="21"/>
      <c r="BU893" s="21"/>
      <c r="BV893" s="21"/>
      <c r="BW893" s="21"/>
      <c r="BX893" s="21"/>
      <c r="BY893" s="21"/>
      <c r="BZ893" s="21"/>
      <c r="CA893" s="21"/>
      <c r="CB893" s="21"/>
      <c r="CC893" s="21"/>
      <c r="CD893" s="21"/>
      <c r="CE893" s="21"/>
      <c r="CF893" s="21"/>
      <c r="CG893" s="21"/>
      <c r="CH893" s="21"/>
      <c r="CI893" s="21"/>
      <c r="CJ893" s="21"/>
      <c r="CK893" s="21"/>
      <c r="CL893" s="21"/>
      <c r="CM893" s="21"/>
      <c r="CN893" s="21"/>
      <c r="CO893" s="21"/>
      <c r="CP893" s="21"/>
      <c r="CQ893" s="21"/>
      <c r="CR893" s="21"/>
      <c r="CS893" s="21"/>
      <c r="CT893" s="21"/>
      <c r="CU893" s="21"/>
      <c r="CV893" s="21"/>
      <c r="CW893" s="21"/>
      <c r="CX893" s="21"/>
      <c r="CY893" s="22"/>
      <c r="CZ893" s="21"/>
      <c r="DA893" s="21"/>
      <c r="DB893" s="21"/>
    </row>
    <row r="894" spans="3:106" s="19" customFormat="1" ht="12"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2"/>
      <c r="AX894" s="21"/>
      <c r="AY894" s="21"/>
      <c r="AZ894" s="21"/>
      <c r="BA894" s="21"/>
      <c r="BB894" s="21"/>
      <c r="BC894" s="21"/>
      <c r="BD894" s="21"/>
      <c r="BE894" s="21"/>
      <c r="BF894" s="21"/>
      <c r="BG894" s="21"/>
      <c r="BH894" s="21"/>
      <c r="BI894" s="21"/>
      <c r="BJ894" s="21"/>
      <c r="BK894" s="21"/>
      <c r="BL894" s="21"/>
      <c r="BM894" s="21"/>
      <c r="BN894" s="21"/>
      <c r="BO894" s="21"/>
      <c r="BP894" s="21"/>
      <c r="BQ894" s="21"/>
      <c r="BR894" s="21"/>
      <c r="BS894" s="21"/>
      <c r="BT894" s="21"/>
      <c r="BU894" s="21"/>
      <c r="BV894" s="21"/>
      <c r="BW894" s="21"/>
      <c r="BX894" s="21"/>
      <c r="BY894" s="21"/>
      <c r="BZ894" s="21"/>
      <c r="CA894" s="21"/>
      <c r="CB894" s="21"/>
      <c r="CC894" s="21"/>
      <c r="CD894" s="21"/>
      <c r="CE894" s="21"/>
      <c r="CF894" s="21"/>
      <c r="CG894" s="21"/>
      <c r="CH894" s="21"/>
      <c r="CI894" s="21"/>
      <c r="CJ894" s="21"/>
      <c r="CK894" s="21"/>
      <c r="CL894" s="21"/>
      <c r="CM894" s="21"/>
      <c r="CN894" s="21"/>
      <c r="CO894" s="21"/>
      <c r="CP894" s="21"/>
      <c r="CQ894" s="21"/>
      <c r="CR894" s="21"/>
      <c r="CS894" s="21"/>
      <c r="CT894" s="21"/>
      <c r="CU894" s="21"/>
      <c r="CV894" s="21"/>
      <c r="CW894" s="21"/>
      <c r="CX894" s="21"/>
      <c r="CY894" s="22"/>
      <c r="CZ894" s="21"/>
      <c r="DA894" s="21"/>
      <c r="DB894" s="21"/>
    </row>
    <row r="895" spans="3:106" s="19" customFormat="1" ht="12"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2"/>
      <c r="AX895" s="21"/>
      <c r="AY895" s="21"/>
      <c r="AZ895" s="21"/>
      <c r="BA895" s="21"/>
      <c r="BB895" s="21"/>
      <c r="BC895" s="21"/>
      <c r="BD895" s="21"/>
      <c r="BE895" s="21"/>
      <c r="BF895" s="21"/>
      <c r="BG895" s="21"/>
      <c r="BH895" s="21"/>
      <c r="BI895" s="21"/>
      <c r="BJ895" s="21"/>
      <c r="BK895" s="21"/>
      <c r="BL895" s="21"/>
      <c r="BM895" s="21"/>
      <c r="BN895" s="21"/>
      <c r="BO895" s="21"/>
      <c r="BP895" s="21"/>
      <c r="BQ895" s="21"/>
      <c r="BR895" s="21"/>
      <c r="BS895" s="21"/>
      <c r="BT895" s="21"/>
      <c r="BU895" s="21"/>
      <c r="BV895" s="21"/>
      <c r="BW895" s="21"/>
      <c r="BX895" s="21"/>
      <c r="BY895" s="21"/>
      <c r="BZ895" s="21"/>
      <c r="CA895" s="21"/>
      <c r="CB895" s="21"/>
      <c r="CC895" s="21"/>
      <c r="CD895" s="21"/>
      <c r="CE895" s="21"/>
      <c r="CF895" s="21"/>
      <c r="CG895" s="21"/>
      <c r="CH895" s="21"/>
      <c r="CI895" s="21"/>
      <c r="CJ895" s="21"/>
      <c r="CK895" s="21"/>
      <c r="CL895" s="21"/>
      <c r="CM895" s="21"/>
      <c r="CN895" s="21"/>
      <c r="CO895" s="21"/>
      <c r="CP895" s="21"/>
      <c r="CQ895" s="21"/>
      <c r="CR895" s="21"/>
      <c r="CS895" s="21"/>
      <c r="CT895" s="21"/>
      <c r="CU895" s="21"/>
      <c r="CV895" s="21"/>
      <c r="CW895" s="21"/>
      <c r="CX895" s="21"/>
      <c r="CY895" s="22"/>
      <c r="CZ895" s="21"/>
      <c r="DA895" s="21"/>
      <c r="DB895" s="21"/>
    </row>
    <row r="896" spans="3:106" s="19" customFormat="1" ht="12"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2"/>
      <c r="AX896" s="21"/>
      <c r="AY896" s="21"/>
      <c r="AZ896" s="21"/>
      <c r="BA896" s="21"/>
      <c r="BB896" s="21"/>
      <c r="BC896" s="21"/>
      <c r="BD896" s="21"/>
      <c r="BE896" s="21"/>
      <c r="BF896" s="21"/>
      <c r="BG896" s="21"/>
      <c r="BH896" s="21"/>
      <c r="BI896" s="21"/>
      <c r="BJ896" s="21"/>
      <c r="BK896" s="21"/>
      <c r="BL896" s="21"/>
      <c r="BM896" s="21"/>
      <c r="BN896" s="21"/>
      <c r="BO896" s="21"/>
      <c r="BP896" s="21"/>
      <c r="BQ896" s="21"/>
      <c r="BR896" s="21"/>
      <c r="BS896" s="21"/>
      <c r="BT896" s="21"/>
      <c r="BU896" s="21"/>
      <c r="BV896" s="21"/>
      <c r="BW896" s="21"/>
      <c r="BX896" s="21"/>
      <c r="BY896" s="21"/>
      <c r="BZ896" s="21"/>
      <c r="CA896" s="21"/>
      <c r="CB896" s="21"/>
      <c r="CC896" s="21"/>
      <c r="CD896" s="21"/>
      <c r="CE896" s="21"/>
      <c r="CF896" s="21"/>
      <c r="CG896" s="21"/>
      <c r="CH896" s="21"/>
      <c r="CI896" s="21"/>
      <c r="CJ896" s="21"/>
      <c r="CK896" s="21"/>
      <c r="CL896" s="21"/>
      <c r="CM896" s="21"/>
      <c r="CN896" s="21"/>
      <c r="CO896" s="21"/>
      <c r="CP896" s="21"/>
      <c r="CQ896" s="21"/>
      <c r="CR896" s="21"/>
      <c r="CS896" s="21"/>
      <c r="CT896" s="21"/>
      <c r="CU896" s="21"/>
      <c r="CV896" s="21"/>
      <c r="CW896" s="21"/>
      <c r="CX896" s="21"/>
      <c r="CY896" s="22"/>
      <c r="CZ896" s="21"/>
      <c r="DA896" s="21"/>
      <c r="DB896" s="21"/>
    </row>
    <row r="897" spans="3:106" s="19" customFormat="1" ht="12"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2"/>
      <c r="AX897" s="21"/>
      <c r="AY897" s="21"/>
      <c r="AZ897" s="21"/>
      <c r="BA897" s="21"/>
      <c r="BB897" s="21"/>
      <c r="BC897" s="21"/>
      <c r="BD897" s="21"/>
      <c r="BE897" s="21"/>
      <c r="BF897" s="21"/>
      <c r="BG897" s="21"/>
      <c r="BH897" s="21"/>
      <c r="BI897" s="21"/>
      <c r="BJ897" s="21"/>
      <c r="BK897" s="21"/>
      <c r="BL897" s="21"/>
      <c r="BM897" s="21"/>
      <c r="BN897" s="21"/>
      <c r="BO897" s="21"/>
      <c r="BP897" s="21"/>
      <c r="BQ897" s="21"/>
      <c r="BR897" s="21"/>
      <c r="BS897" s="21"/>
      <c r="BT897" s="21"/>
      <c r="BU897" s="21"/>
      <c r="BV897" s="21"/>
      <c r="BW897" s="21"/>
      <c r="BX897" s="21"/>
      <c r="BY897" s="21"/>
      <c r="BZ897" s="21"/>
      <c r="CA897" s="21"/>
      <c r="CB897" s="21"/>
      <c r="CC897" s="21"/>
      <c r="CD897" s="21"/>
      <c r="CE897" s="21"/>
      <c r="CF897" s="21"/>
      <c r="CG897" s="21"/>
      <c r="CH897" s="21"/>
      <c r="CI897" s="21"/>
      <c r="CJ897" s="21"/>
      <c r="CK897" s="21"/>
      <c r="CL897" s="21"/>
      <c r="CM897" s="21"/>
      <c r="CN897" s="21"/>
      <c r="CO897" s="21"/>
      <c r="CP897" s="21"/>
      <c r="CQ897" s="21"/>
      <c r="CR897" s="21"/>
      <c r="CS897" s="21"/>
      <c r="CT897" s="21"/>
      <c r="CU897" s="21"/>
      <c r="CV897" s="21"/>
      <c r="CW897" s="21"/>
      <c r="CX897" s="21"/>
      <c r="CY897" s="22"/>
      <c r="CZ897" s="21"/>
      <c r="DA897" s="21"/>
      <c r="DB897" s="21"/>
    </row>
    <row r="898" spans="3:106" s="19" customFormat="1" ht="12"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2"/>
      <c r="AX898" s="21"/>
      <c r="AY898" s="21"/>
      <c r="AZ898" s="21"/>
      <c r="BA898" s="21"/>
      <c r="BB898" s="21"/>
      <c r="BC898" s="21"/>
      <c r="BD898" s="21"/>
      <c r="BE898" s="21"/>
      <c r="BF898" s="21"/>
      <c r="BG898" s="21"/>
      <c r="BH898" s="21"/>
      <c r="BI898" s="21"/>
      <c r="BJ898" s="21"/>
      <c r="BK898" s="21"/>
      <c r="BL898" s="21"/>
      <c r="BM898" s="21"/>
      <c r="BN898" s="21"/>
      <c r="BO898" s="21"/>
      <c r="BP898" s="21"/>
      <c r="BQ898" s="21"/>
      <c r="BR898" s="21"/>
      <c r="BS898" s="21"/>
      <c r="BT898" s="21"/>
      <c r="BU898" s="21"/>
      <c r="BV898" s="21"/>
      <c r="BW898" s="21"/>
      <c r="BX898" s="21"/>
      <c r="BY898" s="21"/>
      <c r="BZ898" s="21"/>
      <c r="CA898" s="21"/>
      <c r="CB898" s="21"/>
      <c r="CC898" s="21"/>
      <c r="CD898" s="21"/>
      <c r="CE898" s="21"/>
      <c r="CF898" s="21"/>
      <c r="CG898" s="21"/>
      <c r="CH898" s="21"/>
      <c r="CI898" s="21"/>
      <c r="CJ898" s="21"/>
      <c r="CK898" s="21"/>
      <c r="CL898" s="21"/>
      <c r="CM898" s="21"/>
      <c r="CN898" s="21"/>
      <c r="CO898" s="21"/>
      <c r="CP898" s="21"/>
      <c r="CQ898" s="21"/>
      <c r="CR898" s="21"/>
      <c r="CS898" s="21"/>
      <c r="CT898" s="21"/>
      <c r="CU898" s="21"/>
      <c r="CV898" s="21"/>
      <c r="CW898" s="21"/>
      <c r="CX898" s="21"/>
      <c r="CY898" s="22"/>
      <c r="CZ898" s="21"/>
      <c r="DA898" s="21"/>
      <c r="DB898" s="21"/>
    </row>
    <row r="899" spans="3:106" s="19" customFormat="1" ht="12"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2"/>
      <c r="AX899" s="21"/>
      <c r="AY899" s="21"/>
      <c r="AZ899" s="21"/>
      <c r="BA899" s="21"/>
      <c r="BB899" s="21"/>
      <c r="BC899" s="21"/>
      <c r="BD899" s="21"/>
      <c r="BE899" s="21"/>
      <c r="BF899" s="21"/>
      <c r="BG899" s="21"/>
      <c r="BH899" s="21"/>
      <c r="BI899" s="21"/>
      <c r="BJ899" s="21"/>
      <c r="BK899" s="21"/>
      <c r="BL899" s="21"/>
      <c r="BM899" s="21"/>
      <c r="BN899" s="21"/>
      <c r="BO899" s="21"/>
      <c r="BP899" s="21"/>
      <c r="BQ899" s="21"/>
      <c r="BR899" s="21"/>
      <c r="BS899" s="21"/>
      <c r="BT899" s="21"/>
      <c r="BU899" s="21"/>
      <c r="BV899" s="21"/>
      <c r="BW899" s="21"/>
      <c r="BX899" s="21"/>
      <c r="BY899" s="21"/>
      <c r="BZ899" s="21"/>
      <c r="CA899" s="21"/>
      <c r="CB899" s="21"/>
      <c r="CC899" s="21"/>
      <c r="CD899" s="21"/>
      <c r="CE899" s="21"/>
      <c r="CF899" s="21"/>
      <c r="CG899" s="21"/>
      <c r="CH899" s="21"/>
      <c r="CI899" s="21"/>
      <c r="CJ899" s="21"/>
      <c r="CK899" s="21"/>
      <c r="CL899" s="21"/>
      <c r="CM899" s="21"/>
      <c r="CN899" s="21"/>
      <c r="CO899" s="21"/>
      <c r="CP899" s="21"/>
      <c r="CQ899" s="21"/>
      <c r="CR899" s="21"/>
      <c r="CS899" s="21"/>
      <c r="CT899" s="21"/>
      <c r="CU899" s="21"/>
      <c r="CV899" s="21"/>
      <c r="CW899" s="21"/>
      <c r="CX899" s="21"/>
      <c r="CY899" s="22"/>
      <c r="CZ899" s="21"/>
      <c r="DA899" s="21"/>
      <c r="DB899" s="21"/>
    </row>
    <row r="900" spans="3:106" s="19" customFormat="1" ht="12"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2"/>
      <c r="AX900" s="21"/>
      <c r="AY900" s="21"/>
      <c r="AZ900" s="21"/>
      <c r="BA900" s="21"/>
      <c r="BB900" s="21"/>
      <c r="BC900" s="21"/>
      <c r="BD900" s="21"/>
      <c r="BE900" s="21"/>
      <c r="BF900" s="21"/>
      <c r="BG900" s="21"/>
      <c r="BH900" s="21"/>
      <c r="BI900" s="21"/>
      <c r="BJ900" s="21"/>
      <c r="BK900" s="21"/>
      <c r="BL900" s="21"/>
      <c r="BM900" s="21"/>
      <c r="BN900" s="21"/>
      <c r="BO900" s="21"/>
      <c r="BP900" s="21"/>
      <c r="BQ900" s="21"/>
      <c r="BR900" s="21"/>
      <c r="BS900" s="21"/>
      <c r="BT900" s="21"/>
      <c r="BU900" s="21"/>
      <c r="BV900" s="21"/>
      <c r="BW900" s="21"/>
      <c r="BX900" s="21"/>
      <c r="BY900" s="21"/>
      <c r="BZ900" s="21"/>
      <c r="CA900" s="21"/>
      <c r="CB900" s="21"/>
      <c r="CC900" s="21"/>
      <c r="CD900" s="21"/>
      <c r="CE900" s="21"/>
      <c r="CF900" s="21"/>
      <c r="CG900" s="21"/>
      <c r="CH900" s="21"/>
      <c r="CI900" s="21"/>
      <c r="CJ900" s="21"/>
      <c r="CK900" s="21"/>
      <c r="CL900" s="21"/>
      <c r="CM900" s="21"/>
      <c r="CN900" s="21"/>
      <c r="CO900" s="21"/>
      <c r="CP900" s="21"/>
      <c r="CQ900" s="21"/>
      <c r="CR900" s="21"/>
      <c r="CS900" s="21"/>
      <c r="CT900" s="21"/>
      <c r="CU900" s="21"/>
      <c r="CV900" s="21"/>
      <c r="CW900" s="21"/>
      <c r="CX900" s="21"/>
      <c r="CY900" s="22"/>
      <c r="CZ900" s="21"/>
      <c r="DA900" s="21"/>
      <c r="DB900" s="21"/>
    </row>
    <row r="901" spans="3:106" s="19" customFormat="1" ht="12"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2"/>
      <c r="AX901" s="21"/>
      <c r="AY901" s="21"/>
      <c r="AZ901" s="21"/>
      <c r="BA901" s="21"/>
      <c r="BB901" s="21"/>
      <c r="BC901" s="21"/>
      <c r="BD901" s="21"/>
      <c r="BE901" s="21"/>
      <c r="BF901" s="21"/>
      <c r="BG901" s="21"/>
      <c r="BH901" s="21"/>
      <c r="BI901" s="21"/>
      <c r="BJ901" s="21"/>
      <c r="BK901" s="21"/>
      <c r="BL901" s="21"/>
      <c r="BM901" s="21"/>
      <c r="BN901" s="21"/>
      <c r="BO901" s="21"/>
      <c r="BP901" s="21"/>
      <c r="BQ901" s="21"/>
      <c r="BR901" s="21"/>
      <c r="BS901" s="21"/>
      <c r="BT901" s="21"/>
      <c r="BU901" s="21"/>
      <c r="BV901" s="21"/>
      <c r="BW901" s="21"/>
      <c r="BX901" s="21"/>
      <c r="BY901" s="21"/>
      <c r="BZ901" s="21"/>
      <c r="CA901" s="21"/>
      <c r="CB901" s="21"/>
      <c r="CC901" s="21"/>
      <c r="CD901" s="21"/>
      <c r="CE901" s="21"/>
      <c r="CF901" s="21"/>
      <c r="CG901" s="21"/>
      <c r="CH901" s="21"/>
      <c r="CI901" s="21"/>
      <c r="CJ901" s="21"/>
      <c r="CK901" s="21"/>
      <c r="CL901" s="21"/>
      <c r="CM901" s="21"/>
      <c r="CN901" s="21"/>
      <c r="CO901" s="21"/>
      <c r="CP901" s="21"/>
      <c r="CQ901" s="21"/>
      <c r="CR901" s="21"/>
      <c r="CS901" s="21"/>
      <c r="CT901" s="21"/>
      <c r="CU901" s="21"/>
      <c r="CV901" s="21"/>
      <c r="CW901" s="21"/>
      <c r="CX901" s="21"/>
      <c r="CY901" s="22"/>
      <c r="CZ901" s="21"/>
      <c r="DA901" s="21"/>
      <c r="DB901" s="21"/>
    </row>
    <row r="902" spans="3:106" s="19" customFormat="1" ht="12"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2"/>
      <c r="AX902" s="21"/>
      <c r="AY902" s="21"/>
      <c r="AZ902" s="21"/>
      <c r="BA902" s="21"/>
      <c r="BB902" s="21"/>
      <c r="BC902" s="21"/>
      <c r="BD902" s="21"/>
      <c r="BE902" s="21"/>
      <c r="BF902" s="21"/>
      <c r="BG902" s="21"/>
      <c r="BH902" s="21"/>
      <c r="BI902" s="21"/>
      <c r="BJ902" s="21"/>
      <c r="BK902" s="21"/>
      <c r="BL902" s="21"/>
      <c r="BM902" s="21"/>
      <c r="BN902" s="21"/>
      <c r="BO902" s="21"/>
      <c r="BP902" s="21"/>
      <c r="BQ902" s="21"/>
      <c r="BR902" s="21"/>
      <c r="BS902" s="21"/>
      <c r="BT902" s="21"/>
      <c r="BU902" s="21"/>
      <c r="BV902" s="21"/>
      <c r="BW902" s="21"/>
      <c r="BX902" s="21"/>
      <c r="BY902" s="21"/>
      <c r="BZ902" s="21"/>
      <c r="CA902" s="21"/>
      <c r="CB902" s="21"/>
      <c r="CC902" s="21"/>
      <c r="CD902" s="21"/>
      <c r="CE902" s="21"/>
      <c r="CF902" s="21"/>
      <c r="CG902" s="21"/>
      <c r="CH902" s="21"/>
      <c r="CI902" s="21"/>
      <c r="CJ902" s="21"/>
      <c r="CK902" s="21"/>
      <c r="CL902" s="21"/>
      <c r="CM902" s="21"/>
      <c r="CN902" s="21"/>
      <c r="CO902" s="21"/>
      <c r="CP902" s="21"/>
      <c r="CQ902" s="21"/>
      <c r="CR902" s="21"/>
      <c r="CS902" s="21"/>
      <c r="CT902" s="21"/>
      <c r="CU902" s="21"/>
      <c r="CV902" s="21"/>
      <c r="CW902" s="21"/>
      <c r="CX902" s="21"/>
      <c r="CY902" s="22"/>
      <c r="CZ902" s="21"/>
      <c r="DA902" s="21"/>
      <c r="DB902" s="21"/>
    </row>
    <row r="903" spans="3:106" s="19" customFormat="1" ht="12"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2"/>
      <c r="AX903" s="21"/>
      <c r="AY903" s="21"/>
      <c r="AZ903" s="21"/>
      <c r="BA903" s="21"/>
      <c r="BB903" s="21"/>
      <c r="BC903" s="21"/>
      <c r="BD903" s="21"/>
      <c r="BE903" s="21"/>
      <c r="BF903" s="21"/>
      <c r="BG903" s="21"/>
      <c r="BH903" s="21"/>
      <c r="BI903" s="21"/>
      <c r="BJ903" s="21"/>
      <c r="BK903" s="21"/>
      <c r="BL903" s="21"/>
      <c r="BM903" s="21"/>
      <c r="BN903" s="21"/>
      <c r="BO903" s="21"/>
      <c r="BP903" s="21"/>
      <c r="BQ903" s="21"/>
      <c r="BR903" s="21"/>
      <c r="BS903" s="21"/>
      <c r="BT903" s="21"/>
      <c r="BU903" s="21"/>
      <c r="BV903" s="21"/>
      <c r="BW903" s="21"/>
      <c r="BX903" s="21"/>
      <c r="BY903" s="21"/>
      <c r="BZ903" s="21"/>
      <c r="CA903" s="21"/>
      <c r="CB903" s="21"/>
      <c r="CC903" s="21"/>
      <c r="CD903" s="21"/>
      <c r="CE903" s="21"/>
      <c r="CF903" s="21"/>
      <c r="CG903" s="21"/>
      <c r="CH903" s="21"/>
      <c r="CI903" s="21"/>
      <c r="CJ903" s="21"/>
      <c r="CK903" s="21"/>
      <c r="CL903" s="21"/>
      <c r="CM903" s="21"/>
      <c r="CN903" s="21"/>
      <c r="CO903" s="21"/>
      <c r="CP903" s="21"/>
      <c r="CQ903" s="21"/>
      <c r="CR903" s="21"/>
      <c r="CS903" s="21"/>
      <c r="CT903" s="21"/>
      <c r="CU903" s="21"/>
      <c r="CV903" s="21"/>
      <c r="CW903" s="21"/>
      <c r="CX903" s="21"/>
      <c r="CY903" s="22"/>
      <c r="CZ903" s="21"/>
      <c r="DA903" s="21"/>
      <c r="DB903" s="21"/>
    </row>
    <row r="904" spans="3:106" s="19" customFormat="1" ht="12"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2"/>
      <c r="AX904" s="21"/>
      <c r="AY904" s="21"/>
      <c r="AZ904" s="21"/>
      <c r="BA904" s="21"/>
      <c r="BB904" s="21"/>
      <c r="BC904" s="21"/>
      <c r="BD904" s="21"/>
      <c r="BE904" s="21"/>
      <c r="BF904" s="21"/>
      <c r="BG904" s="21"/>
      <c r="BH904" s="21"/>
      <c r="BI904" s="21"/>
      <c r="BJ904" s="21"/>
      <c r="BK904" s="21"/>
      <c r="BL904" s="21"/>
      <c r="BM904" s="21"/>
      <c r="BN904" s="21"/>
      <c r="BO904" s="21"/>
      <c r="BP904" s="21"/>
      <c r="BQ904" s="21"/>
      <c r="BR904" s="21"/>
      <c r="BS904" s="21"/>
      <c r="BT904" s="21"/>
      <c r="BU904" s="21"/>
      <c r="BV904" s="21"/>
      <c r="BW904" s="21"/>
      <c r="BX904" s="21"/>
      <c r="BY904" s="21"/>
      <c r="BZ904" s="21"/>
      <c r="CA904" s="21"/>
      <c r="CB904" s="21"/>
      <c r="CC904" s="21"/>
      <c r="CD904" s="21"/>
      <c r="CE904" s="21"/>
      <c r="CF904" s="21"/>
      <c r="CG904" s="21"/>
      <c r="CH904" s="21"/>
      <c r="CI904" s="21"/>
      <c r="CJ904" s="21"/>
      <c r="CK904" s="21"/>
      <c r="CL904" s="21"/>
      <c r="CM904" s="21"/>
      <c r="CN904" s="21"/>
      <c r="CO904" s="21"/>
      <c r="CP904" s="21"/>
      <c r="CQ904" s="21"/>
      <c r="CR904" s="21"/>
      <c r="CS904" s="21"/>
      <c r="CT904" s="21"/>
      <c r="CU904" s="21"/>
      <c r="CV904" s="21"/>
      <c r="CW904" s="21"/>
      <c r="CX904" s="21"/>
      <c r="CY904" s="22"/>
      <c r="CZ904" s="21"/>
      <c r="DA904" s="21"/>
      <c r="DB904" s="21"/>
    </row>
    <row r="905" spans="3:106" s="19" customFormat="1" ht="12"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2"/>
      <c r="AX905" s="21"/>
      <c r="AY905" s="21"/>
      <c r="AZ905" s="21"/>
      <c r="BA905" s="21"/>
      <c r="BB905" s="21"/>
      <c r="BC905" s="21"/>
      <c r="BD905" s="21"/>
      <c r="BE905" s="21"/>
      <c r="BF905" s="21"/>
      <c r="BG905" s="21"/>
      <c r="BH905" s="21"/>
      <c r="BI905" s="21"/>
      <c r="BJ905" s="21"/>
      <c r="BK905" s="21"/>
      <c r="BL905" s="21"/>
      <c r="BM905" s="21"/>
      <c r="BN905" s="21"/>
      <c r="BO905" s="21"/>
      <c r="BP905" s="21"/>
      <c r="BQ905" s="21"/>
      <c r="BR905" s="21"/>
      <c r="BS905" s="21"/>
      <c r="BT905" s="21"/>
      <c r="BU905" s="21"/>
      <c r="BV905" s="21"/>
      <c r="BW905" s="21"/>
      <c r="BX905" s="21"/>
      <c r="BY905" s="21"/>
      <c r="BZ905" s="21"/>
      <c r="CA905" s="21"/>
      <c r="CB905" s="21"/>
      <c r="CC905" s="21"/>
      <c r="CD905" s="21"/>
      <c r="CE905" s="21"/>
      <c r="CF905" s="21"/>
      <c r="CG905" s="21"/>
      <c r="CH905" s="21"/>
      <c r="CI905" s="21"/>
      <c r="CJ905" s="21"/>
      <c r="CK905" s="21"/>
      <c r="CL905" s="21"/>
      <c r="CM905" s="21"/>
      <c r="CN905" s="21"/>
      <c r="CO905" s="21"/>
      <c r="CP905" s="21"/>
      <c r="CQ905" s="21"/>
      <c r="CR905" s="21"/>
      <c r="CS905" s="21"/>
      <c r="CT905" s="21"/>
      <c r="CU905" s="21"/>
      <c r="CV905" s="21"/>
      <c r="CW905" s="21"/>
      <c r="CX905" s="21"/>
      <c r="CY905" s="22"/>
      <c r="CZ905" s="21"/>
      <c r="DA905" s="21"/>
      <c r="DB905" s="21"/>
    </row>
    <row r="906" spans="3:106" s="19" customFormat="1" ht="12"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2"/>
      <c r="AX906" s="21"/>
      <c r="AY906" s="21"/>
      <c r="AZ906" s="21"/>
      <c r="BA906" s="21"/>
      <c r="BB906" s="21"/>
      <c r="BC906" s="21"/>
      <c r="BD906" s="21"/>
      <c r="BE906" s="21"/>
      <c r="BF906" s="21"/>
      <c r="BG906" s="21"/>
      <c r="BH906" s="21"/>
      <c r="BI906" s="21"/>
      <c r="BJ906" s="21"/>
      <c r="BK906" s="21"/>
      <c r="BL906" s="21"/>
      <c r="BM906" s="21"/>
      <c r="BN906" s="21"/>
      <c r="BO906" s="21"/>
      <c r="BP906" s="21"/>
      <c r="BQ906" s="21"/>
      <c r="BR906" s="21"/>
      <c r="BS906" s="21"/>
      <c r="BT906" s="21"/>
      <c r="BU906" s="21"/>
      <c r="BV906" s="21"/>
      <c r="BW906" s="21"/>
      <c r="BX906" s="21"/>
      <c r="BY906" s="21"/>
      <c r="BZ906" s="21"/>
      <c r="CA906" s="21"/>
      <c r="CB906" s="21"/>
      <c r="CC906" s="21"/>
      <c r="CD906" s="21"/>
      <c r="CE906" s="21"/>
      <c r="CF906" s="21"/>
      <c r="CG906" s="21"/>
      <c r="CH906" s="21"/>
      <c r="CI906" s="21"/>
      <c r="CJ906" s="21"/>
      <c r="CK906" s="21"/>
      <c r="CL906" s="21"/>
      <c r="CM906" s="21"/>
      <c r="CN906" s="21"/>
      <c r="CO906" s="21"/>
      <c r="CP906" s="21"/>
      <c r="CQ906" s="21"/>
      <c r="CR906" s="21"/>
      <c r="CS906" s="21"/>
      <c r="CT906" s="21"/>
      <c r="CU906" s="21"/>
      <c r="CV906" s="21"/>
      <c r="CW906" s="21"/>
      <c r="CX906" s="21"/>
      <c r="CY906" s="22"/>
      <c r="CZ906" s="21"/>
      <c r="DA906" s="21"/>
      <c r="DB906" s="21"/>
    </row>
    <row r="907" spans="3:106" s="19" customFormat="1" ht="12"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2"/>
      <c r="AX907" s="21"/>
      <c r="AY907" s="21"/>
      <c r="AZ907" s="21"/>
      <c r="BA907" s="21"/>
      <c r="BB907" s="21"/>
      <c r="BC907" s="21"/>
      <c r="BD907" s="21"/>
      <c r="BE907" s="21"/>
      <c r="BF907" s="21"/>
      <c r="BG907" s="21"/>
      <c r="BH907" s="21"/>
      <c r="BI907" s="21"/>
      <c r="BJ907" s="21"/>
      <c r="BK907" s="21"/>
      <c r="BL907" s="21"/>
      <c r="BM907" s="21"/>
      <c r="BN907" s="21"/>
      <c r="BO907" s="21"/>
      <c r="BP907" s="21"/>
      <c r="BQ907" s="21"/>
      <c r="BR907" s="21"/>
      <c r="BS907" s="21"/>
      <c r="BT907" s="21"/>
      <c r="BU907" s="21"/>
      <c r="BV907" s="21"/>
      <c r="BW907" s="21"/>
      <c r="BX907" s="21"/>
      <c r="BY907" s="21"/>
      <c r="BZ907" s="21"/>
      <c r="CA907" s="21"/>
      <c r="CB907" s="21"/>
      <c r="CC907" s="21"/>
      <c r="CD907" s="21"/>
      <c r="CE907" s="21"/>
      <c r="CF907" s="21"/>
      <c r="CG907" s="21"/>
      <c r="CH907" s="21"/>
      <c r="CI907" s="21"/>
      <c r="CJ907" s="21"/>
      <c r="CK907" s="21"/>
      <c r="CL907" s="21"/>
      <c r="CM907" s="21"/>
      <c r="CN907" s="21"/>
      <c r="CO907" s="21"/>
      <c r="CP907" s="21"/>
      <c r="CQ907" s="21"/>
      <c r="CR907" s="21"/>
      <c r="CS907" s="21"/>
      <c r="CT907" s="21"/>
      <c r="CU907" s="21"/>
      <c r="CV907" s="21"/>
      <c r="CW907" s="21"/>
      <c r="CX907" s="21"/>
      <c r="CY907" s="22"/>
      <c r="CZ907" s="21"/>
      <c r="DA907" s="21"/>
      <c r="DB907" s="21"/>
    </row>
    <row r="908" spans="3:106" s="19" customFormat="1" ht="12"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2"/>
      <c r="AX908" s="21"/>
      <c r="AY908" s="21"/>
      <c r="AZ908" s="21"/>
      <c r="BA908" s="21"/>
      <c r="BB908" s="21"/>
      <c r="BC908" s="21"/>
      <c r="BD908" s="21"/>
      <c r="BE908" s="21"/>
      <c r="BF908" s="21"/>
      <c r="BG908" s="21"/>
      <c r="BH908" s="21"/>
      <c r="BI908" s="21"/>
      <c r="BJ908" s="21"/>
      <c r="BK908" s="21"/>
      <c r="BL908" s="21"/>
      <c r="BM908" s="21"/>
      <c r="BN908" s="21"/>
      <c r="BO908" s="21"/>
      <c r="BP908" s="21"/>
      <c r="BQ908" s="21"/>
      <c r="BR908" s="21"/>
      <c r="BS908" s="21"/>
      <c r="BT908" s="21"/>
      <c r="BU908" s="21"/>
      <c r="BV908" s="21"/>
      <c r="BW908" s="21"/>
      <c r="BX908" s="21"/>
      <c r="BY908" s="21"/>
      <c r="BZ908" s="21"/>
      <c r="CA908" s="21"/>
      <c r="CB908" s="21"/>
      <c r="CC908" s="21"/>
      <c r="CD908" s="21"/>
      <c r="CE908" s="21"/>
      <c r="CF908" s="21"/>
      <c r="CG908" s="21"/>
      <c r="CH908" s="21"/>
      <c r="CI908" s="21"/>
      <c r="CJ908" s="21"/>
      <c r="CK908" s="21"/>
      <c r="CL908" s="21"/>
      <c r="CM908" s="21"/>
      <c r="CN908" s="21"/>
      <c r="CO908" s="21"/>
      <c r="CP908" s="21"/>
      <c r="CQ908" s="21"/>
      <c r="CR908" s="21"/>
      <c r="CS908" s="21"/>
      <c r="CT908" s="21"/>
      <c r="CU908" s="21"/>
      <c r="CV908" s="21"/>
      <c r="CW908" s="21"/>
      <c r="CX908" s="21"/>
      <c r="CY908" s="22"/>
      <c r="CZ908" s="21"/>
      <c r="DA908" s="21"/>
      <c r="DB908" s="21"/>
    </row>
    <row r="909" spans="3:106" s="19" customFormat="1" ht="12"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2"/>
      <c r="AX909" s="21"/>
      <c r="AY909" s="21"/>
      <c r="AZ909" s="21"/>
      <c r="BA909" s="21"/>
      <c r="BB909" s="21"/>
      <c r="BC909" s="21"/>
      <c r="BD909" s="21"/>
      <c r="BE909" s="21"/>
      <c r="BF909" s="21"/>
      <c r="BG909" s="21"/>
      <c r="BH909" s="21"/>
      <c r="BI909" s="21"/>
      <c r="BJ909" s="21"/>
      <c r="BK909" s="21"/>
      <c r="BL909" s="21"/>
      <c r="BM909" s="21"/>
      <c r="BN909" s="21"/>
      <c r="BO909" s="21"/>
      <c r="BP909" s="21"/>
      <c r="BQ909" s="21"/>
      <c r="BR909" s="21"/>
      <c r="BS909" s="21"/>
      <c r="BT909" s="21"/>
      <c r="BU909" s="21"/>
      <c r="BV909" s="21"/>
      <c r="BW909" s="21"/>
      <c r="BX909" s="21"/>
      <c r="BY909" s="21"/>
      <c r="BZ909" s="21"/>
      <c r="CA909" s="21"/>
      <c r="CB909" s="21"/>
      <c r="CC909" s="21"/>
      <c r="CD909" s="21"/>
      <c r="CE909" s="21"/>
      <c r="CF909" s="21"/>
      <c r="CG909" s="21"/>
      <c r="CH909" s="21"/>
      <c r="CI909" s="21"/>
      <c r="CJ909" s="21"/>
      <c r="CK909" s="21"/>
      <c r="CL909" s="21"/>
      <c r="CM909" s="21"/>
      <c r="CN909" s="21"/>
      <c r="CO909" s="21"/>
      <c r="CP909" s="21"/>
      <c r="CQ909" s="21"/>
      <c r="CR909" s="21"/>
      <c r="CS909" s="21"/>
      <c r="CT909" s="21"/>
      <c r="CU909" s="21"/>
      <c r="CV909" s="21"/>
      <c r="CW909" s="21"/>
      <c r="CX909" s="21"/>
      <c r="CY909" s="22"/>
      <c r="CZ909" s="21"/>
      <c r="DA909" s="21"/>
      <c r="DB909" s="21"/>
    </row>
    <row r="910" spans="3:106" s="19" customFormat="1" ht="12"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2"/>
      <c r="AX910" s="21"/>
      <c r="AY910" s="21"/>
      <c r="AZ910" s="21"/>
      <c r="BA910" s="21"/>
      <c r="BB910" s="21"/>
      <c r="BC910" s="21"/>
      <c r="BD910" s="21"/>
      <c r="BE910" s="21"/>
      <c r="BF910" s="21"/>
      <c r="BG910" s="21"/>
      <c r="BH910" s="21"/>
      <c r="BI910" s="21"/>
      <c r="BJ910" s="21"/>
      <c r="BK910" s="21"/>
      <c r="BL910" s="21"/>
      <c r="BM910" s="21"/>
      <c r="BN910" s="21"/>
      <c r="BO910" s="21"/>
      <c r="BP910" s="21"/>
      <c r="BQ910" s="21"/>
      <c r="BR910" s="21"/>
      <c r="BS910" s="21"/>
      <c r="BT910" s="21"/>
      <c r="BU910" s="21"/>
      <c r="BV910" s="21"/>
      <c r="BW910" s="21"/>
      <c r="BX910" s="21"/>
      <c r="BY910" s="21"/>
      <c r="BZ910" s="21"/>
      <c r="CA910" s="21"/>
      <c r="CB910" s="21"/>
      <c r="CC910" s="21"/>
      <c r="CD910" s="21"/>
      <c r="CE910" s="21"/>
      <c r="CF910" s="21"/>
      <c r="CG910" s="21"/>
      <c r="CH910" s="21"/>
      <c r="CI910" s="21"/>
      <c r="CJ910" s="21"/>
      <c r="CK910" s="21"/>
      <c r="CL910" s="21"/>
      <c r="CM910" s="21"/>
      <c r="CN910" s="21"/>
      <c r="CO910" s="21"/>
      <c r="CP910" s="21"/>
      <c r="CQ910" s="21"/>
      <c r="CR910" s="21"/>
      <c r="CS910" s="21"/>
      <c r="CT910" s="21"/>
      <c r="CU910" s="21"/>
      <c r="CV910" s="21"/>
      <c r="CW910" s="21"/>
      <c r="CX910" s="21"/>
      <c r="CY910" s="22"/>
      <c r="CZ910" s="21"/>
      <c r="DA910" s="21"/>
      <c r="DB910" s="21"/>
    </row>
    <row r="911" spans="3:106" s="19" customFormat="1" ht="12"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2"/>
      <c r="AX911" s="21"/>
      <c r="AY911" s="21"/>
      <c r="AZ911" s="21"/>
      <c r="BA911" s="21"/>
      <c r="BB911" s="21"/>
      <c r="BC911" s="21"/>
      <c r="BD911" s="21"/>
      <c r="BE911" s="21"/>
      <c r="BF911" s="21"/>
      <c r="BG911" s="21"/>
      <c r="BH911" s="21"/>
      <c r="BI911" s="21"/>
      <c r="BJ911" s="21"/>
      <c r="BK911" s="21"/>
      <c r="BL911" s="21"/>
      <c r="BM911" s="21"/>
      <c r="BN911" s="21"/>
      <c r="BO911" s="21"/>
      <c r="BP911" s="21"/>
      <c r="BQ911" s="21"/>
      <c r="BR911" s="21"/>
      <c r="BS911" s="21"/>
      <c r="BT911" s="21"/>
      <c r="BU911" s="21"/>
      <c r="BV911" s="21"/>
      <c r="BW911" s="21"/>
      <c r="BX911" s="21"/>
      <c r="BY911" s="21"/>
      <c r="BZ911" s="21"/>
      <c r="CA911" s="21"/>
      <c r="CB911" s="21"/>
      <c r="CC911" s="21"/>
      <c r="CD911" s="21"/>
      <c r="CE911" s="21"/>
      <c r="CF911" s="21"/>
      <c r="CG911" s="21"/>
      <c r="CH911" s="21"/>
      <c r="CI911" s="21"/>
      <c r="CJ911" s="21"/>
      <c r="CK911" s="21"/>
      <c r="CL911" s="21"/>
      <c r="CM911" s="21"/>
      <c r="CN911" s="21"/>
      <c r="CO911" s="21"/>
      <c r="CP911" s="21"/>
      <c r="CQ911" s="21"/>
      <c r="CR911" s="21"/>
      <c r="CS911" s="21"/>
      <c r="CT911" s="21"/>
      <c r="CU911" s="21"/>
      <c r="CV911" s="21"/>
      <c r="CW911" s="21"/>
      <c r="CX911" s="21"/>
      <c r="CY911" s="22"/>
      <c r="CZ911" s="21"/>
      <c r="DA911" s="21"/>
      <c r="DB911" s="21"/>
    </row>
    <row r="912" spans="3:106" s="19" customFormat="1" ht="12"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2"/>
      <c r="AX912" s="21"/>
      <c r="AY912" s="21"/>
      <c r="AZ912" s="21"/>
      <c r="BA912" s="21"/>
      <c r="BB912" s="21"/>
      <c r="BC912" s="21"/>
      <c r="BD912" s="21"/>
      <c r="BE912" s="21"/>
      <c r="BF912" s="21"/>
      <c r="BG912" s="21"/>
      <c r="BH912" s="21"/>
      <c r="BI912" s="21"/>
      <c r="BJ912" s="21"/>
      <c r="BK912" s="21"/>
      <c r="BL912" s="21"/>
      <c r="BM912" s="21"/>
      <c r="BN912" s="21"/>
      <c r="BO912" s="21"/>
      <c r="BP912" s="21"/>
      <c r="BQ912" s="21"/>
      <c r="BR912" s="21"/>
      <c r="BS912" s="21"/>
      <c r="BT912" s="21"/>
      <c r="BU912" s="21"/>
      <c r="BV912" s="21"/>
      <c r="BW912" s="21"/>
      <c r="BX912" s="21"/>
      <c r="BY912" s="21"/>
      <c r="BZ912" s="21"/>
      <c r="CA912" s="21"/>
      <c r="CB912" s="21"/>
      <c r="CC912" s="21"/>
      <c r="CD912" s="21"/>
      <c r="CE912" s="21"/>
      <c r="CF912" s="21"/>
      <c r="CG912" s="21"/>
      <c r="CH912" s="21"/>
      <c r="CI912" s="21"/>
      <c r="CJ912" s="21"/>
      <c r="CK912" s="21"/>
      <c r="CL912" s="21"/>
      <c r="CM912" s="21"/>
      <c r="CN912" s="21"/>
      <c r="CO912" s="21"/>
      <c r="CP912" s="21"/>
      <c r="CQ912" s="21"/>
      <c r="CR912" s="21"/>
      <c r="CS912" s="21"/>
      <c r="CT912" s="21"/>
      <c r="CU912" s="21"/>
      <c r="CV912" s="21"/>
      <c r="CW912" s="21"/>
      <c r="CX912" s="21"/>
      <c r="CY912" s="22"/>
      <c r="CZ912" s="21"/>
      <c r="DA912" s="21"/>
      <c r="DB912" s="21"/>
    </row>
    <row r="913" spans="3:106" s="19" customFormat="1" ht="12"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2"/>
      <c r="AX913" s="21"/>
      <c r="AY913" s="21"/>
      <c r="AZ913" s="21"/>
      <c r="BA913" s="21"/>
      <c r="BB913" s="21"/>
      <c r="BC913" s="21"/>
      <c r="BD913" s="21"/>
      <c r="BE913" s="21"/>
      <c r="BF913" s="21"/>
      <c r="BG913" s="21"/>
      <c r="BH913" s="21"/>
      <c r="BI913" s="21"/>
      <c r="BJ913" s="21"/>
      <c r="BK913" s="21"/>
      <c r="BL913" s="21"/>
      <c r="BM913" s="21"/>
      <c r="BN913" s="21"/>
      <c r="BO913" s="21"/>
      <c r="BP913" s="21"/>
      <c r="BQ913" s="21"/>
      <c r="BR913" s="21"/>
      <c r="BS913" s="21"/>
      <c r="BT913" s="21"/>
      <c r="BU913" s="21"/>
      <c r="BV913" s="21"/>
      <c r="BW913" s="21"/>
      <c r="BX913" s="21"/>
      <c r="BY913" s="21"/>
      <c r="BZ913" s="21"/>
      <c r="CA913" s="21"/>
      <c r="CB913" s="21"/>
      <c r="CC913" s="21"/>
      <c r="CD913" s="21"/>
      <c r="CE913" s="21"/>
      <c r="CF913" s="21"/>
      <c r="CG913" s="21"/>
      <c r="CH913" s="21"/>
      <c r="CI913" s="21"/>
      <c r="CJ913" s="21"/>
      <c r="CK913" s="21"/>
      <c r="CL913" s="21"/>
      <c r="CM913" s="21"/>
      <c r="CN913" s="21"/>
      <c r="CO913" s="21"/>
      <c r="CP913" s="21"/>
      <c r="CQ913" s="21"/>
      <c r="CR913" s="21"/>
      <c r="CS913" s="21"/>
      <c r="CT913" s="21"/>
      <c r="CU913" s="21"/>
      <c r="CV913" s="21"/>
      <c r="CW913" s="21"/>
      <c r="CX913" s="21"/>
      <c r="CY913" s="22"/>
      <c r="CZ913" s="21"/>
      <c r="DA913" s="21"/>
      <c r="DB913" s="21"/>
    </row>
    <row r="914" spans="3:106" s="19" customFormat="1" ht="12"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2"/>
      <c r="AX914" s="21"/>
      <c r="AY914" s="21"/>
      <c r="AZ914" s="21"/>
      <c r="BA914" s="21"/>
      <c r="BB914" s="21"/>
      <c r="BC914" s="21"/>
      <c r="BD914" s="21"/>
      <c r="BE914" s="21"/>
      <c r="BF914" s="21"/>
      <c r="BG914" s="21"/>
      <c r="BH914" s="21"/>
      <c r="BI914" s="21"/>
      <c r="BJ914" s="21"/>
      <c r="BK914" s="21"/>
      <c r="BL914" s="21"/>
      <c r="BM914" s="21"/>
      <c r="BN914" s="21"/>
      <c r="BO914" s="21"/>
      <c r="BP914" s="21"/>
      <c r="BQ914" s="21"/>
      <c r="BR914" s="21"/>
      <c r="BS914" s="21"/>
      <c r="BT914" s="21"/>
      <c r="BU914" s="21"/>
      <c r="BV914" s="21"/>
      <c r="BW914" s="21"/>
      <c r="BX914" s="21"/>
      <c r="BY914" s="21"/>
      <c r="BZ914" s="21"/>
      <c r="CA914" s="21"/>
      <c r="CB914" s="21"/>
      <c r="CC914" s="21"/>
      <c r="CD914" s="21"/>
      <c r="CE914" s="21"/>
      <c r="CF914" s="21"/>
      <c r="CG914" s="21"/>
      <c r="CH914" s="21"/>
      <c r="CI914" s="21"/>
      <c r="CJ914" s="21"/>
      <c r="CK914" s="21"/>
      <c r="CL914" s="21"/>
      <c r="CM914" s="21"/>
      <c r="CN914" s="21"/>
      <c r="CO914" s="21"/>
      <c r="CP914" s="21"/>
      <c r="CQ914" s="21"/>
      <c r="CR914" s="21"/>
      <c r="CS914" s="21"/>
      <c r="CT914" s="21"/>
      <c r="CU914" s="21"/>
      <c r="CV914" s="21"/>
      <c r="CW914" s="21"/>
      <c r="CX914" s="21"/>
      <c r="CY914" s="22"/>
      <c r="CZ914" s="21"/>
      <c r="DA914" s="21"/>
      <c r="DB914" s="21"/>
    </row>
    <row r="915" spans="3:106" s="19" customFormat="1" ht="12"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2"/>
      <c r="AX915" s="21"/>
      <c r="AY915" s="21"/>
      <c r="AZ915" s="21"/>
      <c r="BA915" s="21"/>
      <c r="BB915" s="21"/>
      <c r="BC915" s="21"/>
      <c r="BD915" s="21"/>
      <c r="BE915" s="21"/>
      <c r="BF915" s="21"/>
      <c r="BG915" s="21"/>
      <c r="BH915" s="21"/>
      <c r="BI915" s="21"/>
      <c r="BJ915" s="21"/>
      <c r="BK915" s="21"/>
      <c r="BL915" s="21"/>
      <c r="BM915" s="21"/>
      <c r="BN915" s="21"/>
      <c r="BO915" s="21"/>
      <c r="BP915" s="21"/>
      <c r="BQ915" s="21"/>
      <c r="BR915" s="21"/>
      <c r="BS915" s="21"/>
      <c r="BT915" s="21"/>
      <c r="BU915" s="21"/>
      <c r="BV915" s="21"/>
      <c r="BW915" s="21"/>
      <c r="BX915" s="21"/>
      <c r="BY915" s="21"/>
      <c r="BZ915" s="21"/>
      <c r="CA915" s="21"/>
      <c r="CB915" s="21"/>
      <c r="CC915" s="21"/>
      <c r="CD915" s="21"/>
      <c r="CE915" s="21"/>
      <c r="CF915" s="21"/>
      <c r="CG915" s="21"/>
      <c r="CH915" s="21"/>
      <c r="CI915" s="21"/>
      <c r="CJ915" s="21"/>
      <c r="CK915" s="21"/>
      <c r="CL915" s="21"/>
      <c r="CM915" s="21"/>
      <c r="CN915" s="21"/>
      <c r="CO915" s="21"/>
      <c r="CP915" s="21"/>
      <c r="CQ915" s="21"/>
      <c r="CR915" s="21"/>
      <c r="CS915" s="21"/>
      <c r="CT915" s="21"/>
      <c r="CU915" s="21"/>
      <c r="CV915" s="21"/>
      <c r="CW915" s="21"/>
      <c r="CX915" s="21"/>
      <c r="CY915" s="22"/>
      <c r="CZ915" s="21"/>
      <c r="DA915" s="21"/>
      <c r="DB915" s="21"/>
    </row>
    <row r="916" spans="3:106" s="19" customFormat="1" ht="12"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2"/>
      <c r="AX916" s="21"/>
      <c r="AY916" s="21"/>
      <c r="AZ916" s="21"/>
      <c r="BA916" s="21"/>
      <c r="BB916" s="21"/>
      <c r="BC916" s="21"/>
      <c r="BD916" s="21"/>
      <c r="BE916" s="21"/>
      <c r="BF916" s="21"/>
      <c r="BG916" s="21"/>
      <c r="BH916" s="21"/>
      <c r="BI916" s="21"/>
      <c r="BJ916" s="21"/>
      <c r="BK916" s="21"/>
      <c r="BL916" s="21"/>
      <c r="BM916" s="21"/>
      <c r="BN916" s="21"/>
      <c r="BO916" s="21"/>
      <c r="BP916" s="21"/>
      <c r="BQ916" s="21"/>
      <c r="BR916" s="21"/>
      <c r="BS916" s="21"/>
      <c r="BT916" s="21"/>
      <c r="BU916" s="21"/>
      <c r="BV916" s="21"/>
      <c r="BW916" s="21"/>
      <c r="BX916" s="21"/>
      <c r="BY916" s="21"/>
      <c r="BZ916" s="21"/>
      <c r="CA916" s="21"/>
      <c r="CB916" s="21"/>
      <c r="CC916" s="21"/>
      <c r="CD916" s="21"/>
      <c r="CE916" s="21"/>
      <c r="CF916" s="21"/>
      <c r="CG916" s="21"/>
      <c r="CH916" s="21"/>
      <c r="CI916" s="21"/>
      <c r="CJ916" s="21"/>
      <c r="CK916" s="21"/>
      <c r="CL916" s="21"/>
      <c r="CM916" s="21"/>
      <c r="CN916" s="21"/>
      <c r="CO916" s="21"/>
      <c r="CP916" s="21"/>
      <c r="CQ916" s="21"/>
      <c r="CR916" s="21"/>
      <c r="CS916" s="21"/>
      <c r="CT916" s="21"/>
      <c r="CU916" s="21"/>
      <c r="CV916" s="21"/>
      <c r="CW916" s="21"/>
      <c r="CX916" s="21"/>
      <c r="CY916" s="22"/>
      <c r="CZ916" s="21"/>
      <c r="DA916" s="21"/>
      <c r="DB916" s="21"/>
    </row>
    <row r="917" spans="3:106" s="19" customFormat="1" ht="12"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2"/>
      <c r="AX917" s="21"/>
      <c r="AY917" s="21"/>
      <c r="AZ917" s="21"/>
      <c r="BA917" s="21"/>
      <c r="BB917" s="21"/>
      <c r="BC917" s="21"/>
      <c r="BD917" s="21"/>
      <c r="BE917" s="21"/>
      <c r="BF917" s="21"/>
      <c r="BG917" s="21"/>
      <c r="BH917" s="21"/>
      <c r="BI917" s="21"/>
      <c r="BJ917" s="21"/>
      <c r="BK917" s="21"/>
      <c r="BL917" s="21"/>
      <c r="BM917" s="21"/>
      <c r="BN917" s="21"/>
      <c r="BO917" s="21"/>
      <c r="BP917" s="21"/>
      <c r="BQ917" s="21"/>
      <c r="BR917" s="21"/>
      <c r="BS917" s="21"/>
      <c r="BT917" s="21"/>
      <c r="BU917" s="21"/>
      <c r="BV917" s="21"/>
      <c r="BW917" s="21"/>
      <c r="BX917" s="21"/>
      <c r="BY917" s="21"/>
      <c r="BZ917" s="21"/>
      <c r="CA917" s="21"/>
      <c r="CB917" s="21"/>
      <c r="CC917" s="21"/>
      <c r="CD917" s="21"/>
      <c r="CE917" s="21"/>
      <c r="CF917" s="21"/>
      <c r="CG917" s="21"/>
      <c r="CH917" s="21"/>
      <c r="CI917" s="21"/>
      <c r="CJ917" s="21"/>
      <c r="CK917" s="21"/>
      <c r="CL917" s="21"/>
      <c r="CM917" s="21"/>
      <c r="CN917" s="21"/>
      <c r="CO917" s="21"/>
      <c r="CP917" s="21"/>
      <c r="CQ917" s="21"/>
      <c r="CR917" s="21"/>
      <c r="CS917" s="21"/>
      <c r="CT917" s="21"/>
      <c r="CU917" s="21"/>
      <c r="CV917" s="21"/>
      <c r="CW917" s="21"/>
      <c r="CX917" s="21"/>
      <c r="CY917" s="22"/>
      <c r="CZ917" s="21"/>
      <c r="DA917" s="21"/>
      <c r="DB917" s="21"/>
    </row>
    <row r="918" spans="3:106" s="19" customFormat="1" ht="12"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2"/>
      <c r="AX918" s="21"/>
      <c r="AY918" s="21"/>
      <c r="AZ918" s="21"/>
      <c r="BA918" s="21"/>
      <c r="BB918" s="21"/>
      <c r="BC918" s="21"/>
      <c r="BD918" s="21"/>
      <c r="BE918" s="21"/>
      <c r="BF918" s="21"/>
      <c r="BG918" s="21"/>
      <c r="BH918" s="21"/>
      <c r="BI918" s="21"/>
      <c r="BJ918" s="21"/>
      <c r="BK918" s="21"/>
      <c r="BL918" s="21"/>
      <c r="BM918" s="21"/>
      <c r="BN918" s="21"/>
      <c r="BO918" s="21"/>
      <c r="BP918" s="21"/>
      <c r="BQ918" s="21"/>
      <c r="BR918" s="21"/>
      <c r="BS918" s="21"/>
      <c r="BT918" s="21"/>
      <c r="BU918" s="21"/>
      <c r="BV918" s="21"/>
      <c r="BW918" s="21"/>
      <c r="BX918" s="21"/>
      <c r="BY918" s="21"/>
      <c r="BZ918" s="21"/>
      <c r="CA918" s="21"/>
      <c r="CB918" s="21"/>
      <c r="CC918" s="21"/>
      <c r="CD918" s="21"/>
      <c r="CE918" s="21"/>
      <c r="CF918" s="21"/>
      <c r="CG918" s="21"/>
      <c r="CH918" s="21"/>
      <c r="CI918" s="21"/>
      <c r="CJ918" s="21"/>
      <c r="CK918" s="21"/>
      <c r="CL918" s="21"/>
      <c r="CM918" s="21"/>
      <c r="CN918" s="21"/>
      <c r="CO918" s="21"/>
      <c r="CP918" s="21"/>
      <c r="CQ918" s="21"/>
      <c r="CR918" s="21"/>
      <c r="CS918" s="21"/>
      <c r="CT918" s="21"/>
      <c r="CU918" s="21"/>
      <c r="CV918" s="21"/>
      <c r="CW918" s="21"/>
      <c r="CX918" s="21"/>
      <c r="CY918" s="22"/>
      <c r="CZ918" s="21"/>
      <c r="DA918" s="21"/>
      <c r="DB918" s="21"/>
    </row>
    <row r="919" spans="3:106" s="19" customFormat="1" ht="12"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2"/>
      <c r="AX919" s="21"/>
      <c r="AY919" s="21"/>
      <c r="AZ919" s="21"/>
      <c r="BA919" s="21"/>
      <c r="BB919" s="21"/>
      <c r="BC919" s="21"/>
      <c r="BD919" s="21"/>
      <c r="BE919" s="21"/>
      <c r="BF919" s="21"/>
      <c r="BG919" s="21"/>
      <c r="BH919" s="21"/>
      <c r="BI919" s="21"/>
      <c r="BJ919" s="21"/>
      <c r="BK919" s="21"/>
      <c r="BL919" s="21"/>
      <c r="BM919" s="21"/>
      <c r="BN919" s="21"/>
      <c r="BO919" s="21"/>
      <c r="BP919" s="21"/>
      <c r="BQ919" s="21"/>
      <c r="BR919" s="21"/>
      <c r="BS919" s="21"/>
      <c r="BT919" s="21"/>
      <c r="BU919" s="21"/>
      <c r="BV919" s="21"/>
      <c r="BW919" s="21"/>
      <c r="BX919" s="21"/>
      <c r="BY919" s="21"/>
      <c r="BZ919" s="21"/>
      <c r="CA919" s="21"/>
      <c r="CB919" s="21"/>
      <c r="CC919" s="21"/>
      <c r="CD919" s="21"/>
      <c r="CE919" s="21"/>
      <c r="CF919" s="21"/>
      <c r="CG919" s="21"/>
      <c r="CH919" s="21"/>
      <c r="CI919" s="21"/>
      <c r="CJ919" s="21"/>
      <c r="CK919" s="21"/>
      <c r="CL919" s="21"/>
      <c r="CM919" s="21"/>
      <c r="CN919" s="21"/>
      <c r="CO919" s="21"/>
      <c r="CP919" s="21"/>
      <c r="CQ919" s="21"/>
      <c r="CR919" s="21"/>
      <c r="CS919" s="21"/>
      <c r="CT919" s="21"/>
      <c r="CU919" s="21"/>
      <c r="CV919" s="21"/>
      <c r="CW919" s="21"/>
      <c r="CX919" s="21"/>
      <c r="CY919" s="22"/>
      <c r="CZ919" s="21"/>
      <c r="DA919" s="21"/>
      <c r="DB919" s="21"/>
    </row>
    <row r="920" spans="3:106" s="19" customFormat="1" ht="12"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2"/>
      <c r="AX920" s="21"/>
      <c r="AY920" s="21"/>
      <c r="AZ920" s="21"/>
      <c r="BA920" s="21"/>
      <c r="BB920" s="21"/>
      <c r="BC920" s="21"/>
      <c r="BD920" s="21"/>
      <c r="BE920" s="21"/>
      <c r="BF920" s="21"/>
      <c r="BG920" s="21"/>
      <c r="BH920" s="21"/>
      <c r="BI920" s="21"/>
      <c r="BJ920" s="21"/>
      <c r="BK920" s="21"/>
      <c r="BL920" s="21"/>
      <c r="BM920" s="21"/>
      <c r="BN920" s="21"/>
      <c r="BO920" s="21"/>
      <c r="BP920" s="21"/>
      <c r="BQ920" s="21"/>
      <c r="BR920" s="21"/>
      <c r="BS920" s="21"/>
      <c r="BT920" s="21"/>
      <c r="BU920" s="21"/>
      <c r="BV920" s="21"/>
      <c r="BW920" s="21"/>
      <c r="BX920" s="21"/>
      <c r="BY920" s="21"/>
      <c r="BZ920" s="21"/>
      <c r="CA920" s="21"/>
      <c r="CB920" s="21"/>
      <c r="CC920" s="21"/>
      <c r="CD920" s="21"/>
      <c r="CE920" s="21"/>
      <c r="CF920" s="21"/>
      <c r="CG920" s="21"/>
      <c r="CH920" s="21"/>
      <c r="CI920" s="21"/>
      <c r="CJ920" s="21"/>
      <c r="CK920" s="21"/>
      <c r="CL920" s="21"/>
      <c r="CM920" s="21"/>
      <c r="CN920" s="21"/>
      <c r="CO920" s="21"/>
      <c r="CP920" s="21"/>
      <c r="CQ920" s="21"/>
      <c r="CR920" s="21"/>
      <c r="CS920" s="21"/>
      <c r="CT920" s="21"/>
      <c r="CU920" s="21"/>
      <c r="CV920" s="21"/>
      <c r="CW920" s="21"/>
      <c r="CX920" s="21"/>
      <c r="CY920" s="22"/>
      <c r="CZ920" s="21"/>
      <c r="DA920" s="21"/>
      <c r="DB920" s="21"/>
    </row>
    <row r="921" spans="3:106" s="19" customFormat="1" ht="12"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2"/>
      <c r="AX921" s="21"/>
      <c r="AY921" s="21"/>
      <c r="AZ921" s="21"/>
      <c r="BA921" s="21"/>
      <c r="BB921" s="21"/>
      <c r="BC921" s="21"/>
      <c r="BD921" s="21"/>
      <c r="BE921" s="21"/>
      <c r="BF921" s="21"/>
      <c r="BG921" s="21"/>
      <c r="BH921" s="21"/>
      <c r="BI921" s="21"/>
      <c r="BJ921" s="21"/>
      <c r="BK921" s="21"/>
      <c r="BL921" s="21"/>
      <c r="BM921" s="21"/>
      <c r="BN921" s="21"/>
      <c r="BO921" s="21"/>
      <c r="BP921" s="21"/>
      <c r="BQ921" s="21"/>
      <c r="BR921" s="21"/>
      <c r="BS921" s="21"/>
      <c r="BT921" s="21"/>
      <c r="BU921" s="21"/>
      <c r="BV921" s="21"/>
      <c r="BW921" s="21"/>
      <c r="BX921" s="21"/>
      <c r="BY921" s="21"/>
      <c r="BZ921" s="21"/>
      <c r="CA921" s="21"/>
      <c r="CB921" s="21"/>
      <c r="CC921" s="21"/>
      <c r="CD921" s="21"/>
      <c r="CE921" s="21"/>
      <c r="CF921" s="21"/>
      <c r="CG921" s="21"/>
      <c r="CH921" s="21"/>
      <c r="CI921" s="21"/>
      <c r="CJ921" s="21"/>
      <c r="CK921" s="21"/>
      <c r="CL921" s="21"/>
      <c r="CM921" s="21"/>
      <c r="CN921" s="21"/>
      <c r="CO921" s="21"/>
      <c r="CP921" s="21"/>
      <c r="CQ921" s="21"/>
      <c r="CR921" s="21"/>
      <c r="CS921" s="21"/>
      <c r="CT921" s="21"/>
      <c r="CU921" s="21"/>
      <c r="CV921" s="21"/>
      <c r="CW921" s="21"/>
      <c r="CX921" s="21"/>
      <c r="CY921" s="22"/>
      <c r="CZ921" s="21"/>
      <c r="DA921" s="21"/>
      <c r="DB921" s="21"/>
    </row>
    <row r="922" spans="3:106" s="19" customFormat="1" ht="12"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2"/>
      <c r="AX922" s="21"/>
      <c r="AY922" s="21"/>
      <c r="AZ922" s="21"/>
      <c r="BA922" s="21"/>
      <c r="BB922" s="21"/>
      <c r="BC922" s="21"/>
      <c r="BD922" s="21"/>
      <c r="BE922" s="21"/>
      <c r="BF922" s="21"/>
      <c r="BG922" s="21"/>
      <c r="BH922" s="21"/>
      <c r="BI922" s="21"/>
      <c r="BJ922" s="21"/>
      <c r="BK922" s="21"/>
      <c r="BL922" s="21"/>
      <c r="BM922" s="21"/>
      <c r="BN922" s="21"/>
      <c r="BO922" s="21"/>
      <c r="BP922" s="21"/>
      <c r="BQ922" s="21"/>
      <c r="BR922" s="21"/>
      <c r="BS922" s="21"/>
      <c r="BT922" s="21"/>
      <c r="BU922" s="21"/>
      <c r="BV922" s="21"/>
      <c r="BW922" s="21"/>
      <c r="BX922" s="21"/>
      <c r="BY922" s="21"/>
      <c r="BZ922" s="21"/>
      <c r="CA922" s="21"/>
      <c r="CB922" s="21"/>
      <c r="CC922" s="21"/>
      <c r="CD922" s="21"/>
      <c r="CE922" s="21"/>
      <c r="CF922" s="21"/>
      <c r="CG922" s="21"/>
      <c r="CH922" s="21"/>
      <c r="CI922" s="21"/>
      <c r="CJ922" s="21"/>
      <c r="CK922" s="21"/>
      <c r="CL922" s="21"/>
      <c r="CM922" s="21"/>
      <c r="CN922" s="21"/>
      <c r="CO922" s="21"/>
      <c r="CP922" s="21"/>
      <c r="CQ922" s="21"/>
      <c r="CR922" s="21"/>
      <c r="CS922" s="21"/>
      <c r="CT922" s="21"/>
      <c r="CU922" s="21"/>
      <c r="CV922" s="21"/>
      <c r="CW922" s="21"/>
      <c r="CX922" s="21"/>
      <c r="CY922" s="22"/>
      <c r="CZ922" s="21"/>
      <c r="DA922" s="21"/>
      <c r="DB922" s="21"/>
    </row>
    <row r="923" spans="3:106" s="19" customFormat="1" ht="12"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2"/>
      <c r="AX923" s="21"/>
      <c r="AY923" s="21"/>
      <c r="AZ923" s="21"/>
      <c r="BA923" s="21"/>
      <c r="BB923" s="21"/>
      <c r="BC923" s="21"/>
      <c r="BD923" s="21"/>
      <c r="BE923" s="21"/>
      <c r="BF923" s="21"/>
      <c r="BG923" s="21"/>
      <c r="BH923" s="21"/>
      <c r="BI923" s="21"/>
      <c r="BJ923" s="21"/>
      <c r="BK923" s="21"/>
      <c r="BL923" s="21"/>
      <c r="BM923" s="21"/>
      <c r="BN923" s="21"/>
      <c r="BO923" s="21"/>
      <c r="BP923" s="21"/>
      <c r="BQ923" s="21"/>
      <c r="BR923" s="21"/>
      <c r="BS923" s="21"/>
      <c r="BT923" s="21"/>
      <c r="BU923" s="21"/>
      <c r="BV923" s="21"/>
      <c r="BW923" s="21"/>
      <c r="BX923" s="21"/>
      <c r="BY923" s="21"/>
      <c r="BZ923" s="21"/>
      <c r="CA923" s="21"/>
      <c r="CB923" s="21"/>
      <c r="CC923" s="21"/>
      <c r="CD923" s="21"/>
      <c r="CE923" s="21"/>
      <c r="CF923" s="21"/>
      <c r="CG923" s="21"/>
      <c r="CH923" s="21"/>
      <c r="CI923" s="21"/>
      <c r="CJ923" s="21"/>
      <c r="CK923" s="21"/>
      <c r="CL923" s="21"/>
      <c r="CM923" s="21"/>
      <c r="CN923" s="21"/>
      <c r="CO923" s="21"/>
      <c r="CP923" s="21"/>
      <c r="CQ923" s="21"/>
      <c r="CR923" s="21"/>
      <c r="CS923" s="21"/>
      <c r="CT923" s="21"/>
      <c r="CU923" s="21"/>
      <c r="CV923" s="21"/>
      <c r="CW923" s="21"/>
      <c r="CX923" s="21"/>
      <c r="CY923" s="22"/>
      <c r="CZ923" s="21"/>
      <c r="DA923" s="21"/>
      <c r="DB923" s="21"/>
    </row>
    <row r="924" spans="3:106" s="19" customFormat="1" ht="12"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2"/>
      <c r="AX924" s="21"/>
      <c r="AY924" s="21"/>
      <c r="AZ924" s="21"/>
      <c r="BA924" s="21"/>
      <c r="BB924" s="21"/>
      <c r="BC924" s="21"/>
      <c r="BD924" s="21"/>
      <c r="BE924" s="21"/>
      <c r="BF924" s="21"/>
      <c r="BG924" s="21"/>
      <c r="BH924" s="21"/>
      <c r="BI924" s="21"/>
      <c r="BJ924" s="21"/>
      <c r="BK924" s="21"/>
      <c r="BL924" s="21"/>
      <c r="BM924" s="21"/>
      <c r="BN924" s="21"/>
      <c r="BO924" s="21"/>
      <c r="BP924" s="21"/>
      <c r="BQ924" s="21"/>
      <c r="BR924" s="21"/>
      <c r="BS924" s="21"/>
      <c r="BT924" s="21"/>
      <c r="BU924" s="21"/>
      <c r="BV924" s="21"/>
      <c r="BW924" s="21"/>
      <c r="BX924" s="21"/>
      <c r="BY924" s="21"/>
      <c r="BZ924" s="21"/>
      <c r="CA924" s="21"/>
      <c r="CB924" s="21"/>
      <c r="CC924" s="21"/>
      <c r="CD924" s="21"/>
      <c r="CE924" s="21"/>
      <c r="CF924" s="21"/>
      <c r="CG924" s="21"/>
      <c r="CH924" s="21"/>
      <c r="CI924" s="21"/>
      <c r="CJ924" s="21"/>
      <c r="CK924" s="21"/>
      <c r="CL924" s="21"/>
      <c r="CM924" s="21"/>
      <c r="CN924" s="21"/>
      <c r="CO924" s="21"/>
      <c r="CP924" s="21"/>
      <c r="CQ924" s="21"/>
      <c r="CR924" s="21"/>
      <c r="CS924" s="21"/>
      <c r="CT924" s="21"/>
      <c r="CU924" s="21"/>
      <c r="CV924" s="21"/>
      <c r="CW924" s="21"/>
      <c r="CX924" s="21"/>
      <c r="CY924" s="22"/>
      <c r="CZ924" s="21"/>
      <c r="DA924" s="21"/>
      <c r="DB924" s="21"/>
    </row>
    <row r="925" spans="3:106" s="19" customFormat="1" ht="12"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2"/>
      <c r="AX925" s="21"/>
      <c r="AY925" s="21"/>
      <c r="AZ925" s="21"/>
      <c r="BA925" s="21"/>
      <c r="BB925" s="21"/>
      <c r="BC925" s="21"/>
      <c r="BD925" s="21"/>
      <c r="BE925" s="21"/>
      <c r="BF925" s="21"/>
      <c r="BG925" s="21"/>
      <c r="BH925" s="21"/>
      <c r="BI925" s="21"/>
      <c r="BJ925" s="21"/>
      <c r="BK925" s="21"/>
      <c r="BL925" s="21"/>
      <c r="BM925" s="21"/>
      <c r="BN925" s="21"/>
      <c r="BO925" s="21"/>
      <c r="BP925" s="21"/>
      <c r="BQ925" s="21"/>
      <c r="BR925" s="21"/>
      <c r="BS925" s="21"/>
      <c r="BT925" s="21"/>
      <c r="BU925" s="21"/>
      <c r="BV925" s="21"/>
      <c r="BW925" s="21"/>
      <c r="BX925" s="21"/>
      <c r="BY925" s="21"/>
      <c r="BZ925" s="21"/>
      <c r="CA925" s="21"/>
      <c r="CB925" s="21"/>
      <c r="CC925" s="21"/>
      <c r="CD925" s="21"/>
      <c r="CE925" s="21"/>
      <c r="CF925" s="21"/>
      <c r="CG925" s="21"/>
      <c r="CH925" s="21"/>
      <c r="CI925" s="21"/>
      <c r="CJ925" s="21"/>
      <c r="CK925" s="21"/>
      <c r="CL925" s="21"/>
      <c r="CM925" s="21"/>
      <c r="CN925" s="21"/>
      <c r="CO925" s="21"/>
      <c r="CP925" s="21"/>
      <c r="CQ925" s="21"/>
      <c r="CR925" s="21"/>
      <c r="CS925" s="21"/>
      <c r="CT925" s="21"/>
      <c r="CU925" s="21"/>
      <c r="CV925" s="21"/>
      <c r="CW925" s="21"/>
      <c r="CX925" s="21"/>
      <c r="CY925" s="22"/>
      <c r="CZ925" s="21"/>
      <c r="DA925" s="21"/>
      <c r="DB925" s="21"/>
    </row>
    <row r="926" spans="3:106" s="19" customFormat="1" ht="12"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2"/>
      <c r="AX926" s="21"/>
      <c r="AY926" s="21"/>
      <c r="AZ926" s="21"/>
      <c r="BA926" s="21"/>
      <c r="BB926" s="21"/>
      <c r="BC926" s="21"/>
      <c r="BD926" s="21"/>
      <c r="BE926" s="21"/>
      <c r="BF926" s="21"/>
      <c r="BG926" s="21"/>
      <c r="BH926" s="21"/>
      <c r="BI926" s="21"/>
      <c r="BJ926" s="21"/>
      <c r="BK926" s="21"/>
      <c r="BL926" s="21"/>
      <c r="BM926" s="21"/>
      <c r="BN926" s="21"/>
      <c r="BO926" s="21"/>
      <c r="BP926" s="21"/>
      <c r="BQ926" s="21"/>
      <c r="BR926" s="21"/>
      <c r="BS926" s="21"/>
      <c r="BT926" s="21"/>
      <c r="BU926" s="21"/>
      <c r="BV926" s="21"/>
      <c r="BW926" s="21"/>
      <c r="BX926" s="21"/>
      <c r="BY926" s="21"/>
      <c r="BZ926" s="21"/>
      <c r="CA926" s="21"/>
      <c r="CB926" s="21"/>
      <c r="CC926" s="21"/>
      <c r="CD926" s="21"/>
      <c r="CE926" s="21"/>
      <c r="CF926" s="21"/>
      <c r="CG926" s="21"/>
      <c r="CH926" s="21"/>
      <c r="CI926" s="21"/>
      <c r="CJ926" s="21"/>
      <c r="CK926" s="21"/>
      <c r="CL926" s="21"/>
      <c r="CM926" s="21"/>
      <c r="CN926" s="21"/>
      <c r="CO926" s="21"/>
      <c r="CP926" s="21"/>
      <c r="CQ926" s="21"/>
      <c r="CR926" s="21"/>
      <c r="CS926" s="21"/>
      <c r="CT926" s="21"/>
      <c r="CU926" s="21"/>
      <c r="CV926" s="21"/>
      <c r="CW926" s="21"/>
      <c r="CX926" s="21"/>
      <c r="CY926" s="22"/>
      <c r="CZ926" s="21"/>
      <c r="DA926" s="21"/>
      <c r="DB926" s="21"/>
    </row>
    <row r="927" spans="3:106" s="19" customFormat="1" ht="12"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2"/>
      <c r="AX927" s="21"/>
      <c r="AY927" s="21"/>
      <c r="AZ927" s="21"/>
      <c r="BA927" s="21"/>
      <c r="BB927" s="21"/>
      <c r="BC927" s="21"/>
      <c r="BD927" s="21"/>
      <c r="BE927" s="21"/>
      <c r="BF927" s="21"/>
      <c r="BG927" s="21"/>
      <c r="BH927" s="21"/>
      <c r="BI927" s="21"/>
      <c r="BJ927" s="21"/>
      <c r="BK927" s="21"/>
      <c r="BL927" s="21"/>
      <c r="BM927" s="21"/>
      <c r="BN927" s="21"/>
      <c r="BO927" s="21"/>
      <c r="BP927" s="21"/>
      <c r="BQ927" s="21"/>
      <c r="BR927" s="21"/>
      <c r="BS927" s="21"/>
      <c r="BT927" s="21"/>
      <c r="BU927" s="21"/>
      <c r="BV927" s="21"/>
      <c r="BW927" s="21"/>
      <c r="BX927" s="21"/>
      <c r="BY927" s="21"/>
      <c r="BZ927" s="21"/>
      <c r="CA927" s="21"/>
      <c r="CB927" s="21"/>
      <c r="CC927" s="21"/>
      <c r="CD927" s="21"/>
      <c r="CE927" s="21"/>
      <c r="CF927" s="21"/>
      <c r="CG927" s="21"/>
      <c r="CH927" s="21"/>
      <c r="CI927" s="21"/>
      <c r="CJ927" s="21"/>
      <c r="CK927" s="21"/>
      <c r="CL927" s="21"/>
      <c r="CM927" s="21"/>
      <c r="CN927" s="21"/>
      <c r="CO927" s="21"/>
      <c r="CP927" s="21"/>
      <c r="CQ927" s="21"/>
      <c r="CR927" s="21"/>
      <c r="CS927" s="21"/>
      <c r="CT927" s="21"/>
      <c r="CU927" s="21"/>
      <c r="CV927" s="21"/>
      <c r="CW927" s="21"/>
      <c r="CX927" s="21"/>
      <c r="CY927" s="22"/>
      <c r="CZ927" s="21"/>
      <c r="DA927" s="21"/>
      <c r="DB927" s="21"/>
    </row>
    <row r="928" spans="3:106" s="19" customFormat="1" ht="12"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2"/>
      <c r="AX928" s="21"/>
      <c r="AY928" s="21"/>
      <c r="AZ928" s="21"/>
      <c r="BA928" s="21"/>
      <c r="BB928" s="21"/>
      <c r="BC928" s="21"/>
      <c r="BD928" s="21"/>
      <c r="BE928" s="21"/>
      <c r="BF928" s="21"/>
      <c r="BG928" s="21"/>
      <c r="BH928" s="21"/>
      <c r="BI928" s="21"/>
      <c r="BJ928" s="21"/>
      <c r="BK928" s="21"/>
      <c r="BL928" s="21"/>
      <c r="BM928" s="21"/>
      <c r="BN928" s="21"/>
      <c r="BO928" s="21"/>
      <c r="BP928" s="21"/>
      <c r="BQ928" s="21"/>
      <c r="BR928" s="21"/>
      <c r="BS928" s="21"/>
      <c r="BT928" s="21"/>
      <c r="BU928" s="21"/>
      <c r="BV928" s="21"/>
      <c r="BW928" s="21"/>
      <c r="BX928" s="21"/>
      <c r="BY928" s="21"/>
      <c r="BZ928" s="21"/>
      <c r="CA928" s="21"/>
      <c r="CB928" s="21"/>
      <c r="CC928" s="21"/>
      <c r="CD928" s="21"/>
      <c r="CE928" s="21"/>
      <c r="CF928" s="21"/>
      <c r="CG928" s="21"/>
      <c r="CH928" s="21"/>
      <c r="CI928" s="21"/>
      <c r="CJ928" s="21"/>
      <c r="CK928" s="21"/>
      <c r="CL928" s="21"/>
      <c r="CM928" s="21"/>
      <c r="CN928" s="21"/>
      <c r="CO928" s="21"/>
      <c r="CP928" s="21"/>
      <c r="CQ928" s="21"/>
      <c r="CR928" s="21"/>
      <c r="CS928" s="21"/>
      <c r="CT928" s="21"/>
      <c r="CU928" s="21"/>
      <c r="CV928" s="21"/>
      <c r="CW928" s="21"/>
      <c r="CX928" s="21"/>
      <c r="CY928" s="22"/>
      <c r="CZ928" s="21"/>
      <c r="DA928" s="21"/>
      <c r="DB928" s="21"/>
    </row>
    <row r="929" spans="3:106" s="19" customFormat="1" ht="12"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2"/>
      <c r="AX929" s="21"/>
      <c r="AY929" s="21"/>
      <c r="AZ929" s="21"/>
      <c r="BA929" s="21"/>
      <c r="BB929" s="21"/>
      <c r="BC929" s="21"/>
      <c r="BD929" s="21"/>
      <c r="BE929" s="21"/>
      <c r="BF929" s="21"/>
      <c r="BG929" s="21"/>
      <c r="BH929" s="21"/>
      <c r="BI929" s="21"/>
      <c r="BJ929" s="21"/>
      <c r="BK929" s="21"/>
      <c r="BL929" s="21"/>
      <c r="BM929" s="21"/>
      <c r="BN929" s="21"/>
      <c r="BO929" s="21"/>
      <c r="BP929" s="21"/>
      <c r="BQ929" s="21"/>
      <c r="BR929" s="21"/>
      <c r="BS929" s="21"/>
      <c r="BT929" s="21"/>
      <c r="BU929" s="21"/>
      <c r="BV929" s="21"/>
      <c r="BW929" s="21"/>
      <c r="BX929" s="21"/>
      <c r="BY929" s="21"/>
      <c r="BZ929" s="21"/>
      <c r="CA929" s="21"/>
      <c r="CB929" s="21"/>
      <c r="CC929" s="21"/>
      <c r="CD929" s="21"/>
      <c r="CE929" s="21"/>
      <c r="CF929" s="21"/>
      <c r="CG929" s="21"/>
      <c r="CH929" s="21"/>
      <c r="CI929" s="21"/>
      <c r="CJ929" s="21"/>
      <c r="CK929" s="21"/>
      <c r="CL929" s="21"/>
      <c r="CM929" s="21"/>
      <c r="CN929" s="21"/>
      <c r="CO929" s="21"/>
      <c r="CP929" s="21"/>
      <c r="CQ929" s="21"/>
      <c r="CR929" s="21"/>
      <c r="CS929" s="21"/>
      <c r="CT929" s="21"/>
      <c r="CU929" s="21"/>
      <c r="CV929" s="21"/>
      <c r="CW929" s="21"/>
      <c r="CX929" s="21"/>
      <c r="CY929" s="22"/>
      <c r="CZ929" s="21"/>
      <c r="DA929" s="21"/>
      <c r="DB929" s="21"/>
    </row>
    <row r="930" spans="3:106" s="19" customFormat="1" ht="12"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2"/>
      <c r="AX930" s="21"/>
      <c r="AY930" s="21"/>
      <c r="AZ930" s="21"/>
      <c r="BA930" s="21"/>
      <c r="BB930" s="21"/>
      <c r="BC930" s="21"/>
      <c r="BD930" s="21"/>
      <c r="BE930" s="21"/>
      <c r="BF930" s="21"/>
      <c r="BG930" s="21"/>
      <c r="BH930" s="21"/>
      <c r="BI930" s="21"/>
      <c r="BJ930" s="21"/>
      <c r="BK930" s="21"/>
      <c r="BL930" s="21"/>
      <c r="BM930" s="21"/>
      <c r="BN930" s="21"/>
      <c r="BO930" s="21"/>
      <c r="BP930" s="21"/>
      <c r="BQ930" s="21"/>
      <c r="BR930" s="21"/>
      <c r="BS930" s="21"/>
      <c r="BT930" s="21"/>
      <c r="BU930" s="21"/>
      <c r="BV930" s="21"/>
      <c r="BW930" s="21"/>
      <c r="BX930" s="21"/>
      <c r="BY930" s="21"/>
      <c r="BZ930" s="21"/>
      <c r="CA930" s="21"/>
      <c r="CB930" s="21"/>
      <c r="CC930" s="21"/>
      <c r="CD930" s="21"/>
      <c r="CE930" s="21"/>
      <c r="CF930" s="21"/>
      <c r="CG930" s="21"/>
      <c r="CH930" s="21"/>
      <c r="CI930" s="21"/>
      <c r="CJ930" s="21"/>
      <c r="CK930" s="21"/>
      <c r="CL930" s="21"/>
      <c r="CM930" s="21"/>
      <c r="CN930" s="21"/>
      <c r="CO930" s="21"/>
      <c r="CP930" s="21"/>
      <c r="CQ930" s="21"/>
      <c r="CR930" s="21"/>
      <c r="CS930" s="21"/>
      <c r="CT930" s="21"/>
      <c r="CU930" s="21"/>
      <c r="CV930" s="21"/>
      <c r="CW930" s="21"/>
      <c r="CX930" s="21"/>
      <c r="CY930" s="22"/>
      <c r="CZ930" s="21"/>
      <c r="DA930" s="21"/>
      <c r="DB930" s="21"/>
    </row>
    <row r="931" spans="3:106" s="19" customFormat="1" ht="12"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2"/>
      <c r="AX931" s="21"/>
      <c r="AY931" s="21"/>
      <c r="AZ931" s="21"/>
      <c r="BA931" s="21"/>
      <c r="BB931" s="21"/>
      <c r="BC931" s="21"/>
      <c r="BD931" s="21"/>
      <c r="BE931" s="21"/>
      <c r="BF931" s="21"/>
      <c r="BG931" s="21"/>
      <c r="BH931" s="21"/>
      <c r="BI931" s="21"/>
      <c r="BJ931" s="21"/>
      <c r="BK931" s="21"/>
      <c r="BL931" s="21"/>
      <c r="BM931" s="21"/>
      <c r="BN931" s="21"/>
      <c r="BO931" s="21"/>
      <c r="BP931" s="21"/>
      <c r="BQ931" s="21"/>
      <c r="BR931" s="21"/>
      <c r="BS931" s="21"/>
      <c r="BT931" s="21"/>
      <c r="BU931" s="21"/>
      <c r="BV931" s="21"/>
      <c r="BW931" s="21"/>
      <c r="BX931" s="21"/>
      <c r="BY931" s="21"/>
      <c r="BZ931" s="21"/>
      <c r="CA931" s="21"/>
      <c r="CB931" s="21"/>
      <c r="CC931" s="21"/>
      <c r="CD931" s="21"/>
      <c r="CE931" s="21"/>
      <c r="CF931" s="21"/>
      <c r="CG931" s="21"/>
      <c r="CH931" s="21"/>
      <c r="CI931" s="21"/>
      <c r="CJ931" s="21"/>
      <c r="CK931" s="21"/>
      <c r="CL931" s="21"/>
      <c r="CM931" s="21"/>
      <c r="CN931" s="21"/>
      <c r="CO931" s="21"/>
      <c r="CP931" s="21"/>
      <c r="CQ931" s="21"/>
      <c r="CR931" s="21"/>
      <c r="CS931" s="21"/>
      <c r="CT931" s="21"/>
      <c r="CU931" s="21"/>
      <c r="CV931" s="21"/>
      <c r="CW931" s="21"/>
      <c r="CX931" s="21"/>
      <c r="CY931" s="22"/>
      <c r="CZ931" s="21"/>
      <c r="DA931" s="21"/>
      <c r="DB931" s="21"/>
    </row>
    <row r="932" spans="3:106" s="19" customFormat="1" ht="12"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2"/>
      <c r="AX932" s="21"/>
      <c r="AY932" s="21"/>
      <c r="AZ932" s="21"/>
      <c r="BA932" s="21"/>
      <c r="BB932" s="21"/>
      <c r="BC932" s="21"/>
      <c r="BD932" s="21"/>
      <c r="BE932" s="21"/>
      <c r="BF932" s="21"/>
      <c r="BG932" s="21"/>
      <c r="BH932" s="21"/>
      <c r="BI932" s="21"/>
      <c r="BJ932" s="21"/>
      <c r="BK932" s="21"/>
      <c r="BL932" s="21"/>
      <c r="BM932" s="21"/>
      <c r="BN932" s="21"/>
      <c r="BO932" s="21"/>
      <c r="BP932" s="21"/>
      <c r="BQ932" s="21"/>
      <c r="BR932" s="21"/>
      <c r="BS932" s="21"/>
      <c r="BT932" s="21"/>
      <c r="BU932" s="21"/>
      <c r="BV932" s="21"/>
      <c r="BW932" s="21"/>
      <c r="BX932" s="21"/>
      <c r="BY932" s="21"/>
      <c r="BZ932" s="21"/>
      <c r="CA932" s="21"/>
      <c r="CB932" s="21"/>
      <c r="CC932" s="21"/>
      <c r="CD932" s="21"/>
      <c r="CE932" s="21"/>
      <c r="CF932" s="21"/>
      <c r="CG932" s="21"/>
      <c r="CH932" s="21"/>
      <c r="CI932" s="21"/>
      <c r="CJ932" s="21"/>
      <c r="CK932" s="21"/>
      <c r="CL932" s="21"/>
      <c r="CM932" s="21"/>
      <c r="CN932" s="21"/>
      <c r="CO932" s="21"/>
      <c r="CP932" s="21"/>
      <c r="CQ932" s="21"/>
      <c r="CR932" s="21"/>
      <c r="CS932" s="21"/>
      <c r="CT932" s="21"/>
      <c r="CU932" s="21"/>
      <c r="CV932" s="21"/>
      <c r="CW932" s="21"/>
      <c r="CX932" s="21"/>
      <c r="CY932" s="22"/>
      <c r="CZ932" s="21"/>
      <c r="DA932" s="21"/>
      <c r="DB932" s="21"/>
    </row>
    <row r="933" spans="3:106" s="19" customFormat="1" ht="12"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2"/>
      <c r="AX933" s="21"/>
      <c r="AY933" s="21"/>
      <c r="AZ933" s="21"/>
      <c r="BA933" s="21"/>
      <c r="BB933" s="21"/>
      <c r="BC933" s="21"/>
      <c r="BD933" s="21"/>
      <c r="BE933" s="21"/>
      <c r="BF933" s="21"/>
      <c r="BG933" s="21"/>
      <c r="BH933" s="21"/>
      <c r="BI933" s="21"/>
      <c r="BJ933" s="21"/>
      <c r="BK933" s="21"/>
      <c r="BL933" s="21"/>
      <c r="BM933" s="21"/>
      <c r="BN933" s="21"/>
      <c r="BO933" s="21"/>
      <c r="BP933" s="21"/>
      <c r="BQ933" s="21"/>
      <c r="BR933" s="21"/>
      <c r="BS933" s="21"/>
      <c r="BT933" s="21"/>
      <c r="BU933" s="21"/>
      <c r="BV933" s="21"/>
      <c r="BW933" s="21"/>
      <c r="BX933" s="21"/>
      <c r="BY933" s="21"/>
      <c r="BZ933" s="21"/>
      <c r="CA933" s="21"/>
      <c r="CB933" s="21"/>
      <c r="CC933" s="21"/>
      <c r="CD933" s="21"/>
      <c r="CE933" s="21"/>
      <c r="CF933" s="21"/>
      <c r="CG933" s="21"/>
      <c r="CH933" s="21"/>
      <c r="CI933" s="21"/>
      <c r="CJ933" s="21"/>
      <c r="CK933" s="21"/>
      <c r="CL933" s="21"/>
      <c r="CM933" s="21"/>
      <c r="CN933" s="21"/>
      <c r="CO933" s="21"/>
      <c r="CP933" s="21"/>
      <c r="CQ933" s="21"/>
      <c r="CR933" s="21"/>
      <c r="CS933" s="21"/>
      <c r="CT933" s="21"/>
      <c r="CU933" s="21"/>
      <c r="CV933" s="21"/>
      <c r="CW933" s="21"/>
      <c r="CX933" s="21"/>
      <c r="CY933" s="22"/>
      <c r="CZ933" s="21"/>
      <c r="DA933" s="21"/>
      <c r="DB933" s="21"/>
    </row>
    <row r="934" spans="3:106" s="19" customFormat="1" ht="12"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2"/>
      <c r="AX934" s="21"/>
      <c r="AY934" s="21"/>
      <c r="AZ934" s="21"/>
      <c r="BA934" s="21"/>
      <c r="BB934" s="21"/>
      <c r="BC934" s="21"/>
      <c r="BD934" s="21"/>
      <c r="BE934" s="21"/>
      <c r="BF934" s="21"/>
      <c r="BG934" s="21"/>
      <c r="BH934" s="21"/>
      <c r="BI934" s="21"/>
      <c r="BJ934" s="21"/>
      <c r="BK934" s="21"/>
      <c r="BL934" s="21"/>
      <c r="BM934" s="21"/>
      <c r="BN934" s="21"/>
      <c r="BO934" s="21"/>
      <c r="BP934" s="21"/>
      <c r="BQ934" s="21"/>
      <c r="BR934" s="21"/>
      <c r="BS934" s="21"/>
      <c r="BT934" s="21"/>
      <c r="BU934" s="21"/>
      <c r="BV934" s="21"/>
      <c r="BW934" s="21"/>
      <c r="BX934" s="21"/>
      <c r="BY934" s="21"/>
      <c r="BZ934" s="21"/>
      <c r="CA934" s="21"/>
      <c r="CB934" s="21"/>
      <c r="CC934" s="21"/>
      <c r="CD934" s="21"/>
      <c r="CE934" s="21"/>
      <c r="CF934" s="21"/>
      <c r="CG934" s="21"/>
      <c r="CH934" s="21"/>
      <c r="CI934" s="21"/>
      <c r="CJ934" s="21"/>
      <c r="CK934" s="21"/>
      <c r="CL934" s="21"/>
      <c r="CM934" s="21"/>
      <c r="CN934" s="21"/>
      <c r="CO934" s="21"/>
      <c r="CP934" s="21"/>
      <c r="CQ934" s="21"/>
      <c r="CR934" s="21"/>
      <c r="CS934" s="21"/>
      <c r="CT934" s="21"/>
      <c r="CU934" s="21"/>
      <c r="CV934" s="21"/>
      <c r="CW934" s="21"/>
      <c r="CX934" s="21"/>
      <c r="CY934" s="22"/>
      <c r="CZ934" s="21"/>
      <c r="DA934" s="21"/>
      <c r="DB934" s="21"/>
    </row>
    <row r="935" spans="3:106" s="19" customFormat="1" ht="12"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2"/>
      <c r="AX935" s="21"/>
      <c r="AY935" s="21"/>
      <c r="AZ935" s="21"/>
      <c r="BA935" s="21"/>
      <c r="BB935" s="21"/>
      <c r="BC935" s="21"/>
      <c r="BD935" s="21"/>
      <c r="BE935" s="21"/>
      <c r="BF935" s="21"/>
      <c r="BG935" s="21"/>
      <c r="BH935" s="21"/>
      <c r="BI935" s="21"/>
      <c r="BJ935" s="21"/>
      <c r="BK935" s="21"/>
      <c r="BL935" s="21"/>
      <c r="BM935" s="21"/>
      <c r="BN935" s="21"/>
      <c r="BO935" s="21"/>
      <c r="BP935" s="21"/>
      <c r="BQ935" s="21"/>
      <c r="BR935" s="21"/>
      <c r="BS935" s="21"/>
      <c r="BT935" s="21"/>
      <c r="BU935" s="21"/>
      <c r="BV935" s="21"/>
      <c r="BW935" s="21"/>
      <c r="BX935" s="21"/>
      <c r="BY935" s="21"/>
      <c r="BZ935" s="21"/>
      <c r="CA935" s="21"/>
      <c r="CB935" s="21"/>
      <c r="CC935" s="21"/>
      <c r="CD935" s="21"/>
      <c r="CE935" s="21"/>
      <c r="CF935" s="21"/>
      <c r="CG935" s="21"/>
      <c r="CH935" s="21"/>
      <c r="CI935" s="21"/>
      <c r="CJ935" s="21"/>
      <c r="CK935" s="21"/>
      <c r="CL935" s="21"/>
      <c r="CM935" s="21"/>
      <c r="CN935" s="21"/>
      <c r="CO935" s="21"/>
      <c r="CP935" s="21"/>
      <c r="CQ935" s="21"/>
      <c r="CR935" s="21"/>
      <c r="CS935" s="21"/>
      <c r="CT935" s="21"/>
      <c r="CU935" s="21"/>
      <c r="CV935" s="21"/>
      <c r="CW935" s="21"/>
      <c r="CX935" s="21"/>
      <c r="CY935" s="22"/>
      <c r="CZ935" s="21"/>
      <c r="DA935" s="21"/>
      <c r="DB935" s="21"/>
    </row>
    <row r="936" spans="3:106" s="19" customFormat="1" ht="12"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2"/>
      <c r="AX936" s="21"/>
      <c r="AY936" s="21"/>
      <c r="AZ936" s="21"/>
      <c r="BA936" s="21"/>
      <c r="BB936" s="21"/>
      <c r="BC936" s="21"/>
      <c r="BD936" s="21"/>
      <c r="BE936" s="21"/>
      <c r="BF936" s="21"/>
      <c r="BG936" s="21"/>
      <c r="BH936" s="21"/>
      <c r="BI936" s="21"/>
      <c r="BJ936" s="21"/>
      <c r="BK936" s="21"/>
      <c r="BL936" s="21"/>
      <c r="BM936" s="21"/>
      <c r="BN936" s="21"/>
      <c r="BO936" s="21"/>
      <c r="BP936" s="21"/>
      <c r="BQ936" s="21"/>
      <c r="BR936" s="21"/>
      <c r="BS936" s="21"/>
      <c r="BT936" s="21"/>
      <c r="BU936" s="21"/>
      <c r="BV936" s="21"/>
      <c r="BW936" s="21"/>
      <c r="BX936" s="21"/>
      <c r="BY936" s="21"/>
      <c r="BZ936" s="21"/>
      <c r="CA936" s="21"/>
      <c r="CB936" s="21"/>
      <c r="CC936" s="21"/>
      <c r="CD936" s="21"/>
      <c r="CE936" s="21"/>
      <c r="CF936" s="21"/>
      <c r="CG936" s="21"/>
      <c r="CH936" s="21"/>
      <c r="CI936" s="21"/>
      <c r="CJ936" s="21"/>
      <c r="CK936" s="21"/>
      <c r="CL936" s="21"/>
      <c r="CM936" s="21"/>
      <c r="CN936" s="21"/>
      <c r="CO936" s="21"/>
      <c r="CP936" s="21"/>
      <c r="CQ936" s="21"/>
      <c r="CR936" s="21"/>
      <c r="CS936" s="21"/>
      <c r="CT936" s="21"/>
      <c r="CU936" s="21"/>
      <c r="CV936" s="21"/>
      <c r="CW936" s="21"/>
      <c r="CX936" s="21"/>
      <c r="CY936" s="22"/>
      <c r="CZ936" s="21"/>
      <c r="DA936" s="21"/>
      <c r="DB936" s="21"/>
    </row>
    <row r="937" spans="3:106" s="19" customFormat="1" ht="12"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2"/>
      <c r="AX937" s="21"/>
      <c r="AY937" s="21"/>
      <c r="AZ937" s="21"/>
      <c r="BA937" s="21"/>
      <c r="BB937" s="21"/>
      <c r="BC937" s="21"/>
      <c r="BD937" s="21"/>
      <c r="BE937" s="21"/>
      <c r="BF937" s="21"/>
      <c r="BG937" s="21"/>
      <c r="BH937" s="21"/>
      <c r="BI937" s="21"/>
      <c r="BJ937" s="21"/>
      <c r="BK937" s="21"/>
      <c r="BL937" s="21"/>
      <c r="BM937" s="21"/>
      <c r="BN937" s="21"/>
      <c r="BO937" s="21"/>
      <c r="BP937" s="21"/>
      <c r="BQ937" s="21"/>
      <c r="BR937" s="21"/>
      <c r="BS937" s="21"/>
      <c r="BT937" s="21"/>
      <c r="BU937" s="21"/>
      <c r="BV937" s="21"/>
      <c r="BW937" s="21"/>
      <c r="BX937" s="21"/>
      <c r="BY937" s="21"/>
      <c r="BZ937" s="21"/>
      <c r="CA937" s="21"/>
      <c r="CB937" s="21"/>
      <c r="CC937" s="21"/>
      <c r="CD937" s="21"/>
      <c r="CE937" s="21"/>
      <c r="CF937" s="21"/>
      <c r="CG937" s="21"/>
      <c r="CH937" s="21"/>
      <c r="CI937" s="21"/>
      <c r="CJ937" s="21"/>
      <c r="CK937" s="21"/>
      <c r="CL937" s="21"/>
      <c r="CM937" s="21"/>
      <c r="CN937" s="21"/>
      <c r="CO937" s="21"/>
      <c r="CP937" s="21"/>
      <c r="CQ937" s="21"/>
      <c r="CR937" s="21"/>
      <c r="CS937" s="21"/>
      <c r="CT937" s="21"/>
      <c r="CU937" s="21"/>
      <c r="CV937" s="21"/>
      <c r="CW937" s="21"/>
      <c r="CX937" s="21"/>
      <c r="CY937" s="22"/>
      <c r="CZ937" s="21"/>
      <c r="DA937" s="21"/>
      <c r="DB937" s="21"/>
    </row>
    <row r="938" spans="3:106" s="19" customFormat="1" ht="12"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2"/>
      <c r="AX938" s="21"/>
      <c r="AY938" s="21"/>
      <c r="AZ938" s="21"/>
      <c r="BA938" s="21"/>
      <c r="BB938" s="21"/>
      <c r="BC938" s="21"/>
      <c r="BD938" s="21"/>
      <c r="BE938" s="21"/>
      <c r="BF938" s="21"/>
      <c r="BG938" s="21"/>
      <c r="BH938" s="21"/>
      <c r="BI938" s="21"/>
      <c r="BJ938" s="21"/>
      <c r="BK938" s="21"/>
      <c r="BL938" s="21"/>
      <c r="BM938" s="21"/>
      <c r="BN938" s="21"/>
      <c r="BO938" s="21"/>
      <c r="BP938" s="21"/>
      <c r="BQ938" s="21"/>
      <c r="BR938" s="21"/>
      <c r="BS938" s="21"/>
      <c r="BT938" s="21"/>
      <c r="BU938" s="21"/>
      <c r="BV938" s="21"/>
      <c r="BW938" s="21"/>
      <c r="BX938" s="21"/>
      <c r="BY938" s="21"/>
      <c r="BZ938" s="21"/>
      <c r="CA938" s="21"/>
      <c r="CB938" s="21"/>
      <c r="CC938" s="21"/>
      <c r="CD938" s="21"/>
      <c r="CE938" s="21"/>
      <c r="CF938" s="21"/>
      <c r="CG938" s="21"/>
      <c r="CH938" s="21"/>
      <c r="CI938" s="21"/>
      <c r="CJ938" s="21"/>
      <c r="CK938" s="21"/>
      <c r="CL938" s="21"/>
      <c r="CM938" s="21"/>
      <c r="CN938" s="21"/>
      <c r="CO938" s="21"/>
      <c r="CP938" s="21"/>
      <c r="CQ938" s="21"/>
      <c r="CR938" s="21"/>
      <c r="CS938" s="21"/>
      <c r="CT938" s="21"/>
      <c r="CU938" s="21"/>
      <c r="CV938" s="21"/>
      <c r="CW938" s="21"/>
      <c r="CX938" s="21"/>
      <c r="CY938" s="22"/>
      <c r="CZ938" s="21"/>
      <c r="DA938" s="21"/>
      <c r="DB938" s="21"/>
    </row>
    <row r="939" spans="3:106" s="19" customFormat="1" ht="12"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2"/>
      <c r="AX939" s="21"/>
      <c r="AY939" s="21"/>
      <c r="AZ939" s="21"/>
      <c r="BA939" s="21"/>
      <c r="BB939" s="21"/>
      <c r="BC939" s="21"/>
      <c r="BD939" s="21"/>
      <c r="BE939" s="21"/>
      <c r="BF939" s="21"/>
      <c r="BG939" s="21"/>
      <c r="BH939" s="21"/>
      <c r="BI939" s="21"/>
      <c r="BJ939" s="21"/>
      <c r="BK939" s="21"/>
      <c r="BL939" s="21"/>
      <c r="BM939" s="21"/>
      <c r="BN939" s="21"/>
      <c r="BO939" s="21"/>
      <c r="BP939" s="21"/>
      <c r="BQ939" s="21"/>
      <c r="BR939" s="21"/>
      <c r="BS939" s="21"/>
      <c r="BT939" s="21"/>
      <c r="BU939" s="21"/>
      <c r="BV939" s="21"/>
      <c r="BW939" s="21"/>
      <c r="BX939" s="21"/>
      <c r="BY939" s="21"/>
      <c r="BZ939" s="21"/>
      <c r="CA939" s="21"/>
      <c r="CB939" s="21"/>
      <c r="CC939" s="21"/>
      <c r="CD939" s="21"/>
      <c r="CE939" s="21"/>
      <c r="CF939" s="21"/>
      <c r="CG939" s="21"/>
      <c r="CH939" s="21"/>
      <c r="CI939" s="21"/>
      <c r="CJ939" s="21"/>
      <c r="CK939" s="21"/>
      <c r="CL939" s="21"/>
      <c r="CM939" s="21"/>
      <c r="CN939" s="21"/>
      <c r="CO939" s="21"/>
      <c r="CP939" s="21"/>
      <c r="CQ939" s="21"/>
      <c r="CR939" s="21"/>
      <c r="CS939" s="21"/>
      <c r="CT939" s="21"/>
      <c r="CU939" s="21"/>
      <c r="CV939" s="21"/>
      <c r="CW939" s="21"/>
      <c r="CX939" s="21"/>
      <c r="CY939" s="22"/>
      <c r="CZ939" s="21"/>
      <c r="DA939" s="21"/>
      <c r="DB939" s="21"/>
    </row>
    <row r="940" spans="3:106" s="19" customFormat="1" ht="12"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2"/>
      <c r="AX940" s="21"/>
      <c r="AY940" s="21"/>
      <c r="AZ940" s="21"/>
      <c r="BA940" s="21"/>
      <c r="BB940" s="21"/>
      <c r="BC940" s="21"/>
      <c r="BD940" s="21"/>
      <c r="BE940" s="21"/>
      <c r="BF940" s="21"/>
      <c r="BG940" s="21"/>
      <c r="BH940" s="21"/>
      <c r="BI940" s="21"/>
      <c r="BJ940" s="21"/>
      <c r="BK940" s="21"/>
      <c r="BL940" s="21"/>
      <c r="BM940" s="21"/>
      <c r="BN940" s="21"/>
      <c r="BO940" s="21"/>
      <c r="BP940" s="21"/>
      <c r="BQ940" s="21"/>
      <c r="BR940" s="21"/>
      <c r="BS940" s="21"/>
      <c r="BT940" s="21"/>
      <c r="BU940" s="21"/>
      <c r="BV940" s="21"/>
      <c r="BW940" s="21"/>
      <c r="BX940" s="21"/>
      <c r="BY940" s="21"/>
      <c r="BZ940" s="21"/>
      <c r="CA940" s="21"/>
      <c r="CB940" s="21"/>
      <c r="CC940" s="21"/>
      <c r="CD940" s="21"/>
      <c r="CE940" s="21"/>
      <c r="CF940" s="21"/>
      <c r="CG940" s="21"/>
      <c r="CH940" s="21"/>
      <c r="CI940" s="21"/>
      <c r="CJ940" s="21"/>
      <c r="CK940" s="21"/>
      <c r="CL940" s="21"/>
      <c r="CM940" s="21"/>
      <c r="CN940" s="21"/>
      <c r="CO940" s="21"/>
      <c r="CP940" s="21"/>
      <c r="CQ940" s="21"/>
      <c r="CR940" s="21"/>
      <c r="CS940" s="21"/>
      <c r="CT940" s="21"/>
      <c r="CU940" s="21"/>
      <c r="CV940" s="21"/>
      <c r="CW940" s="21"/>
      <c r="CX940" s="21"/>
      <c r="CY940" s="22"/>
      <c r="CZ940" s="21"/>
      <c r="DA940" s="21"/>
      <c r="DB940" s="21"/>
    </row>
    <row r="941" spans="3:106" s="19" customFormat="1" ht="12"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2"/>
      <c r="AX941" s="21"/>
      <c r="AY941" s="21"/>
      <c r="AZ941" s="21"/>
      <c r="BA941" s="21"/>
      <c r="BB941" s="21"/>
      <c r="BC941" s="21"/>
      <c r="BD941" s="21"/>
      <c r="BE941" s="21"/>
      <c r="BF941" s="21"/>
      <c r="BG941" s="21"/>
      <c r="BH941" s="21"/>
      <c r="BI941" s="21"/>
      <c r="BJ941" s="21"/>
      <c r="BK941" s="21"/>
      <c r="BL941" s="21"/>
      <c r="BM941" s="21"/>
      <c r="BN941" s="21"/>
      <c r="BO941" s="21"/>
      <c r="BP941" s="21"/>
      <c r="BQ941" s="21"/>
      <c r="BR941" s="21"/>
      <c r="BS941" s="21"/>
      <c r="BT941" s="21"/>
      <c r="BU941" s="21"/>
      <c r="BV941" s="21"/>
      <c r="BW941" s="21"/>
      <c r="BX941" s="21"/>
      <c r="BY941" s="21"/>
      <c r="BZ941" s="21"/>
      <c r="CA941" s="21"/>
      <c r="CB941" s="21"/>
      <c r="CC941" s="21"/>
      <c r="CD941" s="21"/>
      <c r="CE941" s="21"/>
      <c r="CF941" s="21"/>
      <c r="CG941" s="21"/>
      <c r="CH941" s="21"/>
      <c r="CI941" s="21"/>
      <c r="CJ941" s="21"/>
      <c r="CK941" s="21"/>
      <c r="CL941" s="21"/>
      <c r="CM941" s="21"/>
      <c r="CN941" s="21"/>
      <c r="CO941" s="21"/>
      <c r="CP941" s="21"/>
      <c r="CQ941" s="21"/>
      <c r="CR941" s="21"/>
      <c r="CS941" s="21"/>
      <c r="CT941" s="21"/>
      <c r="CU941" s="21"/>
      <c r="CV941" s="21"/>
      <c r="CW941" s="21"/>
      <c r="CX941" s="21"/>
      <c r="CY941" s="22"/>
      <c r="CZ941" s="21"/>
      <c r="DA941" s="21"/>
      <c r="DB941" s="21"/>
    </row>
    <row r="942" spans="3:106" s="19" customFormat="1" ht="12"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2"/>
      <c r="AX942" s="21"/>
      <c r="AY942" s="21"/>
      <c r="AZ942" s="21"/>
      <c r="BA942" s="21"/>
      <c r="BB942" s="21"/>
      <c r="BC942" s="21"/>
      <c r="BD942" s="21"/>
      <c r="BE942" s="21"/>
      <c r="BF942" s="21"/>
      <c r="BG942" s="21"/>
      <c r="BH942" s="21"/>
      <c r="BI942" s="21"/>
      <c r="BJ942" s="21"/>
      <c r="BK942" s="21"/>
      <c r="BL942" s="21"/>
      <c r="BM942" s="21"/>
      <c r="BN942" s="21"/>
      <c r="BO942" s="21"/>
      <c r="BP942" s="21"/>
      <c r="BQ942" s="21"/>
      <c r="BR942" s="21"/>
      <c r="BS942" s="21"/>
      <c r="BT942" s="21"/>
      <c r="BU942" s="21"/>
      <c r="BV942" s="21"/>
      <c r="BW942" s="21"/>
      <c r="BX942" s="21"/>
      <c r="BY942" s="21"/>
      <c r="BZ942" s="21"/>
      <c r="CA942" s="21"/>
      <c r="CB942" s="21"/>
      <c r="CC942" s="21"/>
      <c r="CD942" s="21"/>
      <c r="CE942" s="21"/>
      <c r="CF942" s="21"/>
      <c r="CG942" s="21"/>
      <c r="CH942" s="21"/>
      <c r="CI942" s="21"/>
      <c r="CJ942" s="21"/>
      <c r="CK942" s="21"/>
      <c r="CL942" s="21"/>
      <c r="CM942" s="21"/>
      <c r="CN942" s="21"/>
      <c r="CO942" s="21"/>
      <c r="CP942" s="21"/>
      <c r="CQ942" s="21"/>
      <c r="CR942" s="21"/>
      <c r="CS942" s="21"/>
      <c r="CT942" s="21"/>
      <c r="CU942" s="21"/>
      <c r="CV942" s="21"/>
      <c r="CW942" s="21"/>
      <c r="CX942" s="21"/>
      <c r="CY942" s="22"/>
      <c r="CZ942" s="21"/>
      <c r="DA942" s="21"/>
      <c r="DB942" s="21"/>
    </row>
    <row r="943" spans="3:106" s="19" customFormat="1" ht="12"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2"/>
      <c r="AX943" s="21"/>
      <c r="AY943" s="21"/>
      <c r="AZ943" s="21"/>
      <c r="BA943" s="21"/>
      <c r="BB943" s="21"/>
      <c r="BC943" s="21"/>
      <c r="BD943" s="21"/>
      <c r="BE943" s="21"/>
      <c r="BF943" s="21"/>
      <c r="BG943" s="21"/>
      <c r="BH943" s="21"/>
      <c r="BI943" s="21"/>
      <c r="BJ943" s="21"/>
      <c r="BK943" s="21"/>
      <c r="BL943" s="21"/>
      <c r="BM943" s="21"/>
      <c r="BN943" s="21"/>
      <c r="BO943" s="21"/>
      <c r="BP943" s="21"/>
      <c r="BQ943" s="21"/>
      <c r="BR943" s="21"/>
      <c r="BS943" s="21"/>
      <c r="BT943" s="21"/>
      <c r="BU943" s="21"/>
      <c r="BV943" s="21"/>
      <c r="BW943" s="21"/>
      <c r="BX943" s="21"/>
      <c r="BY943" s="21"/>
      <c r="BZ943" s="21"/>
      <c r="CA943" s="21"/>
      <c r="CB943" s="21"/>
      <c r="CC943" s="21"/>
      <c r="CD943" s="21"/>
      <c r="CE943" s="21"/>
      <c r="CF943" s="21"/>
      <c r="CG943" s="21"/>
      <c r="CH943" s="21"/>
      <c r="CI943" s="21"/>
      <c r="CJ943" s="21"/>
      <c r="CK943" s="21"/>
      <c r="CL943" s="21"/>
      <c r="CM943" s="21"/>
      <c r="CN943" s="21"/>
      <c r="CO943" s="21"/>
      <c r="CP943" s="21"/>
      <c r="CQ943" s="21"/>
      <c r="CR943" s="21"/>
      <c r="CS943" s="21"/>
      <c r="CT943" s="21"/>
      <c r="CU943" s="21"/>
      <c r="CV943" s="21"/>
      <c r="CW943" s="21"/>
      <c r="CX943" s="21"/>
      <c r="CY943" s="22"/>
      <c r="CZ943" s="21"/>
      <c r="DA943" s="21"/>
      <c r="DB943" s="21"/>
    </row>
    <row r="944" spans="3:106" s="19" customFormat="1" ht="12"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2"/>
      <c r="AX944" s="21"/>
      <c r="AY944" s="21"/>
      <c r="AZ944" s="21"/>
      <c r="BA944" s="21"/>
      <c r="BB944" s="21"/>
      <c r="BC944" s="21"/>
      <c r="BD944" s="21"/>
      <c r="BE944" s="21"/>
      <c r="BF944" s="21"/>
      <c r="BG944" s="21"/>
      <c r="BH944" s="21"/>
      <c r="BI944" s="21"/>
      <c r="BJ944" s="21"/>
      <c r="BK944" s="21"/>
      <c r="BL944" s="21"/>
      <c r="BM944" s="21"/>
      <c r="BN944" s="21"/>
      <c r="BO944" s="21"/>
      <c r="BP944" s="21"/>
      <c r="BQ944" s="21"/>
      <c r="BR944" s="21"/>
      <c r="BS944" s="21"/>
      <c r="BT944" s="21"/>
      <c r="BU944" s="21"/>
      <c r="BV944" s="21"/>
      <c r="BW944" s="21"/>
      <c r="BX944" s="21"/>
      <c r="BY944" s="21"/>
      <c r="BZ944" s="21"/>
      <c r="CA944" s="21"/>
      <c r="CB944" s="21"/>
      <c r="CC944" s="21"/>
      <c r="CD944" s="21"/>
      <c r="CE944" s="21"/>
      <c r="CF944" s="21"/>
      <c r="CG944" s="21"/>
      <c r="CH944" s="21"/>
      <c r="CI944" s="21"/>
      <c r="CJ944" s="21"/>
      <c r="CK944" s="21"/>
      <c r="CL944" s="21"/>
      <c r="CM944" s="21"/>
      <c r="CN944" s="21"/>
      <c r="CO944" s="21"/>
      <c r="CP944" s="21"/>
      <c r="CQ944" s="21"/>
      <c r="CR944" s="21"/>
      <c r="CS944" s="21"/>
      <c r="CT944" s="21"/>
      <c r="CU944" s="21"/>
      <c r="CV944" s="21"/>
      <c r="CW944" s="21"/>
      <c r="CX944" s="21"/>
      <c r="CY944" s="22"/>
      <c r="CZ944" s="21"/>
      <c r="DA944" s="21"/>
      <c r="DB944" s="21"/>
    </row>
    <row r="945" spans="3:106" s="19" customFormat="1" ht="12"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2"/>
      <c r="AX945" s="21"/>
      <c r="AY945" s="21"/>
      <c r="AZ945" s="21"/>
      <c r="BA945" s="21"/>
      <c r="BB945" s="21"/>
      <c r="BC945" s="21"/>
      <c r="BD945" s="21"/>
      <c r="BE945" s="21"/>
      <c r="BF945" s="21"/>
      <c r="BG945" s="21"/>
      <c r="BH945" s="21"/>
      <c r="BI945" s="21"/>
      <c r="BJ945" s="21"/>
      <c r="BK945" s="21"/>
      <c r="BL945" s="21"/>
      <c r="BM945" s="21"/>
      <c r="BN945" s="21"/>
      <c r="BO945" s="21"/>
      <c r="BP945" s="21"/>
      <c r="BQ945" s="21"/>
      <c r="BR945" s="21"/>
      <c r="BS945" s="21"/>
      <c r="BT945" s="21"/>
      <c r="BU945" s="21"/>
      <c r="BV945" s="21"/>
      <c r="BW945" s="21"/>
      <c r="BX945" s="21"/>
      <c r="BY945" s="21"/>
      <c r="BZ945" s="21"/>
      <c r="CA945" s="21"/>
      <c r="CB945" s="21"/>
      <c r="CC945" s="21"/>
      <c r="CD945" s="21"/>
      <c r="CE945" s="21"/>
      <c r="CF945" s="21"/>
      <c r="CG945" s="21"/>
      <c r="CH945" s="21"/>
      <c r="CI945" s="21"/>
      <c r="CJ945" s="21"/>
      <c r="CK945" s="21"/>
      <c r="CL945" s="21"/>
      <c r="CM945" s="21"/>
      <c r="CN945" s="21"/>
      <c r="CO945" s="21"/>
      <c r="CP945" s="21"/>
      <c r="CQ945" s="21"/>
      <c r="CR945" s="21"/>
      <c r="CS945" s="21"/>
      <c r="CT945" s="21"/>
      <c r="CU945" s="21"/>
      <c r="CV945" s="21"/>
      <c r="CW945" s="21"/>
      <c r="CX945" s="21"/>
      <c r="CY945" s="22"/>
      <c r="CZ945" s="21"/>
      <c r="DA945" s="21"/>
      <c r="DB945" s="21"/>
    </row>
    <row r="946" spans="3:106" s="19" customFormat="1" ht="12"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2"/>
      <c r="AX946" s="21"/>
      <c r="AY946" s="21"/>
      <c r="AZ946" s="21"/>
      <c r="BA946" s="21"/>
      <c r="BB946" s="21"/>
      <c r="BC946" s="21"/>
      <c r="BD946" s="21"/>
      <c r="BE946" s="21"/>
      <c r="BF946" s="21"/>
      <c r="BG946" s="21"/>
      <c r="BH946" s="21"/>
      <c r="BI946" s="21"/>
      <c r="BJ946" s="21"/>
      <c r="BK946" s="21"/>
      <c r="BL946" s="21"/>
      <c r="BM946" s="21"/>
      <c r="BN946" s="21"/>
      <c r="BO946" s="21"/>
      <c r="BP946" s="21"/>
      <c r="BQ946" s="21"/>
      <c r="BR946" s="21"/>
      <c r="BS946" s="21"/>
      <c r="BT946" s="21"/>
      <c r="BU946" s="21"/>
      <c r="BV946" s="21"/>
      <c r="BW946" s="21"/>
      <c r="BX946" s="21"/>
      <c r="BY946" s="21"/>
      <c r="BZ946" s="21"/>
      <c r="CA946" s="21"/>
      <c r="CB946" s="21"/>
      <c r="CC946" s="21"/>
      <c r="CD946" s="21"/>
      <c r="CE946" s="21"/>
      <c r="CF946" s="21"/>
      <c r="CG946" s="21"/>
      <c r="CH946" s="21"/>
      <c r="CI946" s="21"/>
      <c r="CJ946" s="21"/>
      <c r="CK946" s="21"/>
      <c r="CL946" s="21"/>
      <c r="CM946" s="21"/>
      <c r="CN946" s="21"/>
      <c r="CO946" s="21"/>
      <c r="CP946" s="21"/>
      <c r="CQ946" s="21"/>
      <c r="CR946" s="21"/>
      <c r="CS946" s="21"/>
      <c r="CT946" s="21"/>
      <c r="CU946" s="21"/>
      <c r="CV946" s="21"/>
      <c r="CW946" s="21"/>
      <c r="CX946" s="21"/>
      <c r="CY946" s="22"/>
      <c r="CZ946" s="21"/>
      <c r="DA946" s="21"/>
      <c r="DB946" s="21"/>
    </row>
    <row r="947" spans="3:106" s="19" customFormat="1" ht="12"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2"/>
      <c r="AX947" s="21"/>
      <c r="AY947" s="21"/>
      <c r="AZ947" s="21"/>
      <c r="BA947" s="21"/>
      <c r="BB947" s="21"/>
      <c r="BC947" s="21"/>
      <c r="BD947" s="21"/>
      <c r="BE947" s="21"/>
      <c r="BF947" s="21"/>
      <c r="BG947" s="21"/>
      <c r="BH947" s="21"/>
      <c r="BI947" s="21"/>
      <c r="BJ947" s="21"/>
      <c r="BK947" s="21"/>
      <c r="BL947" s="21"/>
      <c r="BM947" s="21"/>
      <c r="BN947" s="21"/>
      <c r="BO947" s="21"/>
      <c r="BP947" s="21"/>
      <c r="BQ947" s="21"/>
      <c r="BR947" s="21"/>
      <c r="BS947" s="21"/>
      <c r="BT947" s="21"/>
      <c r="BU947" s="21"/>
      <c r="BV947" s="21"/>
      <c r="BW947" s="21"/>
      <c r="BX947" s="21"/>
      <c r="BY947" s="21"/>
      <c r="BZ947" s="21"/>
      <c r="CA947" s="21"/>
      <c r="CB947" s="21"/>
      <c r="CC947" s="21"/>
      <c r="CD947" s="21"/>
      <c r="CE947" s="21"/>
      <c r="CF947" s="21"/>
      <c r="CG947" s="21"/>
      <c r="CH947" s="21"/>
      <c r="CI947" s="21"/>
      <c r="CJ947" s="21"/>
      <c r="CK947" s="21"/>
      <c r="CL947" s="21"/>
      <c r="CM947" s="21"/>
      <c r="CN947" s="21"/>
      <c r="CO947" s="21"/>
      <c r="CP947" s="21"/>
      <c r="CQ947" s="21"/>
      <c r="CR947" s="21"/>
      <c r="CS947" s="21"/>
      <c r="CT947" s="21"/>
      <c r="CU947" s="21"/>
      <c r="CV947" s="21"/>
      <c r="CW947" s="21"/>
      <c r="CX947" s="21"/>
      <c r="CY947" s="22"/>
      <c r="CZ947" s="21"/>
      <c r="DA947" s="21"/>
      <c r="DB947" s="21"/>
    </row>
    <row r="948" spans="3:106" s="19" customFormat="1" ht="12"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2"/>
      <c r="AX948" s="21"/>
      <c r="AY948" s="21"/>
      <c r="AZ948" s="21"/>
      <c r="BA948" s="21"/>
      <c r="BB948" s="21"/>
      <c r="BC948" s="21"/>
      <c r="BD948" s="21"/>
      <c r="BE948" s="21"/>
      <c r="BF948" s="21"/>
      <c r="BG948" s="21"/>
      <c r="BH948" s="21"/>
      <c r="BI948" s="21"/>
      <c r="BJ948" s="21"/>
      <c r="BK948" s="21"/>
      <c r="BL948" s="21"/>
      <c r="BM948" s="21"/>
      <c r="BN948" s="21"/>
      <c r="BO948" s="21"/>
      <c r="BP948" s="21"/>
      <c r="BQ948" s="21"/>
      <c r="BR948" s="21"/>
      <c r="BS948" s="21"/>
      <c r="BT948" s="21"/>
      <c r="BU948" s="21"/>
      <c r="BV948" s="21"/>
      <c r="BW948" s="21"/>
      <c r="BX948" s="21"/>
      <c r="BY948" s="21"/>
      <c r="BZ948" s="21"/>
      <c r="CA948" s="21"/>
      <c r="CB948" s="21"/>
      <c r="CC948" s="21"/>
      <c r="CD948" s="21"/>
      <c r="CE948" s="21"/>
      <c r="CF948" s="21"/>
      <c r="CG948" s="21"/>
      <c r="CH948" s="21"/>
      <c r="CI948" s="21"/>
      <c r="CJ948" s="21"/>
      <c r="CK948" s="21"/>
      <c r="CL948" s="21"/>
      <c r="CM948" s="21"/>
      <c r="CN948" s="21"/>
      <c r="CO948" s="21"/>
      <c r="CP948" s="21"/>
      <c r="CQ948" s="21"/>
      <c r="CR948" s="21"/>
      <c r="CS948" s="21"/>
      <c r="CT948" s="21"/>
      <c r="CU948" s="21"/>
      <c r="CV948" s="21"/>
      <c r="CW948" s="21"/>
      <c r="CX948" s="21"/>
      <c r="CY948" s="22"/>
      <c r="CZ948" s="21"/>
      <c r="DA948" s="21"/>
      <c r="DB948" s="21"/>
    </row>
    <row r="949" spans="3:106" s="19" customFormat="1" ht="12"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2"/>
      <c r="AX949" s="21"/>
      <c r="AY949" s="21"/>
      <c r="AZ949" s="21"/>
      <c r="BA949" s="21"/>
      <c r="BB949" s="21"/>
      <c r="BC949" s="21"/>
      <c r="BD949" s="21"/>
      <c r="BE949" s="21"/>
      <c r="BF949" s="21"/>
      <c r="BG949" s="21"/>
      <c r="BH949" s="21"/>
      <c r="BI949" s="21"/>
      <c r="BJ949" s="21"/>
      <c r="BK949" s="21"/>
      <c r="BL949" s="21"/>
      <c r="BM949" s="21"/>
      <c r="BN949" s="21"/>
      <c r="BO949" s="21"/>
      <c r="BP949" s="21"/>
      <c r="BQ949" s="21"/>
      <c r="BR949" s="21"/>
      <c r="BS949" s="21"/>
      <c r="BT949" s="21"/>
      <c r="BU949" s="21"/>
      <c r="BV949" s="21"/>
      <c r="BW949" s="21"/>
      <c r="BX949" s="21"/>
      <c r="BY949" s="21"/>
      <c r="BZ949" s="21"/>
      <c r="CA949" s="21"/>
      <c r="CB949" s="21"/>
      <c r="CC949" s="21"/>
      <c r="CD949" s="21"/>
      <c r="CE949" s="21"/>
      <c r="CF949" s="21"/>
      <c r="CG949" s="21"/>
      <c r="CH949" s="21"/>
      <c r="CI949" s="21"/>
      <c r="CJ949" s="21"/>
      <c r="CK949" s="21"/>
      <c r="CL949" s="21"/>
      <c r="CM949" s="21"/>
      <c r="CN949" s="21"/>
      <c r="CO949" s="21"/>
      <c r="CP949" s="21"/>
      <c r="CQ949" s="21"/>
      <c r="CR949" s="21"/>
      <c r="CS949" s="21"/>
      <c r="CT949" s="21"/>
      <c r="CU949" s="21"/>
      <c r="CV949" s="21"/>
      <c r="CW949" s="21"/>
      <c r="CX949" s="21"/>
      <c r="CY949" s="22"/>
      <c r="CZ949" s="21"/>
      <c r="DA949" s="21"/>
      <c r="DB949" s="21"/>
    </row>
    <row r="950" spans="3:106" s="19" customFormat="1" ht="12"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2"/>
      <c r="AX950" s="21"/>
      <c r="AY950" s="21"/>
      <c r="AZ950" s="21"/>
      <c r="BA950" s="21"/>
      <c r="BB950" s="21"/>
      <c r="BC950" s="21"/>
      <c r="BD950" s="21"/>
      <c r="BE950" s="21"/>
      <c r="BF950" s="21"/>
      <c r="BG950" s="21"/>
      <c r="BH950" s="21"/>
      <c r="BI950" s="21"/>
      <c r="BJ950" s="21"/>
      <c r="BK950" s="21"/>
      <c r="BL950" s="21"/>
      <c r="BM950" s="21"/>
      <c r="BN950" s="21"/>
      <c r="BO950" s="21"/>
      <c r="BP950" s="21"/>
      <c r="BQ950" s="21"/>
      <c r="BR950" s="21"/>
      <c r="BS950" s="21"/>
      <c r="BT950" s="21"/>
      <c r="BU950" s="21"/>
      <c r="BV950" s="21"/>
      <c r="BW950" s="21"/>
      <c r="BX950" s="21"/>
      <c r="BY950" s="21"/>
      <c r="BZ950" s="21"/>
      <c r="CA950" s="21"/>
      <c r="CB950" s="21"/>
      <c r="CC950" s="21"/>
      <c r="CD950" s="21"/>
      <c r="CE950" s="21"/>
      <c r="CF950" s="21"/>
      <c r="CG950" s="21"/>
      <c r="CH950" s="21"/>
      <c r="CI950" s="21"/>
      <c r="CJ950" s="21"/>
      <c r="CK950" s="21"/>
      <c r="CL950" s="21"/>
      <c r="CM950" s="21"/>
      <c r="CN950" s="21"/>
      <c r="CO950" s="21"/>
      <c r="CP950" s="21"/>
      <c r="CQ950" s="21"/>
      <c r="CR950" s="21"/>
      <c r="CS950" s="21"/>
      <c r="CT950" s="21"/>
      <c r="CU950" s="21"/>
      <c r="CV950" s="21"/>
      <c r="CW950" s="21"/>
      <c r="CX950" s="21"/>
      <c r="CY950" s="22"/>
      <c r="CZ950" s="21"/>
      <c r="DA950" s="21"/>
      <c r="DB950" s="21"/>
    </row>
    <row r="951" spans="3:106" s="19" customFormat="1" ht="12"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2"/>
      <c r="AX951" s="21"/>
      <c r="AY951" s="21"/>
      <c r="AZ951" s="21"/>
      <c r="BA951" s="21"/>
      <c r="BB951" s="21"/>
      <c r="BC951" s="21"/>
      <c r="BD951" s="21"/>
      <c r="BE951" s="21"/>
      <c r="BF951" s="21"/>
      <c r="BG951" s="21"/>
      <c r="BH951" s="21"/>
      <c r="BI951" s="21"/>
      <c r="BJ951" s="21"/>
      <c r="BK951" s="21"/>
      <c r="BL951" s="21"/>
      <c r="BM951" s="21"/>
      <c r="BN951" s="21"/>
      <c r="BO951" s="21"/>
      <c r="BP951" s="21"/>
      <c r="BQ951" s="21"/>
      <c r="BR951" s="21"/>
      <c r="BS951" s="21"/>
      <c r="BT951" s="21"/>
      <c r="BU951" s="21"/>
      <c r="BV951" s="21"/>
      <c r="BW951" s="21"/>
      <c r="BX951" s="21"/>
      <c r="BY951" s="21"/>
      <c r="BZ951" s="21"/>
      <c r="CA951" s="21"/>
      <c r="CB951" s="21"/>
      <c r="CC951" s="21"/>
      <c r="CD951" s="21"/>
      <c r="CE951" s="21"/>
      <c r="CF951" s="21"/>
      <c r="CG951" s="21"/>
      <c r="CH951" s="21"/>
      <c r="CI951" s="21"/>
      <c r="CJ951" s="21"/>
      <c r="CK951" s="21"/>
      <c r="CL951" s="21"/>
      <c r="CM951" s="21"/>
      <c r="CN951" s="21"/>
      <c r="CO951" s="21"/>
      <c r="CP951" s="21"/>
      <c r="CQ951" s="21"/>
      <c r="CR951" s="21"/>
      <c r="CS951" s="21"/>
      <c r="CT951" s="21"/>
      <c r="CU951" s="21"/>
      <c r="CV951" s="21"/>
      <c r="CW951" s="21"/>
      <c r="CX951" s="21"/>
      <c r="CY951" s="22"/>
      <c r="CZ951" s="21"/>
      <c r="DA951" s="21"/>
      <c r="DB951" s="21"/>
    </row>
    <row r="952" spans="3:106" s="19" customFormat="1" ht="12"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2"/>
      <c r="AX952" s="21"/>
      <c r="AY952" s="21"/>
      <c r="AZ952" s="21"/>
      <c r="BA952" s="21"/>
      <c r="BB952" s="21"/>
      <c r="BC952" s="21"/>
      <c r="BD952" s="21"/>
      <c r="BE952" s="21"/>
      <c r="BF952" s="21"/>
      <c r="BG952" s="21"/>
      <c r="BH952" s="21"/>
      <c r="BI952" s="21"/>
      <c r="BJ952" s="21"/>
      <c r="BK952" s="21"/>
      <c r="BL952" s="21"/>
      <c r="BM952" s="21"/>
      <c r="BN952" s="21"/>
      <c r="BO952" s="21"/>
      <c r="BP952" s="21"/>
      <c r="BQ952" s="21"/>
      <c r="BR952" s="21"/>
      <c r="BS952" s="21"/>
      <c r="BT952" s="21"/>
      <c r="BU952" s="21"/>
      <c r="BV952" s="21"/>
      <c r="BW952" s="21"/>
      <c r="BX952" s="21"/>
      <c r="BY952" s="21"/>
      <c r="BZ952" s="21"/>
      <c r="CA952" s="21"/>
      <c r="CB952" s="21"/>
      <c r="CC952" s="21"/>
      <c r="CD952" s="21"/>
      <c r="CE952" s="21"/>
      <c r="CF952" s="21"/>
      <c r="CG952" s="21"/>
      <c r="CH952" s="21"/>
      <c r="CI952" s="21"/>
      <c r="CJ952" s="21"/>
      <c r="CK952" s="21"/>
      <c r="CL952" s="21"/>
      <c r="CM952" s="21"/>
      <c r="CN952" s="21"/>
      <c r="CO952" s="21"/>
      <c r="CP952" s="21"/>
      <c r="CQ952" s="21"/>
      <c r="CR952" s="21"/>
      <c r="CS952" s="21"/>
      <c r="CT952" s="21"/>
      <c r="CU952" s="21"/>
      <c r="CV952" s="21"/>
      <c r="CW952" s="21"/>
      <c r="CX952" s="21"/>
      <c r="CY952" s="22"/>
      <c r="CZ952" s="21"/>
      <c r="DA952" s="21"/>
      <c r="DB952" s="21"/>
    </row>
    <row r="953" spans="3:106" s="19" customFormat="1" ht="12"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2"/>
      <c r="AX953" s="21"/>
      <c r="AY953" s="21"/>
      <c r="AZ953" s="21"/>
      <c r="BA953" s="21"/>
      <c r="BB953" s="21"/>
      <c r="BC953" s="21"/>
      <c r="BD953" s="21"/>
      <c r="BE953" s="21"/>
      <c r="BF953" s="21"/>
      <c r="BG953" s="21"/>
      <c r="BH953" s="21"/>
      <c r="BI953" s="21"/>
      <c r="BJ953" s="21"/>
      <c r="BK953" s="21"/>
      <c r="BL953" s="21"/>
      <c r="BM953" s="21"/>
      <c r="BN953" s="21"/>
      <c r="BO953" s="21"/>
      <c r="BP953" s="21"/>
      <c r="BQ953" s="21"/>
      <c r="BR953" s="21"/>
      <c r="BS953" s="21"/>
      <c r="BT953" s="21"/>
      <c r="BU953" s="21"/>
      <c r="BV953" s="21"/>
      <c r="BW953" s="21"/>
      <c r="BX953" s="21"/>
      <c r="BY953" s="21"/>
      <c r="BZ953" s="21"/>
      <c r="CA953" s="21"/>
      <c r="CB953" s="21"/>
      <c r="CC953" s="21"/>
      <c r="CD953" s="21"/>
      <c r="CE953" s="21"/>
      <c r="CF953" s="21"/>
      <c r="CG953" s="21"/>
      <c r="CH953" s="21"/>
      <c r="CI953" s="21"/>
      <c r="CJ953" s="21"/>
      <c r="CK953" s="21"/>
      <c r="CL953" s="21"/>
      <c r="CM953" s="21"/>
      <c r="CN953" s="21"/>
      <c r="CO953" s="21"/>
      <c r="CP953" s="21"/>
      <c r="CQ953" s="21"/>
      <c r="CR953" s="21"/>
      <c r="CS953" s="21"/>
      <c r="CT953" s="21"/>
      <c r="CU953" s="21"/>
      <c r="CV953" s="21"/>
      <c r="CW953" s="21"/>
      <c r="CX953" s="21"/>
      <c r="CY953" s="22"/>
      <c r="CZ953" s="21"/>
      <c r="DA953" s="21"/>
      <c r="DB953" s="21"/>
    </row>
    <row r="954" spans="3:106" s="19" customFormat="1" ht="12"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2"/>
      <c r="AX954" s="21"/>
      <c r="AY954" s="21"/>
      <c r="AZ954" s="21"/>
      <c r="BA954" s="21"/>
      <c r="BB954" s="21"/>
      <c r="BC954" s="21"/>
      <c r="BD954" s="21"/>
      <c r="BE954" s="21"/>
      <c r="BF954" s="21"/>
      <c r="BG954" s="21"/>
      <c r="BH954" s="21"/>
      <c r="BI954" s="21"/>
      <c r="BJ954" s="21"/>
      <c r="BK954" s="21"/>
      <c r="BL954" s="21"/>
      <c r="BM954" s="21"/>
      <c r="BN954" s="21"/>
      <c r="BO954" s="21"/>
      <c r="BP954" s="21"/>
      <c r="BQ954" s="21"/>
      <c r="BR954" s="21"/>
      <c r="BS954" s="21"/>
      <c r="BT954" s="21"/>
      <c r="BU954" s="21"/>
      <c r="BV954" s="21"/>
      <c r="BW954" s="21"/>
      <c r="BX954" s="21"/>
      <c r="BY954" s="21"/>
      <c r="BZ954" s="21"/>
      <c r="CA954" s="21"/>
      <c r="CB954" s="21"/>
      <c r="CC954" s="21"/>
      <c r="CD954" s="21"/>
      <c r="CE954" s="21"/>
      <c r="CF954" s="21"/>
      <c r="CG954" s="21"/>
      <c r="CH954" s="21"/>
      <c r="CI954" s="21"/>
      <c r="CJ954" s="21"/>
      <c r="CK954" s="21"/>
      <c r="CL954" s="21"/>
      <c r="CM954" s="21"/>
      <c r="CN954" s="21"/>
      <c r="CO954" s="21"/>
      <c r="CP954" s="21"/>
      <c r="CQ954" s="21"/>
      <c r="CR954" s="21"/>
      <c r="CS954" s="21"/>
      <c r="CT954" s="21"/>
      <c r="CU954" s="21"/>
      <c r="CV954" s="21"/>
      <c r="CW954" s="21"/>
      <c r="CX954" s="21"/>
      <c r="CY954" s="22"/>
      <c r="CZ954" s="21"/>
      <c r="DA954" s="21"/>
      <c r="DB954" s="21"/>
    </row>
    <row r="955" spans="3:106" s="19" customFormat="1" ht="12"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2"/>
      <c r="AX955" s="21"/>
      <c r="AY955" s="21"/>
      <c r="AZ955" s="21"/>
      <c r="BA955" s="21"/>
      <c r="BB955" s="21"/>
      <c r="BC955" s="21"/>
      <c r="BD955" s="21"/>
      <c r="BE955" s="21"/>
      <c r="BF955" s="21"/>
      <c r="BG955" s="21"/>
      <c r="BH955" s="21"/>
      <c r="BI955" s="21"/>
      <c r="BJ955" s="21"/>
      <c r="BK955" s="21"/>
      <c r="BL955" s="21"/>
      <c r="BM955" s="21"/>
      <c r="BN955" s="21"/>
      <c r="BO955" s="21"/>
      <c r="BP955" s="21"/>
      <c r="BQ955" s="21"/>
      <c r="BR955" s="21"/>
      <c r="BS955" s="21"/>
      <c r="BT955" s="21"/>
      <c r="BU955" s="21"/>
      <c r="BV955" s="21"/>
      <c r="BW955" s="21"/>
      <c r="BX955" s="21"/>
      <c r="BY955" s="21"/>
      <c r="BZ955" s="21"/>
      <c r="CA955" s="21"/>
      <c r="CB955" s="21"/>
      <c r="CC955" s="21"/>
      <c r="CD955" s="21"/>
      <c r="CE955" s="21"/>
      <c r="CF955" s="21"/>
      <c r="CG955" s="21"/>
      <c r="CH955" s="21"/>
      <c r="CI955" s="21"/>
      <c r="CJ955" s="21"/>
      <c r="CK955" s="21"/>
      <c r="CL955" s="21"/>
      <c r="CM955" s="21"/>
      <c r="CN955" s="21"/>
      <c r="CO955" s="21"/>
      <c r="CP955" s="21"/>
      <c r="CQ955" s="21"/>
      <c r="CR955" s="21"/>
      <c r="CS955" s="21"/>
      <c r="CT955" s="21"/>
      <c r="CU955" s="21"/>
      <c r="CV955" s="21"/>
      <c r="CW955" s="21"/>
      <c r="CX955" s="21"/>
      <c r="CY955" s="22"/>
      <c r="CZ955" s="21"/>
      <c r="DA955" s="21"/>
      <c r="DB955" s="21"/>
    </row>
    <row r="956" spans="3:106" s="19" customFormat="1" ht="12"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2"/>
      <c r="AX956" s="21"/>
      <c r="AY956" s="21"/>
      <c r="AZ956" s="21"/>
      <c r="BA956" s="21"/>
      <c r="BB956" s="21"/>
      <c r="BC956" s="21"/>
      <c r="BD956" s="21"/>
      <c r="BE956" s="21"/>
      <c r="BF956" s="21"/>
      <c r="BG956" s="21"/>
      <c r="BH956" s="21"/>
      <c r="BI956" s="21"/>
      <c r="BJ956" s="21"/>
      <c r="BK956" s="21"/>
      <c r="BL956" s="21"/>
      <c r="BM956" s="21"/>
      <c r="BN956" s="21"/>
      <c r="BO956" s="21"/>
      <c r="BP956" s="21"/>
      <c r="BQ956" s="21"/>
      <c r="BR956" s="21"/>
      <c r="BS956" s="21"/>
      <c r="BT956" s="21"/>
      <c r="BU956" s="21"/>
      <c r="BV956" s="21"/>
      <c r="BW956" s="21"/>
      <c r="BX956" s="21"/>
      <c r="BY956" s="21"/>
      <c r="BZ956" s="21"/>
      <c r="CA956" s="21"/>
      <c r="CB956" s="21"/>
      <c r="CC956" s="21"/>
      <c r="CD956" s="21"/>
      <c r="CE956" s="21"/>
      <c r="CF956" s="21"/>
      <c r="CG956" s="21"/>
      <c r="CH956" s="21"/>
      <c r="CI956" s="21"/>
      <c r="CJ956" s="21"/>
      <c r="CK956" s="21"/>
      <c r="CL956" s="21"/>
      <c r="CM956" s="21"/>
      <c r="CN956" s="21"/>
      <c r="CO956" s="21"/>
      <c r="CP956" s="21"/>
      <c r="CQ956" s="21"/>
      <c r="CR956" s="21"/>
      <c r="CS956" s="21"/>
      <c r="CT956" s="21"/>
      <c r="CU956" s="21"/>
      <c r="CV956" s="21"/>
      <c r="CW956" s="21"/>
      <c r="CX956" s="21"/>
      <c r="CY956" s="22"/>
      <c r="CZ956" s="21"/>
      <c r="DA956" s="21"/>
      <c r="DB956" s="21"/>
    </row>
    <row r="957" spans="3:106" s="19" customFormat="1" ht="12"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2"/>
      <c r="AX957" s="21"/>
      <c r="AY957" s="21"/>
      <c r="AZ957" s="21"/>
      <c r="BA957" s="21"/>
      <c r="BB957" s="21"/>
      <c r="BC957" s="21"/>
      <c r="BD957" s="21"/>
      <c r="BE957" s="21"/>
      <c r="BF957" s="21"/>
      <c r="BG957" s="21"/>
      <c r="BH957" s="21"/>
      <c r="BI957" s="21"/>
      <c r="BJ957" s="21"/>
      <c r="BK957" s="21"/>
      <c r="BL957" s="21"/>
      <c r="BM957" s="21"/>
      <c r="BN957" s="21"/>
      <c r="BO957" s="21"/>
      <c r="BP957" s="21"/>
      <c r="BQ957" s="21"/>
      <c r="BR957" s="21"/>
      <c r="BS957" s="21"/>
      <c r="BT957" s="21"/>
      <c r="BU957" s="21"/>
      <c r="BV957" s="21"/>
      <c r="BW957" s="21"/>
      <c r="BX957" s="21"/>
      <c r="BY957" s="21"/>
      <c r="BZ957" s="21"/>
      <c r="CA957" s="21"/>
      <c r="CB957" s="21"/>
      <c r="CC957" s="21"/>
      <c r="CD957" s="21"/>
      <c r="CE957" s="21"/>
      <c r="CF957" s="21"/>
      <c r="CG957" s="21"/>
      <c r="CH957" s="21"/>
      <c r="CI957" s="21"/>
      <c r="CJ957" s="21"/>
      <c r="CK957" s="21"/>
      <c r="CL957" s="21"/>
      <c r="CM957" s="21"/>
      <c r="CN957" s="21"/>
      <c r="CO957" s="21"/>
      <c r="CP957" s="21"/>
      <c r="CQ957" s="21"/>
      <c r="CR957" s="21"/>
      <c r="CS957" s="21"/>
      <c r="CT957" s="21"/>
      <c r="CU957" s="21"/>
      <c r="CV957" s="21"/>
      <c r="CW957" s="21"/>
      <c r="CX957" s="21"/>
      <c r="CY957" s="22"/>
      <c r="CZ957" s="21"/>
      <c r="DA957" s="21"/>
      <c r="DB957" s="21"/>
    </row>
    <row r="958" spans="3:106" s="19" customFormat="1" ht="12"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2"/>
      <c r="AX958" s="21"/>
      <c r="AY958" s="21"/>
      <c r="AZ958" s="21"/>
      <c r="BA958" s="21"/>
      <c r="BB958" s="21"/>
      <c r="BC958" s="21"/>
      <c r="BD958" s="21"/>
      <c r="BE958" s="21"/>
      <c r="BF958" s="21"/>
      <c r="BG958" s="21"/>
      <c r="BH958" s="21"/>
      <c r="BI958" s="21"/>
      <c r="BJ958" s="21"/>
      <c r="BK958" s="21"/>
      <c r="BL958" s="21"/>
      <c r="BM958" s="21"/>
      <c r="BN958" s="21"/>
      <c r="BO958" s="21"/>
      <c r="BP958" s="21"/>
      <c r="BQ958" s="21"/>
      <c r="BR958" s="21"/>
      <c r="BS958" s="21"/>
      <c r="BT958" s="21"/>
      <c r="BU958" s="21"/>
      <c r="BV958" s="21"/>
      <c r="BW958" s="21"/>
      <c r="BX958" s="21"/>
      <c r="BY958" s="21"/>
      <c r="BZ958" s="21"/>
      <c r="CA958" s="21"/>
      <c r="CB958" s="21"/>
      <c r="CC958" s="21"/>
      <c r="CD958" s="21"/>
      <c r="CE958" s="21"/>
      <c r="CF958" s="21"/>
      <c r="CG958" s="21"/>
      <c r="CH958" s="21"/>
      <c r="CI958" s="21"/>
      <c r="CJ958" s="21"/>
      <c r="CK958" s="21"/>
      <c r="CL958" s="21"/>
      <c r="CM958" s="21"/>
      <c r="CN958" s="21"/>
      <c r="CO958" s="21"/>
      <c r="CP958" s="21"/>
      <c r="CQ958" s="21"/>
      <c r="CR958" s="21"/>
      <c r="CS958" s="21"/>
      <c r="CT958" s="21"/>
      <c r="CU958" s="21"/>
      <c r="CV958" s="21"/>
      <c r="CW958" s="21"/>
      <c r="CX958" s="21"/>
      <c r="CY958" s="22"/>
      <c r="CZ958" s="21"/>
      <c r="DA958" s="21"/>
      <c r="DB958" s="21"/>
    </row>
    <row r="959" spans="3:106" s="19" customFormat="1" ht="12"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2"/>
      <c r="AX959" s="21"/>
      <c r="AY959" s="21"/>
      <c r="AZ959" s="21"/>
      <c r="BA959" s="21"/>
      <c r="BB959" s="21"/>
      <c r="BC959" s="21"/>
      <c r="BD959" s="21"/>
      <c r="BE959" s="21"/>
      <c r="BF959" s="21"/>
      <c r="BG959" s="21"/>
      <c r="BH959" s="21"/>
      <c r="BI959" s="21"/>
      <c r="BJ959" s="21"/>
      <c r="BK959" s="21"/>
      <c r="BL959" s="21"/>
      <c r="BM959" s="21"/>
      <c r="BN959" s="21"/>
      <c r="BO959" s="21"/>
      <c r="BP959" s="21"/>
      <c r="BQ959" s="21"/>
      <c r="BR959" s="21"/>
      <c r="BS959" s="21"/>
      <c r="BT959" s="21"/>
      <c r="BU959" s="21"/>
      <c r="BV959" s="21"/>
      <c r="BW959" s="21"/>
      <c r="BX959" s="21"/>
      <c r="BY959" s="21"/>
      <c r="BZ959" s="21"/>
      <c r="CA959" s="21"/>
      <c r="CB959" s="21"/>
      <c r="CC959" s="21"/>
      <c r="CD959" s="21"/>
      <c r="CE959" s="21"/>
      <c r="CF959" s="21"/>
      <c r="CG959" s="21"/>
      <c r="CH959" s="21"/>
      <c r="CI959" s="21"/>
      <c r="CJ959" s="21"/>
      <c r="CK959" s="21"/>
      <c r="CL959" s="21"/>
      <c r="CM959" s="21"/>
      <c r="CN959" s="21"/>
      <c r="CO959" s="21"/>
      <c r="CP959" s="21"/>
      <c r="CQ959" s="21"/>
      <c r="CR959" s="21"/>
      <c r="CS959" s="21"/>
      <c r="CT959" s="21"/>
      <c r="CU959" s="21"/>
      <c r="CV959" s="21"/>
      <c r="CW959" s="21"/>
      <c r="CX959" s="21"/>
      <c r="CY959" s="22"/>
      <c r="CZ959" s="21"/>
      <c r="DA959" s="21"/>
      <c r="DB959" s="21"/>
    </row>
    <row r="960" spans="3:106" s="19" customFormat="1" ht="12"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2"/>
      <c r="AX960" s="21"/>
      <c r="AY960" s="21"/>
      <c r="AZ960" s="21"/>
      <c r="BA960" s="21"/>
      <c r="BB960" s="21"/>
      <c r="BC960" s="21"/>
      <c r="BD960" s="21"/>
      <c r="BE960" s="21"/>
      <c r="BF960" s="21"/>
      <c r="BG960" s="21"/>
      <c r="BH960" s="21"/>
      <c r="BI960" s="21"/>
      <c r="BJ960" s="21"/>
      <c r="BK960" s="21"/>
      <c r="BL960" s="21"/>
      <c r="BM960" s="21"/>
      <c r="BN960" s="21"/>
      <c r="BO960" s="21"/>
      <c r="BP960" s="21"/>
      <c r="BQ960" s="21"/>
      <c r="BR960" s="21"/>
      <c r="BS960" s="21"/>
      <c r="BT960" s="21"/>
      <c r="BU960" s="21"/>
      <c r="BV960" s="21"/>
      <c r="BW960" s="21"/>
      <c r="BX960" s="21"/>
      <c r="BY960" s="21"/>
      <c r="BZ960" s="21"/>
      <c r="CA960" s="21"/>
      <c r="CB960" s="21"/>
      <c r="CC960" s="21"/>
      <c r="CD960" s="21"/>
      <c r="CE960" s="21"/>
      <c r="CF960" s="21"/>
      <c r="CG960" s="21"/>
      <c r="CH960" s="21"/>
      <c r="CI960" s="21"/>
      <c r="CJ960" s="21"/>
      <c r="CK960" s="21"/>
      <c r="CL960" s="21"/>
      <c r="CM960" s="21"/>
      <c r="CN960" s="21"/>
      <c r="CO960" s="21"/>
      <c r="CP960" s="21"/>
      <c r="CQ960" s="21"/>
      <c r="CR960" s="21"/>
      <c r="CS960" s="21"/>
      <c r="CT960" s="21"/>
      <c r="CU960" s="21"/>
      <c r="CV960" s="21"/>
      <c r="CW960" s="21"/>
      <c r="CX960" s="21"/>
      <c r="CY960" s="22"/>
      <c r="CZ960" s="21"/>
      <c r="DA960" s="21"/>
      <c r="DB960" s="21"/>
    </row>
    <row r="961" spans="3:106" s="19" customFormat="1" ht="12"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2"/>
      <c r="AX961" s="21"/>
      <c r="AY961" s="21"/>
      <c r="AZ961" s="21"/>
      <c r="BA961" s="21"/>
      <c r="BB961" s="21"/>
      <c r="BC961" s="21"/>
      <c r="BD961" s="21"/>
      <c r="BE961" s="21"/>
      <c r="BF961" s="21"/>
      <c r="BG961" s="21"/>
      <c r="BH961" s="21"/>
      <c r="BI961" s="21"/>
      <c r="BJ961" s="21"/>
      <c r="BK961" s="21"/>
      <c r="BL961" s="21"/>
      <c r="BM961" s="21"/>
      <c r="BN961" s="21"/>
      <c r="BO961" s="21"/>
      <c r="BP961" s="21"/>
      <c r="BQ961" s="21"/>
      <c r="BR961" s="21"/>
      <c r="BS961" s="21"/>
      <c r="BT961" s="21"/>
      <c r="BU961" s="21"/>
      <c r="BV961" s="21"/>
      <c r="BW961" s="21"/>
      <c r="BX961" s="21"/>
      <c r="BY961" s="21"/>
      <c r="BZ961" s="21"/>
      <c r="CA961" s="21"/>
      <c r="CB961" s="21"/>
      <c r="CC961" s="21"/>
      <c r="CD961" s="21"/>
      <c r="CE961" s="21"/>
      <c r="CF961" s="21"/>
      <c r="CG961" s="21"/>
      <c r="CH961" s="21"/>
      <c r="CI961" s="21"/>
      <c r="CJ961" s="21"/>
      <c r="CK961" s="21"/>
      <c r="CL961" s="21"/>
      <c r="CM961" s="21"/>
      <c r="CN961" s="21"/>
      <c r="CO961" s="21"/>
      <c r="CP961" s="21"/>
      <c r="CQ961" s="21"/>
      <c r="CR961" s="21"/>
      <c r="CS961" s="21"/>
      <c r="CT961" s="21"/>
      <c r="CU961" s="21"/>
      <c r="CV961" s="21"/>
      <c r="CW961" s="21"/>
      <c r="CX961" s="21"/>
      <c r="CY961" s="22"/>
      <c r="CZ961" s="21"/>
      <c r="DA961" s="21"/>
      <c r="DB961" s="21"/>
    </row>
    <row r="962" spans="3:106" s="19" customFormat="1" ht="12"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2"/>
      <c r="AX962" s="21"/>
      <c r="AY962" s="21"/>
      <c r="AZ962" s="21"/>
      <c r="BA962" s="21"/>
      <c r="BB962" s="21"/>
      <c r="BC962" s="21"/>
      <c r="BD962" s="21"/>
      <c r="BE962" s="21"/>
      <c r="BF962" s="21"/>
      <c r="BG962" s="21"/>
      <c r="BH962" s="21"/>
      <c r="BI962" s="21"/>
      <c r="BJ962" s="21"/>
      <c r="BK962" s="21"/>
      <c r="BL962" s="21"/>
      <c r="BM962" s="21"/>
      <c r="BN962" s="21"/>
      <c r="BO962" s="21"/>
      <c r="BP962" s="21"/>
      <c r="BQ962" s="21"/>
      <c r="BR962" s="21"/>
      <c r="BS962" s="21"/>
      <c r="BT962" s="21"/>
      <c r="BU962" s="21"/>
      <c r="BV962" s="21"/>
      <c r="BW962" s="21"/>
      <c r="BX962" s="21"/>
      <c r="BY962" s="21"/>
      <c r="BZ962" s="21"/>
      <c r="CA962" s="21"/>
      <c r="CB962" s="21"/>
      <c r="CC962" s="21"/>
      <c r="CD962" s="21"/>
      <c r="CE962" s="21"/>
      <c r="CF962" s="21"/>
      <c r="CG962" s="21"/>
      <c r="CH962" s="21"/>
      <c r="CI962" s="21"/>
      <c r="CJ962" s="21"/>
      <c r="CK962" s="21"/>
      <c r="CL962" s="21"/>
      <c r="CM962" s="21"/>
      <c r="CN962" s="21"/>
      <c r="CO962" s="21"/>
      <c r="CP962" s="21"/>
      <c r="CQ962" s="21"/>
      <c r="CR962" s="21"/>
      <c r="CS962" s="21"/>
      <c r="CT962" s="21"/>
      <c r="CU962" s="21"/>
      <c r="CV962" s="21"/>
      <c r="CW962" s="21"/>
      <c r="CX962" s="21"/>
      <c r="CY962" s="22"/>
      <c r="CZ962" s="21"/>
      <c r="DA962" s="21"/>
      <c r="DB962" s="21"/>
    </row>
    <row r="963" spans="3:106" s="19" customFormat="1" ht="12"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2"/>
      <c r="AX963" s="21"/>
      <c r="AY963" s="21"/>
      <c r="AZ963" s="21"/>
      <c r="BA963" s="21"/>
      <c r="BB963" s="21"/>
      <c r="BC963" s="21"/>
      <c r="BD963" s="21"/>
      <c r="BE963" s="21"/>
      <c r="BF963" s="21"/>
      <c r="BG963" s="21"/>
      <c r="BH963" s="21"/>
      <c r="BI963" s="21"/>
      <c r="BJ963" s="21"/>
      <c r="BK963" s="21"/>
      <c r="BL963" s="21"/>
      <c r="BM963" s="21"/>
      <c r="BN963" s="21"/>
      <c r="BO963" s="21"/>
      <c r="BP963" s="21"/>
      <c r="BQ963" s="21"/>
      <c r="BR963" s="21"/>
      <c r="BS963" s="21"/>
      <c r="BT963" s="21"/>
      <c r="BU963" s="21"/>
      <c r="BV963" s="21"/>
      <c r="BW963" s="21"/>
      <c r="BX963" s="21"/>
      <c r="BY963" s="21"/>
      <c r="BZ963" s="21"/>
      <c r="CA963" s="21"/>
      <c r="CB963" s="21"/>
      <c r="CC963" s="21"/>
      <c r="CD963" s="21"/>
      <c r="CE963" s="21"/>
      <c r="CF963" s="21"/>
      <c r="CG963" s="21"/>
      <c r="CH963" s="21"/>
      <c r="CI963" s="21"/>
      <c r="CJ963" s="21"/>
      <c r="CK963" s="21"/>
      <c r="CL963" s="21"/>
      <c r="CM963" s="21"/>
      <c r="CN963" s="21"/>
      <c r="CO963" s="21"/>
      <c r="CP963" s="21"/>
      <c r="CQ963" s="21"/>
      <c r="CR963" s="21"/>
      <c r="CS963" s="21"/>
      <c r="CT963" s="21"/>
      <c r="CU963" s="21"/>
      <c r="CV963" s="21"/>
      <c r="CW963" s="21"/>
      <c r="CX963" s="21"/>
      <c r="CY963" s="22"/>
      <c r="CZ963" s="21"/>
      <c r="DA963" s="21"/>
      <c r="DB963" s="21"/>
    </row>
    <row r="964" spans="3:106" s="19" customFormat="1" ht="12"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2"/>
      <c r="AX964" s="21"/>
      <c r="AY964" s="21"/>
      <c r="AZ964" s="21"/>
      <c r="BA964" s="21"/>
      <c r="BB964" s="21"/>
      <c r="BC964" s="21"/>
      <c r="BD964" s="21"/>
      <c r="BE964" s="21"/>
      <c r="BF964" s="21"/>
      <c r="BG964" s="21"/>
      <c r="BH964" s="21"/>
      <c r="BI964" s="21"/>
      <c r="BJ964" s="21"/>
      <c r="BK964" s="21"/>
      <c r="BL964" s="21"/>
      <c r="BM964" s="21"/>
      <c r="BN964" s="21"/>
      <c r="BO964" s="21"/>
      <c r="BP964" s="21"/>
      <c r="BQ964" s="21"/>
      <c r="BR964" s="21"/>
      <c r="BS964" s="21"/>
      <c r="BT964" s="21"/>
      <c r="BU964" s="21"/>
      <c r="BV964" s="21"/>
      <c r="BW964" s="21"/>
      <c r="BX964" s="21"/>
      <c r="BY964" s="21"/>
      <c r="BZ964" s="21"/>
      <c r="CA964" s="21"/>
      <c r="CB964" s="21"/>
      <c r="CC964" s="21"/>
      <c r="CD964" s="21"/>
      <c r="CE964" s="21"/>
      <c r="CF964" s="21"/>
      <c r="CG964" s="21"/>
      <c r="CH964" s="21"/>
      <c r="CI964" s="21"/>
      <c r="CJ964" s="21"/>
      <c r="CK964" s="21"/>
      <c r="CL964" s="21"/>
      <c r="CM964" s="21"/>
      <c r="CN964" s="21"/>
      <c r="CO964" s="21"/>
      <c r="CP964" s="21"/>
      <c r="CQ964" s="21"/>
      <c r="CR964" s="21"/>
      <c r="CS964" s="21"/>
      <c r="CT964" s="21"/>
      <c r="CU964" s="21"/>
      <c r="CV964" s="21"/>
      <c r="CW964" s="21"/>
      <c r="CX964" s="21"/>
      <c r="CY964" s="22"/>
      <c r="CZ964" s="21"/>
      <c r="DA964" s="21"/>
      <c r="DB964" s="21"/>
    </row>
    <row r="965" spans="3:106" s="19" customFormat="1" ht="12"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2"/>
      <c r="AX965" s="21"/>
      <c r="AY965" s="21"/>
      <c r="AZ965" s="21"/>
      <c r="BA965" s="21"/>
      <c r="BB965" s="21"/>
      <c r="BC965" s="21"/>
      <c r="BD965" s="21"/>
      <c r="BE965" s="21"/>
      <c r="BF965" s="21"/>
      <c r="BG965" s="21"/>
      <c r="BH965" s="21"/>
      <c r="BI965" s="21"/>
      <c r="BJ965" s="21"/>
      <c r="BK965" s="21"/>
      <c r="BL965" s="21"/>
      <c r="BM965" s="21"/>
      <c r="BN965" s="21"/>
      <c r="BO965" s="21"/>
      <c r="BP965" s="21"/>
      <c r="BQ965" s="21"/>
      <c r="BR965" s="21"/>
      <c r="BS965" s="21"/>
      <c r="BT965" s="21"/>
      <c r="BU965" s="21"/>
      <c r="BV965" s="21"/>
      <c r="BW965" s="21"/>
      <c r="BX965" s="21"/>
      <c r="BY965" s="21"/>
      <c r="BZ965" s="21"/>
      <c r="CA965" s="21"/>
      <c r="CB965" s="21"/>
      <c r="CC965" s="21"/>
      <c r="CD965" s="21"/>
      <c r="CE965" s="21"/>
      <c r="CF965" s="21"/>
      <c r="CG965" s="21"/>
      <c r="CH965" s="21"/>
      <c r="CI965" s="21"/>
      <c r="CJ965" s="21"/>
      <c r="CK965" s="21"/>
      <c r="CL965" s="21"/>
      <c r="CM965" s="21"/>
      <c r="CN965" s="21"/>
      <c r="CO965" s="21"/>
      <c r="CP965" s="21"/>
      <c r="CQ965" s="21"/>
      <c r="CR965" s="21"/>
      <c r="CS965" s="21"/>
      <c r="CT965" s="21"/>
      <c r="CU965" s="21"/>
      <c r="CV965" s="21"/>
      <c r="CW965" s="21"/>
      <c r="CX965" s="21"/>
      <c r="CY965" s="22"/>
      <c r="CZ965" s="21"/>
      <c r="DA965" s="21"/>
      <c r="DB965" s="21"/>
    </row>
    <row r="966" spans="3:106" s="19" customFormat="1" ht="12"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2"/>
      <c r="AX966" s="21"/>
      <c r="AY966" s="21"/>
      <c r="AZ966" s="21"/>
      <c r="BA966" s="21"/>
      <c r="BB966" s="21"/>
      <c r="BC966" s="21"/>
      <c r="BD966" s="21"/>
      <c r="BE966" s="21"/>
      <c r="BF966" s="21"/>
      <c r="BG966" s="21"/>
      <c r="BH966" s="21"/>
      <c r="BI966" s="21"/>
      <c r="BJ966" s="21"/>
      <c r="BK966" s="21"/>
      <c r="BL966" s="21"/>
      <c r="BM966" s="21"/>
      <c r="BN966" s="21"/>
      <c r="BO966" s="21"/>
      <c r="BP966" s="21"/>
      <c r="BQ966" s="21"/>
      <c r="BR966" s="21"/>
      <c r="BS966" s="21"/>
      <c r="BT966" s="21"/>
      <c r="BU966" s="21"/>
      <c r="BV966" s="21"/>
      <c r="BW966" s="21"/>
      <c r="BX966" s="21"/>
      <c r="BY966" s="21"/>
      <c r="BZ966" s="21"/>
      <c r="CA966" s="21"/>
      <c r="CB966" s="21"/>
      <c r="CC966" s="21"/>
      <c r="CD966" s="21"/>
      <c r="CE966" s="21"/>
      <c r="CF966" s="21"/>
      <c r="CG966" s="21"/>
      <c r="CH966" s="21"/>
      <c r="CI966" s="21"/>
      <c r="CJ966" s="21"/>
      <c r="CK966" s="21"/>
      <c r="CL966" s="21"/>
      <c r="CM966" s="21"/>
      <c r="CN966" s="21"/>
      <c r="CO966" s="21"/>
      <c r="CP966" s="21"/>
      <c r="CQ966" s="21"/>
      <c r="CR966" s="21"/>
      <c r="CS966" s="21"/>
      <c r="CT966" s="21"/>
      <c r="CU966" s="21"/>
      <c r="CV966" s="21"/>
      <c r="CW966" s="21"/>
      <c r="CX966" s="21"/>
      <c r="CY966" s="22"/>
      <c r="CZ966" s="21"/>
      <c r="DA966" s="21"/>
      <c r="DB966" s="21"/>
    </row>
    <row r="967" spans="3:106" s="19" customFormat="1" ht="12"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2"/>
      <c r="AX967" s="21"/>
      <c r="AY967" s="21"/>
      <c r="AZ967" s="21"/>
      <c r="BA967" s="21"/>
      <c r="BB967" s="21"/>
      <c r="BC967" s="21"/>
      <c r="BD967" s="21"/>
      <c r="BE967" s="21"/>
      <c r="BF967" s="21"/>
      <c r="BG967" s="21"/>
      <c r="BH967" s="21"/>
      <c r="BI967" s="21"/>
      <c r="BJ967" s="21"/>
      <c r="BK967" s="21"/>
      <c r="BL967" s="21"/>
      <c r="BM967" s="21"/>
      <c r="BN967" s="21"/>
      <c r="BO967" s="21"/>
      <c r="BP967" s="21"/>
      <c r="BQ967" s="21"/>
      <c r="BR967" s="21"/>
      <c r="BS967" s="21"/>
      <c r="BT967" s="21"/>
      <c r="BU967" s="21"/>
      <c r="BV967" s="21"/>
      <c r="BW967" s="21"/>
      <c r="BX967" s="21"/>
      <c r="BY967" s="21"/>
      <c r="BZ967" s="21"/>
      <c r="CA967" s="21"/>
      <c r="CB967" s="21"/>
      <c r="CC967" s="21"/>
      <c r="CD967" s="21"/>
      <c r="CE967" s="21"/>
      <c r="CF967" s="21"/>
      <c r="CG967" s="21"/>
      <c r="CH967" s="21"/>
      <c r="CI967" s="21"/>
      <c r="CJ967" s="21"/>
      <c r="CK967" s="21"/>
      <c r="CL967" s="21"/>
      <c r="CM967" s="21"/>
      <c r="CN967" s="21"/>
      <c r="CO967" s="21"/>
      <c r="CP967" s="21"/>
      <c r="CQ967" s="21"/>
      <c r="CR967" s="21"/>
      <c r="CS967" s="21"/>
      <c r="CT967" s="21"/>
      <c r="CU967" s="21"/>
      <c r="CV967" s="21"/>
      <c r="CW967" s="21"/>
      <c r="CX967" s="21"/>
      <c r="CY967" s="22"/>
      <c r="CZ967" s="21"/>
      <c r="DA967" s="21"/>
      <c r="DB967" s="21"/>
    </row>
    <row r="968" spans="3:106" s="19" customFormat="1" ht="12"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2"/>
      <c r="AX968" s="21"/>
      <c r="AY968" s="21"/>
      <c r="AZ968" s="21"/>
      <c r="BA968" s="21"/>
      <c r="BB968" s="21"/>
      <c r="BC968" s="21"/>
      <c r="BD968" s="21"/>
      <c r="BE968" s="21"/>
      <c r="BF968" s="21"/>
      <c r="BG968" s="21"/>
      <c r="BH968" s="21"/>
      <c r="BI968" s="21"/>
      <c r="BJ968" s="21"/>
      <c r="BK968" s="21"/>
      <c r="BL968" s="21"/>
      <c r="BM968" s="21"/>
      <c r="BN968" s="21"/>
      <c r="BO968" s="21"/>
      <c r="BP968" s="21"/>
      <c r="BQ968" s="21"/>
      <c r="BR968" s="21"/>
      <c r="BS968" s="21"/>
      <c r="BT968" s="21"/>
      <c r="BU968" s="21"/>
      <c r="BV968" s="21"/>
      <c r="BW968" s="21"/>
      <c r="BX968" s="21"/>
      <c r="BY968" s="21"/>
      <c r="BZ968" s="21"/>
      <c r="CA968" s="21"/>
      <c r="CB968" s="21"/>
      <c r="CC968" s="21"/>
      <c r="CD968" s="21"/>
      <c r="CE968" s="21"/>
      <c r="CF968" s="21"/>
      <c r="CG968" s="21"/>
      <c r="CH968" s="21"/>
      <c r="CI968" s="21"/>
      <c r="CJ968" s="21"/>
      <c r="CK968" s="21"/>
      <c r="CL968" s="21"/>
      <c r="CM968" s="21"/>
      <c r="CN968" s="21"/>
      <c r="CO968" s="21"/>
      <c r="CP968" s="21"/>
      <c r="CQ968" s="21"/>
      <c r="CR968" s="21"/>
      <c r="CS968" s="21"/>
      <c r="CT968" s="21"/>
      <c r="CU968" s="21"/>
      <c r="CV968" s="21"/>
      <c r="CW968" s="21"/>
      <c r="CX968" s="21"/>
      <c r="CY968" s="22"/>
      <c r="CZ968" s="21"/>
      <c r="DA968" s="21"/>
      <c r="DB968" s="21"/>
    </row>
    <row r="969" spans="3:106" s="19" customFormat="1" ht="12"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2"/>
      <c r="AX969" s="21"/>
      <c r="AY969" s="21"/>
      <c r="AZ969" s="21"/>
      <c r="BA969" s="21"/>
      <c r="BB969" s="21"/>
      <c r="BC969" s="21"/>
      <c r="BD969" s="21"/>
      <c r="BE969" s="21"/>
      <c r="BF969" s="21"/>
      <c r="BG969" s="21"/>
      <c r="BH969" s="21"/>
      <c r="BI969" s="21"/>
      <c r="BJ969" s="21"/>
      <c r="BK969" s="21"/>
      <c r="BL969" s="21"/>
      <c r="BM969" s="21"/>
      <c r="BN969" s="21"/>
      <c r="BO969" s="21"/>
      <c r="BP969" s="21"/>
      <c r="BQ969" s="21"/>
      <c r="BR969" s="21"/>
      <c r="BS969" s="21"/>
      <c r="BT969" s="21"/>
      <c r="BU969" s="21"/>
      <c r="BV969" s="21"/>
      <c r="BW969" s="21"/>
      <c r="BX969" s="21"/>
      <c r="BY969" s="21"/>
      <c r="BZ969" s="21"/>
      <c r="CA969" s="21"/>
      <c r="CB969" s="21"/>
      <c r="CC969" s="21"/>
      <c r="CD969" s="21"/>
      <c r="CE969" s="21"/>
      <c r="CF969" s="21"/>
      <c r="CG969" s="21"/>
      <c r="CH969" s="21"/>
      <c r="CI969" s="21"/>
      <c r="CJ969" s="21"/>
      <c r="CK969" s="21"/>
      <c r="CL969" s="21"/>
      <c r="CM969" s="21"/>
      <c r="CN969" s="21"/>
      <c r="CO969" s="21"/>
      <c r="CP969" s="21"/>
      <c r="CQ969" s="21"/>
      <c r="CR969" s="21"/>
      <c r="CS969" s="21"/>
      <c r="CT969" s="21"/>
      <c r="CU969" s="21"/>
      <c r="CV969" s="21"/>
      <c r="CW969" s="21"/>
      <c r="CX969" s="21"/>
      <c r="CY969" s="22"/>
      <c r="CZ969" s="21"/>
      <c r="DA969" s="21"/>
      <c r="DB969" s="21"/>
    </row>
    <row r="970" spans="3:106" s="19" customFormat="1" ht="12"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2"/>
      <c r="AX970" s="21"/>
      <c r="AY970" s="21"/>
      <c r="AZ970" s="21"/>
      <c r="BA970" s="21"/>
      <c r="BB970" s="21"/>
      <c r="BC970" s="21"/>
      <c r="BD970" s="21"/>
      <c r="BE970" s="21"/>
      <c r="BF970" s="21"/>
      <c r="BG970" s="21"/>
      <c r="BH970" s="21"/>
      <c r="BI970" s="21"/>
      <c r="BJ970" s="21"/>
      <c r="BK970" s="21"/>
      <c r="BL970" s="21"/>
      <c r="BM970" s="21"/>
      <c r="BN970" s="21"/>
      <c r="BO970" s="21"/>
      <c r="BP970" s="21"/>
      <c r="BQ970" s="21"/>
      <c r="BR970" s="21"/>
      <c r="BS970" s="21"/>
      <c r="BT970" s="21"/>
      <c r="BU970" s="21"/>
      <c r="BV970" s="21"/>
      <c r="BW970" s="21"/>
      <c r="BX970" s="21"/>
      <c r="BY970" s="21"/>
      <c r="BZ970" s="21"/>
      <c r="CA970" s="21"/>
      <c r="CB970" s="21"/>
      <c r="CC970" s="21"/>
      <c r="CD970" s="21"/>
      <c r="CE970" s="21"/>
      <c r="CF970" s="21"/>
      <c r="CG970" s="21"/>
      <c r="CH970" s="21"/>
      <c r="CI970" s="21"/>
      <c r="CJ970" s="21"/>
      <c r="CK970" s="21"/>
      <c r="CL970" s="21"/>
      <c r="CM970" s="21"/>
      <c r="CN970" s="21"/>
      <c r="CO970" s="21"/>
      <c r="CP970" s="21"/>
      <c r="CQ970" s="21"/>
      <c r="CR970" s="21"/>
      <c r="CS970" s="21"/>
      <c r="CT970" s="21"/>
      <c r="CU970" s="21"/>
      <c r="CV970" s="21"/>
      <c r="CW970" s="21"/>
      <c r="CX970" s="21"/>
      <c r="CY970" s="22"/>
      <c r="CZ970" s="21"/>
      <c r="DA970" s="21"/>
      <c r="DB970" s="21"/>
    </row>
    <row r="971" spans="3:106" s="19" customFormat="1" ht="12"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2"/>
      <c r="AX971" s="21"/>
      <c r="AY971" s="21"/>
      <c r="AZ971" s="21"/>
      <c r="BA971" s="21"/>
      <c r="BB971" s="21"/>
      <c r="BC971" s="21"/>
      <c r="BD971" s="21"/>
      <c r="BE971" s="21"/>
      <c r="BF971" s="21"/>
      <c r="BG971" s="21"/>
      <c r="BH971" s="21"/>
      <c r="BI971" s="21"/>
      <c r="BJ971" s="21"/>
      <c r="BK971" s="21"/>
      <c r="BL971" s="21"/>
      <c r="BM971" s="21"/>
      <c r="BN971" s="21"/>
      <c r="BO971" s="21"/>
      <c r="BP971" s="21"/>
      <c r="BQ971" s="21"/>
      <c r="BR971" s="21"/>
      <c r="BS971" s="21"/>
      <c r="BT971" s="21"/>
      <c r="BU971" s="21"/>
      <c r="BV971" s="21"/>
      <c r="BW971" s="21"/>
      <c r="BX971" s="21"/>
      <c r="BY971" s="21"/>
      <c r="BZ971" s="21"/>
      <c r="CA971" s="21"/>
      <c r="CB971" s="21"/>
      <c r="CC971" s="21"/>
      <c r="CD971" s="21"/>
      <c r="CE971" s="21"/>
      <c r="CF971" s="21"/>
      <c r="CG971" s="21"/>
      <c r="CH971" s="21"/>
      <c r="CI971" s="21"/>
      <c r="CJ971" s="21"/>
      <c r="CK971" s="21"/>
      <c r="CL971" s="21"/>
      <c r="CM971" s="21"/>
      <c r="CN971" s="21"/>
      <c r="CO971" s="21"/>
      <c r="CP971" s="21"/>
      <c r="CQ971" s="21"/>
      <c r="CR971" s="21"/>
      <c r="CS971" s="21"/>
      <c r="CT971" s="21"/>
      <c r="CU971" s="21"/>
      <c r="CV971" s="21"/>
      <c r="CW971" s="21"/>
      <c r="CX971" s="21"/>
      <c r="CY971" s="22"/>
      <c r="CZ971" s="21"/>
      <c r="DA971" s="21"/>
      <c r="DB971" s="21"/>
    </row>
    <row r="972" spans="3:106" s="19" customFormat="1" ht="12"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2"/>
      <c r="AX972" s="21"/>
      <c r="AY972" s="21"/>
      <c r="AZ972" s="21"/>
      <c r="BA972" s="21"/>
      <c r="BB972" s="21"/>
      <c r="BC972" s="21"/>
      <c r="BD972" s="21"/>
      <c r="BE972" s="21"/>
      <c r="BF972" s="21"/>
      <c r="BG972" s="21"/>
      <c r="BH972" s="21"/>
      <c r="BI972" s="21"/>
      <c r="BJ972" s="21"/>
      <c r="BK972" s="21"/>
      <c r="BL972" s="21"/>
      <c r="BM972" s="21"/>
      <c r="BN972" s="21"/>
      <c r="BO972" s="21"/>
      <c r="BP972" s="21"/>
      <c r="BQ972" s="21"/>
      <c r="BR972" s="21"/>
      <c r="BS972" s="21"/>
      <c r="BT972" s="21"/>
      <c r="BU972" s="21"/>
      <c r="BV972" s="21"/>
      <c r="BW972" s="21"/>
      <c r="BX972" s="21"/>
      <c r="BY972" s="21"/>
      <c r="BZ972" s="21"/>
      <c r="CA972" s="21"/>
      <c r="CB972" s="21"/>
      <c r="CC972" s="21"/>
      <c r="CD972" s="21"/>
      <c r="CE972" s="21"/>
      <c r="CF972" s="21"/>
      <c r="CG972" s="21"/>
      <c r="CH972" s="21"/>
      <c r="CI972" s="21"/>
      <c r="CJ972" s="21"/>
      <c r="CK972" s="21"/>
      <c r="CL972" s="21"/>
      <c r="CM972" s="21"/>
      <c r="CN972" s="21"/>
      <c r="CO972" s="21"/>
      <c r="CP972" s="21"/>
      <c r="CQ972" s="21"/>
      <c r="CR972" s="21"/>
      <c r="CS972" s="21"/>
      <c r="CT972" s="21"/>
      <c r="CU972" s="21"/>
      <c r="CV972" s="21"/>
      <c r="CW972" s="21"/>
      <c r="CX972" s="21"/>
      <c r="CY972" s="22"/>
      <c r="CZ972" s="21"/>
      <c r="DA972" s="21"/>
      <c r="DB972" s="21"/>
    </row>
    <row r="973" spans="3:106" s="19" customFormat="1" ht="12"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2"/>
      <c r="AX973" s="21"/>
      <c r="AY973" s="21"/>
      <c r="AZ973" s="21"/>
      <c r="BA973" s="21"/>
      <c r="BB973" s="21"/>
      <c r="BC973" s="21"/>
      <c r="BD973" s="21"/>
      <c r="BE973" s="21"/>
      <c r="BF973" s="21"/>
      <c r="BG973" s="21"/>
      <c r="BH973" s="21"/>
      <c r="BI973" s="21"/>
      <c r="BJ973" s="21"/>
      <c r="BK973" s="21"/>
      <c r="BL973" s="21"/>
      <c r="BM973" s="21"/>
      <c r="BN973" s="21"/>
      <c r="BO973" s="21"/>
      <c r="BP973" s="21"/>
      <c r="BQ973" s="21"/>
      <c r="BR973" s="21"/>
      <c r="BS973" s="21"/>
      <c r="BT973" s="21"/>
      <c r="BU973" s="21"/>
      <c r="BV973" s="21"/>
      <c r="BW973" s="21"/>
      <c r="BX973" s="21"/>
      <c r="BY973" s="21"/>
      <c r="BZ973" s="21"/>
      <c r="CA973" s="21"/>
      <c r="CB973" s="21"/>
      <c r="CC973" s="21"/>
      <c r="CD973" s="21"/>
      <c r="CE973" s="21"/>
      <c r="CF973" s="21"/>
      <c r="CG973" s="21"/>
      <c r="CH973" s="21"/>
      <c r="CI973" s="21"/>
      <c r="CJ973" s="21"/>
      <c r="CK973" s="21"/>
      <c r="CL973" s="21"/>
      <c r="CM973" s="21"/>
      <c r="CN973" s="21"/>
      <c r="CO973" s="21"/>
      <c r="CP973" s="21"/>
      <c r="CQ973" s="21"/>
      <c r="CR973" s="21"/>
      <c r="CS973" s="21"/>
      <c r="CT973" s="21"/>
      <c r="CU973" s="21"/>
      <c r="CV973" s="21"/>
      <c r="CW973" s="21"/>
      <c r="CX973" s="21"/>
      <c r="CY973" s="22"/>
      <c r="CZ973" s="21"/>
      <c r="DA973" s="21"/>
      <c r="DB973" s="21"/>
    </row>
    <row r="974" spans="3:106" s="19" customFormat="1" ht="12"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2"/>
      <c r="AX974" s="21"/>
      <c r="AY974" s="21"/>
      <c r="AZ974" s="21"/>
      <c r="BA974" s="21"/>
      <c r="BB974" s="21"/>
      <c r="BC974" s="21"/>
      <c r="BD974" s="21"/>
      <c r="BE974" s="21"/>
      <c r="BF974" s="21"/>
      <c r="BG974" s="21"/>
      <c r="BH974" s="21"/>
      <c r="BI974" s="21"/>
      <c r="BJ974" s="21"/>
      <c r="BK974" s="21"/>
      <c r="BL974" s="21"/>
      <c r="BM974" s="21"/>
      <c r="BN974" s="21"/>
      <c r="BO974" s="21"/>
      <c r="BP974" s="21"/>
      <c r="BQ974" s="21"/>
      <c r="BR974" s="21"/>
      <c r="BS974" s="21"/>
      <c r="BT974" s="21"/>
      <c r="BU974" s="21"/>
      <c r="BV974" s="21"/>
      <c r="BW974" s="21"/>
      <c r="BX974" s="21"/>
      <c r="BY974" s="21"/>
      <c r="BZ974" s="21"/>
      <c r="CA974" s="21"/>
      <c r="CB974" s="21"/>
      <c r="CC974" s="21"/>
      <c r="CD974" s="21"/>
      <c r="CE974" s="21"/>
      <c r="CF974" s="21"/>
      <c r="CG974" s="21"/>
      <c r="CH974" s="21"/>
      <c r="CI974" s="21"/>
      <c r="CJ974" s="21"/>
      <c r="CK974" s="21"/>
      <c r="CL974" s="21"/>
      <c r="CM974" s="21"/>
      <c r="CN974" s="21"/>
      <c r="CO974" s="21"/>
      <c r="CP974" s="21"/>
      <c r="CQ974" s="21"/>
      <c r="CR974" s="21"/>
      <c r="CS974" s="21"/>
      <c r="CT974" s="21"/>
      <c r="CU974" s="21"/>
      <c r="CV974" s="21"/>
      <c r="CW974" s="21"/>
      <c r="CX974" s="21"/>
      <c r="CY974" s="22"/>
      <c r="CZ974" s="21"/>
      <c r="DA974" s="21"/>
      <c r="DB974" s="21"/>
    </row>
    <row r="975" spans="3:106" s="19" customFormat="1" ht="12"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2"/>
      <c r="AX975" s="21"/>
      <c r="AY975" s="21"/>
      <c r="AZ975" s="21"/>
      <c r="BA975" s="21"/>
      <c r="BB975" s="21"/>
      <c r="BC975" s="21"/>
      <c r="BD975" s="21"/>
      <c r="BE975" s="21"/>
      <c r="BF975" s="21"/>
      <c r="BG975" s="21"/>
      <c r="BH975" s="21"/>
      <c r="BI975" s="21"/>
      <c r="BJ975" s="21"/>
      <c r="BK975" s="21"/>
      <c r="BL975" s="21"/>
      <c r="BM975" s="21"/>
      <c r="BN975" s="21"/>
      <c r="BO975" s="21"/>
      <c r="BP975" s="21"/>
      <c r="BQ975" s="21"/>
      <c r="BR975" s="21"/>
      <c r="BS975" s="21"/>
      <c r="BT975" s="21"/>
      <c r="BU975" s="21"/>
      <c r="BV975" s="21"/>
      <c r="BW975" s="21"/>
      <c r="BX975" s="21"/>
      <c r="BY975" s="21"/>
      <c r="BZ975" s="21"/>
      <c r="CA975" s="21"/>
      <c r="CB975" s="21"/>
      <c r="CC975" s="21"/>
      <c r="CD975" s="21"/>
      <c r="CE975" s="21"/>
      <c r="CF975" s="21"/>
      <c r="CG975" s="21"/>
      <c r="CH975" s="21"/>
      <c r="CI975" s="21"/>
      <c r="CJ975" s="21"/>
      <c r="CK975" s="21"/>
      <c r="CL975" s="21"/>
      <c r="CM975" s="21"/>
      <c r="CN975" s="21"/>
      <c r="CO975" s="21"/>
      <c r="CP975" s="21"/>
      <c r="CQ975" s="21"/>
      <c r="CR975" s="21"/>
      <c r="CS975" s="21"/>
      <c r="CT975" s="21"/>
      <c r="CU975" s="21"/>
      <c r="CV975" s="21"/>
      <c r="CW975" s="21"/>
      <c r="CX975" s="21"/>
      <c r="CY975" s="22"/>
      <c r="CZ975" s="21"/>
      <c r="DA975" s="21"/>
      <c r="DB975" s="21"/>
    </row>
    <row r="976" spans="3:106" s="19" customFormat="1" ht="12"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2"/>
      <c r="AX976" s="21"/>
      <c r="AY976" s="21"/>
      <c r="AZ976" s="21"/>
      <c r="BA976" s="21"/>
      <c r="BB976" s="21"/>
      <c r="BC976" s="21"/>
      <c r="BD976" s="21"/>
      <c r="BE976" s="21"/>
      <c r="BF976" s="21"/>
      <c r="BG976" s="21"/>
      <c r="BH976" s="21"/>
      <c r="BI976" s="21"/>
      <c r="BJ976" s="21"/>
      <c r="BK976" s="21"/>
      <c r="BL976" s="21"/>
      <c r="BM976" s="21"/>
      <c r="BN976" s="21"/>
      <c r="BO976" s="21"/>
      <c r="BP976" s="21"/>
      <c r="BQ976" s="21"/>
      <c r="BR976" s="21"/>
      <c r="BS976" s="21"/>
      <c r="BT976" s="21"/>
      <c r="BU976" s="21"/>
      <c r="BV976" s="21"/>
      <c r="BW976" s="21"/>
      <c r="BX976" s="21"/>
      <c r="BY976" s="21"/>
      <c r="BZ976" s="21"/>
      <c r="CA976" s="21"/>
      <c r="CB976" s="21"/>
      <c r="CC976" s="21"/>
      <c r="CD976" s="21"/>
      <c r="CE976" s="21"/>
      <c r="CF976" s="21"/>
      <c r="CG976" s="21"/>
      <c r="CH976" s="21"/>
      <c r="CI976" s="21"/>
      <c r="CJ976" s="21"/>
      <c r="CK976" s="21"/>
      <c r="CL976" s="21"/>
      <c r="CM976" s="21"/>
      <c r="CN976" s="21"/>
      <c r="CO976" s="21"/>
      <c r="CP976" s="21"/>
      <c r="CQ976" s="21"/>
      <c r="CR976" s="21"/>
      <c r="CS976" s="21"/>
      <c r="CT976" s="21"/>
      <c r="CU976" s="21"/>
      <c r="CV976" s="21"/>
      <c r="CW976" s="21"/>
      <c r="CX976" s="21"/>
      <c r="CY976" s="22"/>
      <c r="CZ976" s="21"/>
      <c r="DA976" s="21"/>
      <c r="DB976" s="21"/>
    </row>
    <row r="977" spans="3:106" s="19" customFormat="1" ht="12"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2"/>
      <c r="AX977" s="21"/>
      <c r="AY977" s="21"/>
      <c r="AZ977" s="21"/>
      <c r="BA977" s="21"/>
      <c r="BB977" s="21"/>
      <c r="BC977" s="21"/>
      <c r="BD977" s="21"/>
      <c r="BE977" s="21"/>
      <c r="BF977" s="21"/>
      <c r="BG977" s="21"/>
      <c r="BH977" s="21"/>
      <c r="BI977" s="21"/>
      <c r="BJ977" s="21"/>
      <c r="BK977" s="21"/>
      <c r="BL977" s="21"/>
      <c r="BM977" s="21"/>
      <c r="BN977" s="21"/>
      <c r="BO977" s="21"/>
      <c r="BP977" s="21"/>
      <c r="BQ977" s="21"/>
      <c r="BR977" s="21"/>
      <c r="BS977" s="21"/>
      <c r="BT977" s="21"/>
      <c r="BU977" s="21"/>
      <c r="BV977" s="21"/>
      <c r="BW977" s="21"/>
      <c r="BX977" s="21"/>
      <c r="BY977" s="21"/>
      <c r="BZ977" s="21"/>
      <c r="CA977" s="21"/>
      <c r="CB977" s="21"/>
      <c r="CC977" s="21"/>
      <c r="CD977" s="21"/>
      <c r="CE977" s="21"/>
      <c r="CF977" s="21"/>
      <c r="CG977" s="21"/>
      <c r="CH977" s="21"/>
      <c r="CI977" s="21"/>
      <c r="CJ977" s="21"/>
      <c r="CK977" s="21"/>
      <c r="CL977" s="21"/>
      <c r="CM977" s="21"/>
      <c r="CN977" s="21"/>
      <c r="CO977" s="21"/>
      <c r="CP977" s="21"/>
      <c r="CQ977" s="21"/>
      <c r="CR977" s="21"/>
      <c r="CS977" s="21"/>
      <c r="CT977" s="21"/>
      <c r="CU977" s="21"/>
      <c r="CV977" s="21"/>
      <c r="CW977" s="21"/>
      <c r="CX977" s="21"/>
      <c r="CY977" s="22"/>
      <c r="CZ977" s="21"/>
      <c r="DA977" s="21"/>
      <c r="DB977" s="21"/>
    </row>
    <row r="978" spans="3:106" s="19" customFormat="1" ht="12"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2"/>
      <c r="AX978" s="21"/>
      <c r="AY978" s="21"/>
      <c r="AZ978" s="21"/>
      <c r="BA978" s="21"/>
      <c r="BB978" s="21"/>
      <c r="BC978" s="21"/>
      <c r="BD978" s="21"/>
      <c r="BE978" s="21"/>
      <c r="BF978" s="21"/>
      <c r="BG978" s="21"/>
      <c r="BH978" s="21"/>
      <c r="BI978" s="21"/>
      <c r="BJ978" s="21"/>
      <c r="BK978" s="21"/>
      <c r="BL978" s="21"/>
      <c r="BM978" s="21"/>
      <c r="BN978" s="21"/>
      <c r="BO978" s="21"/>
      <c r="BP978" s="21"/>
      <c r="BQ978" s="21"/>
      <c r="BR978" s="21"/>
      <c r="BS978" s="21"/>
      <c r="BT978" s="21"/>
      <c r="BU978" s="21"/>
      <c r="BV978" s="21"/>
      <c r="BW978" s="21"/>
      <c r="BX978" s="21"/>
      <c r="BY978" s="21"/>
      <c r="BZ978" s="21"/>
      <c r="CA978" s="21"/>
      <c r="CB978" s="21"/>
      <c r="CC978" s="21"/>
      <c r="CD978" s="21"/>
      <c r="CE978" s="21"/>
      <c r="CF978" s="21"/>
      <c r="CG978" s="21"/>
      <c r="CH978" s="21"/>
      <c r="CI978" s="21"/>
      <c r="CJ978" s="21"/>
      <c r="CK978" s="21"/>
      <c r="CL978" s="21"/>
      <c r="CM978" s="21"/>
      <c r="CN978" s="21"/>
      <c r="CO978" s="21"/>
      <c r="CP978" s="21"/>
      <c r="CQ978" s="21"/>
      <c r="CR978" s="21"/>
      <c r="CS978" s="21"/>
      <c r="CT978" s="21"/>
      <c r="CU978" s="21"/>
      <c r="CV978" s="21"/>
      <c r="CW978" s="21"/>
      <c r="CX978" s="21"/>
      <c r="CY978" s="22"/>
      <c r="CZ978" s="21"/>
      <c r="DA978" s="21"/>
      <c r="DB978" s="21"/>
    </row>
    <row r="979" spans="3:106" s="19" customFormat="1" ht="12"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2"/>
      <c r="AX979" s="21"/>
      <c r="AY979" s="21"/>
      <c r="AZ979" s="21"/>
      <c r="BA979" s="21"/>
      <c r="BB979" s="21"/>
      <c r="BC979" s="21"/>
      <c r="BD979" s="21"/>
      <c r="BE979" s="21"/>
      <c r="BF979" s="21"/>
      <c r="BG979" s="21"/>
      <c r="BH979" s="21"/>
      <c r="BI979" s="21"/>
      <c r="BJ979" s="21"/>
      <c r="BK979" s="21"/>
      <c r="BL979" s="21"/>
      <c r="BM979" s="21"/>
      <c r="BN979" s="21"/>
      <c r="BO979" s="21"/>
      <c r="BP979" s="21"/>
      <c r="BQ979" s="21"/>
      <c r="BR979" s="21"/>
      <c r="BS979" s="21"/>
      <c r="BT979" s="21"/>
      <c r="BU979" s="21"/>
      <c r="BV979" s="21"/>
      <c r="BW979" s="21"/>
      <c r="BX979" s="21"/>
      <c r="BY979" s="21"/>
      <c r="BZ979" s="21"/>
      <c r="CA979" s="21"/>
      <c r="CB979" s="21"/>
      <c r="CC979" s="21"/>
      <c r="CD979" s="21"/>
      <c r="CE979" s="21"/>
      <c r="CF979" s="21"/>
      <c r="CG979" s="21"/>
      <c r="CH979" s="21"/>
      <c r="CI979" s="21"/>
      <c r="CJ979" s="21"/>
      <c r="CK979" s="21"/>
      <c r="CL979" s="21"/>
      <c r="CM979" s="21"/>
      <c r="CN979" s="21"/>
      <c r="CO979" s="21"/>
      <c r="CP979" s="21"/>
      <c r="CQ979" s="21"/>
      <c r="CR979" s="21"/>
      <c r="CS979" s="21"/>
      <c r="CT979" s="21"/>
      <c r="CU979" s="21"/>
      <c r="CV979" s="21"/>
      <c r="CW979" s="21"/>
      <c r="CX979" s="21"/>
      <c r="CY979" s="22"/>
      <c r="CZ979" s="21"/>
      <c r="DA979" s="21"/>
      <c r="DB979" s="21"/>
    </row>
    <row r="980" spans="3:106" s="19" customFormat="1" ht="12"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2"/>
      <c r="AX980" s="21"/>
      <c r="AY980" s="21"/>
      <c r="AZ980" s="21"/>
      <c r="BA980" s="21"/>
      <c r="BB980" s="21"/>
      <c r="BC980" s="21"/>
      <c r="BD980" s="21"/>
      <c r="BE980" s="21"/>
      <c r="BF980" s="21"/>
      <c r="BG980" s="21"/>
      <c r="BH980" s="21"/>
      <c r="BI980" s="21"/>
      <c r="BJ980" s="21"/>
      <c r="BK980" s="21"/>
      <c r="BL980" s="21"/>
      <c r="BM980" s="21"/>
      <c r="BN980" s="21"/>
      <c r="BO980" s="21"/>
      <c r="BP980" s="21"/>
      <c r="BQ980" s="21"/>
      <c r="BR980" s="21"/>
      <c r="BS980" s="21"/>
      <c r="BT980" s="21"/>
      <c r="BU980" s="21"/>
      <c r="BV980" s="21"/>
      <c r="BW980" s="21"/>
      <c r="BX980" s="21"/>
      <c r="BY980" s="21"/>
      <c r="BZ980" s="21"/>
      <c r="CA980" s="21"/>
      <c r="CB980" s="21"/>
      <c r="CC980" s="21"/>
      <c r="CD980" s="21"/>
      <c r="CE980" s="21"/>
      <c r="CF980" s="21"/>
      <c r="CG980" s="21"/>
      <c r="CH980" s="21"/>
      <c r="CI980" s="21"/>
      <c r="CJ980" s="21"/>
      <c r="CK980" s="21"/>
      <c r="CL980" s="21"/>
      <c r="CM980" s="21"/>
      <c r="CN980" s="21"/>
      <c r="CO980" s="21"/>
      <c r="CP980" s="21"/>
      <c r="CQ980" s="21"/>
      <c r="CR980" s="21"/>
      <c r="CS980" s="21"/>
      <c r="CT980" s="21"/>
      <c r="CU980" s="21"/>
      <c r="CV980" s="21"/>
      <c r="CW980" s="21"/>
      <c r="CX980" s="21"/>
      <c r="CY980" s="22"/>
      <c r="CZ980" s="21"/>
      <c r="DA980" s="21"/>
      <c r="DB980" s="21"/>
    </row>
    <row r="981" spans="3:106" s="19" customFormat="1" ht="12"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2"/>
      <c r="AX981" s="21"/>
      <c r="AY981" s="21"/>
      <c r="AZ981" s="21"/>
      <c r="BA981" s="21"/>
      <c r="BB981" s="21"/>
      <c r="BC981" s="21"/>
      <c r="BD981" s="21"/>
      <c r="BE981" s="21"/>
      <c r="BF981" s="21"/>
      <c r="BG981" s="21"/>
      <c r="BH981" s="21"/>
      <c r="BI981" s="21"/>
      <c r="BJ981" s="21"/>
      <c r="BK981" s="21"/>
      <c r="BL981" s="21"/>
      <c r="BM981" s="21"/>
      <c r="BN981" s="21"/>
      <c r="BO981" s="21"/>
      <c r="BP981" s="21"/>
      <c r="BQ981" s="21"/>
      <c r="BR981" s="21"/>
      <c r="BS981" s="21"/>
      <c r="BT981" s="21"/>
      <c r="BU981" s="21"/>
      <c r="BV981" s="21"/>
      <c r="BW981" s="21"/>
      <c r="BX981" s="21"/>
      <c r="BY981" s="21"/>
      <c r="BZ981" s="21"/>
      <c r="CA981" s="21"/>
      <c r="CB981" s="21"/>
      <c r="CC981" s="21"/>
      <c r="CD981" s="21"/>
      <c r="CE981" s="21"/>
      <c r="CF981" s="21"/>
      <c r="CG981" s="21"/>
      <c r="CH981" s="21"/>
      <c r="CI981" s="21"/>
      <c r="CJ981" s="21"/>
      <c r="CK981" s="21"/>
      <c r="CL981" s="21"/>
      <c r="CM981" s="21"/>
      <c r="CN981" s="21"/>
      <c r="CO981" s="21"/>
      <c r="CP981" s="21"/>
      <c r="CQ981" s="21"/>
      <c r="CR981" s="21"/>
      <c r="CS981" s="21"/>
      <c r="CT981" s="21"/>
      <c r="CU981" s="21"/>
      <c r="CV981" s="21"/>
      <c r="CW981" s="21"/>
      <c r="CX981" s="21"/>
      <c r="CY981" s="22"/>
      <c r="CZ981" s="21"/>
      <c r="DA981" s="21"/>
      <c r="DB981" s="21"/>
    </row>
    <row r="982" spans="3:106" s="19" customFormat="1" ht="12"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2"/>
      <c r="AX982" s="21"/>
      <c r="AY982" s="21"/>
      <c r="AZ982" s="21"/>
      <c r="BA982" s="21"/>
      <c r="BB982" s="21"/>
      <c r="BC982" s="21"/>
      <c r="BD982" s="21"/>
      <c r="BE982" s="21"/>
      <c r="BF982" s="21"/>
      <c r="BG982" s="21"/>
      <c r="BH982" s="21"/>
      <c r="BI982" s="21"/>
      <c r="BJ982" s="21"/>
      <c r="BK982" s="21"/>
      <c r="BL982" s="21"/>
      <c r="BM982" s="21"/>
      <c r="BN982" s="21"/>
      <c r="BO982" s="21"/>
      <c r="BP982" s="21"/>
      <c r="BQ982" s="21"/>
      <c r="BR982" s="21"/>
      <c r="BS982" s="21"/>
      <c r="BT982" s="21"/>
      <c r="BU982" s="21"/>
      <c r="BV982" s="21"/>
      <c r="BW982" s="21"/>
      <c r="BX982" s="21"/>
      <c r="BY982" s="21"/>
      <c r="BZ982" s="21"/>
      <c r="CA982" s="21"/>
      <c r="CB982" s="21"/>
      <c r="CC982" s="21"/>
      <c r="CD982" s="21"/>
      <c r="CE982" s="21"/>
      <c r="CF982" s="21"/>
      <c r="CG982" s="21"/>
      <c r="CH982" s="21"/>
      <c r="CI982" s="21"/>
      <c r="CJ982" s="21"/>
      <c r="CK982" s="21"/>
      <c r="CL982" s="21"/>
      <c r="CM982" s="21"/>
      <c r="CN982" s="21"/>
      <c r="CO982" s="21"/>
      <c r="CP982" s="21"/>
      <c r="CQ982" s="21"/>
      <c r="CR982" s="21"/>
      <c r="CS982" s="21"/>
      <c r="CT982" s="21"/>
      <c r="CU982" s="21"/>
      <c r="CV982" s="21"/>
      <c r="CW982" s="21"/>
      <c r="CX982" s="21"/>
      <c r="CY982" s="22"/>
      <c r="CZ982" s="21"/>
      <c r="DA982" s="21"/>
      <c r="DB982" s="21"/>
    </row>
    <row r="983" spans="3:106" s="19" customFormat="1" ht="12"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2"/>
      <c r="AX983" s="21"/>
      <c r="AY983" s="21"/>
      <c r="AZ983" s="21"/>
      <c r="BA983" s="21"/>
      <c r="BB983" s="21"/>
      <c r="BC983" s="21"/>
      <c r="BD983" s="21"/>
      <c r="BE983" s="21"/>
      <c r="BF983" s="21"/>
      <c r="BG983" s="21"/>
      <c r="BH983" s="21"/>
      <c r="BI983" s="21"/>
      <c r="BJ983" s="21"/>
      <c r="BK983" s="21"/>
      <c r="BL983" s="21"/>
      <c r="BM983" s="21"/>
      <c r="BN983" s="21"/>
      <c r="BO983" s="21"/>
      <c r="BP983" s="21"/>
      <c r="BQ983" s="21"/>
      <c r="BR983" s="21"/>
      <c r="BS983" s="21"/>
      <c r="BT983" s="21"/>
      <c r="BU983" s="21"/>
      <c r="BV983" s="21"/>
      <c r="BW983" s="21"/>
      <c r="BX983" s="21"/>
      <c r="BY983" s="21"/>
      <c r="BZ983" s="21"/>
      <c r="CA983" s="21"/>
      <c r="CB983" s="21"/>
      <c r="CC983" s="21"/>
      <c r="CD983" s="21"/>
      <c r="CE983" s="21"/>
      <c r="CF983" s="21"/>
      <c r="CG983" s="21"/>
      <c r="CH983" s="21"/>
      <c r="CI983" s="21"/>
      <c r="CJ983" s="21"/>
      <c r="CK983" s="21"/>
      <c r="CL983" s="21"/>
      <c r="CM983" s="21"/>
      <c r="CN983" s="21"/>
      <c r="CO983" s="21"/>
      <c r="CP983" s="21"/>
      <c r="CQ983" s="21"/>
      <c r="CR983" s="21"/>
      <c r="CS983" s="21"/>
      <c r="CT983" s="21"/>
      <c r="CU983" s="21"/>
      <c r="CV983" s="21"/>
      <c r="CW983" s="21"/>
      <c r="CX983" s="21"/>
      <c r="CY983" s="22"/>
      <c r="CZ983" s="21"/>
      <c r="DA983" s="21"/>
      <c r="DB983" s="21"/>
    </row>
    <row r="984" spans="3:106" s="19" customFormat="1" ht="12"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2"/>
      <c r="AX984" s="21"/>
      <c r="AY984" s="21"/>
      <c r="AZ984" s="21"/>
      <c r="BA984" s="21"/>
      <c r="BB984" s="21"/>
      <c r="BC984" s="21"/>
      <c r="BD984" s="21"/>
      <c r="BE984" s="21"/>
      <c r="BF984" s="21"/>
      <c r="BG984" s="21"/>
      <c r="BH984" s="21"/>
      <c r="BI984" s="21"/>
      <c r="BJ984" s="21"/>
      <c r="BK984" s="21"/>
      <c r="BL984" s="21"/>
      <c r="BM984" s="21"/>
      <c r="BN984" s="21"/>
      <c r="BO984" s="21"/>
      <c r="BP984" s="21"/>
      <c r="BQ984" s="21"/>
      <c r="BR984" s="21"/>
      <c r="BS984" s="21"/>
      <c r="BT984" s="21"/>
      <c r="BU984" s="21"/>
      <c r="BV984" s="21"/>
      <c r="BW984" s="21"/>
      <c r="BX984" s="21"/>
      <c r="BY984" s="21"/>
      <c r="BZ984" s="21"/>
      <c r="CA984" s="21"/>
      <c r="CB984" s="21"/>
      <c r="CC984" s="21"/>
      <c r="CD984" s="21"/>
      <c r="CE984" s="21"/>
      <c r="CF984" s="21"/>
      <c r="CG984" s="21"/>
      <c r="CH984" s="21"/>
      <c r="CI984" s="21"/>
      <c r="CJ984" s="21"/>
      <c r="CK984" s="21"/>
      <c r="CL984" s="21"/>
      <c r="CM984" s="21"/>
      <c r="CN984" s="21"/>
      <c r="CO984" s="21"/>
      <c r="CP984" s="21"/>
      <c r="CQ984" s="21"/>
      <c r="CR984" s="21"/>
      <c r="CS984" s="21"/>
      <c r="CT984" s="21"/>
      <c r="CU984" s="21"/>
      <c r="CV984" s="21"/>
      <c r="CW984" s="21"/>
      <c r="CX984" s="21"/>
      <c r="CY984" s="22"/>
      <c r="CZ984" s="21"/>
      <c r="DA984" s="21"/>
      <c r="DB984" s="21"/>
    </row>
    <row r="985" spans="3:106" s="19" customFormat="1" ht="12"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2"/>
      <c r="AX985" s="21"/>
      <c r="AY985" s="21"/>
      <c r="AZ985" s="21"/>
      <c r="BA985" s="21"/>
      <c r="BB985" s="21"/>
      <c r="BC985" s="21"/>
      <c r="BD985" s="21"/>
      <c r="BE985" s="21"/>
      <c r="BF985" s="21"/>
      <c r="BG985" s="21"/>
      <c r="BH985" s="21"/>
      <c r="BI985" s="21"/>
      <c r="BJ985" s="21"/>
      <c r="BK985" s="21"/>
      <c r="BL985" s="21"/>
      <c r="BM985" s="21"/>
      <c r="BN985" s="21"/>
      <c r="BO985" s="21"/>
      <c r="BP985" s="21"/>
      <c r="BQ985" s="21"/>
      <c r="BR985" s="21"/>
      <c r="BS985" s="21"/>
      <c r="BT985" s="21"/>
      <c r="BU985" s="21"/>
      <c r="BV985" s="21"/>
      <c r="BW985" s="21"/>
      <c r="BX985" s="21"/>
      <c r="BY985" s="21"/>
      <c r="BZ985" s="21"/>
      <c r="CA985" s="21"/>
      <c r="CB985" s="21"/>
      <c r="CC985" s="21"/>
      <c r="CD985" s="21"/>
      <c r="CE985" s="21"/>
      <c r="CF985" s="21"/>
      <c r="CG985" s="21"/>
      <c r="CH985" s="21"/>
      <c r="CI985" s="21"/>
      <c r="CJ985" s="21"/>
      <c r="CK985" s="21"/>
      <c r="CL985" s="21"/>
      <c r="CM985" s="21"/>
      <c r="CN985" s="21"/>
      <c r="CO985" s="21"/>
      <c r="CP985" s="21"/>
      <c r="CQ985" s="21"/>
      <c r="CR985" s="21"/>
      <c r="CS985" s="21"/>
      <c r="CT985" s="21"/>
      <c r="CU985" s="21"/>
      <c r="CV985" s="21"/>
      <c r="CW985" s="21"/>
      <c r="CX985" s="21"/>
      <c r="CY985" s="22"/>
      <c r="CZ985" s="21"/>
      <c r="DA985" s="21"/>
      <c r="DB985" s="21"/>
    </row>
    <row r="986" spans="3:106" s="19" customFormat="1" ht="12"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2"/>
      <c r="AX986" s="21"/>
      <c r="AY986" s="21"/>
      <c r="AZ986" s="21"/>
      <c r="BA986" s="21"/>
      <c r="BB986" s="21"/>
      <c r="BC986" s="21"/>
      <c r="BD986" s="21"/>
      <c r="BE986" s="21"/>
      <c r="BF986" s="21"/>
      <c r="BG986" s="21"/>
      <c r="BH986" s="21"/>
      <c r="BI986" s="21"/>
      <c r="BJ986" s="21"/>
      <c r="BK986" s="21"/>
      <c r="BL986" s="21"/>
      <c r="BM986" s="21"/>
      <c r="BN986" s="21"/>
      <c r="BO986" s="21"/>
      <c r="BP986" s="21"/>
      <c r="BQ986" s="21"/>
      <c r="BR986" s="21"/>
      <c r="BS986" s="21"/>
      <c r="BT986" s="21"/>
      <c r="BU986" s="21"/>
      <c r="BV986" s="21"/>
      <c r="BW986" s="21"/>
      <c r="BX986" s="21"/>
      <c r="BY986" s="21"/>
      <c r="BZ986" s="21"/>
      <c r="CA986" s="21"/>
      <c r="CB986" s="21"/>
      <c r="CC986" s="21"/>
      <c r="CD986" s="21"/>
      <c r="CE986" s="21"/>
      <c r="CF986" s="21"/>
      <c r="CG986" s="21"/>
      <c r="CH986" s="21"/>
      <c r="CI986" s="21"/>
      <c r="CJ986" s="21"/>
      <c r="CK986" s="21"/>
      <c r="CL986" s="21"/>
      <c r="CM986" s="21"/>
      <c r="CN986" s="21"/>
      <c r="CO986" s="21"/>
      <c r="CP986" s="21"/>
      <c r="CQ986" s="21"/>
      <c r="CR986" s="21"/>
      <c r="CS986" s="21"/>
      <c r="CT986" s="21"/>
      <c r="CU986" s="21"/>
      <c r="CV986" s="21"/>
      <c r="CW986" s="21"/>
      <c r="CX986" s="21"/>
      <c r="CY986" s="22"/>
      <c r="CZ986" s="21"/>
      <c r="DA986" s="21"/>
      <c r="DB986" s="21"/>
    </row>
    <row r="987" spans="3:106" s="19" customFormat="1" ht="12"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2"/>
      <c r="AX987" s="21"/>
      <c r="AY987" s="21"/>
      <c r="AZ987" s="21"/>
      <c r="BA987" s="21"/>
      <c r="BB987" s="21"/>
      <c r="BC987" s="21"/>
      <c r="BD987" s="21"/>
      <c r="BE987" s="21"/>
      <c r="BF987" s="21"/>
      <c r="BG987" s="21"/>
      <c r="BH987" s="21"/>
      <c r="BI987" s="21"/>
      <c r="BJ987" s="21"/>
      <c r="BK987" s="21"/>
      <c r="BL987" s="21"/>
      <c r="BM987" s="21"/>
      <c r="BN987" s="21"/>
      <c r="BO987" s="21"/>
      <c r="BP987" s="21"/>
      <c r="BQ987" s="21"/>
      <c r="BR987" s="21"/>
      <c r="BS987" s="21"/>
      <c r="BT987" s="21"/>
      <c r="BU987" s="21"/>
      <c r="BV987" s="21"/>
      <c r="BW987" s="21"/>
      <c r="BX987" s="21"/>
      <c r="BY987" s="21"/>
      <c r="BZ987" s="21"/>
      <c r="CA987" s="21"/>
      <c r="CB987" s="21"/>
      <c r="CC987" s="21"/>
      <c r="CD987" s="21"/>
      <c r="CE987" s="21"/>
      <c r="CF987" s="21"/>
      <c r="CG987" s="21"/>
      <c r="CH987" s="21"/>
      <c r="CI987" s="21"/>
      <c r="CJ987" s="21"/>
      <c r="CK987" s="21"/>
      <c r="CL987" s="21"/>
      <c r="CM987" s="21"/>
      <c r="CN987" s="21"/>
      <c r="CO987" s="21"/>
      <c r="CP987" s="21"/>
      <c r="CQ987" s="21"/>
      <c r="CR987" s="21"/>
      <c r="CS987" s="21"/>
      <c r="CT987" s="21"/>
      <c r="CU987" s="21"/>
      <c r="CV987" s="21"/>
      <c r="CW987" s="21"/>
      <c r="CX987" s="21"/>
      <c r="CY987" s="22"/>
      <c r="CZ987" s="21"/>
      <c r="DA987" s="21"/>
      <c r="DB987" s="21"/>
    </row>
    <row r="988" spans="3:106" s="19" customFormat="1" ht="12"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2"/>
      <c r="AX988" s="21"/>
      <c r="AY988" s="21"/>
      <c r="AZ988" s="21"/>
      <c r="BA988" s="21"/>
      <c r="BB988" s="21"/>
      <c r="BC988" s="21"/>
      <c r="BD988" s="21"/>
      <c r="BE988" s="21"/>
      <c r="BF988" s="21"/>
      <c r="BG988" s="21"/>
      <c r="BH988" s="21"/>
      <c r="BI988" s="21"/>
      <c r="BJ988" s="21"/>
      <c r="BK988" s="21"/>
      <c r="BL988" s="21"/>
      <c r="BM988" s="21"/>
      <c r="BN988" s="21"/>
      <c r="BO988" s="21"/>
      <c r="BP988" s="21"/>
      <c r="BQ988" s="21"/>
      <c r="BR988" s="21"/>
      <c r="BS988" s="21"/>
      <c r="BT988" s="21"/>
      <c r="BU988" s="21"/>
      <c r="BV988" s="21"/>
      <c r="BW988" s="21"/>
      <c r="BX988" s="21"/>
      <c r="BY988" s="21"/>
      <c r="BZ988" s="21"/>
      <c r="CA988" s="21"/>
      <c r="CB988" s="21"/>
      <c r="CC988" s="21"/>
      <c r="CD988" s="21"/>
      <c r="CE988" s="21"/>
      <c r="CF988" s="21"/>
      <c r="CG988" s="21"/>
      <c r="CH988" s="21"/>
      <c r="CI988" s="21"/>
      <c r="CJ988" s="21"/>
      <c r="CK988" s="21"/>
      <c r="CL988" s="21"/>
      <c r="CM988" s="21"/>
      <c r="CN988" s="21"/>
      <c r="CO988" s="21"/>
      <c r="CP988" s="21"/>
      <c r="CQ988" s="21"/>
      <c r="CR988" s="21"/>
      <c r="CS988" s="21"/>
      <c r="CT988" s="21"/>
      <c r="CU988" s="21"/>
      <c r="CV988" s="21"/>
      <c r="CW988" s="21"/>
      <c r="CX988" s="21"/>
      <c r="CY988" s="22"/>
      <c r="CZ988" s="21"/>
      <c r="DA988" s="21"/>
      <c r="DB988" s="21"/>
    </row>
    <row r="989" spans="3:106" s="19" customFormat="1" ht="12"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2"/>
      <c r="AX989" s="21"/>
      <c r="AY989" s="21"/>
      <c r="AZ989" s="21"/>
      <c r="BA989" s="21"/>
      <c r="BB989" s="21"/>
      <c r="BC989" s="21"/>
      <c r="BD989" s="21"/>
      <c r="BE989" s="21"/>
      <c r="BF989" s="21"/>
      <c r="BG989" s="21"/>
      <c r="BH989" s="21"/>
      <c r="BI989" s="21"/>
      <c r="BJ989" s="21"/>
      <c r="BK989" s="21"/>
      <c r="BL989" s="21"/>
      <c r="BM989" s="21"/>
      <c r="BN989" s="21"/>
      <c r="BO989" s="21"/>
      <c r="BP989" s="21"/>
      <c r="BQ989" s="21"/>
      <c r="BR989" s="21"/>
      <c r="BS989" s="21"/>
      <c r="BT989" s="21"/>
      <c r="BU989" s="21"/>
      <c r="BV989" s="21"/>
      <c r="BW989" s="21"/>
      <c r="BX989" s="21"/>
      <c r="BY989" s="21"/>
      <c r="BZ989" s="21"/>
      <c r="CA989" s="21"/>
      <c r="CB989" s="21"/>
      <c r="CC989" s="21"/>
      <c r="CD989" s="21"/>
      <c r="CE989" s="21"/>
      <c r="CF989" s="21"/>
      <c r="CG989" s="21"/>
      <c r="CH989" s="21"/>
      <c r="CI989" s="21"/>
      <c r="CJ989" s="21"/>
      <c r="CK989" s="21"/>
      <c r="CL989" s="21"/>
      <c r="CM989" s="21"/>
      <c r="CN989" s="21"/>
      <c r="CO989" s="21"/>
      <c r="CP989" s="21"/>
      <c r="CQ989" s="21"/>
      <c r="CR989" s="21"/>
      <c r="CS989" s="21"/>
      <c r="CT989" s="21"/>
      <c r="CU989" s="21"/>
      <c r="CV989" s="21"/>
      <c r="CW989" s="21"/>
      <c r="CX989" s="21"/>
      <c r="CY989" s="22"/>
      <c r="CZ989" s="21"/>
      <c r="DA989" s="21"/>
      <c r="DB989" s="21"/>
    </row>
    <row r="990" spans="3:106" s="19" customFormat="1" ht="12"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2"/>
      <c r="AX990" s="21"/>
      <c r="AY990" s="21"/>
      <c r="AZ990" s="21"/>
      <c r="BA990" s="21"/>
      <c r="BB990" s="21"/>
      <c r="BC990" s="21"/>
      <c r="BD990" s="21"/>
      <c r="BE990" s="21"/>
      <c r="BF990" s="21"/>
      <c r="BG990" s="21"/>
      <c r="BH990" s="21"/>
      <c r="BI990" s="21"/>
      <c r="BJ990" s="21"/>
      <c r="BK990" s="21"/>
      <c r="BL990" s="21"/>
      <c r="BM990" s="21"/>
      <c r="BN990" s="21"/>
      <c r="BO990" s="21"/>
      <c r="BP990" s="21"/>
      <c r="BQ990" s="21"/>
      <c r="BR990" s="21"/>
      <c r="BS990" s="21"/>
      <c r="BT990" s="21"/>
      <c r="BU990" s="21"/>
      <c r="BV990" s="21"/>
      <c r="BW990" s="21"/>
      <c r="BX990" s="21"/>
      <c r="BY990" s="21"/>
      <c r="BZ990" s="21"/>
      <c r="CA990" s="21"/>
      <c r="CB990" s="21"/>
      <c r="CC990" s="21"/>
      <c r="CD990" s="21"/>
      <c r="CE990" s="21"/>
      <c r="CF990" s="21"/>
      <c r="CG990" s="21"/>
      <c r="CH990" s="21"/>
      <c r="CI990" s="21"/>
      <c r="CJ990" s="21"/>
      <c r="CK990" s="21"/>
      <c r="CL990" s="21"/>
      <c r="CM990" s="21"/>
      <c r="CN990" s="21"/>
      <c r="CO990" s="21"/>
      <c r="CP990" s="21"/>
      <c r="CQ990" s="21"/>
      <c r="CR990" s="21"/>
      <c r="CS990" s="21"/>
      <c r="CT990" s="21"/>
      <c r="CU990" s="21"/>
      <c r="CV990" s="21"/>
      <c r="CW990" s="21"/>
      <c r="CX990" s="21"/>
      <c r="CY990" s="22"/>
      <c r="CZ990" s="21"/>
      <c r="DA990" s="21"/>
      <c r="DB990" s="21"/>
    </row>
    <row r="991" spans="3:106" s="19" customFormat="1" ht="12"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2"/>
      <c r="AX991" s="21"/>
      <c r="AY991" s="21"/>
      <c r="AZ991" s="21"/>
      <c r="BA991" s="21"/>
      <c r="BB991" s="21"/>
      <c r="BC991" s="21"/>
      <c r="BD991" s="21"/>
      <c r="BE991" s="21"/>
      <c r="BF991" s="21"/>
      <c r="BG991" s="21"/>
      <c r="BH991" s="21"/>
      <c r="BI991" s="21"/>
      <c r="BJ991" s="21"/>
      <c r="BK991" s="21"/>
      <c r="BL991" s="21"/>
      <c r="BM991" s="21"/>
      <c r="BN991" s="21"/>
      <c r="BO991" s="21"/>
      <c r="BP991" s="21"/>
      <c r="BQ991" s="21"/>
      <c r="BR991" s="21"/>
      <c r="BS991" s="21"/>
      <c r="BT991" s="21"/>
      <c r="BU991" s="21"/>
      <c r="BV991" s="21"/>
      <c r="BW991" s="21"/>
      <c r="BX991" s="21"/>
      <c r="BY991" s="21"/>
      <c r="BZ991" s="21"/>
      <c r="CA991" s="21"/>
      <c r="CB991" s="21"/>
      <c r="CC991" s="21"/>
      <c r="CD991" s="21"/>
      <c r="CE991" s="21"/>
      <c r="CF991" s="21"/>
      <c r="CG991" s="21"/>
      <c r="CH991" s="21"/>
      <c r="CI991" s="21"/>
      <c r="CJ991" s="21"/>
      <c r="CK991" s="21"/>
      <c r="CL991" s="21"/>
      <c r="CM991" s="21"/>
      <c r="CN991" s="21"/>
      <c r="CO991" s="21"/>
      <c r="CP991" s="21"/>
      <c r="CQ991" s="21"/>
      <c r="CR991" s="21"/>
      <c r="CS991" s="21"/>
      <c r="CT991" s="21"/>
      <c r="CU991" s="21"/>
      <c r="CV991" s="21"/>
      <c r="CW991" s="21"/>
      <c r="CX991" s="21"/>
      <c r="CY991" s="22"/>
      <c r="CZ991" s="21"/>
      <c r="DA991" s="21"/>
      <c r="DB991" s="21"/>
    </row>
    <row r="992" spans="3:106" s="19" customFormat="1" ht="12"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2"/>
      <c r="AX992" s="21"/>
      <c r="AY992" s="21"/>
      <c r="AZ992" s="21"/>
      <c r="BA992" s="21"/>
      <c r="BB992" s="21"/>
      <c r="BC992" s="21"/>
      <c r="BD992" s="21"/>
      <c r="BE992" s="21"/>
      <c r="BF992" s="21"/>
      <c r="BG992" s="21"/>
      <c r="BH992" s="21"/>
      <c r="BI992" s="21"/>
      <c r="BJ992" s="21"/>
      <c r="BK992" s="21"/>
      <c r="BL992" s="21"/>
      <c r="BM992" s="21"/>
      <c r="BN992" s="21"/>
      <c r="BO992" s="21"/>
      <c r="BP992" s="21"/>
      <c r="BQ992" s="21"/>
      <c r="BR992" s="21"/>
      <c r="BS992" s="21"/>
      <c r="BT992" s="21"/>
      <c r="BU992" s="21"/>
      <c r="BV992" s="21"/>
      <c r="BW992" s="21"/>
      <c r="BX992" s="21"/>
      <c r="BY992" s="21"/>
      <c r="BZ992" s="21"/>
      <c r="CA992" s="21"/>
      <c r="CB992" s="21"/>
      <c r="CC992" s="21"/>
      <c r="CD992" s="21"/>
      <c r="CE992" s="21"/>
      <c r="CF992" s="21"/>
      <c r="CG992" s="21"/>
      <c r="CH992" s="21"/>
      <c r="CI992" s="21"/>
      <c r="CJ992" s="21"/>
      <c r="CK992" s="21"/>
      <c r="CL992" s="21"/>
      <c r="CM992" s="21"/>
      <c r="CN992" s="21"/>
      <c r="CO992" s="21"/>
      <c r="CP992" s="21"/>
      <c r="CQ992" s="21"/>
      <c r="CR992" s="21"/>
      <c r="CS992" s="21"/>
      <c r="CT992" s="21"/>
      <c r="CU992" s="21"/>
      <c r="CV992" s="21"/>
      <c r="CW992" s="21"/>
      <c r="CX992" s="21"/>
      <c r="CY992" s="22"/>
      <c r="CZ992" s="21"/>
      <c r="DA992" s="21"/>
      <c r="DB992" s="21"/>
    </row>
    <row r="993" spans="3:106" s="19" customFormat="1" ht="12"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2"/>
      <c r="AX993" s="21"/>
      <c r="AY993" s="21"/>
      <c r="AZ993" s="21"/>
      <c r="BA993" s="21"/>
      <c r="BB993" s="21"/>
      <c r="BC993" s="21"/>
      <c r="BD993" s="21"/>
      <c r="BE993" s="21"/>
      <c r="BF993" s="21"/>
      <c r="BG993" s="21"/>
      <c r="BH993" s="21"/>
      <c r="BI993" s="21"/>
      <c r="BJ993" s="21"/>
      <c r="BK993" s="21"/>
      <c r="BL993" s="21"/>
      <c r="BM993" s="21"/>
      <c r="BN993" s="21"/>
      <c r="BO993" s="21"/>
      <c r="BP993" s="21"/>
      <c r="BQ993" s="21"/>
      <c r="BR993" s="21"/>
      <c r="BS993" s="21"/>
      <c r="BT993" s="21"/>
      <c r="BU993" s="21"/>
      <c r="BV993" s="21"/>
      <c r="BW993" s="21"/>
      <c r="BX993" s="21"/>
      <c r="BY993" s="21"/>
      <c r="BZ993" s="21"/>
      <c r="CA993" s="21"/>
      <c r="CB993" s="21"/>
      <c r="CC993" s="21"/>
      <c r="CD993" s="21"/>
      <c r="CE993" s="21"/>
      <c r="CF993" s="21"/>
      <c r="CG993" s="21"/>
      <c r="CH993" s="21"/>
      <c r="CI993" s="21"/>
      <c r="CJ993" s="21"/>
      <c r="CK993" s="21"/>
      <c r="CL993" s="21"/>
      <c r="CM993" s="21"/>
      <c r="CN993" s="21"/>
      <c r="CO993" s="21"/>
      <c r="CP993" s="21"/>
      <c r="CQ993" s="21"/>
      <c r="CR993" s="21"/>
      <c r="CS993" s="21"/>
      <c r="CT993" s="21"/>
      <c r="CU993" s="21"/>
      <c r="CV993" s="21"/>
      <c r="CW993" s="21"/>
      <c r="CX993" s="21"/>
      <c r="CY993" s="22"/>
      <c r="CZ993" s="21"/>
      <c r="DA993" s="21"/>
      <c r="DB993" s="21"/>
    </row>
    <row r="994" spans="3:106" s="19" customFormat="1" ht="12"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2"/>
      <c r="AX994" s="21"/>
      <c r="AY994" s="21"/>
      <c r="AZ994" s="21"/>
      <c r="BA994" s="21"/>
      <c r="BB994" s="21"/>
      <c r="BC994" s="21"/>
      <c r="BD994" s="21"/>
      <c r="BE994" s="21"/>
      <c r="BF994" s="21"/>
      <c r="BG994" s="21"/>
      <c r="BH994" s="21"/>
      <c r="BI994" s="21"/>
      <c r="BJ994" s="21"/>
      <c r="BK994" s="21"/>
      <c r="BL994" s="21"/>
      <c r="BM994" s="21"/>
      <c r="BN994" s="21"/>
      <c r="BO994" s="21"/>
      <c r="BP994" s="21"/>
      <c r="BQ994" s="21"/>
      <c r="BR994" s="21"/>
      <c r="BS994" s="21"/>
      <c r="BT994" s="21"/>
      <c r="BU994" s="21"/>
      <c r="BV994" s="21"/>
      <c r="BW994" s="21"/>
      <c r="BX994" s="21"/>
      <c r="BY994" s="21"/>
      <c r="BZ994" s="21"/>
      <c r="CA994" s="21"/>
      <c r="CB994" s="21"/>
      <c r="CC994" s="21"/>
      <c r="CD994" s="21"/>
      <c r="CE994" s="21"/>
      <c r="CF994" s="21"/>
      <c r="CG994" s="21"/>
      <c r="CH994" s="21"/>
      <c r="CI994" s="21"/>
      <c r="CJ994" s="21"/>
      <c r="CK994" s="21"/>
      <c r="CL994" s="21"/>
      <c r="CM994" s="21"/>
      <c r="CN994" s="21"/>
      <c r="CO994" s="21"/>
      <c r="CP994" s="21"/>
      <c r="CQ994" s="21"/>
      <c r="CR994" s="21"/>
      <c r="CS994" s="21"/>
      <c r="CT994" s="21"/>
      <c r="CU994" s="21"/>
      <c r="CV994" s="21"/>
      <c r="CW994" s="21"/>
      <c r="CX994" s="21"/>
      <c r="CY994" s="22"/>
      <c r="CZ994" s="21"/>
      <c r="DA994" s="21"/>
      <c r="DB994" s="21"/>
    </row>
    <row r="995" spans="3:106" s="19" customFormat="1" ht="12"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2"/>
      <c r="AX995" s="21"/>
      <c r="AY995" s="21"/>
      <c r="AZ995" s="21"/>
      <c r="BA995" s="21"/>
      <c r="BB995" s="21"/>
      <c r="BC995" s="21"/>
      <c r="BD995" s="21"/>
      <c r="BE995" s="21"/>
      <c r="BF995" s="21"/>
      <c r="BG995" s="21"/>
      <c r="BH995" s="21"/>
      <c r="BI995" s="21"/>
      <c r="BJ995" s="21"/>
      <c r="BK995" s="21"/>
      <c r="BL995" s="21"/>
      <c r="BM995" s="21"/>
      <c r="BN995" s="21"/>
      <c r="BO995" s="21"/>
      <c r="BP995" s="21"/>
      <c r="BQ995" s="21"/>
      <c r="BR995" s="21"/>
      <c r="BS995" s="21"/>
      <c r="BT995" s="21"/>
      <c r="BU995" s="21"/>
      <c r="BV995" s="21"/>
      <c r="BW995" s="21"/>
      <c r="BX995" s="21"/>
      <c r="BY995" s="21"/>
      <c r="BZ995" s="21"/>
      <c r="CA995" s="21"/>
      <c r="CB995" s="21"/>
      <c r="CC995" s="21"/>
      <c r="CD995" s="21"/>
      <c r="CE995" s="21"/>
      <c r="CF995" s="21"/>
      <c r="CG995" s="21"/>
      <c r="CH995" s="21"/>
      <c r="CI995" s="21"/>
      <c r="CJ995" s="21"/>
      <c r="CK995" s="21"/>
      <c r="CL995" s="21"/>
      <c r="CM995" s="21"/>
      <c r="CN995" s="21"/>
      <c r="CO995" s="21"/>
      <c r="CP995" s="21"/>
      <c r="CQ995" s="21"/>
      <c r="CR995" s="21"/>
      <c r="CS995" s="21"/>
      <c r="CT995" s="21"/>
      <c r="CU995" s="21"/>
      <c r="CV995" s="21"/>
      <c r="CW995" s="21"/>
      <c r="CX995" s="21"/>
      <c r="CY995" s="22"/>
      <c r="CZ995" s="21"/>
      <c r="DA995" s="21"/>
      <c r="DB995" s="21"/>
    </row>
    <row r="996" spans="3:106" s="19" customFormat="1" ht="12"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2"/>
      <c r="AX996" s="21"/>
      <c r="AY996" s="21"/>
      <c r="AZ996" s="21"/>
      <c r="BA996" s="21"/>
      <c r="BB996" s="21"/>
      <c r="BC996" s="21"/>
      <c r="BD996" s="21"/>
      <c r="BE996" s="21"/>
      <c r="BF996" s="21"/>
      <c r="BG996" s="21"/>
      <c r="BH996" s="21"/>
      <c r="BI996" s="21"/>
      <c r="BJ996" s="21"/>
      <c r="BK996" s="21"/>
      <c r="BL996" s="21"/>
      <c r="BM996" s="21"/>
      <c r="BN996" s="21"/>
      <c r="BO996" s="21"/>
      <c r="BP996" s="21"/>
      <c r="BQ996" s="21"/>
      <c r="BR996" s="21"/>
      <c r="BS996" s="21"/>
      <c r="BT996" s="21"/>
      <c r="BU996" s="21"/>
      <c r="BV996" s="21"/>
      <c r="BW996" s="21"/>
      <c r="BX996" s="21"/>
      <c r="BY996" s="21"/>
      <c r="BZ996" s="21"/>
      <c r="CA996" s="21"/>
      <c r="CB996" s="21"/>
      <c r="CC996" s="21"/>
      <c r="CD996" s="21"/>
      <c r="CE996" s="21"/>
      <c r="CF996" s="21"/>
      <c r="CG996" s="21"/>
      <c r="CH996" s="21"/>
      <c r="CI996" s="21"/>
      <c r="CJ996" s="21"/>
      <c r="CK996" s="21"/>
      <c r="CL996" s="21"/>
      <c r="CM996" s="21"/>
      <c r="CN996" s="21"/>
      <c r="CO996" s="21"/>
      <c r="CP996" s="21"/>
      <c r="CQ996" s="21"/>
      <c r="CR996" s="21"/>
      <c r="CS996" s="21"/>
      <c r="CT996" s="21"/>
      <c r="CU996" s="21"/>
      <c r="CV996" s="21"/>
      <c r="CW996" s="21"/>
      <c r="CX996" s="21"/>
      <c r="CY996" s="22"/>
      <c r="CZ996" s="21"/>
      <c r="DA996" s="21"/>
      <c r="DB996" s="21"/>
    </row>
    <row r="997" spans="3:106" s="19" customFormat="1" ht="12"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2"/>
      <c r="AX997" s="21"/>
      <c r="AY997" s="21"/>
      <c r="AZ997" s="21"/>
      <c r="BA997" s="21"/>
      <c r="BB997" s="21"/>
      <c r="BC997" s="21"/>
      <c r="BD997" s="21"/>
      <c r="BE997" s="21"/>
      <c r="BF997" s="21"/>
      <c r="BG997" s="21"/>
      <c r="BH997" s="21"/>
      <c r="BI997" s="21"/>
      <c r="BJ997" s="21"/>
      <c r="BK997" s="21"/>
      <c r="BL997" s="21"/>
      <c r="BM997" s="21"/>
      <c r="BN997" s="21"/>
      <c r="BO997" s="21"/>
      <c r="BP997" s="21"/>
      <c r="BQ997" s="21"/>
      <c r="BR997" s="21"/>
      <c r="BS997" s="21"/>
      <c r="BT997" s="21"/>
      <c r="BU997" s="21"/>
      <c r="BV997" s="21"/>
      <c r="BW997" s="21"/>
      <c r="BX997" s="21"/>
      <c r="BY997" s="21"/>
      <c r="BZ997" s="21"/>
      <c r="CA997" s="21"/>
      <c r="CB997" s="21"/>
      <c r="CC997" s="21"/>
      <c r="CD997" s="21"/>
      <c r="CE997" s="21"/>
      <c r="CF997" s="21"/>
      <c r="CG997" s="21"/>
      <c r="CH997" s="21"/>
      <c r="CI997" s="21"/>
      <c r="CJ997" s="21"/>
      <c r="CK997" s="21"/>
      <c r="CL997" s="21"/>
      <c r="CM997" s="21"/>
      <c r="CN997" s="21"/>
      <c r="CO997" s="21"/>
      <c r="CP997" s="21"/>
      <c r="CQ997" s="21"/>
      <c r="CR997" s="21"/>
      <c r="CS997" s="21"/>
      <c r="CT997" s="21"/>
      <c r="CU997" s="21"/>
      <c r="CV997" s="21"/>
      <c r="CW997" s="21"/>
      <c r="CX997" s="21"/>
      <c r="CY997" s="22"/>
      <c r="CZ997" s="21"/>
      <c r="DA997" s="21"/>
      <c r="DB997" s="21"/>
    </row>
    <row r="998" spans="3:106" s="19" customFormat="1" ht="12"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2"/>
      <c r="AX998" s="21"/>
      <c r="AY998" s="21"/>
      <c r="AZ998" s="21"/>
      <c r="BA998" s="21"/>
      <c r="BB998" s="21"/>
      <c r="BC998" s="21"/>
      <c r="BD998" s="21"/>
      <c r="BE998" s="21"/>
      <c r="BF998" s="21"/>
      <c r="BG998" s="21"/>
      <c r="BH998" s="21"/>
      <c r="BI998" s="21"/>
      <c r="BJ998" s="21"/>
      <c r="BK998" s="21"/>
      <c r="BL998" s="21"/>
      <c r="BM998" s="21"/>
      <c r="BN998" s="21"/>
      <c r="BO998" s="21"/>
      <c r="BP998" s="21"/>
      <c r="BQ998" s="21"/>
      <c r="BR998" s="21"/>
      <c r="BS998" s="21"/>
      <c r="BT998" s="21"/>
      <c r="BU998" s="21"/>
      <c r="BV998" s="21"/>
      <c r="BW998" s="21"/>
      <c r="BX998" s="21"/>
      <c r="BY998" s="21"/>
      <c r="BZ998" s="21"/>
      <c r="CA998" s="21"/>
      <c r="CB998" s="21"/>
      <c r="CC998" s="21"/>
      <c r="CD998" s="21"/>
      <c r="CE998" s="21"/>
      <c r="CF998" s="21"/>
      <c r="CG998" s="21"/>
      <c r="CH998" s="21"/>
      <c r="CI998" s="21"/>
      <c r="CJ998" s="21"/>
      <c r="CK998" s="21"/>
      <c r="CL998" s="21"/>
      <c r="CM998" s="21"/>
      <c r="CN998" s="21"/>
      <c r="CO998" s="21"/>
      <c r="CP998" s="21"/>
      <c r="CQ998" s="21"/>
      <c r="CR998" s="21"/>
      <c r="CS998" s="21"/>
      <c r="CT998" s="21"/>
      <c r="CU998" s="21"/>
      <c r="CV998" s="21"/>
      <c r="CW998" s="21"/>
      <c r="CX998" s="21"/>
      <c r="CY998" s="22"/>
      <c r="CZ998" s="21"/>
      <c r="DA998" s="21"/>
      <c r="DB998" s="21"/>
    </row>
    <row r="999" spans="3:106" s="19" customFormat="1" ht="12"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2"/>
      <c r="AX999" s="21"/>
      <c r="AY999" s="21"/>
      <c r="AZ999" s="21"/>
      <c r="BA999" s="21"/>
      <c r="BB999" s="21"/>
      <c r="BC999" s="21"/>
      <c r="BD999" s="21"/>
      <c r="BE999" s="21"/>
      <c r="BF999" s="21"/>
      <c r="BG999" s="21"/>
      <c r="BH999" s="21"/>
      <c r="BI999" s="21"/>
      <c r="BJ999" s="21"/>
      <c r="BK999" s="21"/>
      <c r="BL999" s="21"/>
      <c r="BM999" s="21"/>
      <c r="BN999" s="21"/>
      <c r="BO999" s="21"/>
      <c r="BP999" s="21"/>
      <c r="BQ999" s="21"/>
      <c r="BR999" s="21"/>
      <c r="BS999" s="21"/>
      <c r="BT999" s="21"/>
      <c r="BU999" s="21"/>
      <c r="BV999" s="21"/>
      <c r="BW999" s="21"/>
      <c r="BX999" s="21"/>
      <c r="BY999" s="21"/>
      <c r="BZ999" s="21"/>
      <c r="CA999" s="21"/>
      <c r="CB999" s="21"/>
      <c r="CC999" s="21"/>
      <c r="CD999" s="21"/>
      <c r="CE999" s="21"/>
      <c r="CF999" s="21"/>
      <c r="CG999" s="21"/>
      <c r="CH999" s="21"/>
      <c r="CI999" s="21"/>
      <c r="CJ999" s="21"/>
      <c r="CK999" s="21"/>
      <c r="CL999" s="21"/>
      <c r="CM999" s="21"/>
      <c r="CN999" s="21"/>
      <c r="CO999" s="21"/>
      <c r="CP999" s="21"/>
      <c r="CQ999" s="21"/>
      <c r="CR999" s="21"/>
      <c r="CS999" s="21"/>
      <c r="CT999" s="21"/>
      <c r="CU999" s="21"/>
      <c r="CV999" s="21"/>
      <c r="CW999" s="21"/>
      <c r="CX999" s="21"/>
      <c r="CY999" s="22"/>
      <c r="CZ999" s="21"/>
      <c r="DA999" s="21"/>
      <c r="DB999" s="21"/>
    </row>
    <row r="1000" spans="3:106" s="19" customFormat="1" ht="12"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2"/>
      <c r="AX1000" s="21"/>
      <c r="AY1000" s="21"/>
      <c r="AZ1000" s="21"/>
      <c r="BA1000" s="21"/>
      <c r="BB1000" s="21"/>
      <c r="BC1000" s="21"/>
      <c r="BD1000" s="21"/>
      <c r="BE1000" s="21"/>
      <c r="BF1000" s="21"/>
      <c r="BG1000" s="21"/>
      <c r="BH1000" s="21"/>
      <c r="BI1000" s="21"/>
      <c r="BJ1000" s="21"/>
      <c r="BK1000" s="21"/>
      <c r="BL1000" s="21"/>
      <c r="BM1000" s="21"/>
      <c r="BN1000" s="21"/>
      <c r="BO1000" s="21"/>
      <c r="BP1000" s="21"/>
      <c r="BQ1000" s="21"/>
      <c r="BR1000" s="21"/>
      <c r="BS1000" s="21"/>
      <c r="BT1000" s="21"/>
      <c r="BU1000" s="21"/>
      <c r="BV1000" s="21"/>
      <c r="BW1000" s="21"/>
      <c r="BX1000" s="21"/>
      <c r="BY1000" s="21"/>
      <c r="BZ1000" s="21"/>
      <c r="CA1000" s="21"/>
      <c r="CB1000" s="21"/>
      <c r="CC1000" s="21"/>
      <c r="CD1000" s="21"/>
      <c r="CE1000" s="21"/>
      <c r="CF1000" s="21"/>
      <c r="CG1000" s="21"/>
      <c r="CH1000" s="21"/>
      <c r="CI1000" s="21"/>
      <c r="CJ1000" s="21"/>
      <c r="CK1000" s="21"/>
      <c r="CL1000" s="21"/>
      <c r="CM1000" s="21"/>
      <c r="CN1000" s="21"/>
      <c r="CO1000" s="21"/>
      <c r="CP1000" s="21"/>
      <c r="CQ1000" s="21"/>
      <c r="CR1000" s="21"/>
      <c r="CS1000" s="21"/>
      <c r="CT1000" s="21"/>
      <c r="CU1000" s="21"/>
      <c r="CV1000" s="21"/>
      <c r="CW1000" s="21"/>
      <c r="CX1000" s="21"/>
      <c r="CY1000" s="22"/>
      <c r="CZ1000" s="21"/>
      <c r="DA1000" s="21"/>
      <c r="DB1000" s="21"/>
    </row>
    <row r="1001" spans="3:106" s="19" customFormat="1" ht="12">
      <c r="C1001" s="21"/>
      <c r="D1001" s="21"/>
      <c r="E1001" s="21"/>
      <c r="F1001" s="21"/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2"/>
      <c r="AX1001" s="21"/>
      <c r="AY1001" s="21"/>
      <c r="AZ1001" s="21"/>
      <c r="BA1001" s="21"/>
      <c r="BB1001" s="21"/>
      <c r="BC1001" s="21"/>
      <c r="BD1001" s="21"/>
      <c r="BE1001" s="21"/>
      <c r="BF1001" s="21"/>
      <c r="BG1001" s="21"/>
      <c r="BH1001" s="21"/>
      <c r="BI1001" s="21"/>
      <c r="BJ1001" s="21"/>
      <c r="BK1001" s="21"/>
      <c r="BL1001" s="21"/>
      <c r="BM1001" s="21"/>
      <c r="BN1001" s="21"/>
      <c r="BO1001" s="21"/>
      <c r="BP1001" s="21"/>
      <c r="BQ1001" s="21"/>
      <c r="BR1001" s="21"/>
      <c r="BS1001" s="21"/>
      <c r="BT1001" s="21"/>
      <c r="BU1001" s="21"/>
      <c r="BV1001" s="21"/>
      <c r="BW1001" s="21"/>
      <c r="BX1001" s="21"/>
      <c r="BY1001" s="21"/>
      <c r="BZ1001" s="21"/>
      <c r="CA1001" s="21"/>
      <c r="CB1001" s="21"/>
      <c r="CC1001" s="21"/>
      <c r="CD1001" s="21"/>
      <c r="CE1001" s="21"/>
      <c r="CF1001" s="21"/>
      <c r="CG1001" s="21"/>
      <c r="CH1001" s="21"/>
      <c r="CI1001" s="21"/>
      <c r="CJ1001" s="21"/>
      <c r="CK1001" s="21"/>
      <c r="CL1001" s="21"/>
      <c r="CM1001" s="21"/>
      <c r="CN1001" s="21"/>
      <c r="CO1001" s="21"/>
      <c r="CP1001" s="21"/>
      <c r="CQ1001" s="21"/>
      <c r="CR1001" s="21"/>
      <c r="CS1001" s="21"/>
      <c r="CT1001" s="21"/>
      <c r="CU1001" s="21"/>
      <c r="CV1001" s="21"/>
      <c r="CW1001" s="21"/>
      <c r="CX1001" s="21"/>
      <c r="CY1001" s="22"/>
      <c r="CZ1001" s="21"/>
      <c r="DA1001" s="21"/>
      <c r="DB1001" s="21"/>
    </row>
    <row r="1002" spans="3:106" s="19" customFormat="1" ht="12">
      <c r="C1002" s="21"/>
      <c r="D1002" s="21"/>
      <c r="E1002" s="21"/>
      <c r="F1002" s="21"/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2"/>
      <c r="AX1002" s="21"/>
      <c r="AY1002" s="21"/>
      <c r="AZ1002" s="21"/>
      <c r="BA1002" s="21"/>
      <c r="BB1002" s="21"/>
      <c r="BC1002" s="21"/>
      <c r="BD1002" s="21"/>
      <c r="BE1002" s="21"/>
      <c r="BF1002" s="21"/>
      <c r="BG1002" s="21"/>
      <c r="BH1002" s="21"/>
      <c r="BI1002" s="21"/>
      <c r="BJ1002" s="21"/>
      <c r="BK1002" s="21"/>
      <c r="BL1002" s="21"/>
      <c r="BM1002" s="21"/>
      <c r="BN1002" s="21"/>
      <c r="BO1002" s="21"/>
      <c r="BP1002" s="21"/>
      <c r="BQ1002" s="21"/>
      <c r="BR1002" s="21"/>
      <c r="BS1002" s="21"/>
      <c r="BT1002" s="21"/>
      <c r="BU1002" s="21"/>
      <c r="BV1002" s="21"/>
      <c r="BW1002" s="21"/>
      <c r="BX1002" s="21"/>
      <c r="BY1002" s="21"/>
      <c r="BZ1002" s="21"/>
      <c r="CA1002" s="21"/>
      <c r="CB1002" s="21"/>
      <c r="CC1002" s="21"/>
      <c r="CD1002" s="21"/>
      <c r="CE1002" s="21"/>
      <c r="CF1002" s="21"/>
      <c r="CG1002" s="21"/>
      <c r="CH1002" s="21"/>
      <c r="CI1002" s="21"/>
      <c r="CJ1002" s="21"/>
      <c r="CK1002" s="21"/>
      <c r="CL1002" s="21"/>
      <c r="CM1002" s="21"/>
      <c r="CN1002" s="21"/>
      <c r="CO1002" s="21"/>
      <c r="CP1002" s="21"/>
      <c r="CQ1002" s="21"/>
      <c r="CR1002" s="21"/>
      <c r="CS1002" s="21"/>
      <c r="CT1002" s="21"/>
      <c r="CU1002" s="21"/>
      <c r="CV1002" s="21"/>
      <c r="CW1002" s="21"/>
      <c r="CX1002" s="21"/>
      <c r="CY1002" s="22"/>
      <c r="CZ1002" s="21"/>
      <c r="DA1002" s="21"/>
      <c r="DB1002" s="21"/>
    </row>
    <row r="1003" spans="3:106" s="19" customFormat="1" ht="12">
      <c r="C1003" s="21"/>
      <c r="D1003" s="21"/>
      <c r="E1003" s="21"/>
      <c r="F1003" s="21"/>
      <c r="G1003" s="21"/>
      <c r="H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2"/>
      <c r="AX1003" s="21"/>
      <c r="AY1003" s="21"/>
      <c r="AZ1003" s="21"/>
      <c r="BA1003" s="21"/>
      <c r="BB1003" s="21"/>
      <c r="BC1003" s="21"/>
      <c r="BD1003" s="21"/>
      <c r="BE1003" s="21"/>
      <c r="BF1003" s="21"/>
      <c r="BG1003" s="21"/>
      <c r="BH1003" s="21"/>
      <c r="BI1003" s="21"/>
      <c r="BJ1003" s="21"/>
      <c r="BK1003" s="21"/>
      <c r="BL1003" s="21"/>
      <c r="BM1003" s="21"/>
      <c r="BN1003" s="21"/>
      <c r="BO1003" s="21"/>
      <c r="BP1003" s="21"/>
      <c r="BQ1003" s="21"/>
      <c r="BR1003" s="21"/>
      <c r="BS1003" s="21"/>
      <c r="BT1003" s="21"/>
      <c r="BU1003" s="21"/>
      <c r="BV1003" s="21"/>
      <c r="BW1003" s="21"/>
      <c r="BX1003" s="21"/>
      <c r="BY1003" s="21"/>
      <c r="BZ1003" s="21"/>
      <c r="CA1003" s="21"/>
      <c r="CB1003" s="21"/>
      <c r="CC1003" s="21"/>
      <c r="CD1003" s="21"/>
      <c r="CE1003" s="21"/>
      <c r="CF1003" s="21"/>
      <c r="CG1003" s="21"/>
      <c r="CH1003" s="21"/>
      <c r="CI1003" s="21"/>
      <c r="CJ1003" s="21"/>
      <c r="CK1003" s="21"/>
      <c r="CL1003" s="21"/>
      <c r="CM1003" s="21"/>
      <c r="CN1003" s="21"/>
      <c r="CO1003" s="21"/>
      <c r="CP1003" s="21"/>
      <c r="CQ1003" s="21"/>
      <c r="CR1003" s="21"/>
      <c r="CS1003" s="21"/>
      <c r="CT1003" s="21"/>
      <c r="CU1003" s="21"/>
      <c r="CV1003" s="21"/>
      <c r="CW1003" s="21"/>
      <c r="CX1003" s="21"/>
      <c r="CY1003" s="22"/>
      <c r="CZ1003" s="21"/>
      <c r="DA1003" s="21"/>
      <c r="DB1003" s="21"/>
    </row>
    <row r="1004" spans="3:106" s="19" customFormat="1" ht="12">
      <c r="C1004" s="21"/>
      <c r="D1004" s="21"/>
      <c r="E1004" s="21"/>
      <c r="F1004" s="21"/>
      <c r="G1004" s="21"/>
      <c r="H1004" s="21"/>
      <c r="I1004" s="21"/>
      <c r="J1004" s="21"/>
      <c r="K1004" s="21"/>
      <c r="L1004" s="21"/>
      <c r="M1004" s="21"/>
      <c r="N1004" s="21"/>
      <c r="O1004" s="21"/>
      <c r="P1004" s="21"/>
      <c r="Q1004" s="21"/>
      <c r="R1004" s="21"/>
      <c r="S1004" s="21"/>
      <c r="T1004" s="21"/>
      <c r="U1004" s="21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2"/>
      <c r="AX1004" s="21"/>
      <c r="AY1004" s="21"/>
      <c r="AZ1004" s="21"/>
      <c r="BA1004" s="21"/>
      <c r="BB1004" s="21"/>
      <c r="BC1004" s="21"/>
      <c r="BD1004" s="21"/>
      <c r="BE1004" s="21"/>
      <c r="BF1004" s="21"/>
      <c r="BG1004" s="21"/>
      <c r="BH1004" s="21"/>
      <c r="BI1004" s="21"/>
      <c r="BJ1004" s="21"/>
      <c r="BK1004" s="21"/>
      <c r="BL1004" s="21"/>
      <c r="BM1004" s="21"/>
      <c r="BN1004" s="21"/>
      <c r="BO1004" s="21"/>
      <c r="BP1004" s="21"/>
      <c r="BQ1004" s="21"/>
      <c r="BR1004" s="21"/>
      <c r="BS1004" s="21"/>
      <c r="BT1004" s="21"/>
      <c r="BU1004" s="21"/>
      <c r="BV1004" s="21"/>
      <c r="BW1004" s="21"/>
      <c r="BX1004" s="21"/>
      <c r="BY1004" s="21"/>
      <c r="BZ1004" s="21"/>
      <c r="CA1004" s="21"/>
      <c r="CB1004" s="21"/>
      <c r="CC1004" s="21"/>
      <c r="CD1004" s="21"/>
      <c r="CE1004" s="21"/>
      <c r="CF1004" s="21"/>
      <c r="CG1004" s="21"/>
      <c r="CH1004" s="21"/>
      <c r="CI1004" s="21"/>
      <c r="CJ1004" s="21"/>
      <c r="CK1004" s="21"/>
      <c r="CL1004" s="21"/>
      <c r="CM1004" s="21"/>
      <c r="CN1004" s="21"/>
      <c r="CO1004" s="21"/>
      <c r="CP1004" s="21"/>
      <c r="CQ1004" s="21"/>
      <c r="CR1004" s="21"/>
      <c r="CS1004" s="21"/>
      <c r="CT1004" s="21"/>
      <c r="CU1004" s="21"/>
      <c r="CV1004" s="21"/>
      <c r="CW1004" s="21"/>
      <c r="CX1004" s="21"/>
      <c r="CY1004" s="22"/>
      <c r="CZ1004" s="21"/>
      <c r="DA1004" s="21"/>
      <c r="DB1004" s="21"/>
    </row>
    <row r="1005" spans="3:106" s="19" customFormat="1" ht="12">
      <c r="C1005" s="21"/>
      <c r="D1005" s="21"/>
      <c r="E1005" s="21"/>
      <c r="F1005" s="21"/>
      <c r="G1005" s="21"/>
      <c r="H1005" s="21"/>
      <c r="I1005" s="21"/>
      <c r="J1005" s="21"/>
      <c r="K1005" s="21"/>
      <c r="L1005" s="21"/>
      <c r="M1005" s="21"/>
      <c r="N1005" s="21"/>
      <c r="O1005" s="21"/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2"/>
      <c r="AX1005" s="21"/>
      <c r="AY1005" s="21"/>
      <c r="AZ1005" s="21"/>
      <c r="BA1005" s="21"/>
      <c r="BB1005" s="21"/>
      <c r="BC1005" s="21"/>
      <c r="BD1005" s="21"/>
      <c r="BE1005" s="21"/>
      <c r="BF1005" s="21"/>
      <c r="BG1005" s="21"/>
      <c r="BH1005" s="21"/>
      <c r="BI1005" s="21"/>
      <c r="BJ1005" s="21"/>
      <c r="BK1005" s="21"/>
      <c r="BL1005" s="21"/>
      <c r="BM1005" s="21"/>
      <c r="BN1005" s="21"/>
      <c r="BO1005" s="21"/>
      <c r="BP1005" s="21"/>
      <c r="BQ1005" s="21"/>
      <c r="BR1005" s="21"/>
      <c r="BS1005" s="21"/>
      <c r="BT1005" s="21"/>
      <c r="BU1005" s="21"/>
      <c r="BV1005" s="21"/>
      <c r="BW1005" s="21"/>
      <c r="BX1005" s="21"/>
      <c r="BY1005" s="21"/>
      <c r="BZ1005" s="21"/>
      <c r="CA1005" s="21"/>
      <c r="CB1005" s="21"/>
      <c r="CC1005" s="21"/>
      <c r="CD1005" s="21"/>
      <c r="CE1005" s="21"/>
      <c r="CF1005" s="21"/>
      <c r="CG1005" s="21"/>
      <c r="CH1005" s="21"/>
      <c r="CI1005" s="21"/>
      <c r="CJ1005" s="21"/>
      <c r="CK1005" s="21"/>
      <c r="CL1005" s="21"/>
      <c r="CM1005" s="21"/>
      <c r="CN1005" s="21"/>
      <c r="CO1005" s="21"/>
      <c r="CP1005" s="21"/>
      <c r="CQ1005" s="21"/>
      <c r="CR1005" s="21"/>
      <c r="CS1005" s="21"/>
      <c r="CT1005" s="21"/>
      <c r="CU1005" s="21"/>
      <c r="CV1005" s="21"/>
      <c r="CW1005" s="21"/>
      <c r="CX1005" s="21"/>
      <c r="CY1005" s="22"/>
      <c r="CZ1005" s="21"/>
      <c r="DA1005" s="21"/>
      <c r="DB1005" s="21"/>
    </row>
    <row r="1006" spans="3:106" s="19" customFormat="1" ht="12">
      <c r="C1006" s="21"/>
      <c r="D1006" s="21"/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2"/>
      <c r="AX1006" s="21"/>
      <c r="AY1006" s="21"/>
      <c r="AZ1006" s="21"/>
      <c r="BA1006" s="21"/>
      <c r="BB1006" s="21"/>
      <c r="BC1006" s="21"/>
      <c r="BD1006" s="21"/>
      <c r="BE1006" s="21"/>
      <c r="BF1006" s="21"/>
      <c r="BG1006" s="21"/>
      <c r="BH1006" s="21"/>
      <c r="BI1006" s="21"/>
      <c r="BJ1006" s="21"/>
      <c r="BK1006" s="21"/>
      <c r="BL1006" s="21"/>
      <c r="BM1006" s="21"/>
      <c r="BN1006" s="21"/>
      <c r="BO1006" s="21"/>
      <c r="BP1006" s="21"/>
      <c r="BQ1006" s="21"/>
      <c r="BR1006" s="21"/>
      <c r="BS1006" s="21"/>
      <c r="BT1006" s="21"/>
      <c r="BU1006" s="21"/>
      <c r="BV1006" s="21"/>
      <c r="BW1006" s="21"/>
      <c r="BX1006" s="21"/>
      <c r="BY1006" s="21"/>
      <c r="BZ1006" s="21"/>
      <c r="CA1006" s="21"/>
      <c r="CB1006" s="21"/>
      <c r="CC1006" s="21"/>
      <c r="CD1006" s="21"/>
      <c r="CE1006" s="21"/>
      <c r="CF1006" s="21"/>
      <c r="CG1006" s="21"/>
      <c r="CH1006" s="21"/>
      <c r="CI1006" s="21"/>
      <c r="CJ1006" s="21"/>
      <c r="CK1006" s="21"/>
      <c r="CL1006" s="21"/>
      <c r="CM1006" s="21"/>
      <c r="CN1006" s="21"/>
      <c r="CO1006" s="21"/>
      <c r="CP1006" s="21"/>
      <c r="CQ1006" s="21"/>
      <c r="CR1006" s="21"/>
      <c r="CS1006" s="21"/>
      <c r="CT1006" s="21"/>
      <c r="CU1006" s="21"/>
      <c r="CV1006" s="21"/>
      <c r="CW1006" s="21"/>
      <c r="CX1006" s="21"/>
      <c r="CY1006" s="22"/>
      <c r="CZ1006" s="21"/>
      <c r="DA1006" s="21"/>
      <c r="DB1006" s="21"/>
    </row>
    <row r="1007" spans="3:106" s="19" customFormat="1" ht="12">
      <c r="C1007" s="21"/>
      <c r="D1007" s="21"/>
      <c r="E1007" s="21"/>
      <c r="F1007" s="21"/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2"/>
      <c r="AX1007" s="21"/>
      <c r="AY1007" s="21"/>
      <c r="AZ1007" s="21"/>
      <c r="BA1007" s="21"/>
      <c r="BB1007" s="21"/>
      <c r="BC1007" s="21"/>
      <c r="BD1007" s="21"/>
      <c r="BE1007" s="21"/>
      <c r="BF1007" s="21"/>
      <c r="BG1007" s="21"/>
      <c r="BH1007" s="21"/>
      <c r="BI1007" s="21"/>
      <c r="BJ1007" s="21"/>
      <c r="BK1007" s="21"/>
      <c r="BL1007" s="21"/>
      <c r="BM1007" s="21"/>
      <c r="BN1007" s="21"/>
      <c r="BO1007" s="21"/>
      <c r="BP1007" s="21"/>
      <c r="BQ1007" s="21"/>
      <c r="BR1007" s="21"/>
      <c r="BS1007" s="21"/>
      <c r="BT1007" s="21"/>
      <c r="BU1007" s="21"/>
      <c r="BV1007" s="21"/>
      <c r="BW1007" s="21"/>
      <c r="BX1007" s="21"/>
      <c r="BY1007" s="21"/>
      <c r="BZ1007" s="21"/>
      <c r="CA1007" s="21"/>
      <c r="CB1007" s="21"/>
      <c r="CC1007" s="21"/>
      <c r="CD1007" s="21"/>
      <c r="CE1007" s="21"/>
      <c r="CF1007" s="21"/>
      <c r="CG1007" s="21"/>
      <c r="CH1007" s="21"/>
      <c r="CI1007" s="21"/>
      <c r="CJ1007" s="21"/>
      <c r="CK1007" s="21"/>
      <c r="CL1007" s="21"/>
      <c r="CM1007" s="21"/>
      <c r="CN1007" s="21"/>
      <c r="CO1007" s="21"/>
      <c r="CP1007" s="21"/>
      <c r="CQ1007" s="21"/>
      <c r="CR1007" s="21"/>
      <c r="CS1007" s="21"/>
      <c r="CT1007" s="21"/>
      <c r="CU1007" s="21"/>
      <c r="CV1007" s="21"/>
      <c r="CW1007" s="21"/>
      <c r="CX1007" s="21"/>
      <c r="CY1007" s="22"/>
      <c r="CZ1007" s="21"/>
      <c r="DA1007" s="21"/>
      <c r="DB1007" s="21"/>
    </row>
    <row r="1008" spans="3:106" s="19" customFormat="1" ht="12">
      <c r="C1008" s="21"/>
      <c r="D1008" s="21"/>
      <c r="E1008" s="21"/>
      <c r="F1008" s="21"/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2"/>
      <c r="AX1008" s="21"/>
      <c r="AY1008" s="21"/>
      <c r="AZ1008" s="21"/>
      <c r="BA1008" s="21"/>
      <c r="BB1008" s="21"/>
      <c r="BC1008" s="21"/>
      <c r="BD1008" s="21"/>
      <c r="BE1008" s="21"/>
      <c r="BF1008" s="21"/>
      <c r="BG1008" s="21"/>
      <c r="BH1008" s="21"/>
      <c r="BI1008" s="21"/>
      <c r="BJ1008" s="21"/>
      <c r="BK1008" s="21"/>
      <c r="BL1008" s="21"/>
      <c r="BM1008" s="21"/>
      <c r="BN1008" s="21"/>
      <c r="BO1008" s="21"/>
      <c r="BP1008" s="21"/>
      <c r="BQ1008" s="21"/>
      <c r="BR1008" s="21"/>
      <c r="BS1008" s="21"/>
      <c r="BT1008" s="21"/>
      <c r="BU1008" s="21"/>
      <c r="BV1008" s="21"/>
      <c r="BW1008" s="21"/>
      <c r="BX1008" s="21"/>
      <c r="BY1008" s="21"/>
      <c r="BZ1008" s="21"/>
      <c r="CA1008" s="21"/>
      <c r="CB1008" s="21"/>
      <c r="CC1008" s="21"/>
      <c r="CD1008" s="21"/>
      <c r="CE1008" s="21"/>
      <c r="CF1008" s="21"/>
      <c r="CG1008" s="21"/>
      <c r="CH1008" s="21"/>
      <c r="CI1008" s="21"/>
      <c r="CJ1008" s="21"/>
      <c r="CK1008" s="21"/>
      <c r="CL1008" s="21"/>
      <c r="CM1008" s="21"/>
      <c r="CN1008" s="21"/>
      <c r="CO1008" s="21"/>
      <c r="CP1008" s="21"/>
      <c r="CQ1008" s="21"/>
      <c r="CR1008" s="21"/>
      <c r="CS1008" s="21"/>
      <c r="CT1008" s="21"/>
      <c r="CU1008" s="21"/>
      <c r="CV1008" s="21"/>
      <c r="CW1008" s="21"/>
      <c r="CX1008" s="21"/>
      <c r="CY1008" s="22"/>
      <c r="CZ1008" s="21"/>
      <c r="DA1008" s="21"/>
      <c r="DB1008" s="21"/>
    </row>
    <row r="1009" spans="3:106" s="19" customFormat="1" ht="12">
      <c r="C1009" s="21"/>
      <c r="D1009" s="21"/>
      <c r="E1009" s="21"/>
      <c r="F1009" s="21"/>
      <c r="G1009" s="21"/>
      <c r="H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2"/>
      <c r="AX1009" s="21"/>
      <c r="AY1009" s="21"/>
      <c r="AZ1009" s="21"/>
      <c r="BA1009" s="21"/>
      <c r="BB1009" s="21"/>
      <c r="BC1009" s="21"/>
      <c r="BD1009" s="21"/>
      <c r="BE1009" s="21"/>
      <c r="BF1009" s="21"/>
      <c r="BG1009" s="21"/>
      <c r="BH1009" s="21"/>
      <c r="BI1009" s="21"/>
      <c r="BJ1009" s="21"/>
      <c r="BK1009" s="21"/>
      <c r="BL1009" s="21"/>
      <c r="BM1009" s="21"/>
      <c r="BN1009" s="21"/>
      <c r="BO1009" s="21"/>
      <c r="BP1009" s="21"/>
      <c r="BQ1009" s="21"/>
      <c r="BR1009" s="21"/>
      <c r="BS1009" s="21"/>
      <c r="BT1009" s="21"/>
      <c r="BU1009" s="21"/>
      <c r="BV1009" s="21"/>
      <c r="BW1009" s="21"/>
      <c r="BX1009" s="21"/>
      <c r="BY1009" s="21"/>
      <c r="BZ1009" s="21"/>
      <c r="CA1009" s="21"/>
      <c r="CB1009" s="21"/>
      <c r="CC1009" s="21"/>
      <c r="CD1009" s="21"/>
      <c r="CE1009" s="21"/>
      <c r="CF1009" s="21"/>
      <c r="CG1009" s="21"/>
      <c r="CH1009" s="21"/>
      <c r="CI1009" s="21"/>
      <c r="CJ1009" s="21"/>
      <c r="CK1009" s="21"/>
      <c r="CL1009" s="21"/>
      <c r="CM1009" s="21"/>
      <c r="CN1009" s="21"/>
      <c r="CO1009" s="21"/>
      <c r="CP1009" s="21"/>
      <c r="CQ1009" s="21"/>
      <c r="CR1009" s="21"/>
      <c r="CS1009" s="21"/>
      <c r="CT1009" s="21"/>
      <c r="CU1009" s="21"/>
      <c r="CV1009" s="21"/>
      <c r="CW1009" s="21"/>
      <c r="CX1009" s="21"/>
      <c r="CY1009" s="22"/>
      <c r="CZ1009" s="21"/>
      <c r="DA1009" s="21"/>
      <c r="DB1009" s="21"/>
    </row>
    <row r="1010" spans="3:106" s="19" customFormat="1" ht="12">
      <c r="C1010" s="21"/>
      <c r="D1010" s="21"/>
      <c r="E1010" s="21"/>
      <c r="F1010" s="21"/>
      <c r="G1010" s="21"/>
      <c r="H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2"/>
      <c r="AX1010" s="21"/>
      <c r="AY1010" s="21"/>
      <c r="AZ1010" s="21"/>
      <c r="BA1010" s="21"/>
      <c r="BB1010" s="21"/>
      <c r="BC1010" s="21"/>
      <c r="BD1010" s="21"/>
      <c r="BE1010" s="21"/>
      <c r="BF1010" s="21"/>
      <c r="BG1010" s="21"/>
      <c r="BH1010" s="21"/>
      <c r="BI1010" s="21"/>
      <c r="BJ1010" s="21"/>
      <c r="BK1010" s="21"/>
      <c r="BL1010" s="21"/>
      <c r="BM1010" s="21"/>
      <c r="BN1010" s="21"/>
      <c r="BO1010" s="21"/>
      <c r="BP1010" s="21"/>
      <c r="BQ1010" s="21"/>
      <c r="BR1010" s="21"/>
      <c r="BS1010" s="21"/>
      <c r="BT1010" s="21"/>
      <c r="BU1010" s="21"/>
      <c r="BV1010" s="21"/>
      <c r="BW1010" s="21"/>
      <c r="BX1010" s="21"/>
      <c r="BY1010" s="21"/>
      <c r="BZ1010" s="21"/>
      <c r="CA1010" s="21"/>
      <c r="CB1010" s="21"/>
      <c r="CC1010" s="21"/>
      <c r="CD1010" s="21"/>
      <c r="CE1010" s="21"/>
      <c r="CF1010" s="21"/>
      <c r="CG1010" s="21"/>
      <c r="CH1010" s="21"/>
      <c r="CI1010" s="21"/>
      <c r="CJ1010" s="21"/>
      <c r="CK1010" s="21"/>
      <c r="CL1010" s="21"/>
      <c r="CM1010" s="21"/>
      <c r="CN1010" s="21"/>
      <c r="CO1010" s="21"/>
      <c r="CP1010" s="21"/>
      <c r="CQ1010" s="21"/>
      <c r="CR1010" s="21"/>
      <c r="CS1010" s="21"/>
      <c r="CT1010" s="21"/>
      <c r="CU1010" s="21"/>
      <c r="CV1010" s="21"/>
      <c r="CW1010" s="21"/>
      <c r="CX1010" s="21"/>
      <c r="CY1010" s="22"/>
      <c r="CZ1010" s="21"/>
      <c r="DA1010" s="21"/>
      <c r="DB1010" s="21"/>
    </row>
    <row r="1011" spans="3:106" s="19" customFormat="1" ht="12">
      <c r="C1011" s="21"/>
      <c r="D1011" s="21"/>
      <c r="E1011" s="21"/>
      <c r="F1011" s="21"/>
      <c r="G1011" s="21"/>
      <c r="H1011" s="21"/>
      <c r="I1011" s="21"/>
      <c r="J1011" s="21"/>
      <c r="K1011" s="21"/>
      <c r="L1011" s="21"/>
      <c r="M1011" s="21"/>
      <c r="N1011" s="21"/>
      <c r="O1011" s="21"/>
      <c r="P1011" s="21"/>
      <c r="Q1011" s="21"/>
      <c r="R1011" s="21"/>
      <c r="S1011" s="21"/>
      <c r="T1011" s="21"/>
      <c r="U1011" s="21"/>
      <c r="V1011" s="21"/>
      <c r="W1011" s="21"/>
      <c r="X1011" s="21"/>
      <c r="Y1011" s="21"/>
      <c r="Z1011" s="21"/>
      <c r="AA1011" s="21"/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2"/>
      <c r="AX1011" s="21"/>
      <c r="AY1011" s="21"/>
      <c r="AZ1011" s="21"/>
      <c r="BA1011" s="21"/>
      <c r="BB1011" s="21"/>
      <c r="BC1011" s="21"/>
      <c r="BD1011" s="21"/>
      <c r="BE1011" s="21"/>
      <c r="BF1011" s="21"/>
      <c r="BG1011" s="21"/>
      <c r="BH1011" s="21"/>
      <c r="BI1011" s="21"/>
      <c r="BJ1011" s="21"/>
      <c r="BK1011" s="21"/>
      <c r="BL1011" s="21"/>
      <c r="BM1011" s="21"/>
      <c r="BN1011" s="21"/>
      <c r="BO1011" s="21"/>
      <c r="BP1011" s="21"/>
      <c r="BQ1011" s="21"/>
      <c r="BR1011" s="21"/>
      <c r="BS1011" s="21"/>
      <c r="BT1011" s="21"/>
      <c r="BU1011" s="21"/>
      <c r="BV1011" s="21"/>
      <c r="BW1011" s="21"/>
      <c r="BX1011" s="21"/>
      <c r="BY1011" s="21"/>
      <c r="BZ1011" s="21"/>
      <c r="CA1011" s="21"/>
      <c r="CB1011" s="21"/>
      <c r="CC1011" s="21"/>
      <c r="CD1011" s="21"/>
      <c r="CE1011" s="21"/>
      <c r="CF1011" s="21"/>
      <c r="CG1011" s="21"/>
      <c r="CH1011" s="21"/>
      <c r="CI1011" s="21"/>
      <c r="CJ1011" s="21"/>
      <c r="CK1011" s="21"/>
      <c r="CL1011" s="21"/>
      <c r="CM1011" s="21"/>
      <c r="CN1011" s="21"/>
      <c r="CO1011" s="21"/>
      <c r="CP1011" s="21"/>
      <c r="CQ1011" s="21"/>
      <c r="CR1011" s="21"/>
      <c r="CS1011" s="21"/>
      <c r="CT1011" s="21"/>
      <c r="CU1011" s="21"/>
      <c r="CV1011" s="21"/>
      <c r="CW1011" s="21"/>
      <c r="CX1011" s="21"/>
      <c r="CY1011" s="22"/>
      <c r="CZ1011" s="21"/>
      <c r="DA1011" s="21"/>
      <c r="DB1011" s="21"/>
    </row>
    <row r="1012" spans="3:106" s="19" customFormat="1" ht="12">
      <c r="C1012" s="21"/>
      <c r="D1012" s="21"/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2"/>
      <c r="AX1012" s="21"/>
      <c r="AY1012" s="21"/>
      <c r="AZ1012" s="21"/>
      <c r="BA1012" s="21"/>
      <c r="BB1012" s="21"/>
      <c r="BC1012" s="21"/>
      <c r="BD1012" s="21"/>
      <c r="BE1012" s="21"/>
      <c r="BF1012" s="21"/>
      <c r="BG1012" s="21"/>
      <c r="BH1012" s="21"/>
      <c r="BI1012" s="21"/>
      <c r="BJ1012" s="21"/>
      <c r="BK1012" s="21"/>
      <c r="BL1012" s="21"/>
      <c r="BM1012" s="21"/>
      <c r="BN1012" s="21"/>
      <c r="BO1012" s="21"/>
      <c r="BP1012" s="21"/>
      <c r="BQ1012" s="21"/>
      <c r="BR1012" s="21"/>
      <c r="BS1012" s="21"/>
      <c r="BT1012" s="21"/>
      <c r="BU1012" s="21"/>
      <c r="BV1012" s="21"/>
      <c r="BW1012" s="21"/>
      <c r="BX1012" s="21"/>
      <c r="BY1012" s="21"/>
      <c r="BZ1012" s="21"/>
      <c r="CA1012" s="21"/>
      <c r="CB1012" s="21"/>
      <c r="CC1012" s="21"/>
      <c r="CD1012" s="21"/>
      <c r="CE1012" s="21"/>
      <c r="CF1012" s="21"/>
      <c r="CG1012" s="21"/>
      <c r="CH1012" s="21"/>
      <c r="CI1012" s="21"/>
      <c r="CJ1012" s="21"/>
      <c r="CK1012" s="21"/>
      <c r="CL1012" s="21"/>
      <c r="CM1012" s="21"/>
      <c r="CN1012" s="21"/>
      <c r="CO1012" s="21"/>
      <c r="CP1012" s="21"/>
      <c r="CQ1012" s="21"/>
      <c r="CR1012" s="21"/>
      <c r="CS1012" s="21"/>
      <c r="CT1012" s="21"/>
      <c r="CU1012" s="21"/>
      <c r="CV1012" s="21"/>
      <c r="CW1012" s="21"/>
      <c r="CX1012" s="21"/>
      <c r="CY1012" s="22"/>
      <c r="CZ1012" s="21"/>
      <c r="DA1012" s="21"/>
      <c r="DB1012" s="21"/>
    </row>
    <row r="1013" spans="3:106" s="19" customFormat="1" ht="12">
      <c r="C1013" s="21"/>
      <c r="D1013" s="21"/>
      <c r="E1013" s="21"/>
      <c r="F1013" s="21"/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2"/>
      <c r="AX1013" s="21"/>
      <c r="AY1013" s="21"/>
      <c r="AZ1013" s="21"/>
      <c r="BA1013" s="21"/>
      <c r="BB1013" s="21"/>
      <c r="BC1013" s="21"/>
      <c r="BD1013" s="21"/>
      <c r="BE1013" s="21"/>
      <c r="BF1013" s="21"/>
      <c r="BG1013" s="21"/>
      <c r="BH1013" s="21"/>
      <c r="BI1013" s="21"/>
      <c r="BJ1013" s="21"/>
      <c r="BK1013" s="21"/>
      <c r="BL1013" s="21"/>
      <c r="BM1013" s="21"/>
      <c r="BN1013" s="21"/>
      <c r="BO1013" s="21"/>
      <c r="BP1013" s="21"/>
      <c r="BQ1013" s="21"/>
      <c r="BR1013" s="21"/>
      <c r="BS1013" s="21"/>
      <c r="BT1013" s="21"/>
      <c r="BU1013" s="21"/>
      <c r="BV1013" s="21"/>
      <c r="BW1013" s="21"/>
      <c r="BX1013" s="21"/>
      <c r="BY1013" s="21"/>
      <c r="BZ1013" s="21"/>
      <c r="CA1013" s="21"/>
      <c r="CB1013" s="21"/>
      <c r="CC1013" s="21"/>
      <c r="CD1013" s="21"/>
      <c r="CE1013" s="21"/>
      <c r="CF1013" s="21"/>
      <c r="CG1013" s="21"/>
      <c r="CH1013" s="21"/>
      <c r="CI1013" s="21"/>
      <c r="CJ1013" s="21"/>
      <c r="CK1013" s="21"/>
      <c r="CL1013" s="21"/>
      <c r="CM1013" s="21"/>
      <c r="CN1013" s="21"/>
      <c r="CO1013" s="21"/>
      <c r="CP1013" s="21"/>
      <c r="CQ1013" s="21"/>
      <c r="CR1013" s="21"/>
      <c r="CS1013" s="21"/>
      <c r="CT1013" s="21"/>
      <c r="CU1013" s="21"/>
      <c r="CV1013" s="21"/>
      <c r="CW1013" s="21"/>
      <c r="CX1013" s="21"/>
      <c r="CY1013" s="22"/>
      <c r="CZ1013" s="21"/>
      <c r="DA1013" s="21"/>
      <c r="DB1013" s="21"/>
    </row>
    <row r="1014" spans="3:106" s="19" customFormat="1" ht="12">
      <c r="C1014" s="21"/>
      <c r="D1014" s="21"/>
      <c r="E1014" s="21"/>
      <c r="F1014" s="21"/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2"/>
      <c r="AX1014" s="21"/>
      <c r="AY1014" s="21"/>
      <c r="AZ1014" s="21"/>
      <c r="BA1014" s="21"/>
      <c r="BB1014" s="21"/>
      <c r="BC1014" s="21"/>
      <c r="BD1014" s="21"/>
      <c r="BE1014" s="21"/>
      <c r="BF1014" s="21"/>
      <c r="BG1014" s="21"/>
      <c r="BH1014" s="21"/>
      <c r="BI1014" s="21"/>
      <c r="BJ1014" s="21"/>
      <c r="BK1014" s="21"/>
      <c r="BL1014" s="21"/>
      <c r="BM1014" s="21"/>
      <c r="BN1014" s="21"/>
      <c r="BO1014" s="21"/>
      <c r="BP1014" s="21"/>
      <c r="BQ1014" s="21"/>
      <c r="BR1014" s="21"/>
      <c r="BS1014" s="21"/>
      <c r="BT1014" s="21"/>
      <c r="BU1014" s="21"/>
      <c r="BV1014" s="21"/>
      <c r="BW1014" s="21"/>
      <c r="BX1014" s="21"/>
      <c r="BY1014" s="21"/>
      <c r="BZ1014" s="21"/>
      <c r="CA1014" s="21"/>
      <c r="CB1014" s="21"/>
      <c r="CC1014" s="21"/>
      <c r="CD1014" s="21"/>
      <c r="CE1014" s="21"/>
      <c r="CF1014" s="21"/>
      <c r="CG1014" s="21"/>
      <c r="CH1014" s="21"/>
      <c r="CI1014" s="21"/>
      <c r="CJ1014" s="21"/>
      <c r="CK1014" s="21"/>
      <c r="CL1014" s="21"/>
      <c r="CM1014" s="21"/>
      <c r="CN1014" s="21"/>
      <c r="CO1014" s="21"/>
      <c r="CP1014" s="21"/>
      <c r="CQ1014" s="21"/>
      <c r="CR1014" s="21"/>
      <c r="CS1014" s="21"/>
      <c r="CT1014" s="21"/>
      <c r="CU1014" s="21"/>
      <c r="CV1014" s="21"/>
      <c r="CW1014" s="21"/>
      <c r="CX1014" s="21"/>
      <c r="CY1014" s="22"/>
      <c r="CZ1014" s="21"/>
      <c r="DA1014" s="21"/>
      <c r="DB1014" s="21"/>
    </row>
    <row r="1015" spans="3:106" s="19" customFormat="1" ht="12">
      <c r="C1015" s="21"/>
      <c r="D1015" s="21"/>
      <c r="E1015" s="21"/>
      <c r="F1015" s="21"/>
      <c r="G1015" s="21"/>
      <c r="H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2"/>
      <c r="AX1015" s="21"/>
      <c r="AY1015" s="21"/>
      <c r="AZ1015" s="21"/>
      <c r="BA1015" s="21"/>
      <c r="BB1015" s="21"/>
      <c r="BC1015" s="21"/>
      <c r="BD1015" s="21"/>
      <c r="BE1015" s="21"/>
      <c r="BF1015" s="21"/>
      <c r="BG1015" s="21"/>
      <c r="BH1015" s="21"/>
      <c r="BI1015" s="21"/>
      <c r="BJ1015" s="21"/>
      <c r="BK1015" s="21"/>
      <c r="BL1015" s="21"/>
      <c r="BM1015" s="21"/>
      <c r="BN1015" s="21"/>
      <c r="BO1015" s="21"/>
      <c r="BP1015" s="21"/>
      <c r="BQ1015" s="21"/>
      <c r="BR1015" s="21"/>
      <c r="BS1015" s="21"/>
      <c r="BT1015" s="21"/>
      <c r="BU1015" s="21"/>
      <c r="BV1015" s="21"/>
      <c r="BW1015" s="21"/>
      <c r="BX1015" s="21"/>
      <c r="BY1015" s="21"/>
      <c r="BZ1015" s="21"/>
      <c r="CA1015" s="21"/>
      <c r="CB1015" s="21"/>
      <c r="CC1015" s="21"/>
      <c r="CD1015" s="21"/>
      <c r="CE1015" s="21"/>
      <c r="CF1015" s="21"/>
      <c r="CG1015" s="21"/>
      <c r="CH1015" s="21"/>
      <c r="CI1015" s="21"/>
      <c r="CJ1015" s="21"/>
      <c r="CK1015" s="21"/>
      <c r="CL1015" s="21"/>
      <c r="CM1015" s="21"/>
      <c r="CN1015" s="21"/>
      <c r="CO1015" s="21"/>
      <c r="CP1015" s="21"/>
      <c r="CQ1015" s="21"/>
      <c r="CR1015" s="21"/>
      <c r="CS1015" s="21"/>
      <c r="CT1015" s="21"/>
      <c r="CU1015" s="21"/>
      <c r="CV1015" s="21"/>
      <c r="CW1015" s="21"/>
      <c r="CX1015" s="21"/>
      <c r="CY1015" s="22"/>
      <c r="CZ1015" s="21"/>
      <c r="DA1015" s="21"/>
      <c r="DB1015" s="21"/>
    </row>
    <row r="1016" spans="3:106" s="19" customFormat="1" ht="12">
      <c r="C1016" s="21"/>
      <c r="D1016" s="21"/>
      <c r="E1016" s="21"/>
      <c r="F1016" s="21"/>
      <c r="G1016" s="21"/>
      <c r="H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2"/>
      <c r="AX1016" s="21"/>
      <c r="AY1016" s="21"/>
      <c r="AZ1016" s="21"/>
      <c r="BA1016" s="21"/>
      <c r="BB1016" s="21"/>
      <c r="BC1016" s="21"/>
      <c r="BD1016" s="21"/>
      <c r="BE1016" s="21"/>
      <c r="BF1016" s="21"/>
      <c r="BG1016" s="21"/>
      <c r="BH1016" s="21"/>
      <c r="BI1016" s="21"/>
      <c r="BJ1016" s="21"/>
      <c r="BK1016" s="21"/>
      <c r="BL1016" s="21"/>
      <c r="BM1016" s="21"/>
      <c r="BN1016" s="21"/>
      <c r="BO1016" s="21"/>
      <c r="BP1016" s="21"/>
      <c r="BQ1016" s="21"/>
      <c r="BR1016" s="21"/>
      <c r="BS1016" s="21"/>
      <c r="BT1016" s="21"/>
      <c r="BU1016" s="21"/>
      <c r="BV1016" s="21"/>
      <c r="BW1016" s="21"/>
      <c r="BX1016" s="21"/>
      <c r="BY1016" s="21"/>
      <c r="BZ1016" s="21"/>
      <c r="CA1016" s="21"/>
      <c r="CB1016" s="21"/>
      <c r="CC1016" s="21"/>
      <c r="CD1016" s="21"/>
      <c r="CE1016" s="21"/>
      <c r="CF1016" s="21"/>
      <c r="CG1016" s="21"/>
      <c r="CH1016" s="21"/>
      <c r="CI1016" s="21"/>
      <c r="CJ1016" s="21"/>
      <c r="CK1016" s="21"/>
      <c r="CL1016" s="21"/>
      <c r="CM1016" s="21"/>
      <c r="CN1016" s="21"/>
      <c r="CO1016" s="21"/>
      <c r="CP1016" s="21"/>
      <c r="CQ1016" s="21"/>
      <c r="CR1016" s="21"/>
      <c r="CS1016" s="21"/>
      <c r="CT1016" s="21"/>
      <c r="CU1016" s="21"/>
      <c r="CV1016" s="21"/>
      <c r="CW1016" s="21"/>
      <c r="CX1016" s="21"/>
      <c r="CY1016" s="22"/>
      <c r="CZ1016" s="21"/>
      <c r="DA1016" s="21"/>
      <c r="DB1016" s="21"/>
    </row>
    <row r="1017" spans="3:106" s="19" customFormat="1" ht="12">
      <c r="C1017" s="21"/>
      <c r="D1017" s="21"/>
      <c r="E1017" s="21"/>
      <c r="F1017" s="21"/>
      <c r="G1017" s="21"/>
      <c r="H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2"/>
      <c r="AX1017" s="21"/>
      <c r="AY1017" s="21"/>
      <c r="AZ1017" s="21"/>
      <c r="BA1017" s="21"/>
      <c r="BB1017" s="21"/>
      <c r="BC1017" s="21"/>
      <c r="BD1017" s="21"/>
      <c r="BE1017" s="21"/>
      <c r="BF1017" s="21"/>
      <c r="BG1017" s="21"/>
      <c r="BH1017" s="21"/>
      <c r="BI1017" s="21"/>
      <c r="BJ1017" s="21"/>
      <c r="BK1017" s="21"/>
      <c r="BL1017" s="21"/>
      <c r="BM1017" s="21"/>
      <c r="BN1017" s="21"/>
      <c r="BO1017" s="21"/>
      <c r="BP1017" s="21"/>
      <c r="BQ1017" s="21"/>
      <c r="BR1017" s="21"/>
      <c r="BS1017" s="21"/>
      <c r="BT1017" s="21"/>
      <c r="BU1017" s="21"/>
      <c r="BV1017" s="21"/>
      <c r="BW1017" s="21"/>
      <c r="BX1017" s="21"/>
      <c r="BY1017" s="21"/>
      <c r="BZ1017" s="21"/>
      <c r="CA1017" s="21"/>
      <c r="CB1017" s="21"/>
      <c r="CC1017" s="21"/>
      <c r="CD1017" s="21"/>
      <c r="CE1017" s="21"/>
      <c r="CF1017" s="21"/>
      <c r="CG1017" s="21"/>
      <c r="CH1017" s="21"/>
      <c r="CI1017" s="21"/>
      <c r="CJ1017" s="21"/>
      <c r="CK1017" s="21"/>
      <c r="CL1017" s="21"/>
      <c r="CM1017" s="21"/>
      <c r="CN1017" s="21"/>
      <c r="CO1017" s="21"/>
      <c r="CP1017" s="21"/>
      <c r="CQ1017" s="21"/>
      <c r="CR1017" s="21"/>
      <c r="CS1017" s="21"/>
      <c r="CT1017" s="21"/>
      <c r="CU1017" s="21"/>
      <c r="CV1017" s="21"/>
      <c r="CW1017" s="21"/>
      <c r="CX1017" s="21"/>
      <c r="CY1017" s="22"/>
      <c r="CZ1017" s="21"/>
      <c r="DA1017" s="21"/>
      <c r="DB1017" s="21"/>
    </row>
    <row r="1018" spans="3:106" s="19" customFormat="1" ht="12">
      <c r="C1018" s="21"/>
      <c r="D1018" s="21"/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2"/>
      <c r="AX1018" s="21"/>
      <c r="AY1018" s="21"/>
      <c r="AZ1018" s="21"/>
      <c r="BA1018" s="21"/>
      <c r="BB1018" s="21"/>
      <c r="BC1018" s="21"/>
      <c r="BD1018" s="21"/>
      <c r="BE1018" s="21"/>
      <c r="BF1018" s="21"/>
      <c r="BG1018" s="21"/>
      <c r="BH1018" s="21"/>
      <c r="BI1018" s="21"/>
      <c r="BJ1018" s="21"/>
      <c r="BK1018" s="21"/>
      <c r="BL1018" s="21"/>
      <c r="BM1018" s="21"/>
      <c r="BN1018" s="21"/>
      <c r="BO1018" s="21"/>
      <c r="BP1018" s="21"/>
      <c r="BQ1018" s="21"/>
      <c r="BR1018" s="21"/>
      <c r="BS1018" s="21"/>
      <c r="BT1018" s="21"/>
      <c r="BU1018" s="21"/>
      <c r="BV1018" s="21"/>
      <c r="BW1018" s="21"/>
      <c r="BX1018" s="21"/>
      <c r="BY1018" s="21"/>
      <c r="BZ1018" s="21"/>
      <c r="CA1018" s="21"/>
      <c r="CB1018" s="21"/>
      <c r="CC1018" s="21"/>
      <c r="CD1018" s="21"/>
      <c r="CE1018" s="21"/>
      <c r="CF1018" s="21"/>
      <c r="CG1018" s="21"/>
      <c r="CH1018" s="21"/>
      <c r="CI1018" s="21"/>
      <c r="CJ1018" s="21"/>
      <c r="CK1018" s="21"/>
      <c r="CL1018" s="21"/>
      <c r="CM1018" s="21"/>
      <c r="CN1018" s="21"/>
      <c r="CO1018" s="21"/>
      <c r="CP1018" s="21"/>
      <c r="CQ1018" s="21"/>
      <c r="CR1018" s="21"/>
      <c r="CS1018" s="21"/>
      <c r="CT1018" s="21"/>
      <c r="CU1018" s="21"/>
      <c r="CV1018" s="21"/>
      <c r="CW1018" s="21"/>
      <c r="CX1018" s="21"/>
      <c r="CY1018" s="22"/>
      <c r="CZ1018" s="21"/>
      <c r="DA1018" s="21"/>
      <c r="DB1018" s="21"/>
    </row>
    <row r="1019" spans="3:106" s="19" customFormat="1" ht="12">
      <c r="C1019" s="21"/>
      <c r="D1019" s="21"/>
      <c r="E1019" s="21"/>
      <c r="F1019" s="21"/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2"/>
      <c r="AX1019" s="21"/>
      <c r="AY1019" s="21"/>
      <c r="AZ1019" s="21"/>
      <c r="BA1019" s="21"/>
      <c r="BB1019" s="21"/>
      <c r="BC1019" s="21"/>
      <c r="BD1019" s="21"/>
      <c r="BE1019" s="21"/>
      <c r="BF1019" s="21"/>
      <c r="BG1019" s="21"/>
      <c r="BH1019" s="21"/>
      <c r="BI1019" s="21"/>
      <c r="BJ1019" s="21"/>
      <c r="BK1019" s="21"/>
      <c r="BL1019" s="21"/>
      <c r="BM1019" s="21"/>
      <c r="BN1019" s="21"/>
      <c r="BO1019" s="21"/>
      <c r="BP1019" s="21"/>
      <c r="BQ1019" s="21"/>
      <c r="BR1019" s="21"/>
      <c r="BS1019" s="21"/>
      <c r="BT1019" s="21"/>
      <c r="BU1019" s="21"/>
      <c r="BV1019" s="21"/>
      <c r="BW1019" s="21"/>
      <c r="BX1019" s="21"/>
      <c r="BY1019" s="21"/>
      <c r="BZ1019" s="21"/>
      <c r="CA1019" s="21"/>
      <c r="CB1019" s="21"/>
      <c r="CC1019" s="21"/>
      <c r="CD1019" s="21"/>
      <c r="CE1019" s="21"/>
      <c r="CF1019" s="21"/>
      <c r="CG1019" s="21"/>
      <c r="CH1019" s="21"/>
      <c r="CI1019" s="21"/>
      <c r="CJ1019" s="21"/>
      <c r="CK1019" s="21"/>
      <c r="CL1019" s="21"/>
      <c r="CM1019" s="21"/>
      <c r="CN1019" s="21"/>
      <c r="CO1019" s="21"/>
      <c r="CP1019" s="21"/>
      <c r="CQ1019" s="21"/>
      <c r="CR1019" s="21"/>
      <c r="CS1019" s="21"/>
      <c r="CT1019" s="21"/>
      <c r="CU1019" s="21"/>
      <c r="CV1019" s="21"/>
      <c r="CW1019" s="21"/>
      <c r="CX1019" s="21"/>
      <c r="CY1019" s="22"/>
      <c r="CZ1019" s="21"/>
      <c r="DA1019" s="21"/>
      <c r="DB1019" s="21"/>
    </row>
    <row r="1020" spans="3:106" s="19" customFormat="1" ht="12">
      <c r="C1020" s="21"/>
      <c r="D1020" s="21"/>
      <c r="E1020" s="21"/>
      <c r="F1020" s="21"/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2"/>
      <c r="AX1020" s="21"/>
      <c r="AY1020" s="21"/>
      <c r="AZ1020" s="21"/>
      <c r="BA1020" s="21"/>
      <c r="BB1020" s="21"/>
      <c r="BC1020" s="21"/>
      <c r="BD1020" s="21"/>
      <c r="BE1020" s="21"/>
      <c r="BF1020" s="21"/>
      <c r="BG1020" s="21"/>
      <c r="BH1020" s="21"/>
      <c r="BI1020" s="21"/>
      <c r="BJ1020" s="21"/>
      <c r="BK1020" s="21"/>
      <c r="BL1020" s="21"/>
      <c r="BM1020" s="21"/>
      <c r="BN1020" s="21"/>
      <c r="BO1020" s="21"/>
      <c r="BP1020" s="21"/>
      <c r="BQ1020" s="21"/>
      <c r="BR1020" s="21"/>
      <c r="BS1020" s="21"/>
      <c r="BT1020" s="21"/>
      <c r="BU1020" s="21"/>
      <c r="BV1020" s="21"/>
      <c r="BW1020" s="21"/>
      <c r="BX1020" s="21"/>
      <c r="BY1020" s="21"/>
      <c r="BZ1020" s="21"/>
      <c r="CA1020" s="21"/>
      <c r="CB1020" s="21"/>
      <c r="CC1020" s="21"/>
      <c r="CD1020" s="21"/>
      <c r="CE1020" s="21"/>
      <c r="CF1020" s="21"/>
      <c r="CG1020" s="21"/>
      <c r="CH1020" s="21"/>
      <c r="CI1020" s="21"/>
      <c r="CJ1020" s="21"/>
      <c r="CK1020" s="21"/>
      <c r="CL1020" s="21"/>
      <c r="CM1020" s="21"/>
      <c r="CN1020" s="21"/>
      <c r="CO1020" s="21"/>
      <c r="CP1020" s="21"/>
      <c r="CQ1020" s="21"/>
      <c r="CR1020" s="21"/>
      <c r="CS1020" s="21"/>
      <c r="CT1020" s="21"/>
      <c r="CU1020" s="21"/>
      <c r="CV1020" s="21"/>
      <c r="CW1020" s="21"/>
      <c r="CX1020" s="21"/>
      <c r="CY1020" s="22"/>
      <c r="CZ1020" s="21"/>
      <c r="DA1020" s="21"/>
      <c r="DB1020" s="21"/>
    </row>
    <row r="1021" spans="3:106" s="19" customFormat="1" ht="12">
      <c r="C1021" s="21"/>
      <c r="D1021" s="21"/>
      <c r="E1021" s="21"/>
      <c r="F1021" s="21"/>
      <c r="G1021" s="21"/>
      <c r="H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2"/>
      <c r="AX1021" s="21"/>
      <c r="AY1021" s="21"/>
      <c r="AZ1021" s="21"/>
      <c r="BA1021" s="21"/>
      <c r="BB1021" s="21"/>
      <c r="BC1021" s="21"/>
      <c r="BD1021" s="21"/>
      <c r="BE1021" s="21"/>
      <c r="BF1021" s="21"/>
      <c r="BG1021" s="21"/>
      <c r="BH1021" s="21"/>
      <c r="BI1021" s="21"/>
      <c r="BJ1021" s="21"/>
      <c r="BK1021" s="21"/>
      <c r="BL1021" s="21"/>
      <c r="BM1021" s="21"/>
      <c r="BN1021" s="21"/>
      <c r="BO1021" s="21"/>
      <c r="BP1021" s="21"/>
      <c r="BQ1021" s="21"/>
      <c r="BR1021" s="21"/>
      <c r="BS1021" s="21"/>
      <c r="BT1021" s="21"/>
      <c r="BU1021" s="21"/>
      <c r="BV1021" s="21"/>
      <c r="BW1021" s="21"/>
      <c r="BX1021" s="21"/>
      <c r="BY1021" s="21"/>
      <c r="BZ1021" s="21"/>
      <c r="CA1021" s="21"/>
      <c r="CB1021" s="21"/>
      <c r="CC1021" s="21"/>
      <c r="CD1021" s="21"/>
      <c r="CE1021" s="21"/>
      <c r="CF1021" s="21"/>
      <c r="CG1021" s="21"/>
      <c r="CH1021" s="21"/>
      <c r="CI1021" s="21"/>
      <c r="CJ1021" s="21"/>
      <c r="CK1021" s="21"/>
      <c r="CL1021" s="21"/>
      <c r="CM1021" s="21"/>
      <c r="CN1021" s="21"/>
      <c r="CO1021" s="21"/>
      <c r="CP1021" s="21"/>
      <c r="CQ1021" s="21"/>
      <c r="CR1021" s="21"/>
      <c r="CS1021" s="21"/>
      <c r="CT1021" s="21"/>
      <c r="CU1021" s="21"/>
      <c r="CV1021" s="21"/>
      <c r="CW1021" s="21"/>
      <c r="CX1021" s="21"/>
      <c r="CY1021" s="22"/>
      <c r="CZ1021" s="21"/>
      <c r="DA1021" s="21"/>
      <c r="DB1021" s="21"/>
    </row>
    <row r="1022" spans="3:106" s="19" customFormat="1" ht="12">
      <c r="C1022" s="21"/>
      <c r="D1022" s="21"/>
      <c r="E1022" s="21"/>
      <c r="F1022" s="21"/>
      <c r="G1022" s="21"/>
      <c r="H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2"/>
      <c r="AX1022" s="21"/>
      <c r="AY1022" s="21"/>
      <c r="AZ1022" s="21"/>
      <c r="BA1022" s="21"/>
      <c r="BB1022" s="21"/>
      <c r="BC1022" s="21"/>
      <c r="BD1022" s="21"/>
      <c r="BE1022" s="21"/>
      <c r="BF1022" s="21"/>
      <c r="BG1022" s="21"/>
      <c r="BH1022" s="21"/>
      <c r="BI1022" s="21"/>
      <c r="BJ1022" s="21"/>
      <c r="BK1022" s="21"/>
      <c r="BL1022" s="21"/>
      <c r="BM1022" s="21"/>
      <c r="BN1022" s="21"/>
      <c r="BO1022" s="21"/>
      <c r="BP1022" s="21"/>
      <c r="BQ1022" s="21"/>
      <c r="BR1022" s="21"/>
      <c r="BS1022" s="21"/>
      <c r="BT1022" s="21"/>
      <c r="BU1022" s="21"/>
      <c r="BV1022" s="21"/>
      <c r="BW1022" s="21"/>
      <c r="BX1022" s="21"/>
      <c r="BY1022" s="21"/>
      <c r="BZ1022" s="21"/>
      <c r="CA1022" s="21"/>
      <c r="CB1022" s="21"/>
      <c r="CC1022" s="21"/>
      <c r="CD1022" s="21"/>
      <c r="CE1022" s="21"/>
      <c r="CF1022" s="21"/>
      <c r="CG1022" s="21"/>
      <c r="CH1022" s="21"/>
      <c r="CI1022" s="21"/>
      <c r="CJ1022" s="21"/>
      <c r="CK1022" s="21"/>
      <c r="CL1022" s="21"/>
      <c r="CM1022" s="21"/>
      <c r="CN1022" s="21"/>
      <c r="CO1022" s="21"/>
      <c r="CP1022" s="21"/>
      <c r="CQ1022" s="21"/>
      <c r="CR1022" s="21"/>
      <c r="CS1022" s="21"/>
      <c r="CT1022" s="21"/>
      <c r="CU1022" s="21"/>
      <c r="CV1022" s="21"/>
      <c r="CW1022" s="21"/>
      <c r="CX1022" s="21"/>
      <c r="CY1022" s="22"/>
      <c r="CZ1022" s="21"/>
      <c r="DA1022" s="21"/>
      <c r="DB1022" s="21"/>
    </row>
    <row r="1023" spans="3:106" s="19" customFormat="1" ht="12">
      <c r="C1023" s="21"/>
      <c r="D1023" s="21"/>
      <c r="E1023" s="21"/>
      <c r="F1023" s="21"/>
      <c r="G1023" s="21"/>
      <c r="H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2"/>
      <c r="AX1023" s="21"/>
      <c r="AY1023" s="21"/>
      <c r="AZ1023" s="21"/>
      <c r="BA1023" s="21"/>
      <c r="BB1023" s="21"/>
      <c r="BC1023" s="21"/>
      <c r="BD1023" s="21"/>
      <c r="BE1023" s="21"/>
      <c r="BF1023" s="21"/>
      <c r="BG1023" s="21"/>
      <c r="BH1023" s="21"/>
      <c r="BI1023" s="21"/>
      <c r="BJ1023" s="21"/>
      <c r="BK1023" s="21"/>
      <c r="BL1023" s="21"/>
      <c r="BM1023" s="21"/>
      <c r="BN1023" s="21"/>
      <c r="BO1023" s="21"/>
      <c r="BP1023" s="21"/>
      <c r="BQ1023" s="21"/>
      <c r="BR1023" s="21"/>
      <c r="BS1023" s="21"/>
      <c r="BT1023" s="21"/>
      <c r="BU1023" s="21"/>
      <c r="BV1023" s="21"/>
      <c r="BW1023" s="21"/>
      <c r="BX1023" s="21"/>
      <c r="BY1023" s="21"/>
      <c r="BZ1023" s="21"/>
      <c r="CA1023" s="21"/>
      <c r="CB1023" s="21"/>
      <c r="CC1023" s="21"/>
      <c r="CD1023" s="21"/>
      <c r="CE1023" s="21"/>
      <c r="CF1023" s="21"/>
      <c r="CG1023" s="21"/>
      <c r="CH1023" s="21"/>
      <c r="CI1023" s="21"/>
      <c r="CJ1023" s="21"/>
      <c r="CK1023" s="21"/>
      <c r="CL1023" s="21"/>
      <c r="CM1023" s="21"/>
      <c r="CN1023" s="21"/>
      <c r="CO1023" s="21"/>
      <c r="CP1023" s="21"/>
      <c r="CQ1023" s="21"/>
      <c r="CR1023" s="21"/>
      <c r="CS1023" s="21"/>
      <c r="CT1023" s="21"/>
      <c r="CU1023" s="21"/>
      <c r="CV1023" s="21"/>
      <c r="CW1023" s="21"/>
      <c r="CX1023" s="21"/>
      <c r="CY1023" s="22"/>
      <c r="CZ1023" s="21"/>
      <c r="DA1023" s="21"/>
      <c r="DB1023" s="21"/>
    </row>
    <row r="1024" spans="3:106" s="19" customFormat="1" ht="12">
      <c r="C1024" s="21"/>
      <c r="D1024" s="21"/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2"/>
      <c r="AX1024" s="21"/>
      <c r="AY1024" s="21"/>
      <c r="AZ1024" s="21"/>
      <c r="BA1024" s="21"/>
      <c r="BB1024" s="21"/>
      <c r="BC1024" s="21"/>
      <c r="BD1024" s="21"/>
      <c r="BE1024" s="21"/>
      <c r="BF1024" s="21"/>
      <c r="BG1024" s="21"/>
      <c r="BH1024" s="21"/>
      <c r="BI1024" s="21"/>
      <c r="BJ1024" s="21"/>
      <c r="BK1024" s="21"/>
      <c r="BL1024" s="21"/>
      <c r="BM1024" s="21"/>
      <c r="BN1024" s="21"/>
      <c r="BO1024" s="21"/>
      <c r="BP1024" s="21"/>
      <c r="BQ1024" s="21"/>
      <c r="BR1024" s="21"/>
      <c r="BS1024" s="21"/>
      <c r="BT1024" s="21"/>
      <c r="BU1024" s="21"/>
      <c r="BV1024" s="21"/>
      <c r="BW1024" s="21"/>
      <c r="BX1024" s="21"/>
      <c r="BY1024" s="21"/>
      <c r="BZ1024" s="21"/>
      <c r="CA1024" s="21"/>
      <c r="CB1024" s="21"/>
      <c r="CC1024" s="21"/>
      <c r="CD1024" s="21"/>
      <c r="CE1024" s="21"/>
      <c r="CF1024" s="21"/>
      <c r="CG1024" s="21"/>
      <c r="CH1024" s="21"/>
      <c r="CI1024" s="21"/>
      <c r="CJ1024" s="21"/>
      <c r="CK1024" s="21"/>
      <c r="CL1024" s="21"/>
      <c r="CM1024" s="21"/>
      <c r="CN1024" s="21"/>
      <c r="CO1024" s="21"/>
      <c r="CP1024" s="21"/>
      <c r="CQ1024" s="21"/>
      <c r="CR1024" s="21"/>
      <c r="CS1024" s="21"/>
      <c r="CT1024" s="21"/>
      <c r="CU1024" s="21"/>
      <c r="CV1024" s="21"/>
      <c r="CW1024" s="21"/>
      <c r="CX1024" s="21"/>
      <c r="CY1024" s="22"/>
      <c r="CZ1024" s="21"/>
      <c r="DA1024" s="21"/>
      <c r="DB1024" s="21"/>
    </row>
    <row r="1025" spans="3:106" s="19" customFormat="1" ht="12">
      <c r="C1025" s="21"/>
      <c r="D1025" s="21"/>
      <c r="E1025" s="21"/>
      <c r="F1025" s="21"/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2"/>
      <c r="AX1025" s="21"/>
      <c r="AY1025" s="21"/>
      <c r="AZ1025" s="21"/>
      <c r="BA1025" s="21"/>
      <c r="BB1025" s="21"/>
      <c r="BC1025" s="21"/>
      <c r="BD1025" s="21"/>
      <c r="BE1025" s="21"/>
      <c r="BF1025" s="21"/>
      <c r="BG1025" s="21"/>
      <c r="BH1025" s="21"/>
      <c r="BI1025" s="21"/>
      <c r="BJ1025" s="21"/>
      <c r="BK1025" s="21"/>
      <c r="BL1025" s="21"/>
      <c r="BM1025" s="21"/>
      <c r="BN1025" s="21"/>
      <c r="BO1025" s="21"/>
      <c r="BP1025" s="21"/>
      <c r="BQ1025" s="21"/>
      <c r="BR1025" s="21"/>
      <c r="BS1025" s="21"/>
      <c r="BT1025" s="21"/>
      <c r="BU1025" s="21"/>
      <c r="BV1025" s="21"/>
      <c r="BW1025" s="21"/>
      <c r="BX1025" s="21"/>
      <c r="BY1025" s="21"/>
      <c r="BZ1025" s="21"/>
      <c r="CA1025" s="21"/>
      <c r="CB1025" s="21"/>
      <c r="CC1025" s="21"/>
      <c r="CD1025" s="21"/>
      <c r="CE1025" s="21"/>
      <c r="CF1025" s="21"/>
      <c r="CG1025" s="21"/>
      <c r="CH1025" s="21"/>
      <c r="CI1025" s="21"/>
      <c r="CJ1025" s="21"/>
      <c r="CK1025" s="21"/>
      <c r="CL1025" s="21"/>
      <c r="CM1025" s="21"/>
      <c r="CN1025" s="21"/>
      <c r="CO1025" s="21"/>
      <c r="CP1025" s="21"/>
      <c r="CQ1025" s="21"/>
      <c r="CR1025" s="21"/>
      <c r="CS1025" s="21"/>
      <c r="CT1025" s="21"/>
      <c r="CU1025" s="21"/>
      <c r="CV1025" s="21"/>
      <c r="CW1025" s="21"/>
      <c r="CX1025" s="21"/>
      <c r="CY1025" s="22"/>
      <c r="CZ1025" s="21"/>
      <c r="DA1025" s="21"/>
      <c r="DB1025" s="21"/>
    </row>
    <row r="1026" spans="3:106" s="19" customFormat="1" ht="12">
      <c r="C1026" s="21"/>
      <c r="D1026" s="21"/>
      <c r="E1026" s="21"/>
      <c r="F1026" s="21"/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2"/>
      <c r="AX1026" s="21"/>
      <c r="AY1026" s="21"/>
      <c r="AZ1026" s="21"/>
      <c r="BA1026" s="21"/>
      <c r="BB1026" s="21"/>
      <c r="BC1026" s="21"/>
      <c r="BD1026" s="21"/>
      <c r="BE1026" s="21"/>
      <c r="BF1026" s="21"/>
      <c r="BG1026" s="21"/>
      <c r="BH1026" s="21"/>
      <c r="BI1026" s="21"/>
      <c r="BJ1026" s="21"/>
      <c r="BK1026" s="21"/>
      <c r="BL1026" s="21"/>
      <c r="BM1026" s="21"/>
      <c r="BN1026" s="21"/>
      <c r="BO1026" s="21"/>
      <c r="BP1026" s="21"/>
      <c r="BQ1026" s="21"/>
      <c r="BR1026" s="21"/>
      <c r="BS1026" s="21"/>
      <c r="BT1026" s="21"/>
      <c r="BU1026" s="21"/>
      <c r="BV1026" s="21"/>
      <c r="BW1026" s="21"/>
      <c r="BX1026" s="21"/>
      <c r="BY1026" s="21"/>
      <c r="BZ1026" s="21"/>
      <c r="CA1026" s="21"/>
      <c r="CB1026" s="21"/>
      <c r="CC1026" s="21"/>
      <c r="CD1026" s="21"/>
      <c r="CE1026" s="21"/>
      <c r="CF1026" s="21"/>
      <c r="CG1026" s="21"/>
      <c r="CH1026" s="21"/>
      <c r="CI1026" s="21"/>
      <c r="CJ1026" s="21"/>
      <c r="CK1026" s="21"/>
      <c r="CL1026" s="21"/>
      <c r="CM1026" s="21"/>
      <c r="CN1026" s="21"/>
      <c r="CO1026" s="21"/>
      <c r="CP1026" s="21"/>
      <c r="CQ1026" s="21"/>
      <c r="CR1026" s="21"/>
      <c r="CS1026" s="21"/>
      <c r="CT1026" s="21"/>
      <c r="CU1026" s="21"/>
      <c r="CV1026" s="21"/>
      <c r="CW1026" s="21"/>
      <c r="CX1026" s="21"/>
      <c r="CY1026" s="22"/>
      <c r="CZ1026" s="21"/>
      <c r="DA1026" s="21"/>
      <c r="DB1026" s="21"/>
    </row>
    <row r="1027" spans="3:106" s="19" customFormat="1" ht="12">
      <c r="C1027" s="21"/>
      <c r="D1027" s="21"/>
      <c r="E1027" s="21"/>
      <c r="F1027" s="21"/>
      <c r="G1027" s="21"/>
      <c r="H1027" s="21"/>
      <c r="I1027" s="21"/>
      <c r="J1027" s="21"/>
      <c r="K1027" s="21"/>
      <c r="L1027" s="21"/>
      <c r="M1027" s="21"/>
      <c r="N1027" s="21"/>
      <c r="O1027" s="21"/>
      <c r="P1027" s="21"/>
      <c r="Q1027" s="21"/>
      <c r="R1027" s="21"/>
      <c r="S1027" s="21"/>
      <c r="T1027" s="21"/>
      <c r="U1027" s="21"/>
      <c r="V1027" s="21"/>
      <c r="W1027" s="21"/>
      <c r="X1027" s="21"/>
      <c r="Y1027" s="21"/>
      <c r="Z1027" s="21"/>
      <c r="AA1027" s="21"/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2"/>
      <c r="AX1027" s="21"/>
      <c r="AY1027" s="21"/>
      <c r="AZ1027" s="21"/>
      <c r="BA1027" s="21"/>
      <c r="BB1027" s="21"/>
      <c r="BC1027" s="21"/>
      <c r="BD1027" s="21"/>
      <c r="BE1027" s="21"/>
      <c r="BF1027" s="21"/>
      <c r="BG1027" s="21"/>
      <c r="BH1027" s="21"/>
      <c r="BI1027" s="21"/>
      <c r="BJ1027" s="21"/>
      <c r="BK1027" s="21"/>
      <c r="BL1027" s="21"/>
      <c r="BM1027" s="21"/>
      <c r="BN1027" s="21"/>
      <c r="BO1027" s="21"/>
      <c r="BP1027" s="21"/>
      <c r="BQ1027" s="21"/>
      <c r="BR1027" s="21"/>
      <c r="BS1027" s="21"/>
      <c r="BT1027" s="21"/>
      <c r="BU1027" s="21"/>
      <c r="BV1027" s="21"/>
      <c r="BW1027" s="21"/>
      <c r="BX1027" s="21"/>
      <c r="BY1027" s="21"/>
      <c r="BZ1027" s="21"/>
      <c r="CA1027" s="21"/>
      <c r="CB1027" s="21"/>
      <c r="CC1027" s="21"/>
      <c r="CD1027" s="21"/>
      <c r="CE1027" s="21"/>
      <c r="CF1027" s="21"/>
      <c r="CG1027" s="21"/>
      <c r="CH1027" s="21"/>
      <c r="CI1027" s="21"/>
      <c r="CJ1027" s="21"/>
      <c r="CK1027" s="21"/>
      <c r="CL1027" s="21"/>
      <c r="CM1027" s="21"/>
      <c r="CN1027" s="21"/>
      <c r="CO1027" s="21"/>
      <c r="CP1027" s="21"/>
      <c r="CQ1027" s="21"/>
      <c r="CR1027" s="21"/>
      <c r="CS1027" s="21"/>
      <c r="CT1027" s="21"/>
      <c r="CU1027" s="21"/>
      <c r="CV1027" s="21"/>
      <c r="CW1027" s="21"/>
      <c r="CX1027" s="21"/>
      <c r="CY1027" s="22"/>
      <c r="CZ1027" s="21"/>
      <c r="DA1027" s="21"/>
      <c r="DB1027" s="21"/>
    </row>
    <row r="1028" spans="3:106" s="19" customFormat="1" ht="12">
      <c r="C1028" s="21"/>
      <c r="D1028" s="21"/>
      <c r="E1028" s="21"/>
      <c r="F1028" s="21"/>
      <c r="G1028" s="21"/>
      <c r="H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2"/>
      <c r="AX1028" s="21"/>
      <c r="AY1028" s="21"/>
      <c r="AZ1028" s="21"/>
      <c r="BA1028" s="21"/>
      <c r="BB1028" s="21"/>
      <c r="BC1028" s="21"/>
      <c r="BD1028" s="21"/>
      <c r="BE1028" s="21"/>
      <c r="BF1028" s="21"/>
      <c r="BG1028" s="21"/>
      <c r="BH1028" s="21"/>
      <c r="BI1028" s="21"/>
      <c r="BJ1028" s="21"/>
      <c r="BK1028" s="21"/>
      <c r="BL1028" s="21"/>
      <c r="BM1028" s="21"/>
      <c r="BN1028" s="21"/>
      <c r="BO1028" s="21"/>
      <c r="BP1028" s="21"/>
      <c r="BQ1028" s="21"/>
      <c r="BR1028" s="21"/>
      <c r="BS1028" s="21"/>
      <c r="BT1028" s="21"/>
      <c r="BU1028" s="21"/>
      <c r="BV1028" s="21"/>
      <c r="BW1028" s="21"/>
      <c r="BX1028" s="21"/>
      <c r="BY1028" s="21"/>
      <c r="BZ1028" s="21"/>
      <c r="CA1028" s="21"/>
      <c r="CB1028" s="21"/>
      <c r="CC1028" s="21"/>
      <c r="CD1028" s="21"/>
      <c r="CE1028" s="21"/>
      <c r="CF1028" s="21"/>
      <c r="CG1028" s="21"/>
      <c r="CH1028" s="21"/>
      <c r="CI1028" s="21"/>
      <c r="CJ1028" s="21"/>
      <c r="CK1028" s="21"/>
      <c r="CL1028" s="21"/>
      <c r="CM1028" s="21"/>
      <c r="CN1028" s="21"/>
      <c r="CO1028" s="21"/>
      <c r="CP1028" s="21"/>
      <c r="CQ1028" s="21"/>
      <c r="CR1028" s="21"/>
      <c r="CS1028" s="21"/>
      <c r="CT1028" s="21"/>
      <c r="CU1028" s="21"/>
      <c r="CV1028" s="21"/>
      <c r="CW1028" s="21"/>
      <c r="CX1028" s="21"/>
      <c r="CY1028" s="22"/>
      <c r="CZ1028" s="21"/>
      <c r="DA1028" s="21"/>
      <c r="DB1028" s="21"/>
    </row>
    <row r="1029" spans="3:106" s="19" customFormat="1" ht="12">
      <c r="C1029" s="21"/>
      <c r="D1029" s="21"/>
      <c r="E1029" s="21"/>
      <c r="F1029" s="21"/>
      <c r="G1029" s="21"/>
      <c r="H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2"/>
      <c r="AX1029" s="21"/>
      <c r="AY1029" s="21"/>
      <c r="AZ1029" s="21"/>
      <c r="BA1029" s="21"/>
      <c r="BB1029" s="21"/>
      <c r="BC1029" s="21"/>
      <c r="BD1029" s="21"/>
      <c r="BE1029" s="21"/>
      <c r="BF1029" s="21"/>
      <c r="BG1029" s="21"/>
      <c r="BH1029" s="21"/>
      <c r="BI1029" s="21"/>
      <c r="BJ1029" s="21"/>
      <c r="BK1029" s="21"/>
      <c r="BL1029" s="21"/>
      <c r="BM1029" s="21"/>
      <c r="BN1029" s="21"/>
      <c r="BO1029" s="21"/>
      <c r="BP1029" s="21"/>
      <c r="BQ1029" s="21"/>
      <c r="BR1029" s="21"/>
      <c r="BS1029" s="21"/>
      <c r="BT1029" s="21"/>
      <c r="BU1029" s="21"/>
      <c r="BV1029" s="21"/>
      <c r="BW1029" s="21"/>
      <c r="BX1029" s="21"/>
      <c r="BY1029" s="21"/>
      <c r="BZ1029" s="21"/>
      <c r="CA1029" s="21"/>
      <c r="CB1029" s="21"/>
      <c r="CC1029" s="21"/>
      <c r="CD1029" s="21"/>
      <c r="CE1029" s="21"/>
      <c r="CF1029" s="21"/>
      <c r="CG1029" s="21"/>
      <c r="CH1029" s="21"/>
      <c r="CI1029" s="21"/>
      <c r="CJ1029" s="21"/>
      <c r="CK1029" s="21"/>
      <c r="CL1029" s="21"/>
      <c r="CM1029" s="21"/>
      <c r="CN1029" s="21"/>
      <c r="CO1029" s="21"/>
      <c r="CP1029" s="21"/>
      <c r="CQ1029" s="21"/>
      <c r="CR1029" s="21"/>
      <c r="CS1029" s="21"/>
      <c r="CT1029" s="21"/>
      <c r="CU1029" s="21"/>
      <c r="CV1029" s="21"/>
      <c r="CW1029" s="21"/>
      <c r="CX1029" s="21"/>
      <c r="CY1029" s="22"/>
      <c r="CZ1029" s="21"/>
      <c r="DA1029" s="21"/>
      <c r="DB1029" s="21"/>
    </row>
    <row r="1030" spans="3:106" s="19" customFormat="1" ht="12">
      <c r="C1030" s="21"/>
      <c r="D1030" s="21"/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2"/>
      <c r="AX1030" s="21"/>
      <c r="AY1030" s="21"/>
      <c r="AZ1030" s="21"/>
      <c r="BA1030" s="21"/>
      <c r="BB1030" s="21"/>
      <c r="BC1030" s="21"/>
      <c r="BD1030" s="21"/>
      <c r="BE1030" s="21"/>
      <c r="BF1030" s="21"/>
      <c r="BG1030" s="21"/>
      <c r="BH1030" s="21"/>
      <c r="BI1030" s="21"/>
      <c r="BJ1030" s="21"/>
      <c r="BK1030" s="21"/>
      <c r="BL1030" s="21"/>
      <c r="BM1030" s="21"/>
      <c r="BN1030" s="21"/>
      <c r="BO1030" s="21"/>
      <c r="BP1030" s="21"/>
      <c r="BQ1030" s="21"/>
      <c r="BR1030" s="21"/>
      <c r="BS1030" s="21"/>
      <c r="BT1030" s="21"/>
      <c r="BU1030" s="21"/>
      <c r="BV1030" s="21"/>
      <c r="BW1030" s="21"/>
      <c r="BX1030" s="21"/>
      <c r="BY1030" s="21"/>
      <c r="BZ1030" s="21"/>
      <c r="CA1030" s="21"/>
      <c r="CB1030" s="21"/>
      <c r="CC1030" s="21"/>
      <c r="CD1030" s="21"/>
      <c r="CE1030" s="21"/>
      <c r="CF1030" s="21"/>
      <c r="CG1030" s="21"/>
      <c r="CH1030" s="21"/>
      <c r="CI1030" s="21"/>
      <c r="CJ1030" s="21"/>
      <c r="CK1030" s="21"/>
      <c r="CL1030" s="21"/>
      <c r="CM1030" s="21"/>
      <c r="CN1030" s="21"/>
      <c r="CO1030" s="21"/>
      <c r="CP1030" s="21"/>
      <c r="CQ1030" s="21"/>
      <c r="CR1030" s="21"/>
      <c r="CS1030" s="21"/>
      <c r="CT1030" s="21"/>
      <c r="CU1030" s="21"/>
      <c r="CV1030" s="21"/>
      <c r="CW1030" s="21"/>
      <c r="CX1030" s="21"/>
      <c r="CY1030" s="22"/>
      <c r="CZ1030" s="21"/>
      <c r="DA1030" s="21"/>
      <c r="DB1030" s="21"/>
    </row>
    <row r="1031" spans="3:106" s="19" customFormat="1" ht="12">
      <c r="C1031" s="21"/>
      <c r="D1031" s="21"/>
      <c r="E1031" s="21"/>
      <c r="F1031" s="21"/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2"/>
      <c r="AX1031" s="21"/>
      <c r="AY1031" s="21"/>
      <c r="AZ1031" s="21"/>
      <c r="BA1031" s="21"/>
      <c r="BB1031" s="21"/>
      <c r="BC1031" s="21"/>
      <c r="BD1031" s="21"/>
      <c r="BE1031" s="21"/>
      <c r="BF1031" s="21"/>
      <c r="BG1031" s="21"/>
      <c r="BH1031" s="21"/>
      <c r="BI1031" s="21"/>
      <c r="BJ1031" s="21"/>
      <c r="BK1031" s="21"/>
      <c r="BL1031" s="21"/>
      <c r="BM1031" s="21"/>
      <c r="BN1031" s="21"/>
      <c r="BO1031" s="21"/>
      <c r="BP1031" s="21"/>
      <c r="BQ1031" s="21"/>
      <c r="BR1031" s="21"/>
      <c r="BS1031" s="21"/>
      <c r="BT1031" s="21"/>
      <c r="BU1031" s="21"/>
      <c r="BV1031" s="21"/>
      <c r="BW1031" s="21"/>
      <c r="BX1031" s="21"/>
      <c r="BY1031" s="21"/>
      <c r="BZ1031" s="21"/>
      <c r="CA1031" s="21"/>
      <c r="CB1031" s="21"/>
      <c r="CC1031" s="21"/>
      <c r="CD1031" s="21"/>
      <c r="CE1031" s="21"/>
      <c r="CF1031" s="21"/>
      <c r="CG1031" s="21"/>
      <c r="CH1031" s="21"/>
      <c r="CI1031" s="21"/>
      <c r="CJ1031" s="21"/>
      <c r="CK1031" s="21"/>
      <c r="CL1031" s="21"/>
      <c r="CM1031" s="21"/>
      <c r="CN1031" s="21"/>
      <c r="CO1031" s="21"/>
      <c r="CP1031" s="21"/>
      <c r="CQ1031" s="21"/>
      <c r="CR1031" s="21"/>
      <c r="CS1031" s="21"/>
      <c r="CT1031" s="21"/>
      <c r="CU1031" s="21"/>
      <c r="CV1031" s="21"/>
      <c r="CW1031" s="21"/>
      <c r="CX1031" s="21"/>
      <c r="CY1031" s="22"/>
      <c r="CZ1031" s="21"/>
      <c r="DA1031" s="21"/>
      <c r="DB1031" s="21"/>
    </row>
    <row r="1032" spans="3:106" s="19" customFormat="1" ht="12">
      <c r="C1032" s="21"/>
      <c r="D1032" s="21"/>
      <c r="E1032" s="21"/>
      <c r="F1032" s="21"/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2"/>
      <c r="AX1032" s="21"/>
      <c r="AY1032" s="21"/>
      <c r="AZ1032" s="21"/>
      <c r="BA1032" s="21"/>
      <c r="BB1032" s="21"/>
      <c r="BC1032" s="21"/>
      <c r="BD1032" s="21"/>
      <c r="BE1032" s="21"/>
      <c r="BF1032" s="21"/>
      <c r="BG1032" s="21"/>
      <c r="BH1032" s="21"/>
      <c r="BI1032" s="21"/>
      <c r="BJ1032" s="21"/>
      <c r="BK1032" s="21"/>
      <c r="BL1032" s="21"/>
      <c r="BM1032" s="21"/>
      <c r="BN1032" s="21"/>
      <c r="BO1032" s="21"/>
      <c r="BP1032" s="21"/>
      <c r="BQ1032" s="21"/>
      <c r="BR1032" s="21"/>
      <c r="BS1032" s="21"/>
      <c r="BT1032" s="21"/>
      <c r="BU1032" s="21"/>
      <c r="BV1032" s="21"/>
      <c r="BW1032" s="21"/>
      <c r="BX1032" s="21"/>
      <c r="BY1032" s="21"/>
      <c r="BZ1032" s="21"/>
      <c r="CA1032" s="21"/>
      <c r="CB1032" s="21"/>
      <c r="CC1032" s="21"/>
      <c r="CD1032" s="21"/>
      <c r="CE1032" s="21"/>
      <c r="CF1032" s="21"/>
      <c r="CG1032" s="21"/>
      <c r="CH1032" s="21"/>
      <c r="CI1032" s="21"/>
      <c r="CJ1032" s="21"/>
      <c r="CK1032" s="21"/>
      <c r="CL1032" s="21"/>
      <c r="CM1032" s="21"/>
      <c r="CN1032" s="21"/>
      <c r="CO1032" s="21"/>
      <c r="CP1032" s="21"/>
      <c r="CQ1032" s="21"/>
      <c r="CR1032" s="21"/>
      <c r="CS1032" s="21"/>
      <c r="CT1032" s="21"/>
      <c r="CU1032" s="21"/>
      <c r="CV1032" s="21"/>
      <c r="CW1032" s="21"/>
      <c r="CX1032" s="21"/>
      <c r="CY1032" s="22"/>
      <c r="CZ1032" s="21"/>
      <c r="DA1032" s="21"/>
      <c r="DB1032" s="21"/>
    </row>
    <row r="1033" spans="3:106" s="19" customFormat="1" ht="12">
      <c r="C1033" s="21"/>
      <c r="D1033" s="21"/>
      <c r="E1033" s="21"/>
      <c r="F1033" s="21"/>
      <c r="G1033" s="21"/>
      <c r="H1033" s="21"/>
      <c r="I1033" s="21"/>
      <c r="J1033" s="21"/>
      <c r="K1033" s="21"/>
      <c r="L1033" s="21"/>
      <c r="M1033" s="21"/>
      <c r="N1033" s="21"/>
      <c r="O1033" s="21"/>
      <c r="P1033" s="21"/>
      <c r="Q1033" s="21"/>
      <c r="R1033" s="21"/>
      <c r="S1033" s="21"/>
      <c r="T1033" s="21"/>
      <c r="U1033" s="21"/>
      <c r="V1033" s="21"/>
      <c r="W1033" s="21"/>
      <c r="X1033" s="21"/>
      <c r="Y1033" s="21"/>
      <c r="Z1033" s="21"/>
      <c r="AA1033" s="21"/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2"/>
      <c r="AX1033" s="21"/>
      <c r="AY1033" s="21"/>
      <c r="AZ1033" s="21"/>
      <c r="BA1033" s="21"/>
      <c r="BB1033" s="21"/>
      <c r="BC1033" s="21"/>
      <c r="BD1033" s="21"/>
      <c r="BE1033" s="21"/>
      <c r="BF1033" s="21"/>
      <c r="BG1033" s="21"/>
      <c r="BH1033" s="21"/>
      <c r="BI1033" s="21"/>
      <c r="BJ1033" s="21"/>
      <c r="BK1033" s="21"/>
      <c r="BL1033" s="21"/>
      <c r="BM1033" s="21"/>
      <c r="BN1033" s="21"/>
      <c r="BO1033" s="21"/>
      <c r="BP1033" s="21"/>
      <c r="BQ1033" s="21"/>
      <c r="BR1033" s="21"/>
      <c r="BS1033" s="21"/>
      <c r="BT1033" s="21"/>
      <c r="BU1033" s="21"/>
      <c r="BV1033" s="21"/>
      <c r="BW1033" s="21"/>
      <c r="BX1033" s="21"/>
      <c r="BY1033" s="21"/>
      <c r="BZ1033" s="21"/>
      <c r="CA1033" s="21"/>
      <c r="CB1033" s="21"/>
      <c r="CC1033" s="21"/>
      <c r="CD1033" s="21"/>
      <c r="CE1033" s="21"/>
      <c r="CF1033" s="21"/>
      <c r="CG1033" s="21"/>
      <c r="CH1033" s="21"/>
      <c r="CI1033" s="21"/>
      <c r="CJ1033" s="21"/>
      <c r="CK1033" s="21"/>
      <c r="CL1033" s="21"/>
      <c r="CM1033" s="21"/>
      <c r="CN1033" s="21"/>
      <c r="CO1033" s="21"/>
      <c r="CP1033" s="21"/>
      <c r="CQ1033" s="21"/>
      <c r="CR1033" s="21"/>
      <c r="CS1033" s="21"/>
      <c r="CT1033" s="21"/>
      <c r="CU1033" s="21"/>
      <c r="CV1033" s="21"/>
      <c r="CW1033" s="21"/>
      <c r="CX1033" s="21"/>
      <c r="CY1033" s="22"/>
      <c r="CZ1033" s="21"/>
      <c r="DA1033" s="21"/>
      <c r="DB1033" s="21"/>
    </row>
    <row r="1034" spans="3:106" s="19" customFormat="1" ht="12">
      <c r="C1034" s="21"/>
      <c r="D1034" s="21"/>
      <c r="E1034" s="21"/>
      <c r="F1034" s="21"/>
      <c r="G1034" s="21"/>
      <c r="H1034" s="21"/>
      <c r="I1034" s="21"/>
      <c r="J1034" s="21"/>
      <c r="K1034" s="21"/>
      <c r="L1034" s="21"/>
      <c r="M1034" s="21"/>
      <c r="N1034" s="21"/>
      <c r="O1034" s="21"/>
      <c r="P1034" s="21"/>
      <c r="Q1034" s="21"/>
      <c r="R1034" s="21"/>
      <c r="S1034" s="21"/>
      <c r="T1034" s="21"/>
      <c r="U1034" s="21"/>
      <c r="V1034" s="21"/>
      <c r="W1034" s="21"/>
      <c r="X1034" s="21"/>
      <c r="Y1034" s="21"/>
      <c r="Z1034" s="21"/>
      <c r="AA1034" s="21"/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2"/>
      <c r="AX1034" s="21"/>
      <c r="AY1034" s="21"/>
      <c r="AZ1034" s="21"/>
      <c r="BA1034" s="21"/>
      <c r="BB1034" s="21"/>
      <c r="BC1034" s="21"/>
      <c r="BD1034" s="21"/>
      <c r="BE1034" s="21"/>
      <c r="BF1034" s="21"/>
      <c r="BG1034" s="21"/>
      <c r="BH1034" s="21"/>
      <c r="BI1034" s="21"/>
      <c r="BJ1034" s="21"/>
      <c r="BK1034" s="21"/>
      <c r="BL1034" s="21"/>
      <c r="BM1034" s="21"/>
      <c r="BN1034" s="21"/>
      <c r="BO1034" s="21"/>
      <c r="BP1034" s="21"/>
      <c r="BQ1034" s="21"/>
      <c r="BR1034" s="21"/>
      <c r="BS1034" s="21"/>
      <c r="BT1034" s="21"/>
      <c r="BU1034" s="21"/>
      <c r="BV1034" s="21"/>
      <c r="BW1034" s="21"/>
      <c r="BX1034" s="21"/>
      <c r="BY1034" s="21"/>
      <c r="BZ1034" s="21"/>
      <c r="CA1034" s="21"/>
      <c r="CB1034" s="21"/>
      <c r="CC1034" s="21"/>
      <c r="CD1034" s="21"/>
      <c r="CE1034" s="21"/>
      <c r="CF1034" s="21"/>
      <c r="CG1034" s="21"/>
      <c r="CH1034" s="21"/>
      <c r="CI1034" s="21"/>
      <c r="CJ1034" s="21"/>
      <c r="CK1034" s="21"/>
      <c r="CL1034" s="21"/>
      <c r="CM1034" s="21"/>
      <c r="CN1034" s="21"/>
      <c r="CO1034" s="21"/>
      <c r="CP1034" s="21"/>
      <c r="CQ1034" s="21"/>
      <c r="CR1034" s="21"/>
      <c r="CS1034" s="21"/>
      <c r="CT1034" s="21"/>
      <c r="CU1034" s="21"/>
      <c r="CV1034" s="21"/>
      <c r="CW1034" s="21"/>
      <c r="CX1034" s="21"/>
      <c r="CY1034" s="22"/>
      <c r="CZ1034" s="21"/>
      <c r="DA1034" s="21"/>
      <c r="DB1034" s="21"/>
    </row>
    <row r="1035" spans="3:106" s="19" customFormat="1" ht="12">
      <c r="C1035" s="21"/>
      <c r="D1035" s="21"/>
      <c r="E1035" s="21"/>
      <c r="F1035" s="21"/>
      <c r="G1035" s="21"/>
      <c r="H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2"/>
      <c r="AX1035" s="21"/>
      <c r="AY1035" s="21"/>
      <c r="AZ1035" s="21"/>
      <c r="BA1035" s="21"/>
      <c r="BB1035" s="21"/>
      <c r="BC1035" s="21"/>
      <c r="BD1035" s="21"/>
      <c r="BE1035" s="21"/>
      <c r="BF1035" s="21"/>
      <c r="BG1035" s="21"/>
      <c r="BH1035" s="21"/>
      <c r="BI1035" s="21"/>
      <c r="BJ1035" s="21"/>
      <c r="BK1035" s="21"/>
      <c r="BL1035" s="21"/>
      <c r="BM1035" s="21"/>
      <c r="BN1035" s="21"/>
      <c r="BO1035" s="21"/>
      <c r="BP1035" s="21"/>
      <c r="BQ1035" s="21"/>
      <c r="BR1035" s="21"/>
      <c r="BS1035" s="21"/>
      <c r="BT1035" s="21"/>
      <c r="BU1035" s="21"/>
      <c r="BV1035" s="21"/>
      <c r="BW1035" s="21"/>
      <c r="BX1035" s="21"/>
      <c r="BY1035" s="21"/>
      <c r="BZ1035" s="21"/>
      <c r="CA1035" s="21"/>
      <c r="CB1035" s="21"/>
      <c r="CC1035" s="21"/>
      <c r="CD1035" s="21"/>
      <c r="CE1035" s="21"/>
      <c r="CF1035" s="21"/>
      <c r="CG1035" s="21"/>
      <c r="CH1035" s="21"/>
      <c r="CI1035" s="21"/>
      <c r="CJ1035" s="21"/>
      <c r="CK1035" s="21"/>
      <c r="CL1035" s="21"/>
      <c r="CM1035" s="21"/>
      <c r="CN1035" s="21"/>
      <c r="CO1035" s="21"/>
      <c r="CP1035" s="21"/>
      <c r="CQ1035" s="21"/>
      <c r="CR1035" s="21"/>
      <c r="CS1035" s="21"/>
      <c r="CT1035" s="21"/>
      <c r="CU1035" s="21"/>
      <c r="CV1035" s="21"/>
      <c r="CW1035" s="21"/>
      <c r="CX1035" s="21"/>
      <c r="CY1035" s="22"/>
      <c r="CZ1035" s="21"/>
      <c r="DA1035" s="21"/>
      <c r="DB1035" s="21"/>
    </row>
    <row r="1036" spans="3:106" s="19" customFormat="1" ht="12">
      <c r="C1036" s="21"/>
      <c r="D1036" s="21"/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2"/>
      <c r="AX1036" s="21"/>
      <c r="AY1036" s="21"/>
      <c r="AZ1036" s="21"/>
      <c r="BA1036" s="21"/>
      <c r="BB1036" s="21"/>
      <c r="BC1036" s="21"/>
      <c r="BD1036" s="21"/>
      <c r="BE1036" s="21"/>
      <c r="BF1036" s="21"/>
      <c r="BG1036" s="21"/>
      <c r="BH1036" s="21"/>
      <c r="BI1036" s="21"/>
      <c r="BJ1036" s="21"/>
      <c r="BK1036" s="21"/>
      <c r="BL1036" s="21"/>
      <c r="BM1036" s="21"/>
      <c r="BN1036" s="21"/>
      <c r="BO1036" s="21"/>
      <c r="BP1036" s="21"/>
      <c r="BQ1036" s="21"/>
      <c r="BR1036" s="21"/>
      <c r="BS1036" s="21"/>
      <c r="BT1036" s="21"/>
      <c r="BU1036" s="21"/>
      <c r="BV1036" s="21"/>
      <c r="BW1036" s="21"/>
      <c r="BX1036" s="21"/>
      <c r="BY1036" s="21"/>
      <c r="BZ1036" s="21"/>
      <c r="CA1036" s="21"/>
      <c r="CB1036" s="21"/>
      <c r="CC1036" s="21"/>
      <c r="CD1036" s="21"/>
      <c r="CE1036" s="21"/>
      <c r="CF1036" s="21"/>
      <c r="CG1036" s="21"/>
      <c r="CH1036" s="21"/>
      <c r="CI1036" s="21"/>
      <c r="CJ1036" s="21"/>
      <c r="CK1036" s="21"/>
      <c r="CL1036" s="21"/>
      <c r="CM1036" s="21"/>
      <c r="CN1036" s="21"/>
      <c r="CO1036" s="21"/>
      <c r="CP1036" s="21"/>
      <c r="CQ1036" s="21"/>
      <c r="CR1036" s="21"/>
      <c r="CS1036" s="21"/>
      <c r="CT1036" s="21"/>
      <c r="CU1036" s="21"/>
      <c r="CV1036" s="21"/>
      <c r="CW1036" s="21"/>
      <c r="CX1036" s="21"/>
      <c r="CY1036" s="22"/>
      <c r="CZ1036" s="21"/>
      <c r="DA1036" s="21"/>
      <c r="DB1036" s="21"/>
    </row>
    <row r="1037" spans="3:106" s="19" customFormat="1" ht="12">
      <c r="C1037" s="21"/>
      <c r="D1037" s="21"/>
      <c r="E1037" s="21"/>
      <c r="F1037" s="21"/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2"/>
      <c r="AX1037" s="21"/>
      <c r="AY1037" s="21"/>
      <c r="AZ1037" s="21"/>
      <c r="BA1037" s="21"/>
      <c r="BB1037" s="21"/>
      <c r="BC1037" s="21"/>
      <c r="BD1037" s="21"/>
      <c r="BE1037" s="21"/>
      <c r="BF1037" s="21"/>
      <c r="BG1037" s="21"/>
      <c r="BH1037" s="21"/>
      <c r="BI1037" s="21"/>
      <c r="BJ1037" s="21"/>
      <c r="BK1037" s="21"/>
      <c r="BL1037" s="21"/>
      <c r="BM1037" s="21"/>
      <c r="BN1037" s="21"/>
      <c r="BO1037" s="21"/>
      <c r="BP1037" s="21"/>
      <c r="BQ1037" s="21"/>
      <c r="BR1037" s="21"/>
      <c r="BS1037" s="21"/>
      <c r="BT1037" s="21"/>
      <c r="BU1037" s="21"/>
      <c r="BV1037" s="21"/>
      <c r="BW1037" s="21"/>
      <c r="BX1037" s="21"/>
      <c r="BY1037" s="21"/>
      <c r="BZ1037" s="21"/>
      <c r="CA1037" s="21"/>
      <c r="CB1037" s="21"/>
      <c r="CC1037" s="21"/>
      <c r="CD1037" s="21"/>
      <c r="CE1037" s="21"/>
      <c r="CF1037" s="21"/>
      <c r="CG1037" s="21"/>
      <c r="CH1037" s="21"/>
      <c r="CI1037" s="21"/>
      <c r="CJ1037" s="21"/>
      <c r="CK1037" s="21"/>
      <c r="CL1037" s="21"/>
      <c r="CM1037" s="21"/>
      <c r="CN1037" s="21"/>
      <c r="CO1037" s="21"/>
      <c r="CP1037" s="21"/>
      <c r="CQ1037" s="21"/>
      <c r="CR1037" s="21"/>
      <c r="CS1037" s="21"/>
      <c r="CT1037" s="21"/>
      <c r="CU1037" s="21"/>
      <c r="CV1037" s="21"/>
      <c r="CW1037" s="21"/>
      <c r="CX1037" s="21"/>
      <c r="CY1037" s="22"/>
      <c r="CZ1037" s="21"/>
      <c r="DA1037" s="21"/>
      <c r="DB1037" s="21"/>
    </row>
    <row r="1038" spans="3:106" s="19" customFormat="1" ht="12">
      <c r="C1038" s="21"/>
      <c r="D1038" s="21"/>
      <c r="E1038" s="21"/>
      <c r="F1038" s="21"/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2"/>
      <c r="AX1038" s="21"/>
      <c r="AY1038" s="21"/>
      <c r="AZ1038" s="21"/>
      <c r="BA1038" s="21"/>
      <c r="BB1038" s="21"/>
      <c r="BC1038" s="21"/>
      <c r="BD1038" s="21"/>
      <c r="BE1038" s="21"/>
      <c r="BF1038" s="21"/>
      <c r="BG1038" s="21"/>
      <c r="BH1038" s="21"/>
      <c r="BI1038" s="21"/>
      <c r="BJ1038" s="21"/>
      <c r="BK1038" s="21"/>
      <c r="BL1038" s="21"/>
      <c r="BM1038" s="21"/>
      <c r="BN1038" s="21"/>
      <c r="BO1038" s="21"/>
      <c r="BP1038" s="21"/>
      <c r="BQ1038" s="21"/>
      <c r="BR1038" s="21"/>
      <c r="BS1038" s="21"/>
      <c r="BT1038" s="21"/>
      <c r="BU1038" s="21"/>
      <c r="BV1038" s="21"/>
      <c r="BW1038" s="21"/>
      <c r="BX1038" s="21"/>
      <c r="BY1038" s="21"/>
      <c r="BZ1038" s="21"/>
      <c r="CA1038" s="21"/>
      <c r="CB1038" s="21"/>
      <c r="CC1038" s="21"/>
      <c r="CD1038" s="21"/>
      <c r="CE1038" s="21"/>
      <c r="CF1038" s="21"/>
      <c r="CG1038" s="21"/>
      <c r="CH1038" s="21"/>
      <c r="CI1038" s="21"/>
      <c r="CJ1038" s="21"/>
      <c r="CK1038" s="21"/>
      <c r="CL1038" s="21"/>
      <c r="CM1038" s="21"/>
      <c r="CN1038" s="21"/>
      <c r="CO1038" s="21"/>
      <c r="CP1038" s="21"/>
      <c r="CQ1038" s="21"/>
      <c r="CR1038" s="21"/>
      <c r="CS1038" s="21"/>
      <c r="CT1038" s="21"/>
      <c r="CU1038" s="21"/>
      <c r="CV1038" s="21"/>
      <c r="CW1038" s="21"/>
      <c r="CX1038" s="21"/>
      <c r="CY1038" s="22"/>
      <c r="CZ1038" s="21"/>
      <c r="DA1038" s="21"/>
      <c r="DB1038" s="21"/>
    </row>
    <row r="1039" spans="3:106" s="19" customFormat="1" ht="12">
      <c r="C1039" s="21"/>
      <c r="D1039" s="21"/>
      <c r="E1039" s="21"/>
      <c r="F1039" s="21"/>
      <c r="G1039" s="21"/>
      <c r="H1039" s="21"/>
      <c r="I1039" s="21"/>
      <c r="J1039" s="21"/>
      <c r="K1039" s="21"/>
      <c r="L1039" s="21"/>
      <c r="M1039" s="21"/>
      <c r="N1039" s="21"/>
      <c r="O1039" s="21"/>
      <c r="P1039" s="21"/>
      <c r="Q1039" s="21"/>
      <c r="R1039" s="21"/>
      <c r="S1039" s="21"/>
      <c r="T1039" s="21"/>
      <c r="U1039" s="21"/>
      <c r="V1039" s="21"/>
      <c r="W1039" s="21"/>
      <c r="X1039" s="21"/>
      <c r="Y1039" s="21"/>
      <c r="Z1039" s="21"/>
      <c r="AA1039" s="21"/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2"/>
      <c r="AX1039" s="21"/>
      <c r="AY1039" s="21"/>
      <c r="AZ1039" s="21"/>
      <c r="BA1039" s="21"/>
      <c r="BB1039" s="21"/>
      <c r="BC1039" s="21"/>
      <c r="BD1039" s="21"/>
      <c r="BE1039" s="21"/>
      <c r="BF1039" s="21"/>
      <c r="BG1039" s="21"/>
      <c r="BH1039" s="21"/>
      <c r="BI1039" s="21"/>
      <c r="BJ1039" s="21"/>
      <c r="BK1039" s="21"/>
      <c r="BL1039" s="21"/>
      <c r="BM1039" s="21"/>
      <c r="BN1039" s="21"/>
      <c r="BO1039" s="21"/>
      <c r="BP1039" s="21"/>
      <c r="BQ1039" s="21"/>
      <c r="BR1039" s="21"/>
      <c r="BS1039" s="21"/>
      <c r="BT1039" s="21"/>
      <c r="BU1039" s="21"/>
      <c r="BV1039" s="21"/>
      <c r="BW1039" s="21"/>
      <c r="BX1039" s="21"/>
      <c r="BY1039" s="21"/>
      <c r="BZ1039" s="21"/>
      <c r="CA1039" s="21"/>
      <c r="CB1039" s="21"/>
      <c r="CC1039" s="21"/>
      <c r="CD1039" s="21"/>
      <c r="CE1039" s="21"/>
      <c r="CF1039" s="21"/>
      <c r="CG1039" s="21"/>
      <c r="CH1039" s="21"/>
      <c r="CI1039" s="21"/>
      <c r="CJ1039" s="21"/>
      <c r="CK1039" s="21"/>
      <c r="CL1039" s="21"/>
      <c r="CM1039" s="21"/>
      <c r="CN1039" s="21"/>
      <c r="CO1039" s="21"/>
      <c r="CP1039" s="21"/>
      <c r="CQ1039" s="21"/>
      <c r="CR1039" s="21"/>
      <c r="CS1039" s="21"/>
      <c r="CT1039" s="21"/>
      <c r="CU1039" s="21"/>
      <c r="CV1039" s="21"/>
      <c r="CW1039" s="21"/>
      <c r="CX1039" s="21"/>
      <c r="CY1039" s="22"/>
      <c r="CZ1039" s="21"/>
      <c r="DA1039" s="21"/>
      <c r="DB1039" s="21"/>
    </row>
    <row r="1040" spans="3:106" s="19" customFormat="1" ht="12">
      <c r="C1040" s="21"/>
      <c r="D1040" s="21"/>
      <c r="E1040" s="21"/>
      <c r="F1040" s="21"/>
      <c r="G1040" s="21"/>
      <c r="H1040" s="21"/>
      <c r="I1040" s="21"/>
      <c r="J1040" s="21"/>
      <c r="K1040" s="21"/>
      <c r="L1040" s="21"/>
      <c r="M1040" s="21"/>
      <c r="N1040" s="21"/>
      <c r="O1040" s="21"/>
      <c r="P1040" s="21"/>
      <c r="Q1040" s="21"/>
      <c r="R1040" s="21"/>
      <c r="S1040" s="21"/>
      <c r="T1040" s="21"/>
      <c r="U1040" s="21"/>
      <c r="V1040" s="21"/>
      <c r="W1040" s="21"/>
      <c r="X1040" s="21"/>
      <c r="Y1040" s="21"/>
      <c r="Z1040" s="21"/>
      <c r="AA1040" s="21"/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2"/>
      <c r="AX1040" s="21"/>
      <c r="AY1040" s="21"/>
      <c r="AZ1040" s="21"/>
      <c r="BA1040" s="21"/>
      <c r="BB1040" s="21"/>
      <c r="BC1040" s="21"/>
      <c r="BD1040" s="21"/>
      <c r="BE1040" s="21"/>
      <c r="BF1040" s="21"/>
      <c r="BG1040" s="21"/>
      <c r="BH1040" s="21"/>
      <c r="BI1040" s="21"/>
      <c r="BJ1040" s="21"/>
      <c r="BK1040" s="21"/>
      <c r="BL1040" s="21"/>
      <c r="BM1040" s="21"/>
      <c r="BN1040" s="21"/>
      <c r="BO1040" s="21"/>
      <c r="BP1040" s="21"/>
      <c r="BQ1040" s="21"/>
      <c r="BR1040" s="21"/>
      <c r="BS1040" s="21"/>
      <c r="BT1040" s="21"/>
      <c r="BU1040" s="21"/>
      <c r="BV1040" s="21"/>
      <c r="BW1040" s="21"/>
      <c r="BX1040" s="21"/>
      <c r="BY1040" s="21"/>
      <c r="BZ1040" s="21"/>
      <c r="CA1040" s="21"/>
      <c r="CB1040" s="21"/>
      <c r="CC1040" s="21"/>
      <c r="CD1040" s="21"/>
      <c r="CE1040" s="21"/>
      <c r="CF1040" s="21"/>
      <c r="CG1040" s="21"/>
      <c r="CH1040" s="21"/>
      <c r="CI1040" s="21"/>
      <c r="CJ1040" s="21"/>
      <c r="CK1040" s="21"/>
      <c r="CL1040" s="21"/>
      <c r="CM1040" s="21"/>
      <c r="CN1040" s="21"/>
      <c r="CO1040" s="21"/>
      <c r="CP1040" s="21"/>
      <c r="CQ1040" s="21"/>
      <c r="CR1040" s="21"/>
      <c r="CS1040" s="21"/>
      <c r="CT1040" s="21"/>
      <c r="CU1040" s="21"/>
      <c r="CV1040" s="21"/>
      <c r="CW1040" s="21"/>
      <c r="CX1040" s="21"/>
      <c r="CY1040" s="22"/>
      <c r="CZ1040" s="21"/>
      <c r="DA1040" s="21"/>
      <c r="DB1040" s="21"/>
    </row>
    <row r="1041" spans="3:106" s="19" customFormat="1" ht="12">
      <c r="C1041" s="21"/>
      <c r="D1041" s="21"/>
      <c r="E1041" s="21"/>
      <c r="F1041" s="21"/>
      <c r="G1041" s="21"/>
      <c r="H1041" s="21"/>
      <c r="I1041" s="21"/>
      <c r="J1041" s="21"/>
      <c r="K1041" s="21"/>
      <c r="L1041" s="21"/>
      <c r="M1041" s="21"/>
      <c r="N1041" s="21"/>
      <c r="O1041" s="21"/>
      <c r="P1041" s="21"/>
      <c r="Q1041" s="21"/>
      <c r="R1041" s="21"/>
      <c r="S1041" s="21"/>
      <c r="T1041" s="21"/>
      <c r="U1041" s="21"/>
      <c r="V1041" s="21"/>
      <c r="W1041" s="21"/>
      <c r="X1041" s="21"/>
      <c r="Y1041" s="21"/>
      <c r="Z1041" s="21"/>
      <c r="AA1041" s="21"/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2"/>
      <c r="AX1041" s="21"/>
      <c r="AY1041" s="21"/>
      <c r="AZ1041" s="21"/>
      <c r="BA1041" s="21"/>
      <c r="BB1041" s="21"/>
      <c r="BC1041" s="21"/>
      <c r="BD1041" s="21"/>
      <c r="BE1041" s="21"/>
      <c r="BF1041" s="21"/>
      <c r="BG1041" s="21"/>
      <c r="BH1041" s="21"/>
      <c r="BI1041" s="21"/>
      <c r="BJ1041" s="21"/>
      <c r="BK1041" s="21"/>
      <c r="BL1041" s="21"/>
      <c r="BM1041" s="21"/>
      <c r="BN1041" s="21"/>
      <c r="BO1041" s="21"/>
      <c r="BP1041" s="21"/>
      <c r="BQ1041" s="21"/>
      <c r="BR1041" s="21"/>
      <c r="BS1041" s="21"/>
      <c r="BT1041" s="21"/>
      <c r="BU1041" s="21"/>
      <c r="BV1041" s="21"/>
      <c r="BW1041" s="21"/>
      <c r="BX1041" s="21"/>
      <c r="BY1041" s="21"/>
      <c r="BZ1041" s="21"/>
      <c r="CA1041" s="21"/>
      <c r="CB1041" s="21"/>
      <c r="CC1041" s="21"/>
      <c r="CD1041" s="21"/>
      <c r="CE1041" s="21"/>
      <c r="CF1041" s="21"/>
      <c r="CG1041" s="21"/>
      <c r="CH1041" s="21"/>
      <c r="CI1041" s="21"/>
      <c r="CJ1041" s="21"/>
      <c r="CK1041" s="21"/>
      <c r="CL1041" s="21"/>
      <c r="CM1041" s="21"/>
      <c r="CN1041" s="21"/>
      <c r="CO1041" s="21"/>
      <c r="CP1041" s="21"/>
      <c r="CQ1041" s="21"/>
      <c r="CR1041" s="21"/>
      <c r="CS1041" s="21"/>
      <c r="CT1041" s="21"/>
      <c r="CU1041" s="21"/>
      <c r="CV1041" s="21"/>
      <c r="CW1041" s="21"/>
      <c r="CX1041" s="21"/>
      <c r="CY1041" s="22"/>
      <c r="CZ1041" s="21"/>
      <c r="DA1041" s="21"/>
      <c r="DB1041" s="21"/>
    </row>
    <row r="1042" spans="3:106" s="19" customFormat="1" ht="12">
      <c r="C1042" s="21"/>
      <c r="D1042" s="21"/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2"/>
      <c r="AX1042" s="21"/>
      <c r="AY1042" s="21"/>
      <c r="AZ1042" s="21"/>
      <c r="BA1042" s="21"/>
      <c r="BB1042" s="21"/>
      <c r="BC1042" s="21"/>
      <c r="BD1042" s="21"/>
      <c r="BE1042" s="21"/>
      <c r="BF1042" s="21"/>
      <c r="BG1042" s="21"/>
      <c r="BH1042" s="21"/>
      <c r="BI1042" s="21"/>
      <c r="BJ1042" s="21"/>
      <c r="BK1042" s="21"/>
      <c r="BL1042" s="21"/>
      <c r="BM1042" s="21"/>
      <c r="BN1042" s="21"/>
      <c r="BO1042" s="21"/>
      <c r="BP1042" s="21"/>
      <c r="BQ1042" s="21"/>
      <c r="BR1042" s="21"/>
      <c r="BS1042" s="21"/>
      <c r="BT1042" s="21"/>
      <c r="BU1042" s="21"/>
      <c r="BV1042" s="21"/>
      <c r="BW1042" s="21"/>
      <c r="BX1042" s="21"/>
      <c r="BY1042" s="21"/>
      <c r="BZ1042" s="21"/>
      <c r="CA1042" s="21"/>
      <c r="CB1042" s="21"/>
      <c r="CC1042" s="21"/>
      <c r="CD1042" s="21"/>
      <c r="CE1042" s="21"/>
      <c r="CF1042" s="21"/>
      <c r="CG1042" s="21"/>
      <c r="CH1042" s="21"/>
      <c r="CI1042" s="21"/>
      <c r="CJ1042" s="21"/>
      <c r="CK1042" s="21"/>
      <c r="CL1042" s="21"/>
      <c r="CM1042" s="21"/>
      <c r="CN1042" s="21"/>
      <c r="CO1042" s="21"/>
      <c r="CP1042" s="21"/>
      <c r="CQ1042" s="21"/>
      <c r="CR1042" s="21"/>
      <c r="CS1042" s="21"/>
      <c r="CT1042" s="21"/>
      <c r="CU1042" s="21"/>
      <c r="CV1042" s="21"/>
      <c r="CW1042" s="21"/>
      <c r="CX1042" s="21"/>
      <c r="CY1042" s="22"/>
      <c r="CZ1042" s="21"/>
      <c r="DA1042" s="21"/>
      <c r="DB1042" s="21"/>
    </row>
    <row r="1043" spans="3:106" s="19" customFormat="1" ht="12">
      <c r="C1043" s="21"/>
      <c r="D1043" s="21"/>
      <c r="E1043" s="21"/>
      <c r="F1043" s="21"/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2"/>
      <c r="AX1043" s="21"/>
      <c r="AY1043" s="21"/>
      <c r="AZ1043" s="21"/>
      <c r="BA1043" s="21"/>
      <c r="BB1043" s="21"/>
      <c r="BC1043" s="21"/>
      <c r="BD1043" s="21"/>
      <c r="BE1043" s="21"/>
      <c r="BF1043" s="21"/>
      <c r="BG1043" s="21"/>
      <c r="BH1043" s="21"/>
      <c r="BI1043" s="21"/>
      <c r="BJ1043" s="21"/>
      <c r="BK1043" s="21"/>
      <c r="BL1043" s="21"/>
      <c r="BM1043" s="21"/>
      <c r="BN1043" s="21"/>
      <c r="BO1043" s="21"/>
      <c r="BP1043" s="21"/>
      <c r="BQ1043" s="21"/>
      <c r="BR1043" s="21"/>
      <c r="BS1043" s="21"/>
      <c r="BT1043" s="21"/>
      <c r="BU1043" s="21"/>
      <c r="BV1043" s="21"/>
      <c r="BW1043" s="21"/>
      <c r="BX1043" s="21"/>
      <c r="BY1043" s="21"/>
      <c r="BZ1043" s="21"/>
      <c r="CA1043" s="21"/>
      <c r="CB1043" s="21"/>
      <c r="CC1043" s="21"/>
      <c r="CD1043" s="21"/>
      <c r="CE1043" s="21"/>
      <c r="CF1043" s="21"/>
      <c r="CG1043" s="21"/>
      <c r="CH1043" s="21"/>
      <c r="CI1043" s="21"/>
      <c r="CJ1043" s="21"/>
      <c r="CK1043" s="21"/>
      <c r="CL1043" s="21"/>
      <c r="CM1043" s="21"/>
      <c r="CN1043" s="21"/>
      <c r="CO1043" s="21"/>
      <c r="CP1043" s="21"/>
      <c r="CQ1043" s="21"/>
      <c r="CR1043" s="21"/>
      <c r="CS1043" s="21"/>
      <c r="CT1043" s="21"/>
      <c r="CU1043" s="21"/>
      <c r="CV1043" s="21"/>
      <c r="CW1043" s="21"/>
      <c r="CX1043" s="21"/>
      <c r="CY1043" s="22"/>
      <c r="CZ1043" s="21"/>
      <c r="DA1043" s="21"/>
      <c r="DB1043" s="21"/>
    </row>
    <row r="1044" spans="3:106" s="19" customFormat="1" ht="12">
      <c r="C1044" s="21"/>
      <c r="D1044" s="21"/>
      <c r="E1044" s="21"/>
      <c r="F1044" s="21"/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2"/>
      <c r="AX1044" s="21"/>
      <c r="AY1044" s="21"/>
      <c r="AZ1044" s="21"/>
      <c r="BA1044" s="21"/>
      <c r="BB1044" s="21"/>
      <c r="BC1044" s="21"/>
      <c r="BD1044" s="21"/>
      <c r="BE1044" s="21"/>
      <c r="BF1044" s="21"/>
      <c r="BG1044" s="21"/>
      <c r="BH1044" s="21"/>
      <c r="BI1044" s="21"/>
      <c r="BJ1044" s="21"/>
      <c r="BK1044" s="21"/>
      <c r="BL1044" s="21"/>
      <c r="BM1044" s="21"/>
      <c r="BN1044" s="21"/>
      <c r="BO1044" s="21"/>
      <c r="BP1044" s="21"/>
      <c r="BQ1044" s="21"/>
      <c r="BR1044" s="21"/>
      <c r="BS1044" s="21"/>
      <c r="BT1044" s="21"/>
      <c r="BU1044" s="21"/>
      <c r="BV1044" s="21"/>
      <c r="BW1044" s="21"/>
      <c r="BX1044" s="21"/>
      <c r="BY1044" s="21"/>
      <c r="BZ1044" s="21"/>
      <c r="CA1044" s="21"/>
      <c r="CB1044" s="21"/>
      <c r="CC1044" s="21"/>
      <c r="CD1044" s="21"/>
      <c r="CE1044" s="21"/>
      <c r="CF1044" s="21"/>
      <c r="CG1044" s="21"/>
      <c r="CH1044" s="21"/>
      <c r="CI1044" s="21"/>
      <c r="CJ1044" s="21"/>
      <c r="CK1044" s="21"/>
      <c r="CL1044" s="21"/>
      <c r="CM1044" s="21"/>
      <c r="CN1044" s="21"/>
      <c r="CO1044" s="21"/>
      <c r="CP1044" s="21"/>
      <c r="CQ1044" s="21"/>
      <c r="CR1044" s="21"/>
      <c r="CS1044" s="21"/>
      <c r="CT1044" s="21"/>
      <c r="CU1044" s="21"/>
      <c r="CV1044" s="21"/>
      <c r="CW1044" s="21"/>
      <c r="CX1044" s="21"/>
      <c r="CY1044" s="22"/>
      <c r="CZ1044" s="21"/>
      <c r="DA1044" s="21"/>
      <c r="DB1044" s="21"/>
    </row>
    <row r="1045" spans="3:106" s="19" customFormat="1" ht="12">
      <c r="C1045" s="21"/>
      <c r="D1045" s="21"/>
      <c r="E1045" s="21"/>
      <c r="F1045" s="21"/>
      <c r="G1045" s="21"/>
      <c r="H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2"/>
      <c r="AX1045" s="21"/>
      <c r="AY1045" s="21"/>
      <c r="AZ1045" s="21"/>
      <c r="BA1045" s="21"/>
      <c r="BB1045" s="21"/>
      <c r="BC1045" s="21"/>
      <c r="BD1045" s="21"/>
      <c r="BE1045" s="21"/>
      <c r="BF1045" s="21"/>
      <c r="BG1045" s="21"/>
      <c r="BH1045" s="21"/>
      <c r="BI1045" s="21"/>
      <c r="BJ1045" s="21"/>
      <c r="BK1045" s="21"/>
      <c r="BL1045" s="21"/>
      <c r="BM1045" s="21"/>
      <c r="BN1045" s="21"/>
      <c r="BO1045" s="21"/>
      <c r="BP1045" s="21"/>
      <c r="BQ1045" s="21"/>
      <c r="BR1045" s="21"/>
      <c r="BS1045" s="21"/>
      <c r="BT1045" s="21"/>
      <c r="BU1045" s="21"/>
      <c r="BV1045" s="21"/>
      <c r="BW1045" s="21"/>
      <c r="BX1045" s="21"/>
      <c r="BY1045" s="21"/>
      <c r="BZ1045" s="21"/>
      <c r="CA1045" s="21"/>
      <c r="CB1045" s="21"/>
      <c r="CC1045" s="21"/>
      <c r="CD1045" s="21"/>
      <c r="CE1045" s="21"/>
      <c r="CF1045" s="21"/>
      <c r="CG1045" s="21"/>
      <c r="CH1045" s="21"/>
      <c r="CI1045" s="21"/>
      <c r="CJ1045" s="21"/>
      <c r="CK1045" s="21"/>
      <c r="CL1045" s="21"/>
      <c r="CM1045" s="21"/>
      <c r="CN1045" s="21"/>
      <c r="CO1045" s="21"/>
      <c r="CP1045" s="21"/>
      <c r="CQ1045" s="21"/>
      <c r="CR1045" s="21"/>
      <c r="CS1045" s="21"/>
      <c r="CT1045" s="21"/>
      <c r="CU1045" s="21"/>
      <c r="CV1045" s="21"/>
      <c r="CW1045" s="21"/>
      <c r="CX1045" s="21"/>
      <c r="CY1045" s="22"/>
      <c r="CZ1045" s="21"/>
      <c r="DA1045" s="21"/>
      <c r="DB1045" s="21"/>
    </row>
    <row r="1046" spans="3:106" s="19" customFormat="1" ht="12">
      <c r="C1046" s="21"/>
      <c r="D1046" s="21"/>
      <c r="E1046" s="21"/>
      <c r="F1046" s="21"/>
      <c r="G1046" s="21"/>
      <c r="H1046" s="21"/>
      <c r="I1046" s="21"/>
      <c r="J1046" s="21"/>
      <c r="K1046" s="21"/>
      <c r="L1046" s="21"/>
      <c r="M1046" s="21"/>
      <c r="N1046" s="21"/>
      <c r="O1046" s="21"/>
      <c r="P1046" s="21"/>
      <c r="Q1046" s="21"/>
      <c r="R1046" s="21"/>
      <c r="S1046" s="21"/>
      <c r="T1046" s="21"/>
      <c r="U1046" s="21"/>
      <c r="V1046" s="21"/>
      <c r="W1046" s="21"/>
      <c r="X1046" s="21"/>
      <c r="Y1046" s="21"/>
      <c r="Z1046" s="21"/>
      <c r="AA1046" s="21"/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2"/>
      <c r="AX1046" s="21"/>
      <c r="AY1046" s="21"/>
      <c r="AZ1046" s="21"/>
      <c r="BA1046" s="21"/>
      <c r="BB1046" s="21"/>
      <c r="BC1046" s="21"/>
      <c r="BD1046" s="21"/>
      <c r="BE1046" s="21"/>
      <c r="BF1046" s="21"/>
      <c r="BG1046" s="21"/>
      <c r="BH1046" s="21"/>
      <c r="BI1046" s="21"/>
      <c r="BJ1046" s="21"/>
      <c r="BK1046" s="21"/>
      <c r="BL1046" s="21"/>
      <c r="BM1046" s="21"/>
      <c r="BN1046" s="21"/>
      <c r="BO1046" s="21"/>
      <c r="BP1046" s="21"/>
      <c r="BQ1046" s="21"/>
      <c r="BR1046" s="21"/>
      <c r="BS1046" s="21"/>
      <c r="BT1046" s="21"/>
      <c r="BU1046" s="21"/>
      <c r="BV1046" s="21"/>
      <c r="BW1046" s="21"/>
      <c r="BX1046" s="21"/>
      <c r="BY1046" s="21"/>
      <c r="BZ1046" s="21"/>
      <c r="CA1046" s="21"/>
      <c r="CB1046" s="21"/>
      <c r="CC1046" s="21"/>
      <c r="CD1046" s="21"/>
      <c r="CE1046" s="21"/>
      <c r="CF1046" s="21"/>
      <c r="CG1046" s="21"/>
      <c r="CH1046" s="21"/>
      <c r="CI1046" s="21"/>
      <c r="CJ1046" s="21"/>
      <c r="CK1046" s="21"/>
      <c r="CL1046" s="21"/>
      <c r="CM1046" s="21"/>
      <c r="CN1046" s="21"/>
      <c r="CO1046" s="21"/>
      <c r="CP1046" s="21"/>
      <c r="CQ1046" s="21"/>
      <c r="CR1046" s="21"/>
      <c r="CS1046" s="21"/>
      <c r="CT1046" s="21"/>
      <c r="CU1046" s="21"/>
      <c r="CV1046" s="21"/>
      <c r="CW1046" s="21"/>
      <c r="CX1046" s="21"/>
      <c r="CY1046" s="22"/>
      <c r="CZ1046" s="21"/>
      <c r="DA1046" s="21"/>
      <c r="DB1046" s="21"/>
    </row>
    <row r="1047" spans="3:106" s="19" customFormat="1" ht="12">
      <c r="C1047" s="21"/>
      <c r="D1047" s="21"/>
      <c r="E1047" s="21"/>
      <c r="F1047" s="21"/>
      <c r="G1047" s="21"/>
      <c r="H1047" s="21"/>
      <c r="I1047" s="21"/>
      <c r="J1047" s="21"/>
      <c r="K1047" s="21"/>
      <c r="L1047" s="21"/>
      <c r="M1047" s="21"/>
      <c r="N1047" s="21"/>
      <c r="O1047" s="21"/>
      <c r="P1047" s="21"/>
      <c r="Q1047" s="21"/>
      <c r="R1047" s="21"/>
      <c r="S1047" s="21"/>
      <c r="T1047" s="21"/>
      <c r="U1047" s="21"/>
      <c r="V1047" s="21"/>
      <c r="W1047" s="21"/>
      <c r="X1047" s="21"/>
      <c r="Y1047" s="21"/>
      <c r="Z1047" s="21"/>
      <c r="AA1047" s="21"/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2"/>
      <c r="AX1047" s="21"/>
      <c r="AY1047" s="21"/>
      <c r="AZ1047" s="21"/>
      <c r="BA1047" s="21"/>
      <c r="BB1047" s="21"/>
      <c r="BC1047" s="21"/>
      <c r="BD1047" s="21"/>
      <c r="BE1047" s="21"/>
      <c r="BF1047" s="21"/>
      <c r="BG1047" s="21"/>
      <c r="BH1047" s="21"/>
      <c r="BI1047" s="21"/>
      <c r="BJ1047" s="21"/>
      <c r="BK1047" s="21"/>
      <c r="BL1047" s="21"/>
      <c r="BM1047" s="21"/>
      <c r="BN1047" s="21"/>
      <c r="BO1047" s="21"/>
      <c r="BP1047" s="21"/>
      <c r="BQ1047" s="21"/>
      <c r="BR1047" s="21"/>
      <c r="BS1047" s="21"/>
      <c r="BT1047" s="21"/>
      <c r="BU1047" s="21"/>
      <c r="BV1047" s="21"/>
      <c r="BW1047" s="21"/>
      <c r="BX1047" s="21"/>
      <c r="BY1047" s="21"/>
      <c r="BZ1047" s="21"/>
      <c r="CA1047" s="21"/>
      <c r="CB1047" s="21"/>
      <c r="CC1047" s="21"/>
      <c r="CD1047" s="21"/>
      <c r="CE1047" s="21"/>
      <c r="CF1047" s="21"/>
      <c r="CG1047" s="21"/>
      <c r="CH1047" s="21"/>
      <c r="CI1047" s="21"/>
      <c r="CJ1047" s="21"/>
      <c r="CK1047" s="21"/>
      <c r="CL1047" s="21"/>
      <c r="CM1047" s="21"/>
      <c r="CN1047" s="21"/>
      <c r="CO1047" s="21"/>
      <c r="CP1047" s="21"/>
      <c r="CQ1047" s="21"/>
      <c r="CR1047" s="21"/>
      <c r="CS1047" s="21"/>
      <c r="CT1047" s="21"/>
      <c r="CU1047" s="21"/>
      <c r="CV1047" s="21"/>
      <c r="CW1047" s="21"/>
      <c r="CX1047" s="21"/>
      <c r="CY1047" s="22"/>
      <c r="CZ1047" s="21"/>
      <c r="DA1047" s="21"/>
      <c r="DB1047" s="21"/>
    </row>
    <row r="1048" spans="3:106" s="19" customFormat="1" ht="12">
      <c r="C1048" s="21"/>
      <c r="D1048" s="21"/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2"/>
      <c r="AX1048" s="21"/>
      <c r="AY1048" s="21"/>
      <c r="AZ1048" s="21"/>
      <c r="BA1048" s="21"/>
      <c r="BB1048" s="21"/>
      <c r="BC1048" s="21"/>
      <c r="BD1048" s="21"/>
      <c r="BE1048" s="21"/>
      <c r="BF1048" s="21"/>
      <c r="BG1048" s="21"/>
      <c r="BH1048" s="21"/>
      <c r="BI1048" s="21"/>
      <c r="BJ1048" s="21"/>
      <c r="BK1048" s="21"/>
      <c r="BL1048" s="21"/>
      <c r="BM1048" s="21"/>
      <c r="BN1048" s="21"/>
      <c r="BO1048" s="21"/>
      <c r="BP1048" s="21"/>
      <c r="BQ1048" s="21"/>
      <c r="BR1048" s="21"/>
      <c r="BS1048" s="21"/>
      <c r="BT1048" s="21"/>
      <c r="BU1048" s="21"/>
      <c r="BV1048" s="21"/>
      <c r="BW1048" s="21"/>
      <c r="BX1048" s="21"/>
      <c r="BY1048" s="21"/>
      <c r="BZ1048" s="21"/>
      <c r="CA1048" s="21"/>
      <c r="CB1048" s="21"/>
      <c r="CC1048" s="21"/>
      <c r="CD1048" s="21"/>
      <c r="CE1048" s="21"/>
      <c r="CF1048" s="21"/>
      <c r="CG1048" s="21"/>
      <c r="CH1048" s="21"/>
      <c r="CI1048" s="21"/>
      <c r="CJ1048" s="21"/>
      <c r="CK1048" s="21"/>
      <c r="CL1048" s="21"/>
      <c r="CM1048" s="21"/>
      <c r="CN1048" s="21"/>
      <c r="CO1048" s="21"/>
      <c r="CP1048" s="21"/>
      <c r="CQ1048" s="21"/>
      <c r="CR1048" s="21"/>
      <c r="CS1048" s="21"/>
      <c r="CT1048" s="21"/>
      <c r="CU1048" s="21"/>
      <c r="CV1048" s="21"/>
      <c r="CW1048" s="21"/>
      <c r="CX1048" s="21"/>
      <c r="CY1048" s="22"/>
      <c r="CZ1048" s="21"/>
      <c r="DA1048" s="21"/>
      <c r="DB1048" s="21"/>
    </row>
    <row r="1049" spans="3:106" s="19" customFormat="1" ht="12">
      <c r="C1049" s="21"/>
      <c r="D1049" s="21"/>
      <c r="E1049" s="21"/>
      <c r="F1049" s="21"/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2"/>
      <c r="AX1049" s="21"/>
      <c r="AY1049" s="21"/>
      <c r="AZ1049" s="21"/>
      <c r="BA1049" s="21"/>
      <c r="BB1049" s="21"/>
      <c r="BC1049" s="21"/>
      <c r="BD1049" s="21"/>
      <c r="BE1049" s="21"/>
      <c r="BF1049" s="21"/>
      <c r="BG1049" s="21"/>
      <c r="BH1049" s="21"/>
      <c r="BI1049" s="21"/>
      <c r="BJ1049" s="21"/>
      <c r="BK1049" s="21"/>
      <c r="BL1049" s="21"/>
      <c r="BM1049" s="21"/>
      <c r="BN1049" s="21"/>
      <c r="BO1049" s="21"/>
      <c r="BP1049" s="21"/>
      <c r="BQ1049" s="21"/>
      <c r="BR1049" s="21"/>
      <c r="BS1049" s="21"/>
      <c r="BT1049" s="21"/>
      <c r="BU1049" s="21"/>
      <c r="BV1049" s="21"/>
      <c r="BW1049" s="21"/>
      <c r="BX1049" s="21"/>
      <c r="BY1049" s="21"/>
      <c r="BZ1049" s="21"/>
      <c r="CA1049" s="21"/>
      <c r="CB1049" s="21"/>
      <c r="CC1049" s="21"/>
      <c r="CD1049" s="21"/>
      <c r="CE1049" s="21"/>
      <c r="CF1049" s="21"/>
      <c r="CG1049" s="21"/>
      <c r="CH1049" s="21"/>
      <c r="CI1049" s="21"/>
      <c r="CJ1049" s="21"/>
      <c r="CK1049" s="21"/>
      <c r="CL1049" s="21"/>
      <c r="CM1049" s="21"/>
      <c r="CN1049" s="21"/>
      <c r="CO1049" s="21"/>
      <c r="CP1049" s="21"/>
      <c r="CQ1049" s="21"/>
      <c r="CR1049" s="21"/>
      <c r="CS1049" s="21"/>
      <c r="CT1049" s="21"/>
      <c r="CU1049" s="21"/>
      <c r="CV1049" s="21"/>
      <c r="CW1049" s="21"/>
      <c r="CX1049" s="21"/>
      <c r="CY1049" s="22"/>
      <c r="CZ1049" s="21"/>
      <c r="DA1049" s="21"/>
      <c r="DB1049" s="21"/>
    </row>
    <row r="1050" spans="3:106" s="19" customFormat="1" ht="12">
      <c r="C1050" s="21"/>
      <c r="D1050" s="21"/>
      <c r="E1050" s="21"/>
      <c r="F1050" s="21"/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2"/>
      <c r="AX1050" s="21"/>
      <c r="AY1050" s="21"/>
      <c r="AZ1050" s="21"/>
      <c r="BA1050" s="21"/>
      <c r="BB1050" s="21"/>
      <c r="BC1050" s="21"/>
      <c r="BD1050" s="21"/>
      <c r="BE1050" s="21"/>
      <c r="BF1050" s="21"/>
      <c r="BG1050" s="21"/>
      <c r="BH1050" s="21"/>
      <c r="BI1050" s="21"/>
      <c r="BJ1050" s="21"/>
      <c r="BK1050" s="21"/>
      <c r="BL1050" s="21"/>
      <c r="BM1050" s="21"/>
      <c r="BN1050" s="21"/>
      <c r="BO1050" s="21"/>
      <c r="BP1050" s="21"/>
      <c r="BQ1050" s="21"/>
      <c r="BR1050" s="21"/>
      <c r="BS1050" s="21"/>
      <c r="BT1050" s="21"/>
      <c r="BU1050" s="21"/>
      <c r="BV1050" s="21"/>
      <c r="BW1050" s="21"/>
      <c r="BX1050" s="21"/>
      <c r="BY1050" s="21"/>
      <c r="BZ1050" s="21"/>
      <c r="CA1050" s="21"/>
      <c r="CB1050" s="21"/>
      <c r="CC1050" s="21"/>
      <c r="CD1050" s="21"/>
      <c r="CE1050" s="21"/>
      <c r="CF1050" s="21"/>
      <c r="CG1050" s="21"/>
      <c r="CH1050" s="21"/>
      <c r="CI1050" s="21"/>
      <c r="CJ1050" s="21"/>
      <c r="CK1050" s="21"/>
      <c r="CL1050" s="21"/>
      <c r="CM1050" s="21"/>
      <c r="CN1050" s="21"/>
      <c r="CO1050" s="21"/>
      <c r="CP1050" s="21"/>
      <c r="CQ1050" s="21"/>
      <c r="CR1050" s="21"/>
      <c r="CS1050" s="21"/>
      <c r="CT1050" s="21"/>
      <c r="CU1050" s="21"/>
      <c r="CV1050" s="21"/>
      <c r="CW1050" s="21"/>
      <c r="CX1050" s="21"/>
      <c r="CY1050" s="22"/>
      <c r="CZ1050" s="21"/>
      <c r="DA1050" s="21"/>
      <c r="DB1050" s="21"/>
    </row>
    <row r="1051" spans="3:106" s="19" customFormat="1" ht="12">
      <c r="C1051" s="21"/>
      <c r="D1051" s="21"/>
      <c r="E1051" s="21"/>
      <c r="F1051" s="21"/>
      <c r="G1051" s="21"/>
      <c r="H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2"/>
      <c r="AX1051" s="21"/>
      <c r="AY1051" s="21"/>
      <c r="AZ1051" s="21"/>
      <c r="BA1051" s="21"/>
      <c r="BB1051" s="21"/>
      <c r="BC1051" s="21"/>
      <c r="BD1051" s="21"/>
      <c r="BE1051" s="21"/>
      <c r="BF1051" s="21"/>
      <c r="BG1051" s="21"/>
      <c r="BH1051" s="21"/>
      <c r="BI1051" s="21"/>
      <c r="BJ1051" s="21"/>
      <c r="BK1051" s="21"/>
      <c r="BL1051" s="21"/>
      <c r="BM1051" s="21"/>
      <c r="BN1051" s="21"/>
      <c r="BO1051" s="21"/>
      <c r="BP1051" s="21"/>
      <c r="BQ1051" s="21"/>
      <c r="BR1051" s="21"/>
      <c r="BS1051" s="21"/>
      <c r="BT1051" s="21"/>
      <c r="BU1051" s="21"/>
      <c r="BV1051" s="21"/>
      <c r="BW1051" s="21"/>
      <c r="BX1051" s="21"/>
      <c r="BY1051" s="21"/>
      <c r="BZ1051" s="21"/>
      <c r="CA1051" s="21"/>
      <c r="CB1051" s="21"/>
      <c r="CC1051" s="21"/>
      <c r="CD1051" s="21"/>
      <c r="CE1051" s="21"/>
      <c r="CF1051" s="21"/>
      <c r="CG1051" s="21"/>
      <c r="CH1051" s="21"/>
      <c r="CI1051" s="21"/>
      <c r="CJ1051" s="21"/>
      <c r="CK1051" s="21"/>
      <c r="CL1051" s="21"/>
      <c r="CM1051" s="21"/>
      <c r="CN1051" s="21"/>
      <c r="CO1051" s="21"/>
      <c r="CP1051" s="21"/>
      <c r="CQ1051" s="21"/>
      <c r="CR1051" s="21"/>
      <c r="CS1051" s="21"/>
      <c r="CT1051" s="21"/>
      <c r="CU1051" s="21"/>
      <c r="CV1051" s="21"/>
      <c r="CW1051" s="21"/>
      <c r="CX1051" s="21"/>
      <c r="CY1051" s="22"/>
      <c r="CZ1051" s="21"/>
      <c r="DA1051" s="21"/>
      <c r="DB1051" s="21"/>
    </row>
    <row r="1052" spans="3:106" s="19" customFormat="1" ht="12">
      <c r="C1052" s="21"/>
      <c r="D1052" s="21"/>
      <c r="E1052" s="21"/>
      <c r="F1052" s="21"/>
      <c r="G1052" s="21"/>
      <c r="H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2"/>
      <c r="AX1052" s="21"/>
      <c r="AY1052" s="21"/>
      <c r="AZ1052" s="21"/>
      <c r="BA1052" s="21"/>
      <c r="BB1052" s="21"/>
      <c r="BC1052" s="21"/>
      <c r="BD1052" s="21"/>
      <c r="BE1052" s="21"/>
      <c r="BF1052" s="21"/>
      <c r="BG1052" s="21"/>
      <c r="BH1052" s="21"/>
      <c r="BI1052" s="21"/>
      <c r="BJ1052" s="21"/>
      <c r="BK1052" s="21"/>
      <c r="BL1052" s="21"/>
      <c r="BM1052" s="21"/>
      <c r="BN1052" s="21"/>
      <c r="BO1052" s="21"/>
      <c r="BP1052" s="21"/>
      <c r="BQ1052" s="21"/>
      <c r="BR1052" s="21"/>
      <c r="BS1052" s="21"/>
      <c r="BT1052" s="21"/>
      <c r="BU1052" s="21"/>
      <c r="BV1052" s="21"/>
      <c r="BW1052" s="21"/>
      <c r="BX1052" s="21"/>
      <c r="BY1052" s="21"/>
      <c r="BZ1052" s="21"/>
      <c r="CA1052" s="21"/>
      <c r="CB1052" s="21"/>
      <c r="CC1052" s="21"/>
      <c r="CD1052" s="21"/>
      <c r="CE1052" s="21"/>
      <c r="CF1052" s="21"/>
      <c r="CG1052" s="21"/>
      <c r="CH1052" s="21"/>
      <c r="CI1052" s="21"/>
      <c r="CJ1052" s="21"/>
      <c r="CK1052" s="21"/>
      <c r="CL1052" s="21"/>
      <c r="CM1052" s="21"/>
      <c r="CN1052" s="21"/>
      <c r="CO1052" s="21"/>
      <c r="CP1052" s="21"/>
      <c r="CQ1052" s="21"/>
      <c r="CR1052" s="21"/>
      <c r="CS1052" s="21"/>
      <c r="CT1052" s="21"/>
      <c r="CU1052" s="21"/>
      <c r="CV1052" s="21"/>
      <c r="CW1052" s="21"/>
      <c r="CX1052" s="21"/>
      <c r="CY1052" s="22"/>
      <c r="CZ1052" s="21"/>
      <c r="DA1052" s="21"/>
      <c r="DB1052" s="21"/>
    </row>
    <row r="1053" spans="3:106" s="19" customFormat="1" ht="12">
      <c r="C1053" s="21"/>
      <c r="D1053" s="21"/>
      <c r="E1053" s="21"/>
      <c r="F1053" s="21"/>
      <c r="G1053" s="21"/>
      <c r="H1053" s="21"/>
      <c r="I1053" s="21"/>
      <c r="J1053" s="21"/>
      <c r="K1053" s="21"/>
      <c r="L1053" s="21"/>
      <c r="M1053" s="21"/>
      <c r="N1053" s="21"/>
      <c r="O1053" s="21"/>
      <c r="P1053" s="21"/>
      <c r="Q1053" s="21"/>
      <c r="R1053" s="21"/>
      <c r="S1053" s="21"/>
      <c r="T1053" s="21"/>
      <c r="U1053" s="21"/>
      <c r="V1053" s="21"/>
      <c r="W1053" s="21"/>
      <c r="X1053" s="21"/>
      <c r="Y1053" s="21"/>
      <c r="Z1053" s="21"/>
      <c r="AA1053" s="21"/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2"/>
      <c r="AX1053" s="21"/>
      <c r="AY1053" s="21"/>
      <c r="AZ1053" s="21"/>
      <c r="BA1053" s="21"/>
      <c r="BB1053" s="21"/>
      <c r="BC1053" s="21"/>
      <c r="BD1053" s="21"/>
      <c r="BE1053" s="21"/>
      <c r="BF1053" s="21"/>
      <c r="BG1053" s="21"/>
      <c r="BH1053" s="21"/>
      <c r="BI1053" s="21"/>
      <c r="BJ1053" s="21"/>
      <c r="BK1053" s="21"/>
      <c r="BL1053" s="21"/>
      <c r="BM1053" s="21"/>
      <c r="BN1053" s="21"/>
      <c r="BO1053" s="21"/>
      <c r="BP1053" s="21"/>
      <c r="BQ1053" s="21"/>
      <c r="BR1053" s="21"/>
      <c r="BS1053" s="21"/>
      <c r="BT1053" s="21"/>
      <c r="BU1053" s="21"/>
      <c r="BV1053" s="21"/>
      <c r="BW1053" s="21"/>
      <c r="BX1053" s="21"/>
      <c r="BY1053" s="21"/>
      <c r="BZ1053" s="21"/>
      <c r="CA1053" s="21"/>
      <c r="CB1053" s="21"/>
      <c r="CC1053" s="21"/>
      <c r="CD1053" s="21"/>
      <c r="CE1053" s="21"/>
      <c r="CF1053" s="21"/>
      <c r="CG1053" s="21"/>
      <c r="CH1053" s="21"/>
      <c r="CI1053" s="21"/>
      <c r="CJ1053" s="21"/>
      <c r="CK1053" s="21"/>
      <c r="CL1053" s="21"/>
      <c r="CM1053" s="21"/>
      <c r="CN1053" s="21"/>
      <c r="CO1053" s="21"/>
      <c r="CP1053" s="21"/>
      <c r="CQ1053" s="21"/>
      <c r="CR1053" s="21"/>
      <c r="CS1053" s="21"/>
      <c r="CT1053" s="21"/>
      <c r="CU1053" s="21"/>
      <c r="CV1053" s="21"/>
      <c r="CW1053" s="21"/>
      <c r="CX1053" s="21"/>
      <c r="CY1053" s="22"/>
      <c r="CZ1053" s="21"/>
      <c r="DA1053" s="21"/>
      <c r="DB1053" s="21"/>
    </row>
    <row r="1054" spans="3:106" s="19" customFormat="1" ht="12">
      <c r="C1054" s="21"/>
      <c r="D1054" s="21"/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2"/>
      <c r="AX1054" s="21"/>
      <c r="AY1054" s="21"/>
      <c r="AZ1054" s="21"/>
      <c r="BA1054" s="21"/>
      <c r="BB1054" s="21"/>
      <c r="BC1054" s="21"/>
      <c r="BD1054" s="21"/>
      <c r="BE1054" s="21"/>
      <c r="BF1054" s="21"/>
      <c r="BG1054" s="21"/>
      <c r="BH1054" s="21"/>
      <c r="BI1054" s="21"/>
      <c r="BJ1054" s="21"/>
      <c r="BK1054" s="21"/>
      <c r="BL1054" s="21"/>
      <c r="BM1054" s="21"/>
      <c r="BN1054" s="21"/>
      <c r="BO1054" s="21"/>
      <c r="BP1054" s="21"/>
      <c r="BQ1054" s="21"/>
      <c r="BR1054" s="21"/>
      <c r="BS1054" s="21"/>
      <c r="BT1054" s="21"/>
      <c r="BU1054" s="21"/>
      <c r="BV1054" s="21"/>
      <c r="BW1054" s="21"/>
      <c r="BX1054" s="21"/>
      <c r="BY1054" s="21"/>
      <c r="BZ1054" s="21"/>
      <c r="CA1054" s="21"/>
      <c r="CB1054" s="21"/>
      <c r="CC1054" s="21"/>
      <c r="CD1054" s="21"/>
      <c r="CE1054" s="21"/>
      <c r="CF1054" s="21"/>
      <c r="CG1054" s="21"/>
      <c r="CH1054" s="21"/>
      <c r="CI1054" s="21"/>
      <c r="CJ1054" s="21"/>
      <c r="CK1054" s="21"/>
      <c r="CL1054" s="21"/>
      <c r="CM1054" s="21"/>
      <c r="CN1054" s="21"/>
      <c r="CO1054" s="21"/>
      <c r="CP1054" s="21"/>
      <c r="CQ1054" s="21"/>
      <c r="CR1054" s="21"/>
      <c r="CS1054" s="21"/>
      <c r="CT1054" s="21"/>
      <c r="CU1054" s="21"/>
      <c r="CV1054" s="21"/>
      <c r="CW1054" s="21"/>
      <c r="CX1054" s="21"/>
      <c r="CY1054" s="22"/>
      <c r="CZ1054" s="21"/>
      <c r="DA1054" s="21"/>
      <c r="DB1054" s="21"/>
    </row>
    <row r="1055" spans="3:106" s="19" customFormat="1" ht="12">
      <c r="C1055" s="21"/>
      <c r="D1055" s="21"/>
      <c r="E1055" s="21"/>
      <c r="F1055" s="21"/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2"/>
      <c r="AX1055" s="21"/>
      <c r="AY1055" s="21"/>
      <c r="AZ1055" s="21"/>
      <c r="BA1055" s="21"/>
      <c r="BB1055" s="21"/>
      <c r="BC1055" s="21"/>
      <c r="BD1055" s="21"/>
      <c r="BE1055" s="21"/>
      <c r="BF1055" s="21"/>
      <c r="BG1055" s="21"/>
      <c r="BH1055" s="21"/>
      <c r="BI1055" s="21"/>
      <c r="BJ1055" s="21"/>
      <c r="BK1055" s="21"/>
      <c r="BL1055" s="21"/>
      <c r="BM1055" s="21"/>
      <c r="BN1055" s="21"/>
      <c r="BO1055" s="21"/>
      <c r="BP1055" s="21"/>
      <c r="BQ1055" s="21"/>
      <c r="BR1055" s="21"/>
      <c r="BS1055" s="21"/>
      <c r="BT1055" s="21"/>
      <c r="BU1055" s="21"/>
      <c r="BV1055" s="21"/>
      <c r="BW1055" s="21"/>
      <c r="BX1055" s="21"/>
      <c r="BY1055" s="21"/>
      <c r="BZ1055" s="21"/>
      <c r="CA1055" s="21"/>
      <c r="CB1055" s="21"/>
      <c r="CC1055" s="21"/>
      <c r="CD1055" s="21"/>
      <c r="CE1055" s="21"/>
      <c r="CF1055" s="21"/>
      <c r="CG1055" s="21"/>
      <c r="CH1055" s="21"/>
      <c r="CI1055" s="21"/>
      <c r="CJ1055" s="21"/>
      <c r="CK1055" s="21"/>
      <c r="CL1055" s="21"/>
      <c r="CM1055" s="21"/>
      <c r="CN1055" s="21"/>
      <c r="CO1055" s="21"/>
      <c r="CP1055" s="21"/>
      <c r="CQ1055" s="21"/>
      <c r="CR1055" s="21"/>
      <c r="CS1055" s="21"/>
      <c r="CT1055" s="21"/>
      <c r="CU1055" s="21"/>
      <c r="CV1055" s="21"/>
      <c r="CW1055" s="21"/>
      <c r="CX1055" s="21"/>
      <c r="CY1055" s="22"/>
      <c r="CZ1055" s="21"/>
      <c r="DA1055" s="21"/>
      <c r="DB1055" s="21"/>
    </row>
    <row r="1056" spans="3:106" s="19" customFormat="1" ht="12">
      <c r="C1056" s="21"/>
      <c r="D1056" s="21"/>
      <c r="E1056" s="21"/>
      <c r="F1056" s="21"/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2"/>
      <c r="AX1056" s="21"/>
      <c r="AY1056" s="21"/>
      <c r="AZ1056" s="21"/>
      <c r="BA1056" s="21"/>
      <c r="BB1056" s="21"/>
      <c r="BC1056" s="21"/>
      <c r="BD1056" s="21"/>
      <c r="BE1056" s="21"/>
      <c r="BF1056" s="21"/>
      <c r="BG1056" s="21"/>
      <c r="BH1056" s="21"/>
      <c r="BI1056" s="21"/>
      <c r="BJ1056" s="21"/>
      <c r="BK1056" s="21"/>
      <c r="BL1056" s="21"/>
      <c r="BM1056" s="21"/>
      <c r="BN1056" s="21"/>
      <c r="BO1056" s="21"/>
      <c r="BP1056" s="21"/>
      <c r="BQ1056" s="21"/>
      <c r="BR1056" s="21"/>
      <c r="BS1056" s="21"/>
      <c r="BT1056" s="21"/>
      <c r="BU1056" s="21"/>
      <c r="BV1056" s="21"/>
      <c r="BW1056" s="21"/>
      <c r="BX1056" s="21"/>
      <c r="BY1056" s="21"/>
      <c r="BZ1056" s="21"/>
      <c r="CA1056" s="21"/>
      <c r="CB1056" s="21"/>
      <c r="CC1056" s="21"/>
      <c r="CD1056" s="21"/>
      <c r="CE1056" s="21"/>
      <c r="CF1056" s="21"/>
      <c r="CG1056" s="21"/>
      <c r="CH1056" s="21"/>
      <c r="CI1056" s="21"/>
      <c r="CJ1056" s="21"/>
      <c r="CK1056" s="21"/>
      <c r="CL1056" s="21"/>
      <c r="CM1056" s="21"/>
      <c r="CN1056" s="21"/>
      <c r="CO1056" s="21"/>
      <c r="CP1056" s="21"/>
      <c r="CQ1056" s="21"/>
      <c r="CR1056" s="21"/>
      <c r="CS1056" s="21"/>
      <c r="CT1056" s="21"/>
      <c r="CU1056" s="21"/>
      <c r="CV1056" s="21"/>
      <c r="CW1056" s="21"/>
      <c r="CX1056" s="21"/>
      <c r="CY1056" s="22"/>
      <c r="CZ1056" s="21"/>
      <c r="DA1056" s="21"/>
      <c r="DB1056" s="21"/>
    </row>
    <row r="1057" spans="3:106" s="19" customFormat="1" ht="12">
      <c r="C1057" s="21"/>
      <c r="D1057" s="21"/>
      <c r="E1057" s="21"/>
      <c r="F1057" s="21"/>
      <c r="G1057" s="21"/>
      <c r="H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2"/>
      <c r="AX1057" s="21"/>
      <c r="AY1057" s="21"/>
      <c r="AZ1057" s="21"/>
      <c r="BA1057" s="21"/>
      <c r="BB1057" s="21"/>
      <c r="BC1057" s="21"/>
      <c r="BD1057" s="21"/>
      <c r="BE1057" s="21"/>
      <c r="BF1057" s="21"/>
      <c r="BG1057" s="21"/>
      <c r="BH1057" s="21"/>
      <c r="BI1057" s="21"/>
      <c r="BJ1057" s="21"/>
      <c r="BK1057" s="21"/>
      <c r="BL1057" s="21"/>
      <c r="BM1057" s="21"/>
      <c r="BN1057" s="21"/>
      <c r="BO1057" s="21"/>
      <c r="BP1057" s="21"/>
      <c r="BQ1057" s="21"/>
      <c r="BR1057" s="21"/>
      <c r="BS1057" s="21"/>
      <c r="BT1057" s="21"/>
      <c r="BU1057" s="21"/>
      <c r="BV1057" s="21"/>
      <c r="BW1057" s="21"/>
      <c r="BX1057" s="21"/>
      <c r="BY1057" s="21"/>
      <c r="BZ1057" s="21"/>
      <c r="CA1057" s="21"/>
      <c r="CB1057" s="21"/>
      <c r="CC1057" s="21"/>
      <c r="CD1057" s="21"/>
      <c r="CE1057" s="21"/>
      <c r="CF1057" s="21"/>
      <c r="CG1057" s="21"/>
      <c r="CH1057" s="21"/>
      <c r="CI1057" s="21"/>
      <c r="CJ1057" s="21"/>
      <c r="CK1057" s="21"/>
      <c r="CL1057" s="21"/>
      <c r="CM1057" s="21"/>
      <c r="CN1057" s="21"/>
      <c r="CO1057" s="21"/>
      <c r="CP1057" s="21"/>
      <c r="CQ1057" s="21"/>
      <c r="CR1057" s="21"/>
      <c r="CS1057" s="21"/>
      <c r="CT1057" s="21"/>
      <c r="CU1057" s="21"/>
      <c r="CV1057" s="21"/>
      <c r="CW1057" s="21"/>
      <c r="CX1057" s="21"/>
      <c r="CY1057" s="22"/>
      <c r="CZ1057" s="21"/>
      <c r="DA1057" s="21"/>
      <c r="DB1057" s="21"/>
    </row>
    <row r="1058" spans="3:106" s="19" customFormat="1" ht="12">
      <c r="C1058" s="21"/>
      <c r="D1058" s="21"/>
      <c r="E1058" s="21"/>
      <c r="F1058" s="21"/>
      <c r="G1058" s="21"/>
      <c r="H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2"/>
      <c r="AX1058" s="21"/>
      <c r="AY1058" s="21"/>
      <c r="AZ1058" s="21"/>
      <c r="BA1058" s="21"/>
      <c r="BB1058" s="21"/>
      <c r="BC1058" s="21"/>
      <c r="BD1058" s="21"/>
      <c r="BE1058" s="21"/>
      <c r="BF1058" s="21"/>
      <c r="BG1058" s="21"/>
      <c r="BH1058" s="21"/>
      <c r="BI1058" s="21"/>
      <c r="BJ1058" s="21"/>
      <c r="BK1058" s="21"/>
      <c r="BL1058" s="21"/>
      <c r="BM1058" s="21"/>
      <c r="BN1058" s="21"/>
      <c r="BO1058" s="21"/>
      <c r="BP1058" s="21"/>
      <c r="BQ1058" s="21"/>
      <c r="BR1058" s="21"/>
      <c r="BS1058" s="21"/>
      <c r="BT1058" s="21"/>
      <c r="BU1058" s="21"/>
      <c r="BV1058" s="21"/>
      <c r="BW1058" s="21"/>
      <c r="BX1058" s="21"/>
      <c r="BY1058" s="21"/>
      <c r="BZ1058" s="21"/>
      <c r="CA1058" s="21"/>
      <c r="CB1058" s="21"/>
      <c r="CC1058" s="21"/>
      <c r="CD1058" s="21"/>
      <c r="CE1058" s="21"/>
      <c r="CF1058" s="21"/>
      <c r="CG1058" s="21"/>
      <c r="CH1058" s="21"/>
      <c r="CI1058" s="21"/>
      <c r="CJ1058" s="21"/>
      <c r="CK1058" s="21"/>
      <c r="CL1058" s="21"/>
      <c r="CM1058" s="21"/>
      <c r="CN1058" s="21"/>
      <c r="CO1058" s="21"/>
      <c r="CP1058" s="21"/>
      <c r="CQ1058" s="21"/>
      <c r="CR1058" s="21"/>
      <c r="CS1058" s="21"/>
      <c r="CT1058" s="21"/>
      <c r="CU1058" s="21"/>
      <c r="CV1058" s="21"/>
      <c r="CW1058" s="21"/>
      <c r="CX1058" s="21"/>
      <c r="CY1058" s="22"/>
      <c r="CZ1058" s="21"/>
      <c r="DA1058" s="21"/>
      <c r="DB1058" s="21"/>
    </row>
    <row r="1059" spans="3:106" s="19" customFormat="1" ht="12">
      <c r="C1059" s="21"/>
      <c r="D1059" s="21"/>
      <c r="E1059" s="21"/>
      <c r="F1059" s="21"/>
      <c r="G1059" s="21"/>
      <c r="H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2"/>
      <c r="AX1059" s="21"/>
      <c r="AY1059" s="21"/>
      <c r="AZ1059" s="21"/>
      <c r="BA1059" s="21"/>
      <c r="BB1059" s="21"/>
      <c r="BC1059" s="21"/>
      <c r="BD1059" s="21"/>
      <c r="BE1059" s="21"/>
      <c r="BF1059" s="21"/>
      <c r="BG1059" s="21"/>
      <c r="BH1059" s="21"/>
      <c r="BI1059" s="21"/>
      <c r="BJ1059" s="21"/>
      <c r="BK1059" s="21"/>
      <c r="BL1059" s="21"/>
      <c r="BM1059" s="21"/>
      <c r="BN1059" s="21"/>
      <c r="BO1059" s="21"/>
      <c r="BP1059" s="21"/>
      <c r="BQ1059" s="21"/>
      <c r="BR1059" s="21"/>
      <c r="BS1059" s="21"/>
      <c r="BT1059" s="21"/>
      <c r="BU1059" s="21"/>
      <c r="BV1059" s="21"/>
      <c r="BW1059" s="21"/>
      <c r="BX1059" s="21"/>
      <c r="BY1059" s="21"/>
      <c r="BZ1059" s="21"/>
      <c r="CA1059" s="21"/>
      <c r="CB1059" s="21"/>
      <c r="CC1059" s="21"/>
      <c r="CD1059" s="21"/>
      <c r="CE1059" s="21"/>
      <c r="CF1059" s="21"/>
      <c r="CG1059" s="21"/>
      <c r="CH1059" s="21"/>
      <c r="CI1059" s="21"/>
      <c r="CJ1059" s="21"/>
      <c r="CK1059" s="21"/>
      <c r="CL1059" s="21"/>
      <c r="CM1059" s="21"/>
      <c r="CN1059" s="21"/>
      <c r="CO1059" s="21"/>
      <c r="CP1059" s="21"/>
      <c r="CQ1059" s="21"/>
      <c r="CR1059" s="21"/>
      <c r="CS1059" s="21"/>
      <c r="CT1059" s="21"/>
      <c r="CU1059" s="21"/>
      <c r="CV1059" s="21"/>
      <c r="CW1059" s="21"/>
      <c r="CX1059" s="21"/>
      <c r="CY1059" s="22"/>
      <c r="CZ1059" s="21"/>
      <c r="DA1059" s="21"/>
      <c r="DB1059" s="21"/>
    </row>
    <row r="1060" spans="3:106" s="19" customFormat="1" ht="12">
      <c r="C1060" s="21"/>
      <c r="D1060" s="21"/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2"/>
      <c r="AX1060" s="21"/>
      <c r="AY1060" s="21"/>
      <c r="AZ1060" s="21"/>
      <c r="BA1060" s="21"/>
      <c r="BB1060" s="21"/>
      <c r="BC1060" s="21"/>
      <c r="BD1060" s="21"/>
      <c r="BE1060" s="21"/>
      <c r="BF1060" s="21"/>
      <c r="BG1060" s="21"/>
      <c r="BH1060" s="21"/>
      <c r="BI1060" s="21"/>
      <c r="BJ1060" s="21"/>
      <c r="BK1060" s="21"/>
      <c r="BL1060" s="21"/>
      <c r="BM1060" s="21"/>
      <c r="BN1060" s="21"/>
      <c r="BO1060" s="21"/>
      <c r="BP1060" s="21"/>
      <c r="BQ1060" s="21"/>
      <c r="BR1060" s="21"/>
      <c r="BS1060" s="21"/>
      <c r="BT1060" s="21"/>
      <c r="BU1060" s="21"/>
      <c r="BV1060" s="21"/>
      <c r="BW1060" s="21"/>
      <c r="BX1060" s="21"/>
      <c r="BY1060" s="21"/>
      <c r="BZ1060" s="21"/>
      <c r="CA1060" s="21"/>
      <c r="CB1060" s="21"/>
      <c r="CC1060" s="21"/>
      <c r="CD1060" s="21"/>
      <c r="CE1060" s="21"/>
      <c r="CF1060" s="21"/>
      <c r="CG1060" s="21"/>
      <c r="CH1060" s="21"/>
      <c r="CI1060" s="21"/>
      <c r="CJ1060" s="21"/>
      <c r="CK1060" s="21"/>
      <c r="CL1060" s="21"/>
      <c r="CM1060" s="21"/>
      <c r="CN1060" s="21"/>
      <c r="CO1060" s="21"/>
      <c r="CP1060" s="21"/>
      <c r="CQ1060" s="21"/>
      <c r="CR1060" s="21"/>
      <c r="CS1060" s="21"/>
      <c r="CT1060" s="21"/>
      <c r="CU1060" s="21"/>
      <c r="CV1060" s="21"/>
      <c r="CW1060" s="21"/>
      <c r="CX1060" s="21"/>
      <c r="CY1060" s="22"/>
      <c r="CZ1060" s="21"/>
      <c r="DA1060" s="21"/>
      <c r="DB1060" s="21"/>
    </row>
    <row r="1061" spans="3:106" s="19" customFormat="1" ht="12">
      <c r="C1061" s="21"/>
      <c r="D1061" s="21"/>
      <c r="E1061" s="21"/>
      <c r="F1061" s="21"/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2"/>
      <c r="AX1061" s="21"/>
      <c r="AY1061" s="21"/>
      <c r="AZ1061" s="21"/>
      <c r="BA1061" s="21"/>
      <c r="BB1061" s="21"/>
      <c r="BC1061" s="21"/>
      <c r="BD1061" s="21"/>
      <c r="BE1061" s="21"/>
      <c r="BF1061" s="21"/>
      <c r="BG1061" s="21"/>
      <c r="BH1061" s="21"/>
      <c r="BI1061" s="21"/>
      <c r="BJ1061" s="21"/>
      <c r="BK1061" s="21"/>
      <c r="BL1061" s="21"/>
      <c r="BM1061" s="21"/>
      <c r="BN1061" s="21"/>
      <c r="BO1061" s="21"/>
      <c r="BP1061" s="21"/>
      <c r="BQ1061" s="21"/>
      <c r="BR1061" s="21"/>
      <c r="BS1061" s="21"/>
      <c r="BT1061" s="21"/>
      <c r="BU1061" s="21"/>
      <c r="BV1061" s="21"/>
      <c r="BW1061" s="21"/>
      <c r="BX1061" s="21"/>
      <c r="BY1061" s="21"/>
      <c r="BZ1061" s="21"/>
      <c r="CA1061" s="21"/>
      <c r="CB1061" s="21"/>
      <c r="CC1061" s="21"/>
      <c r="CD1061" s="21"/>
      <c r="CE1061" s="21"/>
      <c r="CF1061" s="21"/>
      <c r="CG1061" s="21"/>
      <c r="CH1061" s="21"/>
      <c r="CI1061" s="21"/>
      <c r="CJ1061" s="21"/>
      <c r="CK1061" s="21"/>
      <c r="CL1061" s="21"/>
      <c r="CM1061" s="21"/>
      <c r="CN1061" s="21"/>
      <c r="CO1061" s="21"/>
      <c r="CP1061" s="21"/>
      <c r="CQ1061" s="21"/>
      <c r="CR1061" s="21"/>
      <c r="CS1061" s="21"/>
      <c r="CT1061" s="21"/>
      <c r="CU1061" s="21"/>
      <c r="CV1061" s="21"/>
      <c r="CW1061" s="21"/>
      <c r="CX1061" s="21"/>
      <c r="CY1061" s="22"/>
      <c r="CZ1061" s="21"/>
      <c r="DA1061" s="21"/>
      <c r="DB1061" s="21"/>
    </row>
    <row r="1062" spans="3:106" s="19" customFormat="1" ht="12">
      <c r="C1062" s="21"/>
      <c r="D1062" s="21"/>
      <c r="E1062" s="21"/>
      <c r="F1062" s="21"/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2"/>
      <c r="AX1062" s="21"/>
      <c r="AY1062" s="21"/>
      <c r="AZ1062" s="21"/>
      <c r="BA1062" s="21"/>
      <c r="BB1062" s="21"/>
      <c r="BC1062" s="21"/>
      <c r="BD1062" s="21"/>
      <c r="BE1062" s="21"/>
      <c r="BF1062" s="21"/>
      <c r="BG1062" s="21"/>
      <c r="BH1062" s="21"/>
      <c r="BI1062" s="21"/>
      <c r="BJ1062" s="21"/>
      <c r="BK1062" s="21"/>
      <c r="BL1062" s="21"/>
      <c r="BM1062" s="21"/>
      <c r="BN1062" s="21"/>
      <c r="BO1062" s="21"/>
      <c r="BP1062" s="21"/>
      <c r="BQ1062" s="21"/>
      <c r="BR1062" s="21"/>
      <c r="BS1062" s="21"/>
      <c r="BT1062" s="21"/>
      <c r="BU1062" s="21"/>
      <c r="BV1062" s="21"/>
      <c r="BW1062" s="21"/>
      <c r="BX1062" s="21"/>
      <c r="BY1062" s="21"/>
      <c r="BZ1062" s="21"/>
      <c r="CA1062" s="21"/>
      <c r="CB1062" s="21"/>
      <c r="CC1062" s="21"/>
      <c r="CD1062" s="21"/>
      <c r="CE1062" s="21"/>
      <c r="CF1062" s="21"/>
      <c r="CG1062" s="21"/>
      <c r="CH1062" s="21"/>
      <c r="CI1062" s="21"/>
      <c r="CJ1062" s="21"/>
      <c r="CK1062" s="21"/>
      <c r="CL1062" s="21"/>
      <c r="CM1062" s="21"/>
      <c r="CN1062" s="21"/>
      <c r="CO1062" s="21"/>
      <c r="CP1062" s="21"/>
      <c r="CQ1062" s="21"/>
      <c r="CR1062" s="21"/>
      <c r="CS1062" s="21"/>
      <c r="CT1062" s="21"/>
      <c r="CU1062" s="21"/>
      <c r="CV1062" s="21"/>
      <c r="CW1062" s="21"/>
      <c r="CX1062" s="21"/>
      <c r="CY1062" s="22"/>
      <c r="CZ1062" s="21"/>
      <c r="DA1062" s="21"/>
      <c r="DB1062" s="21"/>
    </row>
    <row r="1063" spans="3:106" s="19" customFormat="1" ht="12">
      <c r="C1063" s="21"/>
      <c r="D1063" s="21"/>
      <c r="E1063" s="21"/>
      <c r="F1063" s="21"/>
      <c r="G1063" s="21"/>
      <c r="H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2"/>
      <c r="AX1063" s="21"/>
      <c r="AY1063" s="21"/>
      <c r="AZ1063" s="21"/>
      <c r="BA1063" s="21"/>
      <c r="BB1063" s="21"/>
      <c r="BC1063" s="21"/>
      <c r="BD1063" s="21"/>
      <c r="BE1063" s="21"/>
      <c r="BF1063" s="21"/>
      <c r="BG1063" s="21"/>
      <c r="BH1063" s="21"/>
      <c r="BI1063" s="21"/>
      <c r="BJ1063" s="21"/>
      <c r="BK1063" s="21"/>
      <c r="BL1063" s="21"/>
      <c r="BM1063" s="21"/>
      <c r="BN1063" s="21"/>
      <c r="BO1063" s="21"/>
      <c r="BP1063" s="21"/>
      <c r="BQ1063" s="21"/>
      <c r="BR1063" s="21"/>
      <c r="BS1063" s="21"/>
      <c r="BT1063" s="21"/>
      <c r="BU1063" s="21"/>
      <c r="BV1063" s="21"/>
      <c r="BW1063" s="21"/>
      <c r="BX1063" s="21"/>
      <c r="BY1063" s="21"/>
      <c r="BZ1063" s="21"/>
      <c r="CA1063" s="21"/>
      <c r="CB1063" s="21"/>
      <c r="CC1063" s="21"/>
      <c r="CD1063" s="21"/>
      <c r="CE1063" s="21"/>
      <c r="CF1063" s="21"/>
      <c r="CG1063" s="21"/>
      <c r="CH1063" s="21"/>
      <c r="CI1063" s="21"/>
      <c r="CJ1063" s="21"/>
      <c r="CK1063" s="21"/>
      <c r="CL1063" s="21"/>
      <c r="CM1063" s="21"/>
      <c r="CN1063" s="21"/>
      <c r="CO1063" s="21"/>
      <c r="CP1063" s="21"/>
      <c r="CQ1063" s="21"/>
      <c r="CR1063" s="21"/>
      <c r="CS1063" s="21"/>
      <c r="CT1063" s="21"/>
      <c r="CU1063" s="21"/>
      <c r="CV1063" s="21"/>
      <c r="CW1063" s="21"/>
      <c r="CX1063" s="21"/>
      <c r="CY1063" s="22"/>
      <c r="CZ1063" s="21"/>
      <c r="DA1063" s="21"/>
      <c r="DB1063" s="21"/>
    </row>
    <row r="1064" spans="3:106" s="19" customFormat="1" ht="12">
      <c r="C1064" s="21"/>
      <c r="D1064" s="21"/>
      <c r="E1064" s="21"/>
      <c r="F1064" s="21"/>
      <c r="G1064" s="21"/>
      <c r="H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2"/>
      <c r="AX1064" s="21"/>
      <c r="AY1064" s="21"/>
      <c r="AZ1064" s="21"/>
      <c r="BA1064" s="21"/>
      <c r="BB1064" s="21"/>
      <c r="BC1064" s="21"/>
      <c r="BD1064" s="21"/>
      <c r="BE1064" s="21"/>
      <c r="BF1064" s="21"/>
      <c r="BG1064" s="21"/>
      <c r="BH1064" s="21"/>
      <c r="BI1064" s="21"/>
      <c r="BJ1064" s="21"/>
      <c r="BK1064" s="21"/>
      <c r="BL1064" s="21"/>
      <c r="BM1064" s="21"/>
      <c r="BN1064" s="21"/>
      <c r="BO1064" s="21"/>
      <c r="BP1064" s="21"/>
      <c r="BQ1064" s="21"/>
      <c r="BR1064" s="21"/>
      <c r="BS1064" s="21"/>
      <c r="BT1064" s="21"/>
      <c r="BU1064" s="21"/>
      <c r="BV1064" s="21"/>
      <c r="BW1064" s="21"/>
      <c r="BX1064" s="21"/>
      <c r="BY1064" s="21"/>
      <c r="BZ1064" s="21"/>
      <c r="CA1064" s="21"/>
      <c r="CB1064" s="21"/>
      <c r="CC1064" s="21"/>
      <c r="CD1064" s="21"/>
      <c r="CE1064" s="21"/>
      <c r="CF1064" s="21"/>
      <c r="CG1064" s="21"/>
      <c r="CH1064" s="21"/>
      <c r="CI1064" s="21"/>
      <c r="CJ1064" s="21"/>
      <c r="CK1064" s="21"/>
      <c r="CL1064" s="21"/>
      <c r="CM1064" s="21"/>
      <c r="CN1064" s="21"/>
      <c r="CO1064" s="21"/>
      <c r="CP1064" s="21"/>
      <c r="CQ1064" s="21"/>
      <c r="CR1064" s="21"/>
      <c r="CS1064" s="21"/>
      <c r="CT1064" s="21"/>
      <c r="CU1064" s="21"/>
      <c r="CV1064" s="21"/>
      <c r="CW1064" s="21"/>
      <c r="CX1064" s="21"/>
      <c r="CY1064" s="22"/>
      <c r="CZ1064" s="21"/>
      <c r="DA1064" s="21"/>
      <c r="DB1064" s="21"/>
    </row>
    <row r="1065" spans="3:106" s="19" customFormat="1" ht="12">
      <c r="C1065" s="21"/>
      <c r="D1065" s="21"/>
      <c r="E1065" s="21"/>
      <c r="F1065" s="21"/>
      <c r="G1065" s="21"/>
      <c r="H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2"/>
      <c r="AX1065" s="21"/>
      <c r="AY1065" s="21"/>
      <c r="AZ1065" s="21"/>
      <c r="BA1065" s="21"/>
      <c r="BB1065" s="21"/>
      <c r="BC1065" s="21"/>
      <c r="BD1065" s="21"/>
      <c r="BE1065" s="21"/>
      <c r="BF1065" s="21"/>
      <c r="BG1065" s="21"/>
      <c r="BH1065" s="21"/>
      <c r="BI1065" s="21"/>
      <c r="BJ1065" s="21"/>
      <c r="BK1065" s="21"/>
      <c r="BL1065" s="21"/>
      <c r="BM1065" s="21"/>
      <c r="BN1065" s="21"/>
      <c r="BO1065" s="21"/>
      <c r="BP1065" s="21"/>
      <c r="BQ1065" s="21"/>
      <c r="BR1065" s="21"/>
      <c r="BS1065" s="21"/>
      <c r="BT1065" s="21"/>
      <c r="BU1065" s="21"/>
      <c r="BV1065" s="21"/>
      <c r="BW1065" s="21"/>
      <c r="BX1065" s="21"/>
      <c r="BY1065" s="21"/>
      <c r="BZ1065" s="21"/>
      <c r="CA1065" s="21"/>
      <c r="CB1065" s="21"/>
      <c r="CC1065" s="21"/>
      <c r="CD1065" s="21"/>
      <c r="CE1065" s="21"/>
      <c r="CF1065" s="21"/>
      <c r="CG1065" s="21"/>
      <c r="CH1065" s="21"/>
      <c r="CI1065" s="21"/>
      <c r="CJ1065" s="21"/>
      <c r="CK1065" s="21"/>
      <c r="CL1065" s="21"/>
      <c r="CM1065" s="21"/>
      <c r="CN1065" s="21"/>
      <c r="CO1065" s="21"/>
      <c r="CP1065" s="21"/>
      <c r="CQ1065" s="21"/>
      <c r="CR1065" s="21"/>
      <c r="CS1065" s="21"/>
      <c r="CT1065" s="21"/>
      <c r="CU1065" s="21"/>
      <c r="CV1065" s="21"/>
      <c r="CW1065" s="21"/>
      <c r="CX1065" s="21"/>
      <c r="CY1065" s="22"/>
      <c r="CZ1065" s="21"/>
      <c r="DA1065" s="21"/>
      <c r="DB1065" s="21"/>
    </row>
    <row r="1066" spans="3:106" s="19" customFormat="1" ht="12">
      <c r="C1066" s="21"/>
      <c r="D1066" s="21"/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2"/>
      <c r="AX1066" s="21"/>
      <c r="AY1066" s="21"/>
      <c r="AZ1066" s="21"/>
      <c r="BA1066" s="21"/>
      <c r="BB1066" s="21"/>
      <c r="BC1066" s="21"/>
      <c r="BD1066" s="21"/>
      <c r="BE1066" s="21"/>
      <c r="BF1066" s="21"/>
      <c r="BG1066" s="21"/>
      <c r="BH1066" s="21"/>
      <c r="BI1066" s="21"/>
      <c r="BJ1066" s="21"/>
      <c r="BK1066" s="21"/>
      <c r="BL1066" s="21"/>
      <c r="BM1066" s="21"/>
      <c r="BN1066" s="21"/>
      <c r="BO1066" s="21"/>
      <c r="BP1066" s="21"/>
      <c r="BQ1066" s="21"/>
      <c r="BR1066" s="21"/>
      <c r="BS1066" s="21"/>
      <c r="BT1066" s="21"/>
      <c r="BU1066" s="21"/>
      <c r="BV1066" s="21"/>
      <c r="BW1066" s="21"/>
      <c r="BX1066" s="21"/>
      <c r="BY1066" s="21"/>
      <c r="BZ1066" s="21"/>
      <c r="CA1066" s="21"/>
      <c r="CB1066" s="21"/>
      <c r="CC1066" s="21"/>
      <c r="CD1066" s="21"/>
      <c r="CE1066" s="21"/>
      <c r="CF1066" s="21"/>
      <c r="CG1066" s="21"/>
      <c r="CH1066" s="21"/>
      <c r="CI1066" s="21"/>
      <c r="CJ1066" s="21"/>
      <c r="CK1066" s="21"/>
      <c r="CL1066" s="21"/>
      <c r="CM1066" s="21"/>
      <c r="CN1066" s="21"/>
      <c r="CO1066" s="21"/>
      <c r="CP1066" s="21"/>
      <c r="CQ1066" s="21"/>
      <c r="CR1066" s="21"/>
      <c r="CS1066" s="21"/>
      <c r="CT1066" s="21"/>
      <c r="CU1066" s="21"/>
      <c r="CV1066" s="21"/>
      <c r="CW1066" s="21"/>
      <c r="CX1066" s="21"/>
      <c r="CY1066" s="22"/>
      <c r="CZ1066" s="21"/>
      <c r="DA1066" s="21"/>
      <c r="DB1066" s="21"/>
    </row>
    <row r="1067" spans="3:106" s="19" customFormat="1" ht="12">
      <c r="C1067" s="21"/>
      <c r="D1067" s="21"/>
      <c r="E1067" s="21"/>
      <c r="F1067" s="21"/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2"/>
      <c r="AX1067" s="21"/>
      <c r="AY1067" s="21"/>
      <c r="AZ1067" s="21"/>
      <c r="BA1067" s="21"/>
      <c r="BB1067" s="21"/>
      <c r="BC1067" s="21"/>
      <c r="BD1067" s="21"/>
      <c r="BE1067" s="21"/>
      <c r="BF1067" s="21"/>
      <c r="BG1067" s="21"/>
      <c r="BH1067" s="21"/>
      <c r="BI1067" s="21"/>
      <c r="BJ1067" s="21"/>
      <c r="BK1067" s="21"/>
      <c r="BL1067" s="21"/>
      <c r="BM1067" s="21"/>
      <c r="BN1067" s="21"/>
      <c r="BO1067" s="21"/>
      <c r="BP1067" s="21"/>
      <c r="BQ1067" s="21"/>
      <c r="BR1067" s="21"/>
      <c r="BS1067" s="21"/>
      <c r="BT1067" s="21"/>
      <c r="BU1067" s="21"/>
      <c r="BV1067" s="21"/>
      <c r="BW1067" s="21"/>
      <c r="BX1067" s="21"/>
      <c r="BY1067" s="21"/>
      <c r="BZ1067" s="21"/>
      <c r="CA1067" s="21"/>
      <c r="CB1067" s="21"/>
      <c r="CC1067" s="21"/>
      <c r="CD1067" s="21"/>
      <c r="CE1067" s="21"/>
      <c r="CF1067" s="21"/>
      <c r="CG1067" s="21"/>
      <c r="CH1067" s="21"/>
      <c r="CI1067" s="21"/>
      <c r="CJ1067" s="21"/>
      <c r="CK1067" s="21"/>
      <c r="CL1067" s="21"/>
      <c r="CM1067" s="21"/>
      <c r="CN1067" s="21"/>
      <c r="CO1067" s="21"/>
      <c r="CP1067" s="21"/>
      <c r="CQ1067" s="21"/>
      <c r="CR1067" s="21"/>
      <c r="CS1067" s="21"/>
      <c r="CT1067" s="21"/>
      <c r="CU1067" s="21"/>
      <c r="CV1067" s="21"/>
      <c r="CW1067" s="21"/>
      <c r="CX1067" s="21"/>
      <c r="CY1067" s="22"/>
      <c r="CZ1067" s="21"/>
      <c r="DA1067" s="21"/>
      <c r="DB1067" s="21"/>
    </row>
    <row r="1068" spans="3:106" s="19" customFormat="1" ht="12">
      <c r="C1068" s="21"/>
      <c r="D1068" s="21"/>
      <c r="E1068" s="21"/>
      <c r="F1068" s="21"/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2"/>
      <c r="AX1068" s="21"/>
      <c r="AY1068" s="21"/>
      <c r="AZ1068" s="21"/>
      <c r="BA1068" s="21"/>
      <c r="BB1068" s="21"/>
      <c r="BC1068" s="21"/>
      <c r="BD1068" s="21"/>
      <c r="BE1068" s="21"/>
      <c r="BF1068" s="21"/>
      <c r="BG1068" s="21"/>
      <c r="BH1068" s="21"/>
      <c r="BI1068" s="21"/>
      <c r="BJ1068" s="21"/>
      <c r="BK1068" s="21"/>
      <c r="BL1068" s="21"/>
      <c r="BM1068" s="21"/>
      <c r="BN1068" s="21"/>
      <c r="BO1068" s="21"/>
      <c r="BP1068" s="21"/>
      <c r="BQ1068" s="21"/>
      <c r="BR1068" s="21"/>
      <c r="BS1068" s="21"/>
      <c r="BT1068" s="21"/>
      <c r="BU1068" s="21"/>
      <c r="BV1068" s="21"/>
      <c r="BW1068" s="21"/>
      <c r="BX1068" s="21"/>
      <c r="BY1068" s="21"/>
      <c r="BZ1068" s="21"/>
      <c r="CA1068" s="21"/>
      <c r="CB1068" s="21"/>
      <c r="CC1068" s="21"/>
      <c r="CD1068" s="21"/>
      <c r="CE1068" s="21"/>
      <c r="CF1068" s="21"/>
      <c r="CG1068" s="21"/>
      <c r="CH1068" s="21"/>
      <c r="CI1068" s="21"/>
      <c r="CJ1068" s="21"/>
      <c r="CK1068" s="21"/>
      <c r="CL1068" s="21"/>
      <c r="CM1068" s="21"/>
      <c r="CN1068" s="21"/>
      <c r="CO1068" s="21"/>
      <c r="CP1068" s="21"/>
      <c r="CQ1068" s="21"/>
      <c r="CR1068" s="21"/>
      <c r="CS1068" s="21"/>
      <c r="CT1068" s="21"/>
      <c r="CU1068" s="21"/>
      <c r="CV1068" s="21"/>
      <c r="CW1068" s="21"/>
      <c r="CX1068" s="21"/>
      <c r="CY1068" s="22"/>
      <c r="CZ1068" s="21"/>
      <c r="DA1068" s="21"/>
      <c r="DB1068" s="21"/>
    </row>
    <row r="1069" spans="3:106" s="19" customFormat="1" ht="12">
      <c r="C1069" s="21"/>
      <c r="D1069" s="21"/>
      <c r="E1069" s="21"/>
      <c r="F1069" s="21"/>
      <c r="G1069" s="21"/>
      <c r="H1069" s="21"/>
      <c r="I1069" s="21"/>
      <c r="J1069" s="21"/>
      <c r="K1069" s="21"/>
      <c r="L1069" s="21"/>
      <c r="M1069" s="21"/>
      <c r="N1069" s="21"/>
      <c r="O1069" s="21"/>
      <c r="P1069" s="21"/>
      <c r="Q1069" s="21"/>
      <c r="R1069" s="21"/>
      <c r="S1069" s="21"/>
      <c r="T1069" s="21"/>
      <c r="U1069" s="21"/>
      <c r="V1069" s="21"/>
      <c r="W1069" s="21"/>
      <c r="X1069" s="21"/>
      <c r="Y1069" s="21"/>
      <c r="Z1069" s="21"/>
      <c r="AA1069" s="21"/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2"/>
      <c r="AX1069" s="21"/>
      <c r="AY1069" s="21"/>
      <c r="AZ1069" s="21"/>
      <c r="BA1069" s="21"/>
      <c r="BB1069" s="21"/>
      <c r="BC1069" s="21"/>
      <c r="BD1069" s="21"/>
      <c r="BE1069" s="21"/>
      <c r="BF1069" s="21"/>
      <c r="BG1069" s="21"/>
      <c r="BH1069" s="21"/>
      <c r="BI1069" s="21"/>
      <c r="BJ1069" s="21"/>
      <c r="BK1069" s="21"/>
      <c r="BL1069" s="21"/>
      <c r="BM1069" s="21"/>
      <c r="BN1069" s="21"/>
      <c r="BO1069" s="21"/>
      <c r="BP1069" s="21"/>
      <c r="BQ1069" s="21"/>
      <c r="BR1069" s="21"/>
      <c r="BS1069" s="21"/>
      <c r="BT1069" s="21"/>
      <c r="BU1069" s="21"/>
      <c r="BV1069" s="21"/>
      <c r="BW1069" s="21"/>
      <c r="BX1069" s="21"/>
      <c r="BY1069" s="21"/>
      <c r="BZ1069" s="21"/>
      <c r="CA1069" s="21"/>
      <c r="CB1069" s="21"/>
      <c r="CC1069" s="21"/>
      <c r="CD1069" s="21"/>
      <c r="CE1069" s="21"/>
      <c r="CF1069" s="21"/>
      <c r="CG1069" s="21"/>
      <c r="CH1069" s="21"/>
      <c r="CI1069" s="21"/>
      <c r="CJ1069" s="21"/>
      <c r="CK1069" s="21"/>
      <c r="CL1069" s="21"/>
      <c r="CM1069" s="21"/>
      <c r="CN1069" s="21"/>
      <c r="CO1069" s="21"/>
      <c r="CP1069" s="21"/>
      <c r="CQ1069" s="21"/>
      <c r="CR1069" s="21"/>
      <c r="CS1069" s="21"/>
      <c r="CT1069" s="21"/>
      <c r="CU1069" s="21"/>
      <c r="CV1069" s="21"/>
      <c r="CW1069" s="21"/>
      <c r="CX1069" s="21"/>
      <c r="CY1069" s="22"/>
      <c r="CZ1069" s="21"/>
      <c r="DA1069" s="21"/>
      <c r="DB1069" s="21"/>
    </row>
    <row r="1070" spans="3:106" s="19" customFormat="1" ht="12">
      <c r="C1070" s="21"/>
      <c r="D1070" s="21"/>
      <c r="E1070" s="21"/>
      <c r="F1070" s="21"/>
      <c r="G1070" s="21"/>
      <c r="H1070" s="21"/>
      <c r="I1070" s="21"/>
      <c r="J1070" s="21"/>
      <c r="K1070" s="21"/>
      <c r="L1070" s="21"/>
      <c r="M1070" s="21"/>
      <c r="N1070" s="21"/>
      <c r="O1070" s="21"/>
      <c r="P1070" s="21"/>
      <c r="Q1070" s="21"/>
      <c r="R1070" s="21"/>
      <c r="S1070" s="21"/>
      <c r="T1070" s="21"/>
      <c r="U1070" s="21"/>
      <c r="V1070" s="21"/>
      <c r="W1070" s="21"/>
      <c r="X1070" s="21"/>
      <c r="Y1070" s="21"/>
      <c r="Z1070" s="21"/>
      <c r="AA1070" s="21"/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2"/>
      <c r="AX1070" s="21"/>
      <c r="AY1070" s="21"/>
      <c r="AZ1070" s="21"/>
      <c r="BA1070" s="21"/>
      <c r="BB1070" s="21"/>
      <c r="BC1070" s="21"/>
      <c r="BD1070" s="21"/>
      <c r="BE1070" s="21"/>
      <c r="BF1070" s="21"/>
      <c r="BG1070" s="21"/>
      <c r="BH1070" s="21"/>
      <c r="BI1070" s="21"/>
      <c r="BJ1070" s="21"/>
      <c r="BK1070" s="21"/>
      <c r="BL1070" s="21"/>
      <c r="BM1070" s="21"/>
      <c r="BN1070" s="21"/>
      <c r="BO1070" s="21"/>
      <c r="BP1070" s="21"/>
      <c r="BQ1070" s="21"/>
      <c r="BR1070" s="21"/>
      <c r="BS1070" s="21"/>
      <c r="BT1070" s="21"/>
      <c r="BU1070" s="21"/>
      <c r="BV1070" s="21"/>
      <c r="BW1070" s="21"/>
      <c r="BX1070" s="21"/>
      <c r="BY1070" s="21"/>
      <c r="BZ1070" s="21"/>
      <c r="CA1070" s="21"/>
      <c r="CB1070" s="21"/>
      <c r="CC1070" s="21"/>
      <c r="CD1070" s="21"/>
      <c r="CE1070" s="21"/>
      <c r="CF1070" s="21"/>
      <c r="CG1070" s="21"/>
      <c r="CH1070" s="21"/>
      <c r="CI1070" s="21"/>
      <c r="CJ1070" s="21"/>
      <c r="CK1070" s="21"/>
      <c r="CL1070" s="21"/>
      <c r="CM1070" s="21"/>
      <c r="CN1070" s="21"/>
      <c r="CO1070" s="21"/>
      <c r="CP1070" s="21"/>
      <c r="CQ1070" s="21"/>
      <c r="CR1070" s="21"/>
      <c r="CS1070" s="21"/>
      <c r="CT1070" s="21"/>
      <c r="CU1070" s="21"/>
      <c r="CV1070" s="21"/>
      <c r="CW1070" s="21"/>
      <c r="CX1070" s="21"/>
      <c r="CY1070" s="22"/>
      <c r="CZ1070" s="21"/>
      <c r="DA1070" s="21"/>
      <c r="DB1070" s="21"/>
    </row>
    <row r="1071" spans="3:106" s="19" customFormat="1" ht="12">
      <c r="C1071" s="21"/>
      <c r="D1071" s="21"/>
      <c r="E1071" s="21"/>
      <c r="F1071" s="21"/>
      <c r="G1071" s="21"/>
      <c r="H1071" s="21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2"/>
      <c r="AX1071" s="21"/>
      <c r="AY1071" s="21"/>
      <c r="AZ1071" s="21"/>
      <c r="BA1071" s="21"/>
      <c r="BB1071" s="21"/>
      <c r="BC1071" s="21"/>
      <c r="BD1071" s="21"/>
      <c r="BE1071" s="21"/>
      <c r="BF1071" s="21"/>
      <c r="BG1071" s="21"/>
      <c r="BH1071" s="21"/>
      <c r="BI1071" s="21"/>
      <c r="BJ1071" s="21"/>
      <c r="BK1071" s="21"/>
      <c r="BL1071" s="21"/>
      <c r="BM1071" s="21"/>
      <c r="BN1071" s="21"/>
      <c r="BO1071" s="21"/>
      <c r="BP1071" s="21"/>
      <c r="BQ1071" s="21"/>
      <c r="BR1071" s="21"/>
      <c r="BS1071" s="21"/>
      <c r="BT1071" s="21"/>
      <c r="BU1071" s="21"/>
      <c r="BV1071" s="21"/>
      <c r="BW1071" s="21"/>
      <c r="BX1071" s="21"/>
      <c r="BY1071" s="21"/>
      <c r="BZ1071" s="21"/>
      <c r="CA1071" s="21"/>
      <c r="CB1071" s="21"/>
      <c r="CC1071" s="21"/>
      <c r="CD1071" s="21"/>
      <c r="CE1071" s="21"/>
      <c r="CF1071" s="21"/>
      <c r="CG1071" s="21"/>
      <c r="CH1071" s="21"/>
      <c r="CI1071" s="21"/>
      <c r="CJ1071" s="21"/>
      <c r="CK1071" s="21"/>
      <c r="CL1071" s="21"/>
      <c r="CM1071" s="21"/>
      <c r="CN1071" s="21"/>
      <c r="CO1071" s="21"/>
      <c r="CP1071" s="21"/>
      <c r="CQ1071" s="21"/>
      <c r="CR1071" s="21"/>
      <c r="CS1071" s="21"/>
      <c r="CT1071" s="21"/>
      <c r="CU1071" s="21"/>
      <c r="CV1071" s="21"/>
      <c r="CW1071" s="21"/>
      <c r="CX1071" s="21"/>
      <c r="CY1071" s="22"/>
      <c r="CZ1071" s="21"/>
      <c r="DA1071" s="21"/>
      <c r="DB1071" s="21"/>
    </row>
    <row r="1072" spans="3:106" s="19" customFormat="1" ht="12">
      <c r="C1072" s="21"/>
      <c r="D1072" s="21"/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2"/>
      <c r="AX1072" s="21"/>
      <c r="AY1072" s="21"/>
      <c r="AZ1072" s="21"/>
      <c r="BA1072" s="21"/>
      <c r="BB1072" s="21"/>
      <c r="BC1072" s="21"/>
      <c r="BD1072" s="21"/>
      <c r="BE1072" s="21"/>
      <c r="BF1072" s="21"/>
      <c r="BG1072" s="21"/>
      <c r="BH1072" s="21"/>
      <c r="BI1072" s="21"/>
      <c r="BJ1072" s="21"/>
      <c r="BK1072" s="21"/>
      <c r="BL1072" s="21"/>
      <c r="BM1072" s="21"/>
      <c r="BN1072" s="21"/>
      <c r="BO1072" s="21"/>
      <c r="BP1072" s="21"/>
      <c r="BQ1072" s="21"/>
      <c r="BR1072" s="21"/>
      <c r="BS1072" s="21"/>
      <c r="BT1072" s="21"/>
      <c r="BU1072" s="21"/>
      <c r="BV1072" s="21"/>
      <c r="BW1072" s="21"/>
      <c r="BX1072" s="21"/>
      <c r="BY1072" s="21"/>
      <c r="BZ1072" s="21"/>
      <c r="CA1072" s="21"/>
      <c r="CB1072" s="21"/>
      <c r="CC1072" s="21"/>
      <c r="CD1072" s="21"/>
      <c r="CE1072" s="21"/>
      <c r="CF1072" s="21"/>
      <c r="CG1072" s="21"/>
      <c r="CH1072" s="21"/>
      <c r="CI1072" s="21"/>
      <c r="CJ1072" s="21"/>
      <c r="CK1072" s="21"/>
      <c r="CL1072" s="21"/>
      <c r="CM1072" s="21"/>
      <c r="CN1072" s="21"/>
      <c r="CO1072" s="21"/>
      <c r="CP1072" s="21"/>
      <c r="CQ1072" s="21"/>
      <c r="CR1072" s="21"/>
      <c r="CS1072" s="21"/>
      <c r="CT1072" s="21"/>
      <c r="CU1072" s="21"/>
      <c r="CV1072" s="21"/>
      <c r="CW1072" s="21"/>
      <c r="CX1072" s="21"/>
      <c r="CY1072" s="22"/>
      <c r="CZ1072" s="21"/>
      <c r="DA1072" s="21"/>
      <c r="DB1072" s="21"/>
    </row>
    <row r="1073" spans="3:106" s="19" customFormat="1" ht="12">
      <c r="C1073" s="21"/>
      <c r="D1073" s="21"/>
      <c r="E1073" s="21"/>
      <c r="F1073" s="21"/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2"/>
      <c r="AX1073" s="21"/>
      <c r="AY1073" s="21"/>
      <c r="AZ1073" s="21"/>
      <c r="BA1073" s="21"/>
      <c r="BB1073" s="21"/>
      <c r="BC1073" s="21"/>
      <c r="BD1073" s="21"/>
      <c r="BE1073" s="21"/>
      <c r="BF1073" s="21"/>
      <c r="BG1073" s="21"/>
      <c r="BH1073" s="21"/>
      <c r="BI1073" s="21"/>
      <c r="BJ1073" s="21"/>
      <c r="BK1073" s="21"/>
      <c r="BL1073" s="21"/>
      <c r="BM1073" s="21"/>
      <c r="BN1073" s="21"/>
      <c r="BO1073" s="21"/>
      <c r="BP1073" s="21"/>
      <c r="BQ1073" s="21"/>
      <c r="BR1073" s="21"/>
      <c r="BS1073" s="21"/>
      <c r="BT1073" s="21"/>
      <c r="BU1073" s="21"/>
      <c r="BV1073" s="21"/>
      <c r="BW1073" s="21"/>
      <c r="BX1073" s="21"/>
      <c r="BY1073" s="21"/>
      <c r="BZ1073" s="21"/>
      <c r="CA1073" s="21"/>
      <c r="CB1073" s="21"/>
      <c r="CC1073" s="21"/>
      <c r="CD1073" s="21"/>
      <c r="CE1073" s="21"/>
      <c r="CF1073" s="21"/>
      <c r="CG1073" s="21"/>
      <c r="CH1073" s="21"/>
      <c r="CI1073" s="21"/>
      <c r="CJ1073" s="21"/>
      <c r="CK1073" s="21"/>
      <c r="CL1073" s="21"/>
      <c r="CM1073" s="21"/>
      <c r="CN1073" s="21"/>
      <c r="CO1073" s="21"/>
      <c r="CP1073" s="21"/>
      <c r="CQ1073" s="21"/>
      <c r="CR1073" s="21"/>
      <c r="CS1073" s="21"/>
      <c r="CT1073" s="21"/>
      <c r="CU1073" s="21"/>
      <c r="CV1073" s="21"/>
      <c r="CW1073" s="21"/>
      <c r="CX1073" s="21"/>
      <c r="CY1073" s="22"/>
      <c r="CZ1073" s="21"/>
      <c r="DA1073" s="21"/>
      <c r="DB1073" s="21"/>
    </row>
    <row r="1074" spans="3:106" s="19" customFormat="1" ht="12">
      <c r="C1074" s="21"/>
      <c r="D1074" s="21"/>
      <c r="E1074" s="21"/>
      <c r="F1074" s="21"/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2"/>
      <c r="AX1074" s="21"/>
      <c r="AY1074" s="21"/>
      <c r="AZ1074" s="21"/>
      <c r="BA1074" s="21"/>
      <c r="BB1074" s="21"/>
      <c r="BC1074" s="21"/>
      <c r="BD1074" s="21"/>
      <c r="BE1074" s="21"/>
      <c r="BF1074" s="21"/>
      <c r="BG1074" s="21"/>
      <c r="BH1074" s="21"/>
      <c r="BI1074" s="21"/>
      <c r="BJ1074" s="21"/>
      <c r="BK1074" s="21"/>
      <c r="BL1074" s="21"/>
      <c r="BM1074" s="21"/>
      <c r="BN1074" s="21"/>
      <c r="BO1074" s="21"/>
      <c r="BP1074" s="21"/>
      <c r="BQ1074" s="21"/>
      <c r="BR1074" s="21"/>
      <c r="BS1074" s="21"/>
      <c r="BT1074" s="21"/>
      <c r="BU1074" s="21"/>
      <c r="BV1074" s="21"/>
      <c r="BW1074" s="21"/>
      <c r="BX1074" s="21"/>
      <c r="BY1074" s="21"/>
      <c r="BZ1074" s="21"/>
      <c r="CA1074" s="21"/>
      <c r="CB1074" s="21"/>
      <c r="CC1074" s="21"/>
      <c r="CD1074" s="21"/>
      <c r="CE1074" s="21"/>
      <c r="CF1074" s="21"/>
      <c r="CG1074" s="21"/>
      <c r="CH1074" s="21"/>
      <c r="CI1074" s="21"/>
      <c r="CJ1074" s="21"/>
      <c r="CK1074" s="21"/>
      <c r="CL1074" s="21"/>
      <c r="CM1074" s="21"/>
      <c r="CN1074" s="21"/>
      <c r="CO1074" s="21"/>
      <c r="CP1074" s="21"/>
      <c r="CQ1074" s="21"/>
      <c r="CR1074" s="21"/>
      <c r="CS1074" s="21"/>
      <c r="CT1074" s="21"/>
      <c r="CU1074" s="21"/>
      <c r="CV1074" s="21"/>
      <c r="CW1074" s="21"/>
      <c r="CX1074" s="21"/>
      <c r="CY1074" s="22"/>
      <c r="CZ1074" s="21"/>
      <c r="DA1074" s="21"/>
      <c r="DB1074" s="21"/>
    </row>
    <row r="1075" spans="3:106" s="19" customFormat="1" ht="12">
      <c r="C1075" s="21"/>
      <c r="D1075" s="21"/>
      <c r="E1075" s="21"/>
      <c r="F1075" s="21"/>
      <c r="G1075" s="21"/>
      <c r="H1075" s="21"/>
      <c r="I1075" s="21"/>
      <c r="J1075" s="21"/>
      <c r="K1075" s="21"/>
      <c r="L1075" s="21"/>
      <c r="M1075" s="21"/>
      <c r="N1075" s="21"/>
      <c r="O1075" s="21"/>
      <c r="P1075" s="21"/>
      <c r="Q1075" s="21"/>
      <c r="R1075" s="21"/>
      <c r="S1075" s="21"/>
      <c r="T1075" s="21"/>
      <c r="U1075" s="21"/>
      <c r="V1075" s="21"/>
      <c r="W1075" s="21"/>
      <c r="X1075" s="21"/>
      <c r="Y1075" s="21"/>
      <c r="Z1075" s="21"/>
      <c r="AA1075" s="21"/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2"/>
      <c r="AX1075" s="21"/>
      <c r="AY1075" s="21"/>
      <c r="AZ1075" s="21"/>
      <c r="BA1075" s="21"/>
      <c r="BB1075" s="21"/>
      <c r="BC1075" s="21"/>
      <c r="BD1075" s="21"/>
      <c r="BE1075" s="21"/>
      <c r="BF1075" s="21"/>
      <c r="BG1075" s="21"/>
      <c r="BH1075" s="21"/>
      <c r="BI1075" s="21"/>
      <c r="BJ1075" s="21"/>
      <c r="BK1075" s="21"/>
      <c r="BL1075" s="21"/>
      <c r="BM1075" s="21"/>
      <c r="BN1075" s="21"/>
      <c r="BO1075" s="21"/>
      <c r="BP1075" s="21"/>
      <c r="BQ1075" s="21"/>
      <c r="BR1075" s="21"/>
      <c r="BS1075" s="21"/>
      <c r="BT1075" s="21"/>
      <c r="BU1075" s="21"/>
      <c r="BV1075" s="21"/>
      <c r="BW1075" s="21"/>
      <c r="BX1075" s="21"/>
      <c r="BY1075" s="21"/>
      <c r="BZ1075" s="21"/>
      <c r="CA1075" s="21"/>
      <c r="CB1075" s="21"/>
      <c r="CC1075" s="21"/>
      <c r="CD1075" s="21"/>
      <c r="CE1075" s="21"/>
      <c r="CF1075" s="21"/>
      <c r="CG1075" s="21"/>
      <c r="CH1075" s="21"/>
      <c r="CI1075" s="21"/>
      <c r="CJ1075" s="21"/>
      <c r="CK1075" s="21"/>
      <c r="CL1075" s="21"/>
      <c r="CM1075" s="21"/>
      <c r="CN1075" s="21"/>
      <c r="CO1075" s="21"/>
      <c r="CP1075" s="21"/>
      <c r="CQ1075" s="21"/>
      <c r="CR1075" s="21"/>
      <c r="CS1075" s="21"/>
      <c r="CT1075" s="21"/>
      <c r="CU1075" s="21"/>
      <c r="CV1075" s="21"/>
      <c r="CW1075" s="21"/>
      <c r="CX1075" s="21"/>
      <c r="CY1075" s="22"/>
      <c r="CZ1075" s="21"/>
      <c r="DA1075" s="21"/>
      <c r="DB1075" s="21"/>
    </row>
    <row r="1076" spans="3:106" s="19" customFormat="1" ht="12">
      <c r="C1076" s="21"/>
      <c r="D1076" s="21"/>
      <c r="E1076" s="21"/>
      <c r="F1076" s="21"/>
      <c r="G1076" s="21"/>
      <c r="H1076" s="21"/>
      <c r="I1076" s="21"/>
      <c r="J1076" s="21"/>
      <c r="K1076" s="21"/>
      <c r="L1076" s="21"/>
      <c r="M1076" s="21"/>
      <c r="N1076" s="21"/>
      <c r="O1076" s="21"/>
      <c r="P1076" s="21"/>
      <c r="Q1076" s="21"/>
      <c r="R1076" s="21"/>
      <c r="S1076" s="21"/>
      <c r="T1076" s="21"/>
      <c r="U1076" s="21"/>
      <c r="V1076" s="21"/>
      <c r="W1076" s="21"/>
      <c r="X1076" s="21"/>
      <c r="Y1076" s="21"/>
      <c r="Z1076" s="21"/>
      <c r="AA1076" s="21"/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2"/>
      <c r="AX1076" s="21"/>
      <c r="AY1076" s="21"/>
      <c r="AZ1076" s="21"/>
      <c r="BA1076" s="21"/>
      <c r="BB1076" s="21"/>
      <c r="BC1076" s="21"/>
      <c r="BD1076" s="21"/>
      <c r="BE1076" s="21"/>
      <c r="BF1076" s="21"/>
      <c r="BG1076" s="21"/>
      <c r="BH1076" s="21"/>
      <c r="BI1076" s="21"/>
      <c r="BJ1076" s="21"/>
      <c r="BK1076" s="21"/>
      <c r="BL1076" s="21"/>
      <c r="BM1076" s="21"/>
      <c r="BN1076" s="21"/>
      <c r="BO1076" s="21"/>
      <c r="BP1076" s="21"/>
      <c r="BQ1076" s="21"/>
      <c r="BR1076" s="21"/>
      <c r="BS1076" s="21"/>
      <c r="BT1076" s="21"/>
      <c r="BU1076" s="21"/>
      <c r="BV1076" s="21"/>
      <c r="BW1076" s="21"/>
      <c r="BX1076" s="21"/>
      <c r="BY1076" s="21"/>
      <c r="BZ1076" s="21"/>
      <c r="CA1076" s="21"/>
      <c r="CB1076" s="21"/>
      <c r="CC1076" s="21"/>
      <c r="CD1076" s="21"/>
      <c r="CE1076" s="21"/>
      <c r="CF1076" s="21"/>
      <c r="CG1076" s="21"/>
      <c r="CH1076" s="21"/>
      <c r="CI1076" s="21"/>
      <c r="CJ1076" s="21"/>
      <c r="CK1076" s="21"/>
      <c r="CL1076" s="21"/>
      <c r="CM1076" s="21"/>
      <c r="CN1076" s="21"/>
      <c r="CO1076" s="21"/>
      <c r="CP1076" s="21"/>
      <c r="CQ1076" s="21"/>
      <c r="CR1076" s="21"/>
      <c r="CS1076" s="21"/>
      <c r="CT1076" s="21"/>
      <c r="CU1076" s="21"/>
      <c r="CV1076" s="21"/>
      <c r="CW1076" s="21"/>
      <c r="CX1076" s="21"/>
      <c r="CY1076" s="22"/>
      <c r="CZ1076" s="21"/>
      <c r="DA1076" s="21"/>
      <c r="DB1076" s="21"/>
    </row>
    <row r="1077" spans="3:106" s="19" customFormat="1" ht="12">
      <c r="C1077" s="21"/>
      <c r="D1077" s="21"/>
      <c r="E1077" s="21"/>
      <c r="F1077" s="21"/>
      <c r="G1077" s="21"/>
      <c r="H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2"/>
      <c r="AX1077" s="21"/>
      <c r="AY1077" s="21"/>
      <c r="AZ1077" s="21"/>
      <c r="BA1077" s="21"/>
      <c r="BB1077" s="21"/>
      <c r="BC1077" s="21"/>
      <c r="BD1077" s="21"/>
      <c r="BE1077" s="21"/>
      <c r="BF1077" s="21"/>
      <c r="BG1077" s="21"/>
      <c r="BH1077" s="21"/>
      <c r="BI1077" s="21"/>
      <c r="BJ1077" s="21"/>
      <c r="BK1077" s="21"/>
      <c r="BL1077" s="21"/>
      <c r="BM1077" s="21"/>
      <c r="BN1077" s="21"/>
      <c r="BO1077" s="21"/>
      <c r="BP1077" s="21"/>
      <c r="BQ1077" s="21"/>
      <c r="BR1077" s="21"/>
      <c r="BS1077" s="21"/>
      <c r="BT1077" s="21"/>
      <c r="BU1077" s="21"/>
      <c r="BV1077" s="21"/>
      <c r="BW1077" s="21"/>
      <c r="BX1077" s="21"/>
      <c r="BY1077" s="21"/>
      <c r="BZ1077" s="21"/>
      <c r="CA1077" s="21"/>
      <c r="CB1077" s="21"/>
      <c r="CC1077" s="21"/>
      <c r="CD1077" s="21"/>
      <c r="CE1077" s="21"/>
      <c r="CF1077" s="21"/>
      <c r="CG1077" s="21"/>
      <c r="CH1077" s="21"/>
      <c r="CI1077" s="21"/>
      <c r="CJ1077" s="21"/>
      <c r="CK1077" s="21"/>
      <c r="CL1077" s="21"/>
      <c r="CM1077" s="21"/>
      <c r="CN1077" s="21"/>
      <c r="CO1077" s="21"/>
      <c r="CP1077" s="21"/>
      <c r="CQ1077" s="21"/>
      <c r="CR1077" s="21"/>
      <c r="CS1077" s="21"/>
      <c r="CT1077" s="21"/>
      <c r="CU1077" s="21"/>
      <c r="CV1077" s="21"/>
      <c r="CW1077" s="21"/>
      <c r="CX1077" s="21"/>
      <c r="CY1077" s="22"/>
      <c r="CZ1077" s="21"/>
      <c r="DA1077" s="21"/>
      <c r="DB1077" s="21"/>
    </row>
    <row r="1078" spans="3:106" s="19" customFormat="1" ht="12">
      <c r="C1078" s="21"/>
      <c r="D1078" s="21"/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2"/>
      <c r="AX1078" s="21"/>
      <c r="AY1078" s="21"/>
      <c r="AZ1078" s="21"/>
      <c r="BA1078" s="21"/>
      <c r="BB1078" s="21"/>
      <c r="BC1078" s="21"/>
      <c r="BD1078" s="21"/>
      <c r="BE1078" s="21"/>
      <c r="BF1078" s="21"/>
      <c r="BG1078" s="21"/>
      <c r="BH1078" s="21"/>
      <c r="BI1078" s="21"/>
      <c r="BJ1078" s="21"/>
      <c r="BK1078" s="21"/>
      <c r="BL1078" s="21"/>
      <c r="BM1078" s="21"/>
      <c r="BN1078" s="21"/>
      <c r="BO1078" s="21"/>
      <c r="BP1078" s="21"/>
      <c r="BQ1078" s="21"/>
      <c r="BR1078" s="21"/>
      <c r="BS1078" s="21"/>
      <c r="BT1078" s="21"/>
      <c r="BU1078" s="21"/>
      <c r="BV1078" s="21"/>
      <c r="BW1078" s="21"/>
      <c r="BX1078" s="21"/>
      <c r="BY1078" s="21"/>
      <c r="BZ1078" s="21"/>
      <c r="CA1078" s="21"/>
      <c r="CB1078" s="21"/>
      <c r="CC1078" s="21"/>
      <c r="CD1078" s="21"/>
      <c r="CE1078" s="21"/>
      <c r="CF1078" s="21"/>
      <c r="CG1078" s="21"/>
      <c r="CH1078" s="21"/>
      <c r="CI1078" s="21"/>
      <c r="CJ1078" s="21"/>
      <c r="CK1078" s="21"/>
      <c r="CL1078" s="21"/>
      <c r="CM1078" s="21"/>
      <c r="CN1078" s="21"/>
      <c r="CO1078" s="21"/>
      <c r="CP1078" s="21"/>
      <c r="CQ1078" s="21"/>
      <c r="CR1078" s="21"/>
      <c r="CS1078" s="21"/>
      <c r="CT1078" s="21"/>
      <c r="CU1078" s="21"/>
      <c r="CV1078" s="21"/>
      <c r="CW1078" s="21"/>
      <c r="CX1078" s="21"/>
      <c r="CY1078" s="22"/>
      <c r="CZ1078" s="21"/>
      <c r="DA1078" s="21"/>
      <c r="DB1078" s="21"/>
    </row>
    <row r="1079" spans="3:106" s="19" customFormat="1" ht="12">
      <c r="C1079" s="21"/>
      <c r="D1079" s="21"/>
      <c r="E1079" s="21"/>
      <c r="F1079" s="21"/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2"/>
      <c r="AX1079" s="21"/>
      <c r="AY1079" s="21"/>
      <c r="AZ1079" s="21"/>
      <c r="BA1079" s="21"/>
      <c r="BB1079" s="21"/>
      <c r="BC1079" s="21"/>
      <c r="BD1079" s="21"/>
      <c r="BE1079" s="21"/>
      <c r="BF1079" s="21"/>
      <c r="BG1079" s="21"/>
      <c r="BH1079" s="21"/>
      <c r="BI1079" s="21"/>
      <c r="BJ1079" s="21"/>
      <c r="BK1079" s="21"/>
      <c r="BL1079" s="21"/>
      <c r="BM1079" s="21"/>
      <c r="BN1079" s="21"/>
      <c r="BO1079" s="21"/>
      <c r="BP1079" s="21"/>
      <c r="BQ1079" s="21"/>
      <c r="BR1079" s="21"/>
      <c r="BS1079" s="21"/>
      <c r="BT1079" s="21"/>
      <c r="BU1079" s="21"/>
      <c r="BV1079" s="21"/>
      <c r="BW1079" s="21"/>
      <c r="BX1079" s="21"/>
      <c r="BY1079" s="21"/>
      <c r="BZ1079" s="21"/>
      <c r="CA1079" s="21"/>
      <c r="CB1079" s="21"/>
      <c r="CC1079" s="21"/>
      <c r="CD1079" s="21"/>
      <c r="CE1079" s="21"/>
      <c r="CF1079" s="21"/>
      <c r="CG1079" s="21"/>
      <c r="CH1079" s="21"/>
      <c r="CI1079" s="21"/>
      <c r="CJ1079" s="21"/>
      <c r="CK1079" s="21"/>
      <c r="CL1079" s="21"/>
      <c r="CM1079" s="21"/>
      <c r="CN1079" s="21"/>
      <c r="CO1079" s="21"/>
      <c r="CP1079" s="21"/>
      <c r="CQ1079" s="21"/>
      <c r="CR1079" s="21"/>
      <c r="CS1079" s="21"/>
      <c r="CT1079" s="21"/>
      <c r="CU1079" s="21"/>
      <c r="CV1079" s="21"/>
      <c r="CW1079" s="21"/>
      <c r="CX1079" s="21"/>
      <c r="CY1079" s="22"/>
      <c r="CZ1079" s="21"/>
      <c r="DA1079" s="21"/>
      <c r="DB1079" s="21"/>
    </row>
    <row r="1080" spans="3:106" s="19" customFormat="1" ht="12">
      <c r="C1080" s="21"/>
      <c r="D1080" s="21"/>
      <c r="E1080" s="21"/>
      <c r="F1080" s="21"/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2"/>
      <c r="AX1080" s="21"/>
      <c r="AY1080" s="21"/>
      <c r="AZ1080" s="21"/>
      <c r="BA1080" s="21"/>
      <c r="BB1080" s="21"/>
      <c r="BC1080" s="21"/>
      <c r="BD1080" s="21"/>
      <c r="BE1080" s="21"/>
      <c r="BF1080" s="21"/>
      <c r="BG1080" s="21"/>
      <c r="BH1080" s="21"/>
      <c r="BI1080" s="21"/>
      <c r="BJ1080" s="21"/>
      <c r="BK1080" s="21"/>
      <c r="BL1080" s="21"/>
      <c r="BM1080" s="21"/>
      <c r="BN1080" s="21"/>
      <c r="BO1080" s="21"/>
      <c r="BP1080" s="21"/>
      <c r="BQ1080" s="21"/>
      <c r="BR1080" s="21"/>
      <c r="BS1080" s="21"/>
      <c r="BT1080" s="21"/>
      <c r="BU1080" s="21"/>
      <c r="BV1080" s="21"/>
      <c r="BW1080" s="21"/>
      <c r="BX1080" s="21"/>
      <c r="BY1080" s="21"/>
      <c r="BZ1080" s="21"/>
      <c r="CA1080" s="21"/>
      <c r="CB1080" s="21"/>
      <c r="CC1080" s="21"/>
      <c r="CD1080" s="21"/>
      <c r="CE1080" s="21"/>
      <c r="CF1080" s="21"/>
      <c r="CG1080" s="21"/>
      <c r="CH1080" s="21"/>
      <c r="CI1080" s="21"/>
      <c r="CJ1080" s="21"/>
      <c r="CK1080" s="21"/>
      <c r="CL1080" s="21"/>
      <c r="CM1080" s="21"/>
      <c r="CN1080" s="21"/>
      <c r="CO1080" s="21"/>
      <c r="CP1080" s="21"/>
      <c r="CQ1080" s="21"/>
      <c r="CR1080" s="21"/>
      <c r="CS1080" s="21"/>
      <c r="CT1080" s="21"/>
      <c r="CU1080" s="21"/>
      <c r="CV1080" s="21"/>
      <c r="CW1080" s="21"/>
      <c r="CX1080" s="21"/>
      <c r="CY1080" s="22"/>
      <c r="CZ1080" s="21"/>
      <c r="DA1080" s="21"/>
      <c r="DB1080" s="21"/>
    </row>
    <row r="1081" spans="3:106" s="19" customFormat="1" ht="12">
      <c r="C1081" s="21"/>
      <c r="D1081" s="21"/>
      <c r="E1081" s="21"/>
      <c r="F1081" s="21"/>
      <c r="G1081" s="21"/>
      <c r="H1081" s="21"/>
      <c r="I1081" s="21"/>
      <c r="J1081" s="21"/>
      <c r="K1081" s="21"/>
      <c r="L1081" s="21"/>
      <c r="M1081" s="21"/>
      <c r="N1081" s="21"/>
      <c r="O1081" s="21"/>
      <c r="P1081" s="21"/>
      <c r="Q1081" s="21"/>
      <c r="R1081" s="21"/>
      <c r="S1081" s="21"/>
      <c r="T1081" s="21"/>
      <c r="U1081" s="21"/>
      <c r="V1081" s="21"/>
      <c r="W1081" s="21"/>
      <c r="X1081" s="21"/>
      <c r="Y1081" s="21"/>
      <c r="Z1081" s="21"/>
      <c r="AA1081" s="21"/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2"/>
      <c r="AX1081" s="21"/>
      <c r="AY1081" s="21"/>
      <c r="AZ1081" s="21"/>
      <c r="BA1081" s="21"/>
      <c r="BB1081" s="21"/>
      <c r="BC1081" s="21"/>
      <c r="BD1081" s="21"/>
      <c r="BE1081" s="21"/>
      <c r="BF1081" s="21"/>
      <c r="BG1081" s="21"/>
      <c r="BH1081" s="21"/>
      <c r="BI1081" s="21"/>
      <c r="BJ1081" s="21"/>
      <c r="BK1081" s="21"/>
      <c r="BL1081" s="21"/>
      <c r="BM1081" s="21"/>
      <c r="BN1081" s="21"/>
      <c r="BO1081" s="21"/>
      <c r="BP1081" s="21"/>
      <c r="BQ1081" s="21"/>
      <c r="BR1081" s="21"/>
      <c r="BS1081" s="21"/>
      <c r="BT1081" s="21"/>
      <c r="BU1081" s="21"/>
      <c r="BV1081" s="21"/>
      <c r="BW1081" s="21"/>
      <c r="BX1081" s="21"/>
      <c r="BY1081" s="21"/>
      <c r="BZ1081" s="21"/>
      <c r="CA1081" s="21"/>
      <c r="CB1081" s="21"/>
      <c r="CC1081" s="21"/>
      <c r="CD1081" s="21"/>
      <c r="CE1081" s="21"/>
      <c r="CF1081" s="21"/>
      <c r="CG1081" s="21"/>
      <c r="CH1081" s="21"/>
      <c r="CI1081" s="21"/>
      <c r="CJ1081" s="21"/>
      <c r="CK1081" s="21"/>
      <c r="CL1081" s="21"/>
      <c r="CM1081" s="21"/>
      <c r="CN1081" s="21"/>
      <c r="CO1081" s="21"/>
      <c r="CP1081" s="21"/>
      <c r="CQ1081" s="21"/>
      <c r="CR1081" s="21"/>
      <c r="CS1081" s="21"/>
      <c r="CT1081" s="21"/>
      <c r="CU1081" s="21"/>
      <c r="CV1081" s="21"/>
      <c r="CW1081" s="21"/>
      <c r="CX1081" s="21"/>
      <c r="CY1081" s="22"/>
      <c r="CZ1081" s="21"/>
      <c r="DA1081" s="21"/>
      <c r="DB1081" s="21"/>
    </row>
    <row r="1082" spans="3:106" s="19" customFormat="1" ht="12">
      <c r="C1082" s="21"/>
      <c r="D1082" s="21"/>
      <c r="E1082" s="21"/>
      <c r="F1082" s="21"/>
      <c r="G1082" s="21"/>
      <c r="H1082" s="21"/>
      <c r="I1082" s="21"/>
      <c r="J1082" s="21"/>
      <c r="K1082" s="21"/>
      <c r="L1082" s="21"/>
      <c r="M1082" s="21"/>
      <c r="N1082" s="21"/>
      <c r="O1082" s="21"/>
      <c r="P1082" s="21"/>
      <c r="Q1082" s="21"/>
      <c r="R1082" s="21"/>
      <c r="S1082" s="21"/>
      <c r="T1082" s="21"/>
      <c r="U1082" s="21"/>
      <c r="V1082" s="21"/>
      <c r="W1082" s="21"/>
      <c r="X1082" s="21"/>
      <c r="Y1082" s="21"/>
      <c r="Z1082" s="21"/>
      <c r="AA1082" s="21"/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2"/>
      <c r="AX1082" s="21"/>
      <c r="AY1082" s="21"/>
      <c r="AZ1082" s="21"/>
      <c r="BA1082" s="21"/>
      <c r="BB1082" s="21"/>
      <c r="BC1082" s="21"/>
      <c r="BD1082" s="21"/>
      <c r="BE1082" s="21"/>
      <c r="BF1082" s="21"/>
      <c r="BG1082" s="21"/>
      <c r="BH1082" s="21"/>
      <c r="BI1082" s="21"/>
      <c r="BJ1082" s="21"/>
      <c r="BK1082" s="21"/>
      <c r="BL1082" s="21"/>
      <c r="BM1082" s="21"/>
      <c r="BN1082" s="21"/>
      <c r="BO1082" s="21"/>
      <c r="BP1082" s="21"/>
      <c r="BQ1082" s="21"/>
      <c r="BR1082" s="21"/>
      <c r="BS1082" s="21"/>
      <c r="BT1082" s="21"/>
      <c r="BU1082" s="21"/>
      <c r="BV1082" s="21"/>
      <c r="BW1082" s="21"/>
      <c r="BX1082" s="21"/>
      <c r="BY1082" s="21"/>
      <c r="BZ1082" s="21"/>
      <c r="CA1082" s="21"/>
      <c r="CB1082" s="21"/>
      <c r="CC1082" s="21"/>
      <c r="CD1082" s="21"/>
      <c r="CE1082" s="21"/>
      <c r="CF1082" s="21"/>
      <c r="CG1082" s="21"/>
      <c r="CH1082" s="21"/>
      <c r="CI1082" s="21"/>
      <c r="CJ1082" s="21"/>
      <c r="CK1082" s="21"/>
      <c r="CL1082" s="21"/>
      <c r="CM1082" s="21"/>
      <c r="CN1082" s="21"/>
      <c r="CO1082" s="21"/>
      <c r="CP1082" s="21"/>
      <c r="CQ1082" s="21"/>
      <c r="CR1082" s="21"/>
      <c r="CS1082" s="21"/>
      <c r="CT1082" s="21"/>
      <c r="CU1082" s="21"/>
      <c r="CV1082" s="21"/>
      <c r="CW1082" s="21"/>
      <c r="CX1082" s="21"/>
      <c r="CY1082" s="22"/>
      <c r="CZ1082" s="21"/>
      <c r="DA1082" s="21"/>
      <c r="DB1082" s="21"/>
    </row>
    <row r="1083" spans="3:106" s="19" customFormat="1" ht="12">
      <c r="C1083" s="21"/>
      <c r="D1083" s="21"/>
      <c r="E1083" s="21"/>
      <c r="F1083" s="21"/>
      <c r="G1083" s="21"/>
      <c r="H1083" s="21"/>
      <c r="I1083" s="21"/>
      <c r="J1083" s="21"/>
      <c r="K1083" s="21"/>
      <c r="L1083" s="21"/>
      <c r="M1083" s="21"/>
      <c r="N1083" s="21"/>
      <c r="O1083" s="21"/>
      <c r="P1083" s="21"/>
      <c r="Q1083" s="21"/>
      <c r="R1083" s="21"/>
      <c r="S1083" s="21"/>
      <c r="T1083" s="21"/>
      <c r="U1083" s="21"/>
      <c r="V1083" s="21"/>
      <c r="W1083" s="21"/>
      <c r="X1083" s="21"/>
      <c r="Y1083" s="21"/>
      <c r="Z1083" s="21"/>
      <c r="AA1083" s="21"/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2"/>
      <c r="AX1083" s="21"/>
      <c r="AY1083" s="21"/>
      <c r="AZ1083" s="21"/>
      <c r="BA1083" s="21"/>
      <c r="BB1083" s="21"/>
      <c r="BC1083" s="21"/>
      <c r="BD1083" s="21"/>
      <c r="BE1083" s="21"/>
      <c r="BF1083" s="21"/>
      <c r="BG1083" s="21"/>
      <c r="BH1083" s="21"/>
      <c r="BI1083" s="21"/>
      <c r="BJ1083" s="21"/>
      <c r="BK1083" s="21"/>
      <c r="BL1083" s="21"/>
      <c r="BM1083" s="21"/>
      <c r="BN1083" s="21"/>
      <c r="BO1083" s="21"/>
      <c r="BP1083" s="21"/>
      <c r="BQ1083" s="21"/>
      <c r="BR1083" s="21"/>
      <c r="BS1083" s="21"/>
      <c r="BT1083" s="21"/>
      <c r="BU1083" s="21"/>
      <c r="BV1083" s="21"/>
      <c r="BW1083" s="21"/>
      <c r="BX1083" s="21"/>
      <c r="BY1083" s="21"/>
      <c r="BZ1083" s="21"/>
      <c r="CA1083" s="21"/>
      <c r="CB1083" s="21"/>
      <c r="CC1083" s="21"/>
      <c r="CD1083" s="21"/>
      <c r="CE1083" s="21"/>
      <c r="CF1083" s="21"/>
      <c r="CG1083" s="21"/>
      <c r="CH1083" s="21"/>
      <c r="CI1083" s="21"/>
      <c r="CJ1083" s="21"/>
      <c r="CK1083" s="21"/>
      <c r="CL1083" s="21"/>
      <c r="CM1083" s="21"/>
      <c r="CN1083" s="21"/>
      <c r="CO1083" s="21"/>
      <c r="CP1083" s="21"/>
      <c r="CQ1083" s="21"/>
      <c r="CR1083" s="21"/>
      <c r="CS1083" s="21"/>
      <c r="CT1083" s="21"/>
      <c r="CU1083" s="21"/>
      <c r="CV1083" s="21"/>
      <c r="CW1083" s="21"/>
      <c r="CX1083" s="21"/>
      <c r="CY1083" s="22"/>
      <c r="CZ1083" s="21"/>
      <c r="DA1083" s="21"/>
      <c r="DB1083" s="21"/>
    </row>
    <row r="1084" spans="3:106" s="19" customFormat="1" ht="12">
      <c r="C1084" s="21"/>
      <c r="D1084" s="21"/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2"/>
      <c r="AX1084" s="21"/>
      <c r="AY1084" s="21"/>
      <c r="AZ1084" s="21"/>
      <c r="BA1084" s="21"/>
      <c r="BB1084" s="21"/>
      <c r="BC1084" s="21"/>
      <c r="BD1084" s="21"/>
      <c r="BE1084" s="21"/>
      <c r="BF1084" s="21"/>
      <c r="BG1084" s="21"/>
      <c r="BH1084" s="21"/>
      <c r="BI1084" s="21"/>
      <c r="BJ1084" s="21"/>
      <c r="BK1084" s="21"/>
      <c r="BL1084" s="21"/>
      <c r="BM1084" s="21"/>
      <c r="BN1084" s="21"/>
      <c r="BO1084" s="21"/>
      <c r="BP1084" s="21"/>
      <c r="BQ1084" s="21"/>
      <c r="BR1084" s="21"/>
      <c r="BS1084" s="21"/>
      <c r="BT1084" s="21"/>
      <c r="BU1084" s="21"/>
      <c r="BV1084" s="21"/>
      <c r="BW1084" s="21"/>
      <c r="BX1084" s="21"/>
      <c r="BY1084" s="21"/>
      <c r="BZ1084" s="21"/>
      <c r="CA1084" s="21"/>
      <c r="CB1084" s="21"/>
      <c r="CC1084" s="21"/>
      <c r="CD1084" s="21"/>
      <c r="CE1084" s="21"/>
      <c r="CF1084" s="21"/>
      <c r="CG1084" s="21"/>
      <c r="CH1084" s="21"/>
      <c r="CI1084" s="21"/>
      <c r="CJ1084" s="21"/>
      <c r="CK1084" s="21"/>
      <c r="CL1084" s="21"/>
      <c r="CM1084" s="21"/>
      <c r="CN1084" s="21"/>
      <c r="CO1084" s="21"/>
      <c r="CP1084" s="21"/>
      <c r="CQ1084" s="21"/>
      <c r="CR1084" s="21"/>
      <c r="CS1084" s="21"/>
      <c r="CT1084" s="21"/>
      <c r="CU1084" s="21"/>
      <c r="CV1084" s="21"/>
      <c r="CW1084" s="21"/>
      <c r="CX1084" s="21"/>
      <c r="CY1084" s="22"/>
      <c r="CZ1084" s="21"/>
      <c r="DA1084" s="21"/>
      <c r="DB1084" s="21"/>
    </row>
    <row r="1085" spans="3:106" s="19" customFormat="1" ht="12">
      <c r="C1085" s="21"/>
      <c r="D1085" s="21"/>
      <c r="E1085" s="21"/>
      <c r="F1085" s="21"/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2"/>
      <c r="AX1085" s="21"/>
      <c r="AY1085" s="21"/>
      <c r="AZ1085" s="21"/>
      <c r="BA1085" s="21"/>
      <c r="BB1085" s="21"/>
      <c r="BC1085" s="21"/>
      <c r="BD1085" s="21"/>
      <c r="BE1085" s="21"/>
      <c r="BF1085" s="21"/>
      <c r="BG1085" s="21"/>
      <c r="BH1085" s="21"/>
      <c r="BI1085" s="21"/>
      <c r="BJ1085" s="21"/>
      <c r="BK1085" s="21"/>
      <c r="BL1085" s="21"/>
      <c r="BM1085" s="21"/>
      <c r="BN1085" s="21"/>
      <c r="BO1085" s="21"/>
      <c r="BP1085" s="21"/>
      <c r="BQ1085" s="21"/>
      <c r="BR1085" s="21"/>
      <c r="BS1085" s="21"/>
      <c r="BT1085" s="21"/>
      <c r="BU1085" s="21"/>
      <c r="BV1085" s="21"/>
      <c r="BW1085" s="21"/>
      <c r="BX1085" s="21"/>
      <c r="BY1085" s="21"/>
      <c r="BZ1085" s="21"/>
      <c r="CA1085" s="21"/>
      <c r="CB1085" s="21"/>
      <c r="CC1085" s="21"/>
      <c r="CD1085" s="21"/>
      <c r="CE1085" s="21"/>
      <c r="CF1085" s="21"/>
      <c r="CG1085" s="21"/>
      <c r="CH1085" s="21"/>
      <c r="CI1085" s="21"/>
      <c r="CJ1085" s="21"/>
      <c r="CK1085" s="21"/>
      <c r="CL1085" s="21"/>
      <c r="CM1085" s="21"/>
      <c r="CN1085" s="21"/>
      <c r="CO1085" s="21"/>
      <c r="CP1085" s="21"/>
      <c r="CQ1085" s="21"/>
      <c r="CR1085" s="21"/>
      <c r="CS1085" s="21"/>
      <c r="CT1085" s="21"/>
      <c r="CU1085" s="21"/>
      <c r="CV1085" s="21"/>
      <c r="CW1085" s="21"/>
      <c r="CX1085" s="21"/>
      <c r="CY1085" s="22"/>
      <c r="CZ1085" s="21"/>
      <c r="DA1085" s="21"/>
      <c r="DB1085" s="21"/>
    </row>
    <row r="1086" spans="3:106" s="19" customFormat="1" ht="12">
      <c r="C1086" s="21"/>
      <c r="D1086" s="21"/>
      <c r="E1086" s="21"/>
      <c r="F1086" s="21"/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2"/>
      <c r="AX1086" s="21"/>
      <c r="AY1086" s="21"/>
      <c r="AZ1086" s="21"/>
      <c r="BA1086" s="21"/>
      <c r="BB1086" s="21"/>
      <c r="BC1086" s="21"/>
      <c r="BD1086" s="21"/>
      <c r="BE1086" s="21"/>
      <c r="BF1086" s="21"/>
      <c r="BG1086" s="21"/>
      <c r="BH1086" s="21"/>
      <c r="BI1086" s="21"/>
      <c r="BJ1086" s="21"/>
      <c r="BK1086" s="21"/>
      <c r="BL1086" s="21"/>
      <c r="BM1086" s="21"/>
      <c r="BN1086" s="21"/>
      <c r="BO1086" s="21"/>
      <c r="BP1086" s="21"/>
      <c r="BQ1086" s="21"/>
      <c r="BR1086" s="21"/>
      <c r="BS1086" s="21"/>
      <c r="BT1086" s="21"/>
      <c r="BU1086" s="21"/>
      <c r="BV1086" s="21"/>
      <c r="BW1086" s="21"/>
      <c r="BX1086" s="21"/>
      <c r="BY1086" s="21"/>
      <c r="BZ1086" s="21"/>
      <c r="CA1086" s="21"/>
      <c r="CB1086" s="21"/>
      <c r="CC1086" s="21"/>
      <c r="CD1086" s="21"/>
      <c r="CE1086" s="21"/>
      <c r="CF1086" s="21"/>
      <c r="CG1086" s="21"/>
      <c r="CH1086" s="21"/>
      <c r="CI1086" s="21"/>
      <c r="CJ1086" s="21"/>
      <c r="CK1086" s="21"/>
      <c r="CL1086" s="21"/>
      <c r="CM1086" s="21"/>
      <c r="CN1086" s="21"/>
      <c r="CO1086" s="21"/>
      <c r="CP1086" s="21"/>
      <c r="CQ1086" s="21"/>
      <c r="CR1086" s="21"/>
      <c r="CS1086" s="21"/>
      <c r="CT1086" s="21"/>
      <c r="CU1086" s="21"/>
      <c r="CV1086" s="21"/>
      <c r="CW1086" s="21"/>
      <c r="CX1086" s="21"/>
      <c r="CY1086" s="22"/>
      <c r="CZ1086" s="21"/>
      <c r="DA1086" s="21"/>
      <c r="DB1086" s="21"/>
    </row>
    <row r="1087" spans="3:106" s="19" customFormat="1" ht="12">
      <c r="C1087" s="21"/>
      <c r="D1087" s="21"/>
      <c r="E1087" s="21"/>
      <c r="F1087" s="21"/>
      <c r="G1087" s="21"/>
      <c r="H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2"/>
      <c r="AX1087" s="21"/>
      <c r="AY1087" s="21"/>
      <c r="AZ1087" s="21"/>
      <c r="BA1087" s="21"/>
      <c r="BB1087" s="21"/>
      <c r="BC1087" s="21"/>
      <c r="BD1087" s="21"/>
      <c r="BE1087" s="21"/>
      <c r="BF1087" s="21"/>
      <c r="BG1087" s="21"/>
      <c r="BH1087" s="21"/>
      <c r="BI1087" s="21"/>
      <c r="BJ1087" s="21"/>
      <c r="BK1087" s="21"/>
      <c r="BL1087" s="21"/>
      <c r="BM1087" s="21"/>
      <c r="BN1087" s="21"/>
      <c r="BO1087" s="21"/>
      <c r="BP1087" s="21"/>
      <c r="BQ1087" s="21"/>
      <c r="BR1087" s="21"/>
      <c r="BS1087" s="21"/>
      <c r="BT1087" s="21"/>
      <c r="BU1087" s="21"/>
      <c r="BV1087" s="21"/>
      <c r="BW1087" s="21"/>
      <c r="BX1087" s="21"/>
      <c r="BY1087" s="21"/>
      <c r="BZ1087" s="21"/>
      <c r="CA1087" s="21"/>
      <c r="CB1087" s="21"/>
      <c r="CC1087" s="21"/>
      <c r="CD1087" s="21"/>
      <c r="CE1087" s="21"/>
      <c r="CF1087" s="21"/>
      <c r="CG1087" s="21"/>
      <c r="CH1087" s="21"/>
      <c r="CI1087" s="21"/>
      <c r="CJ1087" s="21"/>
      <c r="CK1087" s="21"/>
      <c r="CL1087" s="21"/>
      <c r="CM1087" s="21"/>
      <c r="CN1087" s="21"/>
      <c r="CO1087" s="21"/>
      <c r="CP1087" s="21"/>
      <c r="CQ1087" s="21"/>
      <c r="CR1087" s="21"/>
      <c r="CS1087" s="21"/>
      <c r="CT1087" s="21"/>
      <c r="CU1087" s="21"/>
      <c r="CV1087" s="21"/>
      <c r="CW1087" s="21"/>
      <c r="CX1087" s="21"/>
      <c r="CY1087" s="22"/>
      <c r="CZ1087" s="21"/>
      <c r="DA1087" s="21"/>
      <c r="DB1087" s="21"/>
    </row>
    <row r="1088" spans="3:106" s="19" customFormat="1" ht="12">
      <c r="C1088" s="21"/>
      <c r="D1088" s="21"/>
      <c r="E1088" s="21"/>
      <c r="F1088" s="21"/>
      <c r="G1088" s="21"/>
      <c r="H1088" s="21"/>
      <c r="I1088" s="21"/>
      <c r="J1088" s="21"/>
      <c r="K1088" s="21"/>
      <c r="L1088" s="21"/>
      <c r="M1088" s="21"/>
      <c r="N1088" s="21"/>
      <c r="O1088" s="21"/>
      <c r="P1088" s="21"/>
      <c r="Q1088" s="21"/>
      <c r="R1088" s="21"/>
      <c r="S1088" s="21"/>
      <c r="T1088" s="21"/>
      <c r="U1088" s="21"/>
      <c r="V1088" s="21"/>
      <c r="W1088" s="21"/>
      <c r="X1088" s="21"/>
      <c r="Y1088" s="21"/>
      <c r="Z1088" s="21"/>
      <c r="AA1088" s="21"/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2"/>
      <c r="AX1088" s="21"/>
      <c r="AY1088" s="21"/>
      <c r="AZ1088" s="21"/>
      <c r="BA1088" s="21"/>
      <c r="BB1088" s="21"/>
      <c r="BC1088" s="21"/>
      <c r="BD1088" s="21"/>
      <c r="BE1088" s="21"/>
      <c r="BF1088" s="21"/>
      <c r="BG1088" s="21"/>
      <c r="BH1088" s="21"/>
      <c r="BI1088" s="21"/>
      <c r="BJ1088" s="21"/>
      <c r="BK1088" s="21"/>
      <c r="BL1088" s="21"/>
      <c r="BM1088" s="21"/>
      <c r="BN1088" s="21"/>
      <c r="BO1088" s="21"/>
      <c r="BP1088" s="21"/>
      <c r="BQ1088" s="21"/>
      <c r="BR1088" s="21"/>
      <c r="BS1088" s="21"/>
      <c r="BT1088" s="21"/>
      <c r="BU1088" s="21"/>
      <c r="BV1088" s="21"/>
      <c r="BW1088" s="21"/>
      <c r="BX1088" s="21"/>
      <c r="BY1088" s="21"/>
      <c r="BZ1088" s="21"/>
      <c r="CA1088" s="21"/>
      <c r="CB1088" s="21"/>
      <c r="CC1088" s="21"/>
      <c r="CD1088" s="21"/>
      <c r="CE1088" s="21"/>
      <c r="CF1088" s="21"/>
      <c r="CG1088" s="21"/>
      <c r="CH1088" s="21"/>
      <c r="CI1088" s="21"/>
      <c r="CJ1088" s="21"/>
      <c r="CK1088" s="21"/>
      <c r="CL1088" s="21"/>
      <c r="CM1088" s="21"/>
      <c r="CN1088" s="21"/>
      <c r="CO1088" s="21"/>
      <c r="CP1088" s="21"/>
      <c r="CQ1088" s="21"/>
      <c r="CR1088" s="21"/>
      <c r="CS1088" s="21"/>
      <c r="CT1088" s="21"/>
      <c r="CU1088" s="21"/>
      <c r="CV1088" s="21"/>
      <c r="CW1088" s="21"/>
      <c r="CX1088" s="21"/>
      <c r="CY1088" s="22"/>
      <c r="CZ1088" s="21"/>
      <c r="DA1088" s="21"/>
      <c r="DB1088" s="21"/>
    </row>
    <row r="1089" spans="3:106" s="19" customFormat="1" ht="12">
      <c r="C1089" s="21"/>
      <c r="D1089" s="21"/>
      <c r="E1089" s="21"/>
      <c r="F1089" s="21"/>
      <c r="G1089" s="21"/>
      <c r="H1089" s="21"/>
      <c r="I1089" s="21"/>
      <c r="J1089" s="21"/>
      <c r="K1089" s="21"/>
      <c r="L1089" s="21"/>
      <c r="M1089" s="21"/>
      <c r="N1089" s="21"/>
      <c r="O1089" s="21"/>
      <c r="P1089" s="21"/>
      <c r="Q1089" s="21"/>
      <c r="R1089" s="21"/>
      <c r="S1089" s="21"/>
      <c r="T1089" s="21"/>
      <c r="U1089" s="21"/>
      <c r="V1089" s="21"/>
      <c r="W1089" s="21"/>
      <c r="X1089" s="21"/>
      <c r="Y1089" s="21"/>
      <c r="Z1089" s="21"/>
      <c r="AA1089" s="21"/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2"/>
      <c r="AX1089" s="21"/>
      <c r="AY1089" s="21"/>
      <c r="AZ1089" s="21"/>
      <c r="BA1089" s="21"/>
      <c r="BB1089" s="21"/>
      <c r="BC1089" s="21"/>
      <c r="BD1089" s="21"/>
      <c r="BE1089" s="21"/>
      <c r="BF1089" s="21"/>
      <c r="BG1089" s="21"/>
      <c r="BH1089" s="21"/>
      <c r="BI1089" s="21"/>
      <c r="BJ1089" s="21"/>
      <c r="BK1089" s="21"/>
      <c r="BL1089" s="21"/>
      <c r="BM1089" s="21"/>
      <c r="BN1089" s="21"/>
      <c r="BO1089" s="21"/>
      <c r="BP1089" s="21"/>
      <c r="BQ1089" s="21"/>
      <c r="BR1089" s="21"/>
      <c r="BS1089" s="21"/>
      <c r="BT1089" s="21"/>
      <c r="BU1089" s="21"/>
      <c r="BV1089" s="21"/>
      <c r="BW1089" s="21"/>
      <c r="BX1089" s="21"/>
      <c r="BY1089" s="21"/>
      <c r="BZ1089" s="21"/>
      <c r="CA1089" s="21"/>
      <c r="CB1089" s="21"/>
      <c r="CC1089" s="21"/>
      <c r="CD1089" s="21"/>
      <c r="CE1089" s="21"/>
      <c r="CF1089" s="21"/>
      <c r="CG1089" s="21"/>
      <c r="CH1089" s="21"/>
      <c r="CI1089" s="21"/>
      <c r="CJ1089" s="21"/>
      <c r="CK1089" s="21"/>
      <c r="CL1089" s="21"/>
      <c r="CM1089" s="21"/>
      <c r="CN1089" s="21"/>
      <c r="CO1089" s="21"/>
      <c r="CP1089" s="21"/>
      <c r="CQ1089" s="21"/>
      <c r="CR1089" s="21"/>
      <c r="CS1089" s="21"/>
      <c r="CT1089" s="21"/>
      <c r="CU1089" s="21"/>
      <c r="CV1089" s="21"/>
      <c r="CW1089" s="21"/>
      <c r="CX1089" s="21"/>
      <c r="CY1089" s="22"/>
      <c r="CZ1089" s="21"/>
      <c r="DA1089" s="21"/>
      <c r="DB1089" s="21"/>
    </row>
    <row r="1090" spans="3:106" s="19" customFormat="1" ht="12">
      <c r="C1090" s="21"/>
      <c r="D1090" s="21"/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2"/>
      <c r="AX1090" s="21"/>
      <c r="AY1090" s="21"/>
      <c r="AZ1090" s="21"/>
      <c r="BA1090" s="21"/>
      <c r="BB1090" s="21"/>
      <c r="BC1090" s="21"/>
      <c r="BD1090" s="21"/>
      <c r="BE1090" s="21"/>
      <c r="BF1090" s="21"/>
      <c r="BG1090" s="21"/>
      <c r="BH1090" s="21"/>
      <c r="BI1090" s="21"/>
      <c r="BJ1090" s="21"/>
      <c r="BK1090" s="21"/>
      <c r="BL1090" s="21"/>
      <c r="BM1090" s="21"/>
      <c r="BN1090" s="21"/>
      <c r="BO1090" s="21"/>
      <c r="BP1090" s="21"/>
      <c r="BQ1090" s="21"/>
      <c r="BR1090" s="21"/>
      <c r="BS1090" s="21"/>
      <c r="BT1090" s="21"/>
      <c r="BU1090" s="21"/>
      <c r="BV1090" s="21"/>
      <c r="BW1090" s="21"/>
      <c r="BX1090" s="21"/>
      <c r="BY1090" s="21"/>
      <c r="BZ1090" s="21"/>
      <c r="CA1090" s="21"/>
      <c r="CB1090" s="21"/>
      <c r="CC1090" s="21"/>
      <c r="CD1090" s="21"/>
      <c r="CE1090" s="21"/>
      <c r="CF1090" s="21"/>
      <c r="CG1090" s="21"/>
      <c r="CH1090" s="21"/>
      <c r="CI1090" s="21"/>
      <c r="CJ1090" s="21"/>
      <c r="CK1090" s="21"/>
      <c r="CL1090" s="21"/>
      <c r="CM1090" s="21"/>
      <c r="CN1090" s="21"/>
      <c r="CO1090" s="21"/>
      <c r="CP1090" s="21"/>
      <c r="CQ1090" s="21"/>
      <c r="CR1090" s="21"/>
      <c r="CS1090" s="21"/>
      <c r="CT1090" s="21"/>
      <c r="CU1090" s="21"/>
      <c r="CV1090" s="21"/>
      <c r="CW1090" s="21"/>
      <c r="CX1090" s="21"/>
      <c r="CY1090" s="22"/>
      <c r="CZ1090" s="21"/>
      <c r="DA1090" s="21"/>
      <c r="DB1090" s="21"/>
    </row>
    <row r="1091" spans="3:106" s="19" customFormat="1" ht="12">
      <c r="C1091" s="21"/>
      <c r="D1091" s="21"/>
      <c r="E1091" s="21"/>
      <c r="F1091" s="21"/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2"/>
      <c r="AX1091" s="21"/>
      <c r="AY1091" s="21"/>
      <c r="AZ1091" s="21"/>
      <c r="BA1091" s="21"/>
      <c r="BB1091" s="21"/>
      <c r="BC1091" s="21"/>
      <c r="BD1091" s="21"/>
      <c r="BE1091" s="21"/>
      <c r="BF1091" s="21"/>
      <c r="BG1091" s="21"/>
      <c r="BH1091" s="21"/>
      <c r="BI1091" s="21"/>
      <c r="BJ1091" s="21"/>
      <c r="BK1091" s="21"/>
      <c r="BL1091" s="21"/>
      <c r="BM1091" s="21"/>
      <c r="BN1091" s="21"/>
      <c r="BO1091" s="21"/>
      <c r="BP1091" s="21"/>
      <c r="BQ1091" s="21"/>
      <c r="BR1091" s="21"/>
      <c r="BS1091" s="21"/>
      <c r="BT1091" s="21"/>
      <c r="BU1091" s="21"/>
      <c r="BV1091" s="21"/>
      <c r="BW1091" s="21"/>
      <c r="BX1091" s="21"/>
      <c r="BY1091" s="21"/>
      <c r="BZ1091" s="21"/>
      <c r="CA1091" s="21"/>
      <c r="CB1091" s="21"/>
      <c r="CC1091" s="21"/>
      <c r="CD1091" s="21"/>
      <c r="CE1091" s="21"/>
      <c r="CF1091" s="21"/>
      <c r="CG1091" s="21"/>
      <c r="CH1091" s="21"/>
      <c r="CI1091" s="21"/>
      <c r="CJ1091" s="21"/>
      <c r="CK1091" s="21"/>
      <c r="CL1091" s="21"/>
      <c r="CM1091" s="21"/>
      <c r="CN1091" s="21"/>
      <c r="CO1091" s="21"/>
      <c r="CP1091" s="21"/>
      <c r="CQ1091" s="21"/>
      <c r="CR1091" s="21"/>
      <c r="CS1091" s="21"/>
      <c r="CT1091" s="21"/>
      <c r="CU1091" s="21"/>
      <c r="CV1091" s="21"/>
      <c r="CW1091" s="21"/>
      <c r="CX1091" s="21"/>
      <c r="CY1091" s="22"/>
      <c r="CZ1091" s="21"/>
      <c r="DA1091" s="21"/>
      <c r="DB1091" s="21"/>
    </row>
    <row r="1092" spans="3:106" s="19" customFormat="1" ht="12">
      <c r="C1092" s="21"/>
      <c r="D1092" s="21"/>
      <c r="E1092" s="21"/>
      <c r="F1092" s="21"/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2"/>
      <c r="AX1092" s="21"/>
      <c r="AY1092" s="21"/>
      <c r="AZ1092" s="21"/>
      <c r="BA1092" s="21"/>
      <c r="BB1092" s="21"/>
      <c r="BC1092" s="21"/>
      <c r="BD1092" s="21"/>
      <c r="BE1092" s="21"/>
      <c r="BF1092" s="21"/>
      <c r="BG1092" s="21"/>
      <c r="BH1092" s="21"/>
      <c r="BI1092" s="21"/>
      <c r="BJ1092" s="21"/>
      <c r="BK1092" s="21"/>
      <c r="BL1092" s="21"/>
      <c r="BM1092" s="21"/>
      <c r="BN1092" s="21"/>
      <c r="BO1092" s="21"/>
      <c r="BP1092" s="21"/>
      <c r="BQ1092" s="21"/>
      <c r="BR1092" s="21"/>
      <c r="BS1092" s="21"/>
      <c r="BT1092" s="21"/>
      <c r="BU1092" s="21"/>
      <c r="BV1092" s="21"/>
      <c r="BW1092" s="21"/>
      <c r="BX1092" s="21"/>
      <c r="BY1092" s="21"/>
      <c r="BZ1092" s="21"/>
      <c r="CA1092" s="21"/>
      <c r="CB1092" s="21"/>
      <c r="CC1092" s="21"/>
      <c r="CD1092" s="21"/>
      <c r="CE1092" s="21"/>
      <c r="CF1092" s="21"/>
      <c r="CG1092" s="21"/>
      <c r="CH1092" s="21"/>
      <c r="CI1092" s="21"/>
      <c r="CJ1092" s="21"/>
      <c r="CK1092" s="21"/>
      <c r="CL1092" s="21"/>
      <c r="CM1092" s="21"/>
      <c r="CN1092" s="21"/>
      <c r="CO1092" s="21"/>
      <c r="CP1092" s="21"/>
      <c r="CQ1092" s="21"/>
      <c r="CR1092" s="21"/>
      <c r="CS1092" s="21"/>
      <c r="CT1092" s="21"/>
      <c r="CU1092" s="21"/>
      <c r="CV1092" s="21"/>
      <c r="CW1092" s="21"/>
      <c r="CX1092" s="21"/>
      <c r="CY1092" s="22"/>
      <c r="CZ1092" s="21"/>
      <c r="DA1092" s="21"/>
      <c r="DB1092" s="21"/>
    </row>
    <row r="1093" spans="3:106" s="19" customFormat="1" ht="12">
      <c r="C1093" s="21"/>
      <c r="D1093" s="21"/>
      <c r="E1093" s="21"/>
      <c r="F1093" s="21"/>
      <c r="G1093" s="21"/>
      <c r="H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2"/>
      <c r="AX1093" s="21"/>
      <c r="AY1093" s="21"/>
      <c r="AZ1093" s="21"/>
      <c r="BA1093" s="21"/>
      <c r="BB1093" s="21"/>
      <c r="BC1093" s="21"/>
      <c r="BD1093" s="21"/>
      <c r="BE1093" s="21"/>
      <c r="BF1093" s="21"/>
      <c r="BG1093" s="21"/>
      <c r="BH1093" s="21"/>
      <c r="BI1093" s="21"/>
      <c r="BJ1093" s="21"/>
      <c r="BK1093" s="21"/>
      <c r="BL1093" s="21"/>
      <c r="BM1093" s="21"/>
      <c r="BN1093" s="21"/>
      <c r="BO1093" s="21"/>
      <c r="BP1093" s="21"/>
      <c r="BQ1093" s="21"/>
      <c r="BR1093" s="21"/>
      <c r="BS1093" s="21"/>
      <c r="BT1093" s="21"/>
      <c r="BU1093" s="21"/>
      <c r="BV1093" s="21"/>
      <c r="BW1093" s="21"/>
      <c r="BX1093" s="21"/>
      <c r="BY1093" s="21"/>
      <c r="BZ1093" s="21"/>
      <c r="CA1093" s="21"/>
      <c r="CB1093" s="21"/>
      <c r="CC1093" s="21"/>
      <c r="CD1093" s="21"/>
      <c r="CE1093" s="21"/>
      <c r="CF1093" s="21"/>
      <c r="CG1093" s="21"/>
      <c r="CH1093" s="21"/>
      <c r="CI1093" s="21"/>
      <c r="CJ1093" s="21"/>
      <c r="CK1093" s="21"/>
      <c r="CL1093" s="21"/>
      <c r="CM1093" s="21"/>
      <c r="CN1093" s="21"/>
      <c r="CO1093" s="21"/>
      <c r="CP1093" s="21"/>
      <c r="CQ1093" s="21"/>
      <c r="CR1093" s="21"/>
      <c r="CS1093" s="21"/>
      <c r="CT1093" s="21"/>
      <c r="CU1093" s="21"/>
      <c r="CV1093" s="21"/>
      <c r="CW1093" s="21"/>
      <c r="CX1093" s="21"/>
      <c r="CY1093" s="22"/>
      <c r="CZ1093" s="21"/>
      <c r="DA1093" s="21"/>
      <c r="DB1093" s="21"/>
    </row>
    <row r="1094" spans="3:106" s="19" customFormat="1" ht="12">
      <c r="C1094" s="21"/>
      <c r="D1094" s="21"/>
      <c r="E1094" s="21"/>
      <c r="F1094" s="21"/>
      <c r="G1094" s="21"/>
      <c r="H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2"/>
      <c r="AX1094" s="21"/>
      <c r="AY1094" s="21"/>
      <c r="AZ1094" s="21"/>
      <c r="BA1094" s="21"/>
      <c r="BB1094" s="21"/>
      <c r="BC1094" s="21"/>
      <c r="BD1094" s="21"/>
      <c r="BE1094" s="21"/>
      <c r="BF1094" s="21"/>
      <c r="BG1094" s="21"/>
      <c r="BH1094" s="21"/>
      <c r="BI1094" s="21"/>
      <c r="BJ1094" s="21"/>
      <c r="BK1094" s="21"/>
      <c r="BL1094" s="21"/>
      <c r="BM1094" s="21"/>
      <c r="BN1094" s="21"/>
      <c r="BO1094" s="21"/>
      <c r="BP1094" s="21"/>
      <c r="BQ1094" s="21"/>
      <c r="BR1094" s="21"/>
      <c r="BS1094" s="21"/>
      <c r="BT1094" s="21"/>
      <c r="BU1094" s="21"/>
      <c r="BV1094" s="21"/>
      <c r="BW1094" s="21"/>
      <c r="BX1094" s="21"/>
      <c r="BY1094" s="21"/>
      <c r="BZ1094" s="21"/>
      <c r="CA1094" s="21"/>
      <c r="CB1094" s="21"/>
      <c r="CC1094" s="21"/>
      <c r="CD1094" s="21"/>
      <c r="CE1094" s="21"/>
      <c r="CF1094" s="21"/>
      <c r="CG1094" s="21"/>
      <c r="CH1094" s="21"/>
      <c r="CI1094" s="21"/>
      <c r="CJ1094" s="21"/>
      <c r="CK1094" s="21"/>
      <c r="CL1094" s="21"/>
      <c r="CM1094" s="21"/>
      <c r="CN1094" s="21"/>
      <c r="CO1094" s="21"/>
      <c r="CP1094" s="21"/>
      <c r="CQ1094" s="21"/>
      <c r="CR1094" s="21"/>
      <c r="CS1094" s="21"/>
      <c r="CT1094" s="21"/>
      <c r="CU1094" s="21"/>
      <c r="CV1094" s="21"/>
      <c r="CW1094" s="21"/>
      <c r="CX1094" s="21"/>
      <c r="CY1094" s="22"/>
      <c r="CZ1094" s="21"/>
      <c r="DA1094" s="21"/>
      <c r="DB1094" s="21"/>
    </row>
    <row r="1095" spans="3:106" s="19" customFormat="1" ht="12">
      <c r="C1095" s="21"/>
      <c r="D1095" s="21"/>
      <c r="E1095" s="21"/>
      <c r="F1095" s="21"/>
      <c r="G1095" s="21"/>
      <c r="H1095" s="21"/>
      <c r="I1095" s="21"/>
      <c r="J1095" s="21"/>
      <c r="K1095" s="21"/>
      <c r="L1095" s="21"/>
      <c r="M1095" s="21"/>
      <c r="N1095" s="21"/>
      <c r="O1095" s="21"/>
      <c r="P1095" s="21"/>
      <c r="Q1095" s="21"/>
      <c r="R1095" s="21"/>
      <c r="S1095" s="21"/>
      <c r="T1095" s="21"/>
      <c r="U1095" s="21"/>
      <c r="V1095" s="21"/>
      <c r="W1095" s="21"/>
      <c r="X1095" s="21"/>
      <c r="Y1095" s="21"/>
      <c r="Z1095" s="21"/>
      <c r="AA1095" s="21"/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2"/>
      <c r="AX1095" s="21"/>
      <c r="AY1095" s="21"/>
      <c r="AZ1095" s="21"/>
      <c r="BA1095" s="21"/>
      <c r="BB1095" s="21"/>
      <c r="BC1095" s="21"/>
      <c r="BD1095" s="21"/>
      <c r="BE1095" s="21"/>
      <c r="BF1095" s="21"/>
      <c r="BG1095" s="21"/>
      <c r="BH1095" s="21"/>
      <c r="BI1095" s="21"/>
      <c r="BJ1095" s="21"/>
      <c r="BK1095" s="21"/>
      <c r="BL1095" s="21"/>
      <c r="BM1095" s="21"/>
      <c r="BN1095" s="21"/>
      <c r="BO1095" s="21"/>
      <c r="BP1095" s="21"/>
      <c r="BQ1095" s="21"/>
      <c r="BR1095" s="21"/>
      <c r="BS1095" s="21"/>
      <c r="BT1095" s="21"/>
      <c r="BU1095" s="21"/>
      <c r="BV1095" s="21"/>
      <c r="BW1095" s="21"/>
      <c r="BX1095" s="21"/>
      <c r="BY1095" s="21"/>
      <c r="BZ1095" s="21"/>
      <c r="CA1095" s="21"/>
      <c r="CB1095" s="21"/>
      <c r="CC1095" s="21"/>
      <c r="CD1095" s="21"/>
      <c r="CE1095" s="21"/>
      <c r="CF1095" s="21"/>
      <c r="CG1095" s="21"/>
      <c r="CH1095" s="21"/>
      <c r="CI1095" s="21"/>
      <c r="CJ1095" s="21"/>
      <c r="CK1095" s="21"/>
      <c r="CL1095" s="21"/>
      <c r="CM1095" s="21"/>
      <c r="CN1095" s="21"/>
      <c r="CO1095" s="21"/>
      <c r="CP1095" s="21"/>
      <c r="CQ1095" s="21"/>
      <c r="CR1095" s="21"/>
      <c r="CS1095" s="21"/>
      <c r="CT1095" s="21"/>
      <c r="CU1095" s="21"/>
      <c r="CV1095" s="21"/>
      <c r="CW1095" s="21"/>
      <c r="CX1095" s="21"/>
      <c r="CY1095" s="22"/>
      <c r="CZ1095" s="21"/>
      <c r="DA1095" s="21"/>
      <c r="DB1095" s="21"/>
    </row>
    <row r="1096" spans="3:106" s="19" customFormat="1" ht="12">
      <c r="C1096" s="21"/>
      <c r="D1096" s="21"/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2"/>
      <c r="AX1096" s="21"/>
      <c r="AY1096" s="21"/>
      <c r="AZ1096" s="21"/>
      <c r="BA1096" s="21"/>
      <c r="BB1096" s="21"/>
      <c r="BC1096" s="21"/>
      <c r="BD1096" s="21"/>
      <c r="BE1096" s="21"/>
      <c r="BF1096" s="21"/>
      <c r="BG1096" s="21"/>
      <c r="BH1096" s="21"/>
      <c r="BI1096" s="21"/>
      <c r="BJ1096" s="21"/>
      <c r="BK1096" s="21"/>
      <c r="BL1096" s="21"/>
      <c r="BM1096" s="21"/>
      <c r="BN1096" s="21"/>
      <c r="BO1096" s="21"/>
      <c r="BP1096" s="21"/>
      <c r="BQ1096" s="21"/>
      <c r="BR1096" s="21"/>
      <c r="BS1096" s="21"/>
      <c r="BT1096" s="21"/>
      <c r="BU1096" s="21"/>
      <c r="BV1096" s="21"/>
      <c r="BW1096" s="21"/>
      <c r="BX1096" s="21"/>
      <c r="BY1096" s="21"/>
      <c r="BZ1096" s="21"/>
      <c r="CA1096" s="21"/>
      <c r="CB1096" s="21"/>
      <c r="CC1096" s="21"/>
      <c r="CD1096" s="21"/>
      <c r="CE1096" s="21"/>
      <c r="CF1096" s="21"/>
      <c r="CG1096" s="21"/>
      <c r="CH1096" s="21"/>
      <c r="CI1096" s="21"/>
      <c r="CJ1096" s="21"/>
      <c r="CK1096" s="21"/>
      <c r="CL1096" s="21"/>
      <c r="CM1096" s="21"/>
      <c r="CN1096" s="21"/>
      <c r="CO1096" s="21"/>
      <c r="CP1096" s="21"/>
      <c r="CQ1096" s="21"/>
      <c r="CR1096" s="21"/>
      <c r="CS1096" s="21"/>
      <c r="CT1096" s="21"/>
      <c r="CU1096" s="21"/>
      <c r="CV1096" s="21"/>
      <c r="CW1096" s="21"/>
      <c r="CX1096" s="21"/>
      <c r="CY1096" s="22"/>
      <c r="CZ1096" s="21"/>
      <c r="DA1096" s="21"/>
      <c r="DB1096" s="21"/>
    </row>
    <row r="1097" spans="3:106" s="19" customFormat="1" ht="12">
      <c r="C1097" s="21"/>
      <c r="D1097" s="21"/>
      <c r="E1097" s="21"/>
      <c r="F1097" s="21"/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2"/>
      <c r="AX1097" s="21"/>
      <c r="AY1097" s="21"/>
      <c r="AZ1097" s="21"/>
      <c r="BA1097" s="21"/>
      <c r="BB1097" s="21"/>
      <c r="BC1097" s="21"/>
      <c r="BD1097" s="21"/>
      <c r="BE1097" s="21"/>
      <c r="BF1097" s="21"/>
      <c r="BG1097" s="21"/>
      <c r="BH1097" s="21"/>
      <c r="BI1097" s="21"/>
      <c r="BJ1097" s="21"/>
      <c r="BK1097" s="21"/>
      <c r="BL1097" s="21"/>
      <c r="BM1097" s="21"/>
      <c r="BN1097" s="21"/>
      <c r="BO1097" s="21"/>
      <c r="BP1097" s="21"/>
      <c r="BQ1097" s="21"/>
      <c r="BR1097" s="21"/>
      <c r="BS1097" s="21"/>
      <c r="BT1097" s="21"/>
      <c r="BU1097" s="21"/>
      <c r="BV1097" s="21"/>
      <c r="BW1097" s="21"/>
      <c r="BX1097" s="21"/>
      <c r="BY1097" s="21"/>
      <c r="BZ1097" s="21"/>
      <c r="CA1097" s="21"/>
      <c r="CB1097" s="21"/>
      <c r="CC1097" s="21"/>
      <c r="CD1097" s="21"/>
      <c r="CE1097" s="21"/>
      <c r="CF1097" s="21"/>
      <c r="CG1097" s="21"/>
      <c r="CH1097" s="21"/>
      <c r="CI1097" s="21"/>
      <c r="CJ1097" s="21"/>
      <c r="CK1097" s="21"/>
      <c r="CL1097" s="21"/>
      <c r="CM1097" s="21"/>
      <c r="CN1097" s="21"/>
      <c r="CO1097" s="21"/>
      <c r="CP1097" s="21"/>
      <c r="CQ1097" s="21"/>
      <c r="CR1097" s="21"/>
      <c r="CS1097" s="21"/>
      <c r="CT1097" s="21"/>
      <c r="CU1097" s="21"/>
      <c r="CV1097" s="21"/>
      <c r="CW1097" s="21"/>
      <c r="CX1097" s="21"/>
      <c r="CY1097" s="22"/>
      <c r="CZ1097" s="21"/>
      <c r="DA1097" s="21"/>
      <c r="DB1097" s="21"/>
    </row>
    <row r="1098" spans="3:106" s="19" customFormat="1" ht="12">
      <c r="C1098" s="21"/>
      <c r="D1098" s="21"/>
      <c r="E1098" s="21"/>
      <c r="F1098" s="21"/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2"/>
      <c r="AX1098" s="21"/>
      <c r="AY1098" s="21"/>
      <c r="AZ1098" s="21"/>
      <c r="BA1098" s="21"/>
      <c r="BB1098" s="21"/>
      <c r="BC1098" s="21"/>
      <c r="BD1098" s="21"/>
      <c r="BE1098" s="21"/>
      <c r="BF1098" s="21"/>
      <c r="BG1098" s="21"/>
      <c r="BH1098" s="21"/>
      <c r="BI1098" s="21"/>
      <c r="BJ1098" s="21"/>
      <c r="BK1098" s="21"/>
      <c r="BL1098" s="21"/>
      <c r="BM1098" s="21"/>
      <c r="BN1098" s="21"/>
      <c r="BO1098" s="21"/>
      <c r="BP1098" s="21"/>
      <c r="BQ1098" s="21"/>
      <c r="BR1098" s="21"/>
      <c r="BS1098" s="21"/>
      <c r="BT1098" s="21"/>
      <c r="BU1098" s="21"/>
      <c r="BV1098" s="21"/>
      <c r="BW1098" s="21"/>
      <c r="BX1098" s="21"/>
      <c r="BY1098" s="21"/>
      <c r="BZ1098" s="21"/>
      <c r="CA1098" s="21"/>
      <c r="CB1098" s="21"/>
      <c r="CC1098" s="21"/>
      <c r="CD1098" s="21"/>
      <c r="CE1098" s="21"/>
      <c r="CF1098" s="21"/>
      <c r="CG1098" s="21"/>
      <c r="CH1098" s="21"/>
      <c r="CI1098" s="21"/>
      <c r="CJ1098" s="21"/>
      <c r="CK1098" s="21"/>
      <c r="CL1098" s="21"/>
      <c r="CM1098" s="21"/>
      <c r="CN1098" s="21"/>
      <c r="CO1098" s="21"/>
      <c r="CP1098" s="21"/>
      <c r="CQ1098" s="21"/>
      <c r="CR1098" s="21"/>
      <c r="CS1098" s="21"/>
      <c r="CT1098" s="21"/>
      <c r="CU1098" s="21"/>
      <c r="CV1098" s="21"/>
      <c r="CW1098" s="21"/>
      <c r="CX1098" s="21"/>
      <c r="CY1098" s="22"/>
      <c r="CZ1098" s="21"/>
      <c r="DA1098" s="21"/>
      <c r="DB1098" s="21"/>
    </row>
    <row r="1099" spans="3:106" s="19" customFormat="1" ht="12">
      <c r="C1099" s="21"/>
      <c r="D1099" s="21"/>
      <c r="E1099" s="21"/>
      <c r="F1099" s="21"/>
      <c r="G1099" s="21"/>
      <c r="H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2"/>
      <c r="AX1099" s="21"/>
      <c r="AY1099" s="21"/>
      <c r="AZ1099" s="21"/>
      <c r="BA1099" s="21"/>
      <c r="BB1099" s="21"/>
      <c r="BC1099" s="21"/>
      <c r="BD1099" s="21"/>
      <c r="BE1099" s="21"/>
      <c r="BF1099" s="21"/>
      <c r="BG1099" s="21"/>
      <c r="BH1099" s="21"/>
      <c r="BI1099" s="21"/>
      <c r="BJ1099" s="21"/>
      <c r="BK1099" s="21"/>
      <c r="BL1099" s="21"/>
      <c r="BM1099" s="21"/>
      <c r="BN1099" s="21"/>
      <c r="BO1099" s="21"/>
      <c r="BP1099" s="21"/>
      <c r="BQ1099" s="21"/>
      <c r="BR1099" s="21"/>
      <c r="BS1099" s="21"/>
      <c r="BT1099" s="21"/>
      <c r="BU1099" s="21"/>
      <c r="BV1099" s="21"/>
      <c r="BW1099" s="21"/>
      <c r="BX1099" s="21"/>
      <c r="BY1099" s="21"/>
      <c r="BZ1099" s="21"/>
      <c r="CA1099" s="21"/>
      <c r="CB1099" s="21"/>
      <c r="CC1099" s="21"/>
      <c r="CD1099" s="21"/>
      <c r="CE1099" s="21"/>
      <c r="CF1099" s="21"/>
      <c r="CG1099" s="21"/>
      <c r="CH1099" s="21"/>
      <c r="CI1099" s="21"/>
      <c r="CJ1099" s="21"/>
      <c r="CK1099" s="21"/>
      <c r="CL1099" s="21"/>
      <c r="CM1099" s="21"/>
      <c r="CN1099" s="21"/>
      <c r="CO1099" s="21"/>
      <c r="CP1099" s="21"/>
      <c r="CQ1099" s="21"/>
      <c r="CR1099" s="21"/>
      <c r="CS1099" s="21"/>
      <c r="CT1099" s="21"/>
      <c r="CU1099" s="21"/>
      <c r="CV1099" s="21"/>
      <c r="CW1099" s="21"/>
      <c r="CX1099" s="21"/>
      <c r="CY1099" s="22"/>
      <c r="CZ1099" s="21"/>
      <c r="DA1099" s="21"/>
      <c r="DB1099" s="21"/>
    </row>
    <row r="1100" spans="3:106" s="19" customFormat="1" ht="12">
      <c r="C1100" s="21"/>
      <c r="D1100" s="21"/>
      <c r="E1100" s="21"/>
      <c r="F1100" s="21"/>
      <c r="G1100" s="21"/>
      <c r="H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2"/>
      <c r="AX1100" s="21"/>
      <c r="AY1100" s="21"/>
      <c r="AZ1100" s="21"/>
      <c r="BA1100" s="21"/>
      <c r="BB1100" s="21"/>
      <c r="BC1100" s="21"/>
      <c r="BD1100" s="21"/>
      <c r="BE1100" s="21"/>
      <c r="BF1100" s="21"/>
      <c r="BG1100" s="21"/>
      <c r="BH1100" s="21"/>
      <c r="BI1100" s="21"/>
      <c r="BJ1100" s="21"/>
      <c r="BK1100" s="21"/>
      <c r="BL1100" s="21"/>
      <c r="BM1100" s="21"/>
      <c r="BN1100" s="21"/>
      <c r="BO1100" s="21"/>
      <c r="BP1100" s="21"/>
      <c r="BQ1100" s="21"/>
      <c r="BR1100" s="21"/>
      <c r="BS1100" s="21"/>
      <c r="BT1100" s="21"/>
      <c r="BU1100" s="21"/>
      <c r="BV1100" s="21"/>
      <c r="BW1100" s="21"/>
      <c r="BX1100" s="21"/>
      <c r="BY1100" s="21"/>
      <c r="BZ1100" s="21"/>
      <c r="CA1100" s="21"/>
      <c r="CB1100" s="21"/>
      <c r="CC1100" s="21"/>
      <c r="CD1100" s="21"/>
      <c r="CE1100" s="21"/>
      <c r="CF1100" s="21"/>
      <c r="CG1100" s="21"/>
      <c r="CH1100" s="21"/>
      <c r="CI1100" s="21"/>
      <c r="CJ1100" s="21"/>
      <c r="CK1100" s="21"/>
      <c r="CL1100" s="21"/>
      <c r="CM1100" s="21"/>
      <c r="CN1100" s="21"/>
      <c r="CO1100" s="21"/>
      <c r="CP1100" s="21"/>
      <c r="CQ1100" s="21"/>
      <c r="CR1100" s="21"/>
      <c r="CS1100" s="21"/>
      <c r="CT1100" s="21"/>
      <c r="CU1100" s="21"/>
      <c r="CV1100" s="21"/>
      <c r="CW1100" s="21"/>
      <c r="CX1100" s="21"/>
      <c r="CY1100" s="22"/>
      <c r="CZ1100" s="21"/>
      <c r="DA1100" s="21"/>
      <c r="DB1100" s="21"/>
    </row>
    <row r="1101" spans="3:106" s="19" customFormat="1" ht="12">
      <c r="C1101" s="21"/>
      <c r="D1101" s="21"/>
      <c r="E1101" s="21"/>
      <c r="F1101" s="21"/>
      <c r="G1101" s="21"/>
      <c r="H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2"/>
      <c r="AX1101" s="21"/>
      <c r="AY1101" s="21"/>
      <c r="AZ1101" s="21"/>
      <c r="BA1101" s="21"/>
      <c r="BB1101" s="21"/>
      <c r="BC1101" s="21"/>
      <c r="BD1101" s="21"/>
      <c r="BE1101" s="21"/>
      <c r="BF1101" s="21"/>
      <c r="BG1101" s="21"/>
      <c r="BH1101" s="21"/>
      <c r="BI1101" s="21"/>
      <c r="BJ1101" s="21"/>
      <c r="BK1101" s="21"/>
      <c r="BL1101" s="21"/>
      <c r="BM1101" s="21"/>
      <c r="BN1101" s="21"/>
      <c r="BO1101" s="21"/>
      <c r="BP1101" s="21"/>
      <c r="BQ1101" s="21"/>
      <c r="BR1101" s="21"/>
      <c r="BS1101" s="21"/>
      <c r="BT1101" s="21"/>
      <c r="BU1101" s="21"/>
      <c r="BV1101" s="21"/>
      <c r="BW1101" s="21"/>
      <c r="BX1101" s="21"/>
      <c r="BY1101" s="21"/>
      <c r="BZ1101" s="21"/>
      <c r="CA1101" s="21"/>
      <c r="CB1101" s="21"/>
      <c r="CC1101" s="21"/>
      <c r="CD1101" s="21"/>
      <c r="CE1101" s="21"/>
      <c r="CF1101" s="21"/>
      <c r="CG1101" s="21"/>
      <c r="CH1101" s="21"/>
      <c r="CI1101" s="21"/>
      <c r="CJ1101" s="21"/>
      <c r="CK1101" s="21"/>
      <c r="CL1101" s="21"/>
      <c r="CM1101" s="21"/>
      <c r="CN1101" s="21"/>
      <c r="CO1101" s="21"/>
      <c r="CP1101" s="21"/>
      <c r="CQ1101" s="21"/>
      <c r="CR1101" s="21"/>
      <c r="CS1101" s="21"/>
      <c r="CT1101" s="21"/>
      <c r="CU1101" s="21"/>
      <c r="CV1101" s="21"/>
      <c r="CW1101" s="21"/>
      <c r="CX1101" s="21"/>
      <c r="CY1101" s="22"/>
      <c r="CZ1101" s="21"/>
      <c r="DA1101" s="21"/>
      <c r="DB1101" s="21"/>
    </row>
    <row r="1102" spans="3:106" s="19" customFormat="1" ht="12">
      <c r="C1102" s="21"/>
      <c r="D1102" s="21"/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2"/>
      <c r="AX1102" s="21"/>
      <c r="AY1102" s="21"/>
      <c r="AZ1102" s="21"/>
      <c r="BA1102" s="21"/>
      <c r="BB1102" s="21"/>
      <c r="BC1102" s="21"/>
      <c r="BD1102" s="21"/>
      <c r="BE1102" s="21"/>
      <c r="BF1102" s="21"/>
      <c r="BG1102" s="21"/>
      <c r="BH1102" s="21"/>
      <c r="BI1102" s="21"/>
      <c r="BJ1102" s="21"/>
      <c r="BK1102" s="21"/>
      <c r="BL1102" s="21"/>
      <c r="BM1102" s="21"/>
      <c r="BN1102" s="21"/>
      <c r="BO1102" s="21"/>
      <c r="BP1102" s="21"/>
      <c r="BQ1102" s="21"/>
      <c r="BR1102" s="21"/>
      <c r="BS1102" s="21"/>
      <c r="BT1102" s="21"/>
      <c r="BU1102" s="21"/>
      <c r="BV1102" s="21"/>
      <c r="BW1102" s="21"/>
      <c r="BX1102" s="21"/>
      <c r="BY1102" s="21"/>
      <c r="BZ1102" s="21"/>
      <c r="CA1102" s="21"/>
      <c r="CB1102" s="21"/>
      <c r="CC1102" s="21"/>
      <c r="CD1102" s="21"/>
      <c r="CE1102" s="21"/>
      <c r="CF1102" s="21"/>
      <c r="CG1102" s="21"/>
      <c r="CH1102" s="21"/>
      <c r="CI1102" s="21"/>
      <c r="CJ1102" s="21"/>
      <c r="CK1102" s="21"/>
      <c r="CL1102" s="21"/>
      <c r="CM1102" s="21"/>
      <c r="CN1102" s="21"/>
      <c r="CO1102" s="21"/>
      <c r="CP1102" s="21"/>
      <c r="CQ1102" s="21"/>
      <c r="CR1102" s="21"/>
      <c r="CS1102" s="21"/>
      <c r="CT1102" s="21"/>
      <c r="CU1102" s="21"/>
      <c r="CV1102" s="21"/>
      <c r="CW1102" s="21"/>
      <c r="CX1102" s="21"/>
      <c r="CY1102" s="22"/>
      <c r="CZ1102" s="21"/>
      <c r="DA1102" s="21"/>
      <c r="DB1102" s="21"/>
    </row>
    <row r="1103" spans="3:106" s="19" customFormat="1" ht="12">
      <c r="C1103" s="21"/>
      <c r="D1103" s="21"/>
      <c r="E1103" s="21"/>
      <c r="F1103" s="21"/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2"/>
      <c r="AX1103" s="21"/>
      <c r="AY1103" s="21"/>
      <c r="AZ1103" s="21"/>
      <c r="BA1103" s="21"/>
      <c r="BB1103" s="21"/>
      <c r="BC1103" s="21"/>
      <c r="BD1103" s="21"/>
      <c r="BE1103" s="21"/>
      <c r="BF1103" s="21"/>
      <c r="BG1103" s="21"/>
      <c r="BH1103" s="21"/>
      <c r="BI1103" s="21"/>
      <c r="BJ1103" s="21"/>
      <c r="BK1103" s="21"/>
      <c r="BL1103" s="21"/>
      <c r="BM1103" s="21"/>
      <c r="BN1103" s="21"/>
      <c r="BO1103" s="21"/>
      <c r="BP1103" s="21"/>
      <c r="BQ1103" s="21"/>
      <c r="BR1103" s="21"/>
      <c r="BS1103" s="21"/>
      <c r="BT1103" s="21"/>
      <c r="BU1103" s="21"/>
      <c r="BV1103" s="21"/>
      <c r="BW1103" s="21"/>
      <c r="BX1103" s="21"/>
      <c r="BY1103" s="21"/>
      <c r="BZ1103" s="21"/>
      <c r="CA1103" s="21"/>
      <c r="CB1103" s="21"/>
      <c r="CC1103" s="21"/>
      <c r="CD1103" s="21"/>
      <c r="CE1103" s="21"/>
      <c r="CF1103" s="21"/>
      <c r="CG1103" s="21"/>
      <c r="CH1103" s="21"/>
      <c r="CI1103" s="21"/>
      <c r="CJ1103" s="21"/>
      <c r="CK1103" s="21"/>
      <c r="CL1103" s="21"/>
      <c r="CM1103" s="21"/>
      <c r="CN1103" s="21"/>
      <c r="CO1103" s="21"/>
      <c r="CP1103" s="21"/>
      <c r="CQ1103" s="21"/>
      <c r="CR1103" s="21"/>
      <c r="CS1103" s="21"/>
      <c r="CT1103" s="21"/>
      <c r="CU1103" s="21"/>
      <c r="CV1103" s="21"/>
      <c r="CW1103" s="21"/>
      <c r="CX1103" s="21"/>
      <c r="CY1103" s="22"/>
      <c r="CZ1103" s="21"/>
      <c r="DA1103" s="21"/>
      <c r="DB1103" s="21"/>
    </row>
    <row r="1104" spans="3:106" s="19" customFormat="1" ht="12">
      <c r="C1104" s="21"/>
      <c r="D1104" s="21"/>
      <c r="E1104" s="21"/>
      <c r="F1104" s="21"/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2"/>
      <c r="AX1104" s="21"/>
      <c r="AY1104" s="21"/>
      <c r="AZ1104" s="21"/>
      <c r="BA1104" s="21"/>
      <c r="BB1104" s="21"/>
      <c r="BC1104" s="21"/>
      <c r="BD1104" s="21"/>
      <c r="BE1104" s="21"/>
      <c r="BF1104" s="21"/>
      <c r="BG1104" s="21"/>
      <c r="BH1104" s="21"/>
      <c r="BI1104" s="21"/>
      <c r="BJ1104" s="21"/>
      <c r="BK1104" s="21"/>
      <c r="BL1104" s="21"/>
      <c r="BM1104" s="21"/>
      <c r="BN1104" s="21"/>
      <c r="BO1104" s="21"/>
      <c r="BP1104" s="21"/>
      <c r="BQ1104" s="21"/>
      <c r="BR1104" s="21"/>
      <c r="BS1104" s="21"/>
      <c r="BT1104" s="21"/>
      <c r="BU1104" s="21"/>
      <c r="BV1104" s="21"/>
      <c r="BW1104" s="21"/>
      <c r="BX1104" s="21"/>
      <c r="BY1104" s="21"/>
      <c r="BZ1104" s="21"/>
      <c r="CA1104" s="21"/>
      <c r="CB1104" s="21"/>
      <c r="CC1104" s="21"/>
      <c r="CD1104" s="21"/>
      <c r="CE1104" s="21"/>
      <c r="CF1104" s="21"/>
      <c r="CG1104" s="21"/>
      <c r="CH1104" s="21"/>
      <c r="CI1104" s="21"/>
      <c r="CJ1104" s="21"/>
      <c r="CK1104" s="21"/>
      <c r="CL1104" s="21"/>
      <c r="CM1104" s="21"/>
      <c r="CN1104" s="21"/>
      <c r="CO1104" s="21"/>
      <c r="CP1104" s="21"/>
      <c r="CQ1104" s="21"/>
      <c r="CR1104" s="21"/>
      <c r="CS1104" s="21"/>
      <c r="CT1104" s="21"/>
      <c r="CU1104" s="21"/>
      <c r="CV1104" s="21"/>
      <c r="CW1104" s="21"/>
      <c r="CX1104" s="21"/>
      <c r="CY1104" s="22"/>
      <c r="CZ1104" s="21"/>
      <c r="DA1104" s="21"/>
      <c r="DB1104" s="21"/>
    </row>
    <row r="1105" spans="3:106" s="19" customFormat="1" ht="12">
      <c r="C1105" s="21"/>
      <c r="D1105" s="21"/>
      <c r="E1105" s="21"/>
      <c r="F1105" s="21"/>
      <c r="G1105" s="21"/>
      <c r="H1105" s="21"/>
      <c r="I1105" s="21"/>
      <c r="J1105" s="21"/>
      <c r="K1105" s="21"/>
      <c r="L1105" s="21"/>
      <c r="M1105" s="21"/>
      <c r="N1105" s="21"/>
      <c r="O1105" s="21"/>
      <c r="P1105" s="21"/>
      <c r="Q1105" s="21"/>
      <c r="R1105" s="21"/>
      <c r="S1105" s="21"/>
      <c r="T1105" s="21"/>
      <c r="U1105" s="21"/>
      <c r="V1105" s="21"/>
      <c r="W1105" s="21"/>
      <c r="X1105" s="21"/>
      <c r="Y1105" s="21"/>
      <c r="Z1105" s="21"/>
      <c r="AA1105" s="21"/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2"/>
      <c r="AX1105" s="21"/>
      <c r="AY1105" s="21"/>
      <c r="AZ1105" s="21"/>
      <c r="BA1105" s="21"/>
      <c r="BB1105" s="21"/>
      <c r="BC1105" s="21"/>
      <c r="BD1105" s="21"/>
      <c r="BE1105" s="21"/>
      <c r="BF1105" s="21"/>
      <c r="BG1105" s="21"/>
      <c r="BH1105" s="21"/>
      <c r="BI1105" s="21"/>
      <c r="BJ1105" s="21"/>
      <c r="BK1105" s="21"/>
      <c r="BL1105" s="21"/>
      <c r="BM1105" s="21"/>
      <c r="BN1105" s="21"/>
      <c r="BO1105" s="21"/>
      <c r="BP1105" s="21"/>
      <c r="BQ1105" s="21"/>
      <c r="BR1105" s="21"/>
      <c r="BS1105" s="21"/>
      <c r="BT1105" s="21"/>
      <c r="BU1105" s="21"/>
      <c r="BV1105" s="21"/>
      <c r="BW1105" s="21"/>
      <c r="BX1105" s="21"/>
      <c r="BY1105" s="21"/>
      <c r="BZ1105" s="21"/>
      <c r="CA1105" s="21"/>
      <c r="CB1105" s="21"/>
      <c r="CC1105" s="21"/>
      <c r="CD1105" s="21"/>
      <c r="CE1105" s="21"/>
      <c r="CF1105" s="21"/>
      <c r="CG1105" s="21"/>
      <c r="CH1105" s="21"/>
      <c r="CI1105" s="21"/>
      <c r="CJ1105" s="21"/>
      <c r="CK1105" s="21"/>
      <c r="CL1105" s="21"/>
      <c r="CM1105" s="21"/>
      <c r="CN1105" s="21"/>
      <c r="CO1105" s="21"/>
      <c r="CP1105" s="21"/>
      <c r="CQ1105" s="21"/>
      <c r="CR1105" s="21"/>
      <c r="CS1105" s="21"/>
      <c r="CT1105" s="21"/>
      <c r="CU1105" s="21"/>
      <c r="CV1105" s="21"/>
      <c r="CW1105" s="21"/>
      <c r="CX1105" s="21"/>
      <c r="CY1105" s="22"/>
      <c r="CZ1105" s="21"/>
      <c r="DA1105" s="21"/>
      <c r="DB1105" s="21"/>
    </row>
    <row r="1106" spans="3:106" s="19" customFormat="1" ht="12">
      <c r="C1106" s="21"/>
      <c r="D1106" s="21"/>
      <c r="E1106" s="21"/>
      <c r="F1106" s="21"/>
      <c r="G1106" s="21"/>
      <c r="H1106" s="21"/>
      <c r="I1106" s="21"/>
      <c r="J1106" s="21"/>
      <c r="K1106" s="21"/>
      <c r="L1106" s="21"/>
      <c r="M1106" s="21"/>
      <c r="N1106" s="21"/>
      <c r="O1106" s="21"/>
      <c r="P1106" s="21"/>
      <c r="Q1106" s="21"/>
      <c r="R1106" s="21"/>
      <c r="S1106" s="21"/>
      <c r="T1106" s="21"/>
      <c r="U1106" s="21"/>
      <c r="V1106" s="21"/>
      <c r="W1106" s="21"/>
      <c r="X1106" s="21"/>
      <c r="Y1106" s="21"/>
      <c r="Z1106" s="21"/>
      <c r="AA1106" s="21"/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2"/>
      <c r="AX1106" s="21"/>
      <c r="AY1106" s="21"/>
      <c r="AZ1106" s="21"/>
      <c r="BA1106" s="21"/>
      <c r="BB1106" s="21"/>
      <c r="BC1106" s="21"/>
      <c r="BD1106" s="21"/>
      <c r="BE1106" s="21"/>
      <c r="BF1106" s="21"/>
      <c r="BG1106" s="21"/>
      <c r="BH1106" s="21"/>
      <c r="BI1106" s="21"/>
      <c r="BJ1106" s="21"/>
      <c r="BK1106" s="21"/>
      <c r="BL1106" s="21"/>
      <c r="BM1106" s="21"/>
      <c r="BN1106" s="21"/>
      <c r="BO1106" s="21"/>
      <c r="BP1106" s="21"/>
      <c r="BQ1106" s="21"/>
      <c r="BR1106" s="21"/>
      <c r="BS1106" s="21"/>
      <c r="BT1106" s="21"/>
      <c r="BU1106" s="21"/>
      <c r="BV1106" s="21"/>
      <c r="BW1106" s="21"/>
      <c r="BX1106" s="21"/>
      <c r="BY1106" s="21"/>
      <c r="BZ1106" s="21"/>
      <c r="CA1106" s="21"/>
      <c r="CB1106" s="21"/>
      <c r="CC1106" s="21"/>
      <c r="CD1106" s="21"/>
      <c r="CE1106" s="21"/>
      <c r="CF1106" s="21"/>
      <c r="CG1106" s="21"/>
      <c r="CH1106" s="21"/>
      <c r="CI1106" s="21"/>
      <c r="CJ1106" s="21"/>
      <c r="CK1106" s="21"/>
      <c r="CL1106" s="21"/>
      <c r="CM1106" s="21"/>
      <c r="CN1106" s="21"/>
      <c r="CO1106" s="21"/>
      <c r="CP1106" s="21"/>
      <c r="CQ1106" s="21"/>
      <c r="CR1106" s="21"/>
      <c r="CS1106" s="21"/>
      <c r="CT1106" s="21"/>
      <c r="CU1106" s="21"/>
      <c r="CV1106" s="21"/>
      <c r="CW1106" s="21"/>
      <c r="CX1106" s="21"/>
      <c r="CY1106" s="22"/>
      <c r="CZ1106" s="21"/>
      <c r="DA1106" s="21"/>
      <c r="DB1106" s="21"/>
    </row>
    <row r="1107" spans="3:106" s="19" customFormat="1" ht="12">
      <c r="C1107" s="21"/>
      <c r="D1107" s="21"/>
      <c r="E1107" s="21"/>
      <c r="F1107" s="21"/>
      <c r="G1107" s="21"/>
      <c r="H1107" s="21"/>
      <c r="I1107" s="21"/>
      <c r="J1107" s="21"/>
      <c r="K1107" s="21"/>
      <c r="L1107" s="21"/>
      <c r="M1107" s="21"/>
      <c r="N1107" s="21"/>
      <c r="O1107" s="21"/>
      <c r="P1107" s="21"/>
      <c r="Q1107" s="21"/>
      <c r="R1107" s="21"/>
      <c r="S1107" s="21"/>
      <c r="T1107" s="21"/>
      <c r="U1107" s="21"/>
      <c r="V1107" s="21"/>
      <c r="W1107" s="21"/>
      <c r="X1107" s="21"/>
      <c r="Y1107" s="21"/>
      <c r="Z1107" s="21"/>
      <c r="AA1107" s="21"/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2"/>
      <c r="AX1107" s="21"/>
      <c r="AY1107" s="21"/>
      <c r="AZ1107" s="21"/>
      <c r="BA1107" s="21"/>
      <c r="BB1107" s="21"/>
      <c r="BC1107" s="21"/>
      <c r="BD1107" s="21"/>
      <c r="BE1107" s="21"/>
      <c r="BF1107" s="21"/>
      <c r="BG1107" s="21"/>
      <c r="BH1107" s="21"/>
      <c r="BI1107" s="21"/>
      <c r="BJ1107" s="21"/>
      <c r="BK1107" s="21"/>
      <c r="BL1107" s="21"/>
      <c r="BM1107" s="21"/>
      <c r="BN1107" s="21"/>
      <c r="BO1107" s="21"/>
      <c r="BP1107" s="21"/>
      <c r="BQ1107" s="21"/>
      <c r="BR1107" s="21"/>
      <c r="BS1107" s="21"/>
      <c r="BT1107" s="21"/>
      <c r="BU1107" s="21"/>
      <c r="BV1107" s="21"/>
      <c r="BW1107" s="21"/>
      <c r="BX1107" s="21"/>
      <c r="BY1107" s="21"/>
      <c r="BZ1107" s="21"/>
      <c r="CA1107" s="21"/>
      <c r="CB1107" s="21"/>
      <c r="CC1107" s="21"/>
      <c r="CD1107" s="21"/>
      <c r="CE1107" s="21"/>
      <c r="CF1107" s="21"/>
      <c r="CG1107" s="21"/>
      <c r="CH1107" s="21"/>
      <c r="CI1107" s="21"/>
      <c r="CJ1107" s="21"/>
      <c r="CK1107" s="21"/>
      <c r="CL1107" s="21"/>
      <c r="CM1107" s="21"/>
      <c r="CN1107" s="21"/>
      <c r="CO1107" s="21"/>
      <c r="CP1107" s="21"/>
      <c r="CQ1107" s="21"/>
      <c r="CR1107" s="21"/>
      <c r="CS1107" s="21"/>
      <c r="CT1107" s="21"/>
      <c r="CU1107" s="21"/>
      <c r="CV1107" s="21"/>
      <c r="CW1107" s="21"/>
      <c r="CX1107" s="21"/>
      <c r="CY1107" s="22"/>
      <c r="CZ1107" s="21"/>
      <c r="DA1107" s="21"/>
      <c r="DB1107" s="21"/>
    </row>
    <row r="1108" spans="3:106" s="19" customFormat="1" ht="12">
      <c r="C1108" s="21"/>
      <c r="D1108" s="21"/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2"/>
      <c r="AX1108" s="21"/>
      <c r="AY1108" s="21"/>
      <c r="AZ1108" s="21"/>
      <c r="BA1108" s="21"/>
      <c r="BB1108" s="21"/>
      <c r="BC1108" s="21"/>
      <c r="BD1108" s="21"/>
      <c r="BE1108" s="21"/>
      <c r="BF1108" s="21"/>
      <c r="BG1108" s="21"/>
      <c r="BH1108" s="21"/>
      <c r="BI1108" s="21"/>
      <c r="BJ1108" s="21"/>
      <c r="BK1108" s="21"/>
      <c r="BL1108" s="21"/>
      <c r="BM1108" s="21"/>
      <c r="BN1108" s="21"/>
      <c r="BO1108" s="21"/>
      <c r="BP1108" s="21"/>
      <c r="BQ1108" s="21"/>
      <c r="BR1108" s="21"/>
      <c r="BS1108" s="21"/>
      <c r="BT1108" s="21"/>
      <c r="BU1108" s="21"/>
      <c r="BV1108" s="21"/>
      <c r="BW1108" s="21"/>
      <c r="BX1108" s="21"/>
      <c r="BY1108" s="21"/>
      <c r="BZ1108" s="21"/>
      <c r="CA1108" s="21"/>
      <c r="CB1108" s="21"/>
      <c r="CC1108" s="21"/>
      <c r="CD1108" s="21"/>
      <c r="CE1108" s="21"/>
      <c r="CF1108" s="21"/>
      <c r="CG1108" s="21"/>
      <c r="CH1108" s="21"/>
      <c r="CI1108" s="21"/>
      <c r="CJ1108" s="21"/>
      <c r="CK1108" s="21"/>
      <c r="CL1108" s="21"/>
      <c r="CM1108" s="21"/>
      <c r="CN1108" s="21"/>
      <c r="CO1108" s="21"/>
      <c r="CP1108" s="21"/>
      <c r="CQ1108" s="21"/>
      <c r="CR1108" s="21"/>
      <c r="CS1108" s="21"/>
      <c r="CT1108" s="21"/>
      <c r="CU1108" s="21"/>
      <c r="CV1108" s="21"/>
      <c r="CW1108" s="21"/>
      <c r="CX1108" s="21"/>
      <c r="CY1108" s="22"/>
      <c r="CZ1108" s="21"/>
      <c r="DA1108" s="21"/>
      <c r="DB1108" s="21"/>
    </row>
    <row r="1109" spans="3:106" s="19" customFormat="1" ht="12">
      <c r="C1109" s="21"/>
      <c r="D1109" s="21"/>
      <c r="E1109" s="21"/>
      <c r="F1109" s="21"/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2"/>
      <c r="AX1109" s="21"/>
      <c r="AY1109" s="21"/>
      <c r="AZ1109" s="21"/>
      <c r="BA1109" s="21"/>
      <c r="BB1109" s="21"/>
      <c r="BC1109" s="21"/>
      <c r="BD1109" s="21"/>
      <c r="BE1109" s="21"/>
      <c r="BF1109" s="21"/>
      <c r="BG1109" s="21"/>
      <c r="BH1109" s="21"/>
      <c r="BI1109" s="21"/>
      <c r="BJ1109" s="21"/>
      <c r="BK1109" s="21"/>
      <c r="BL1109" s="21"/>
      <c r="BM1109" s="21"/>
      <c r="BN1109" s="21"/>
      <c r="BO1109" s="21"/>
      <c r="BP1109" s="21"/>
      <c r="BQ1109" s="21"/>
      <c r="BR1109" s="21"/>
      <c r="BS1109" s="21"/>
      <c r="BT1109" s="21"/>
      <c r="BU1109" s="21"/>
      <c r="BV1109" s="21"/>
      <c r="BW1109" s="21"/>
      <c r="BX1109" s="21"/>
      <c r="BY1109" s="21"/>
      <c r="BZ1109" s="21"/>
      <c r="CA1109" s="21"/>
      <c r="CB1109" s="21"/>
      <c r="CC1109" s="21"/>
      <c r="CD1109" s="21"/>
      <c r="CE1109" s="21"/>
      <c r="CF1109" s="21"/>
      <c r="CG1109" s="21"/>
      <c r="CH1109" s="21"/>
      <c r="CI1109" s="21"/>
      <c r="CJ1109" s="21"/>
      <c r="CK1109" s="21"/>
      <c r="CL1109" s="21"/>
      <c r="CM1109" s="21"/>
      <c r="CN1109" s="21"/>
      <c r="CO1109" s="21"/>
      <c r="CP1109" s="21"/>
      <c r="CQ1109" s="21"/>
      <c r="CR1109" s="21"/>
      <c r="CS1109" s="21"/>
      <c r="CT1109" s="21"/>
      <c r="CU1109" s="21"/>
      <c r="CV1109" s="21"/>
      <c r="CW1109" s="21"/>
      <c r="CX1109" s="21"/>
      <c r="CY1109" s="22"/>
      <c r="CZ1109" s="21"/>
      <c r="DA1109" s="21"/>
      <c r="DB1109" s="21"/>
    </row>
    <row r="1110" spans="3:106" s="19" customFormat="1" ht="12">
      <c r="C1110" s="21"/>
      <c r="D1110" s="21"/>
      <c r="E1110" s="21"/>
      <c r="F1110" s="21"/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2"/>
      <c r="AX1110" s="21"/>
      <c r="AY1110" s="21"/>
      <c r="AZ1110" s="21"/>
      <c r="BA1110" s="21"/>
      <c r="BB1110" s="21"/>
      <c r="BC1110" s="21"/>
      <c r="BD1110" s="21"/>
      <c r="BE1110" s="21"/>
      <c r="BF1110" s="21"/>
      <c r="BG1110" s="21"/>
      <c r="BH1110" s="21"/>
      <c r="BI1110" s="21"/>
      <c r="BJ1110" s="21"/>
      <c r="BK1110" s="21"/>
      <c r="BL1110" s="21"/>
      <c r="BM1110" s="21"/>
      <c r="BN1110" s="21"/>
      <c r="BO1110" s="21"/>
      <c r="BP1110" s="21"/>
      <c r="BQ1110" s="21"/>
      <c r="BR1110" s="21"/>
      <c r="BS1110" s="21"/>
      <c r="BT1110" s="21"/>
      <c r="BU1110" s="21"/>
      <c r="BV1110" s="21"/>
      <c r="BW1110" s="21"/>
      <c r="BX1110" s="21"/>
      <c r="BY1110" s="21"/>
      <c r="BZ1110" s="21"/>
      <c r="CA1110" s="21"/>
      <c r="CB1110" s="21"/>
      <c r="CC1110" s="21"/>
      <c r="CD1110" s="21"/>
      <c r="CE1110" s="21"/>
      <c r="CF1110" s="21"/>
      <c r="CG1110" s="21"/>
      <c r="CH1110" s="21"/>
      <c r="CI1110" s="21"/>
      <c r="CJ1110" s="21"/>
      <c r="CK1110" s="21"/>
      <c r="CL1110" s="21"/>
      <c r="CM1110" s="21"/>
      <c r="CN1110" s="21"/>
      <c r="CO1110" s="21"/>
      <c r="CP1110" s="21"/>
      <c r="CQ1110" s="21"/>
      <c r="CR1110" s="21"/>
      <c r="CS1110" s="21"/>
      <c r="CT1110" s="21"/>
      <c r="CU1110" s="21"/>
      <c r="CV1110" s="21"/>
      <c r="CW1110" s="21"/>
      <c r="CX1110" s="21"/>
      <c r="CY1110" s="22"/>
      <c r="CZ1110" s="21"/>
      <c r="DA1110" s="21"/>
      <c r="DB1110" s="21"/>
    </row>
    <row r="1111" spans="3:106" s="19" customFormat="1" ht="12">
      <c r="C1111" s="21"/>
      <c r="D1111" s="21"/>
      <c r="E1111" s="21"/>
      <c r="F1111" s="21"/>
      <c r="G1111" s="21"/>
      <c r="H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2"/>
      <c r="AX1111" s="21"/>
      <c r="AY1111" s="21"/>
      <c r="AZ1111" s="21"/>
      <c r="BA1111" s="21"/>
      <c r="BB1111" s="21"/>
      <c r="BC1111" s="21"/>
      <c r="BD1111" s="21"/>
      <c r="BE1111" s="21"/>
      <c r="BF1111" s="21"/>
      <c r="BG1111" s="21"/>
      <c r="BH1111" s="21"/>
      <c r="BI1111" s="21"/>
      <c r="BJ1111" s="21"/>
      <c r="BK1111" s="21"/>
      <c r="BL1111" s="21"/>
      <c r="BM1111" s="21"/>
      <c r="BN1111" s="21"/>
      <c r="BO1111" s="21"/>
      <c r="BP1111" s="21"/>
      <c r="BQ1111" s="21"/>
      <c r="BR1111" s="21"/>
      <c r="BS1111" s="21"/>
      <c r="BT1111" s="21"/>
      <c r="BU1111" s="21"/>
      <c r="BV1111" s="21"/>
      <c r="BW1111" s="21"/>
      <c r="BX1111" s="21"/>
      <c r="BY1111" s="21"/>
      <c r="BZ1111" s="21"/>
      <c r="CA1111" s="21"/>
      <c r="CB1111" s="21"/>
      <c r="CC1111" s="21"/>
      <c r="CD1111" s="21"/>
      <c r="CE1111" s="21"/>
      <c r="CF1111" s="21"/>
      <c r="CG1111" s="21"/>
      <c r="CH1111" s="21"/>
      <c r="CI1111" s="21"/>
      <c r="CJ1111" s="21"/>
      <c r="CK1111" s="21"/>
      <c r="CL1111" s="21"/>
      <c r="CM1111" s="21"/>
      <c r="CN1111" s="21"/>
      <c r="CO1111" s="21"/>
      <c r="CP1111" s="21"/>
      <c r="CQ1111" s="21"/>
      <c r="CR1111" s="21"/>
      <c r="CS1111" s="21"/>
      <c r="CT1111" s="21"/>
      <c r="CU1111" s="21"/>
      <c r="CV1111" s="21"/>
      <c r="CW1111" s="21"/>
      <c r="CX1111" s="21"/>
      <c r="CY1111" s="22"/>
      <c r="CZ1111" s="21"/>
      <c r="DA1111" s="21"/>
      <c r="DB1111" s="21"/>
    </row>
    <row r="1112" spans="3:106" s="19" customFormat="1" ht="12">
      <c r="C1112" s="21"/>
      <c r="D1112" s="21"/>
      <c r="E1112" s="21"/>
      <c r="F1112" s="21"/>
      <c r="G1112" s="21"/>
      <c r="H1112" s="21"/>
      <c r="I1112" s="21"/>
      <c r="J1112" s="21"/>
      <c r="K1112" s="21"/>
      <c r="L1112" s="21"/>
      <c r="M1112" s="21"/>
      <c r="N1112" s="21"/>
      <c r="O1112" s="21"/>
      <c r="P1112" s="21"/>
      <c r="Q1112" s="21"/>
      <c r="R1112" s="21"/>
      <c r="S1112" s="21"/>
      <c r="T1112" s="21"/>
      <c r="U1112" s="21"/>
      <c r="V1112" s="21"/>
      <c r="W1112" s="21"/>
      <c r="X1112" s="21"/>
      <c r="Y1112" s="21"/>
      <c r="Z1112" s="21"/>
      <c r="AA1112" s="21"/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2"/>
      <c r="AX1112" s="21"/>
      <c r="AY1112" s="21"/>
      <c r="AZ1112" s="21"/>
      <c r="BA1112" s="21"/>
      <c r="BB1112" s="21"/>
      <c r="BC1112" s="21"/>
      <c r="BD1112" s="21"/>
      <c r="BE1112" s="21"/>
      <c r="BF1112" s="21"/>
      <c r="BG1112" s="21"/>
      <c r="BH1112" s="21"/>
      <c r="BI1112" s="21"/>
      <c r="BJ1112" s="21"/>
      <c r="BK1112" s="21"/>
      <c r="BL1112" s="21"/>
      <c r="BM1112" s="21"/>
      <c r="BN1112" s="21"/>
      <c r="BO1112" s="21"/>
      <c r="BP1112" s="21"/>
      <c r="BQ1112" s="21"/>
      <c r="BR1112" s="21"/>
      <c r="BS1112" s="21"/>
      <c r="BT1112" s="21"/>
      <c r="BU1112" s="21"/>
      <c r="BV1112" s="21"/>
      <c r="BW1112" s="21"/>
      <c r="BX1112" s="21"/>
      <c r="BY1112" s="21"/>
      <c r="BZ1112" s="21"/>
      <c r="CA1112" s="21"/>
      <c r="CB1112" s="21"/>
      <c r="CC1112" s="21"/>
      <c r="CD1112" s="21"/>
      <c r="CE1112" s="21"/>
      <c r="CF1112" s="21"/>
      <c r="CG1112" s="21"/>
      <c r="CH1112" s="21"/>
      <c r="CI1112" s="21"/>
      <c r="CJ1112" s="21"/>
      <c r="CK1112" s="21"/>
      <c r="CL1112" s="21"/>
      <c r="CM1112" s="21"/>
      <c r="CN1112" s="21"/>
      <c r="CO1112" s="21"/>
      <c r="CP1112" s="21"/>
      <c r="CQ1112" s="21"/>
      <c r="CR1112" s="21"/>
      <c r="CS1112" s="21"/>
      <c r="CT1112" s="21"/>
      <c r="CU1112" s="21"/>
      <c r="CV1112" s="21"/>
      <c r="CW1112" s="21"/>
      <c r="CX1112" s="21"/>
      <c r="CY1112" s="22"/>
      <c r="CZ1112" s="21"/>
      <c r="DA1112" s="21"/>
      <c r="DB1112" s="21"/>
    </row>
    <row r="1113" spans="3:106" s="19" customFormat="1" ht="12">
      <c r="C1113" s="21"/>
      <c r="D1113" s="21"/>
      <c r="E1113" s="21"/>
      <c r="F1113" s="21"/>
      <c r="G1113" s="21"/>
      <c r="H1113" s="21"/>
      <c r="I1113" s="21"/>
      <c r="J1113" s="21"/>
      <c r="K1113" s="21"/>
      <c r="L1113" s="21"/>
      <c r="M1113" s="21"/>
      <c r="N1113" s="21"/>
      <c r="O1113" s="21"/>
      <c r="P1113" s="21"/>
      <c r="Q1113" s="21"/>
      <c r="R1113" s="21"/>
      <c r="S1113" s="21"/>
      <c r="T1113" s="21"/>
      <c r="U1113" s="21"/>
      <c r="V1113" s="21"/>
      <c r="W1113" s="21"/>
      <c r="X1113" s="21"/>
      <c r="Y1113" s="21"/>
      <c r="Z1113" s="21"/>
      <c r="AA1113" s="21"/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2"/>
      <c r="AX1113" s="21"/>
      <c r="AY1113" s="21"/>
      <c r="AZ1113" s="21"/>
      <c r="BA1113" s="21"/>
      <c r="BB1113" s="21"/>
      <c r="BC1113" s="21"/>
      <c r="BD1113" s="21"/>
      <c r="BE1113" s="21"/>
      <c r="BF1113" s="21"/>
      <c r="BG1113" s="21"/>
      <c r="BH1113" s="21"/>
      <c r="BI1113" s="21"/>
      <c r="BJ1113" s="21"/>
      <c r="BK1113" s="21"/>
      <c r="BL1113" s="21"/>
      <c r="BM1113" s="21"/>
      <c r="BN1113" s="21"/>
      <c r="BO1113" s="21"/>
      <c r="BP1113" s="21"/>
      <c r="BQ1113" s="21"/>
      <c r="BR1113" s="21"/>
      <c r="BS1113" s="21"/>
      <c r="BT1113" s="21"/>
      <c r="BU1113" s="21"/>
      <c r="BV1113" s="21"/>
      <c r="BW1113" s="21"/>
      <c r="BX1113" s="21"/>
      <c r="BY1113" s="21"/>
      <c r="BZ1113" s="21"/>
      <c r="CA1113" s="21"/>
      <c r="CB1113" s="21"/>
      <c r="CC1113" s="21"/>
      <c r="CD1113" s="21"/>
      <c r="CE1113" s="21"/>
      <c r="CF1113" s="21"/>
      <c r="CG1113" s="21"/>
      <c r="CH1113" s="21"/>
      <c r="CI1113" s="21"/>
      <c r="CJ1113" s="21"/>
      <c r="CK1113" s="21"/>
      <c r="CL1113" s="21"/>
      <c r="CM1113" s="21"/>
      <c r="CN1113" s="21"/>
      <c r="CO1113" s="21"/>
      <c r="CP1113" s="21"/>
      <c r="CQ1113" s="21"/>
      <c r="CR1113" s="21"/>
      <c r="CS1113" s="21"/>
      <c r="CT1113" s="21"/>
      <c r="CU1113" s="21"/>
      <c r="CV1113" s="21"/>
      <c r="CW1113" s="21"/>
      <c r="CX1113" s="21"/>
      <c r="CY1113" s="22"/>
      <c r="CZ1113" s="21"/>
      <c r="DA1113" s="21"/>
      <c r="DB1113" s="21"/>
    </row>
    <row r="1114" spans="3:106" s="19" customFormat="1" ht="12">
      <c r="C1114" s="21"/>
      <c r="D1114" s="21"/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2"/>
      <c r="AX1114" s="21"/>
      <c r="AY1114" s="21"/>
      <c r="AZ1114" s="21"/>
      <c r="BA1114" s="21"/>
      <c r="BB1114" s="21"/>
      <c r="BC1114" s="21"/>
      <c r="BD1114" s="21"/>
      <c r="BE1114" s="21"/>
      <c r="BF1114" s="21"/>
      <c r="BG1114" s="21"/>
      <c r="BH1114" s="21"/>
      <c r="BI1114" s="21"/>
      <c r="BJ1114" s="21"/>
      <c r="BK1114" s="21"/>
      <c r="BL1114" s="21"/>
      <c r="BM1114" s="21"/>
      <c r="BN1114" s="21"/>
      <c r="BO1114" s="21"/>
      <c r="BP1114" s="21"/>
      <c r="BQ1114" s="21"/>
      <c r="BR1114" s="21"/>
      <c r="BS1114" s="21"/>
      <c r="BT1114" s="21"/>
      <c r="BU1114" s="21"/>
      <c r="BV1114" s="21"/>
      <c r="BW1114" s="21"/>
      <c r="BX1114" s="21"/>
      <c r="BY1114" s="21"/>
      <c r="BZ1114" s="21"/>
      <c r="CA1114" s="21"/>
      <c r="CB1114" s="21"/>
      <c r="CC1114" s="21"/>
      <c r="CD1114" s="21"/>
      <c r="CE1114" s="21"/>
      <c r="CF1114" s="21"/>
      <c r="CG1114" s="21"/>
      <c r="CH1114" s="21"/>
      <c r="CI1114" s="21"/>
      <c r="CJ1114" s="21"/>
      <c r="CK1114" s="21"/>
      <c r="CL1114" s="21"/>
      <c r="CM1114" s="21"/>
      <c r="CN1114" s="21"/>
      <c r="CO1114" s="21"/>
      <c r="CP1114" s="21"/>
      <c r="CQ1114" s="21"/>
      <c r="CR1114" s="21"/>
      <c r="CS1114" s="21"/>
      <c r="CT1114" s="21"/>
      <c r="CU1114" s="21"/>
      <c r="CV1114" s="21"/>
      <c r="CW1114" s="21"/>
      <c r="CX1114" s="21"/>
      <c r="CY1114" s="22"/>
      <c r="CZ1114" s="21"/>
      <c r="DA1114" s="21"/>
      <c r="DB1114" s="21"/>
    </row>
    <row r="1115" spans="3:106" s="19" customFormat="1" ht="12">
      <c r="C1115" s="21"/>
      <c r="D1115" s="21"/>
      <c r="E1115" s="21"/>
      <c r="F1115" s="21"/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2"/>
      <c r="AX1115" s="21"/>
      <c r="AY1115" s="21"/>
      <c r="AZ1115" s="21"/>
      <c r="BA1115" s="21"/>
      <c r="BB1115" s="21"/>
      <c r="BC1115" s="21"/>
      <c r="BD1115" s="21"/>
      <c r="BE1115" s="21"/>
      <c r="BF1115" s="21"/>
      <c r="BG1115" s="21"/>
      <c r="BH1115" s="21"/>
      <c r="BI1115" s="21"/>
      <c r="BJ1115" s="21"/>
      <c r="BK1115" s="21"/>
      <c r="BL1115" s="21"/>
      <c r="BM1115" s="21"/>
      <c r="BN1115" s="21"/>
      <c r="BO1115" s="21"/>
      <c r="BP1115" s="21"/>
      <c r="BQ1115" s="21"/>
      <c r="BR1115" s="21"/>
      <c r="BS1115" s="21"/>
      <c r="BT1115" s="21"/>
      <c r="BU1115" s="21"/>
      <c r="BV1115" s="21"/>
      <c r="BW1115" s="21"/>
      <c r="BX1115" s="21"/>
      <c r="BY1115" s="21"/>
      <c r="BZ1115" s="21"/>
      <c r="CA1115" s="21"/>
      <c r="CB1115" s="21"/>
      <c r="CC1115" s="21"/>
      <c r="CD1115" s="21"/>
      <c r="CE1115" s="21"/>
      <c r="CF1115" s="21"/>
      <c r="CG1115" s="21"/>
      <c r="CH1115" s="21"/>
      <c r="CI1115" s="21"/>
      <c r="CJ1115" s="21"/>
      <c r="CK1115" s="21"/>
      <c r="CL1115" s="21"/>
      <c r="CM1115" s="21"/>
      <c r="CN1115" s="21"/>
      <c r="CO1115" s="21"/>
      <c r="CP1115" s="21"/>
      <c r="CQ1115" s="21"/>
      <c r="CR1115" s="21"/>
      <c r="CS1115" s="21"/>
      <c r="CT1115" s="21"/>
      <c r="CU1115" s="21"/>
      <c r="CV1115" s="21"/>
      <c r="CW1115" s="21"/>
      <c r="CX1115" s="21"/>
      <c r="CY1115" s="22"/>
      <c r="CZ1115" s="21"/>
      <c r="DA1115" s="21"/>
      <c r="DB1115" s="21"/>
    </row>
    <row r="1116" spans="3:106" s="19" customFormat="1" ht="12">
      <c r="C1116" s="21"/>
      <c r="D1116" s="21"/>
      <c r="E1116" s="21"/>
      <c r="F1116" s="21"/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2"/>
      <c r="AX1116" s="21"/>
      <c r="AY1116" s="21"/>
      <c r="AZ1116" s="21"/>
      <c r="BA1116" s="21"/>
      <c r="BB1116" s="21"/>
      <c r="BC1116" s="21"/>
      <c r="BD1116" s="21"/>
      <c r="BE1116" s="21"/>
      <c r="BF1116" s="21"/>
      <c r="BG1116" s="21"/>
      <c r="BH1116" s="21"/>
      <c r="BI1116" s="21"/>
      <c r="BJ1116" s="21"/>
      <c r="BK1116" s="21"/>
      <c r="BL1116" s="21"/>
      <c r="BM1116" s="21"/>
      <c r="BN1116" s="21"/>
      <c r="BO1116" s="21"/>
      <c r="BP1116" s="21"/>
      <c r="BQ1116" s="21"/>
      <c r="BR1116" s="21"/>
      <c r="BS1116" s="21"/>
      <c r="BT1116" s="21"/>
      <c r="BU1116" s="21"/>
      <c r="BV1116" s="21"/>
      <c r="BW1116" s="21"/>
      <c r="BX1116" s="21"/>
      <c r="BY1116" s="21"/>
      <c r="BZ1116" s="21"/>
      <c r="CA1116" s="21"/>
      <c r="CB1116" s="21"/>
      <c r="CC1116" s="21"/>
      <c r="CD1116" s="21"/>
      <c r="CE1116" s="21"/>
      <c r="CF1116" s="21"/>
      <c r="CG1116" s="21"/>
      <c r="CH1116" s="21"/>
      <c r="CI1116" s="21"/>
      <c r="CJ1116" s="21"/>
      <c r="CK1116" s="21"/>
      <c r="CL1116" s="21"/>
      <c r="CM1116" s="21"/>
      <c r="CN1116" s="21"/>
      <c r="CO1116" s="21"/>
      <c r="CP1116" s="21"/>
      <c r="CQ1116" s="21"/>
      <c r="CR1116" s="21"/>
      <c r="CS1116" s="21"/>
      <c r="CT1116" s="21"/>
      <c r="CU1116" s="21"/>
      <c r="CV1116" s="21"/>
      <c r="CW1116" s="21"/>
      <c r="CX1116" s="21"/>
      <c r="CY1116" s="22"/>
      <c r="CZ1116" s="21"/>
      <c r="DA1116" s="21"/>
      <c r="DB1116" s="21"/>
    </row>
    <row r="1117" spans="3:106" s="19" customFormat="1" ht="12">
      <c r="C1117" s="21"/>
      <c r="D1117" s="21"/>
      <c r="E1117" s="21"/>
      <c r="F1117" s="21"/>
      <c r="G1117" s="21"/>
      <c r="H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2"/>
      <c r="AX1117" s="21"/>
      <c r="AY1117" s="21"/>
      <c r="AZ1117" s="21"/>
      <c r="BA1117" s="21"/>
      <c r="BB1117" s="21"/>
      <c r="BC1117" s="21"/>
      <c r="BD1117" s="21"/>
      <c r="BE1117" s="21"/>
      <c r="BF1117" s="21"/>
      <c r="BG1117" s="21"/>
      <c r="BH1117" s="21"/>
      <c r="BI1117" s="21"/>
      <c r="BJ1117" s="21"/>
      <c r="BK1117" s="21"/>
      <c r="BL1117" s="21"/>
      <c r="BM1117" s="21"/>
      <c r="BN1117" s="21"/>
      <c r="BO1117" s="21"/>
      <c r="BP1117" s="21"/>
      <c r="BQ1117" s="21"/>
      <c r="BR1117" s="21"/>
      <c r="BS1117" s="21"/>
      <c r="BT1117" s="21"/>
      <c r="BU1117" s="21"/>
      <c r="BV1117" s="21"/>
      <c r="BW1117" s="21"/>
      <c r="BX1117" s="21"/>
      <c r="BY1117" s="21"/>
      <c r="BZ1117" s="21"/>
      <c r="CA1117" s="21"/>
      <c r="CB1117" s="21"/>
      <c r="CC1117" s="21"/>
      <c r="CD1117" s="21"/>
      <c r="CE1117" s="21"/>
      <c r="CF1117" s="21"/>
      <c r="CG1117" s="21"/>
      <c r="CH1117" s="21"/>
      <c r="CI1117" s="21"/>
      <c r="CJ1117" s="21"/>
      <c r="CK1117" s="21"/>
      <c r="CL1117" s="21"/>
      <c r="CM1117" s="21"/>
      <c r="CN1117" s="21"/>
      <c r="CO1117" s="21"/>
      <c r="CP1117" s="21"/>
      <c r="CQ1117" s="21"/>
      <c r="CR1117" s="21"/>
      <c r="CS1117" s="21"/>
      <c r="CT1117" s="21"/>
      <c r="CU1117" s="21"/>
      <c r="CV1117" s="21"/>
      <c r="CW1117" s="21"/>
      <c r="CX1117" s="21"/>
      <c r="CY1117" s="22"/>
      <c r="CZ1117" s="21"/>
      <c r="DA1117" s="21"/>
      <c r="DB1117" s="21"/>
    </row>
    <row r="1118" spans="3:106" s="19" customFormat="1" ht="12">
      <c r="C1118" s="21"/>
      <c r="D1118" s="21"/>
      <c r="E1118" s="21"/>
      <c r="F1118" s="21"/>
      <c r="G1118" s="21"/>
      <c r="H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2"/>
      <c r="AX1118" s="21"/>
      <c r="AY1118" s="21"/>
      <c r="AZ1118" s="21"/>
      <c r="BA1118" s="21"/>
      <c r="BB1118" s="21"/>
      <c r="BC1118" s="21"/>
      <c r="BD1118" s="21"/>
      <c r="BE1118" s="21"/>
      <c r="BF1118" s="21"/>
      <c r="BG1118" s="21"/>
      <c r="BH1118" s="21"/>
      <c r="BI1118" s="21"/>
      <c r="BJ1118" s="21"/>
      <c r="BK1118" s="21"/>
      <c r="BL1118" s="21"/>
      <c r="BM1118" s="21"/>
      <c r="BN1118" s="21"/>
      <c r="BO1118" s="21"/>
      <c r="BP1118" s="21"/>
      <c r="BQ1118" s="21"/>
      <c r="BR1118" s="21"/>
      <c r="BS1118" s="21"/>
      <c r="BT1118" s="21"/>
      <c r="BU1118" s="21"/>
      <c r="BV1118" s="21"/>
      <c r="BW1118" s="21"/>
      <c r="BX1118" s="21"/>
      <c r="BY1118" s="21"/>
      <c r="BZ1118" s="21"/>
      <c r="CA1118" s="21"/>
      <c r="CB1118" s="21"/>
      <c r="CC1118" s="21"/>
      <c r="CD1118" s="21"/>
      <c r="CE1118" s="21"/>
      <c r="CF1118" s="21"/>
      <c r="CG1118" s="21"/>
      <c r="CH1118" s="21"/>
      <c r="CI1118" s="21"/>
      <c r="CJ1118" s="21"/>
      <c r="CK1118" s="21"/>
      <c r="CL1118" s="21"/>
      <c r="CM1118" s="21"/>
      <c r="CN1118" s="21"/>
      <c r="CO1118" s="21"/>
      <c r="CP1118" s="21"/>
      <c r="CQ1118" s="21"/>
      <c r="CR1118" s="21"/>
      <c r="CS1118" s="21"/>
      <c r="CT1118" s="21"/>
      <c r="CU1118" s="21"/>
      <c r="CV1118" s="21"/>
      <c r="CW1118" s="21"/>
      <c r="CX1118" s="21"/>
      <c r="CY1118" s="22"/>
      <c r="CZ1118" s="21"/>
      <c r="DA1118" s="21"/>
      <c r="DB1118" s="21"/>
    </row>
    <row r="1119" spans="3:106" s="19" customFormat="1" ht="12">
      <c r="C1119" s="21"/>
      <c r="D1119" s="21"/>
      <c r="E1119" s="21"/>
      <c r="F1119" s="21"/>
      <c r="G1119" s="21"/>
      <c r="H1119" s="21"/>
      <c r="I1119" s="21"/>
      <c r="J1119" s="21"/>
      <c r="K1119" s="21"/>
      <c r="L1119" s="21"/>
      <c r="M1119" s="21"/>
      <c r="N1119" s="21"/>
      <c r="O1119" s="21"/>
      <c r="P1119" s="21"/>
      <c r="Q1119" s="21"/>
      <c r="R1119" s="21"/>
      <c r="S1119" s="21"/>
      <c r="T1119" s="21"/>
      <c r="U1119" s="21"/>
      <c r="V1119" s="21"/>
      <c r="W1119" s="21"/>
      <c r="X1119" s="21"/>
      <c r="Y1119" s="21"/>
      <c r="Z1119" s="21"/>
      <c r="AA1119" s="21"/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2"/>
      <c r="AX1119" s="21"/>
      <c r="AY1119" s="21"/>
      <c r="AZ1119" s="21"/>
      <c r="BA1119" s="21"/>
      <c r="BB1119" s="21"/>
      <c r="BC1119" s="21"/>
      <c r="BD1119" s="21"/>
      <c r="BE1119" s="21"/>
      <c r="BF1119" s="21"/>
      <c r="BG1119" s="21"/>
      <c r="BH1119" s="21"/>
      <c r="BI1119" s="21"/>
      <c r="BJ1119" s="21"/>
      <c r="BK1119" s="21"/>
      <c r="BL1119" s="21"/>
      <c r="BM1119" s="21"/>
      <c r="BN1119" s="21"/>
      <c r="BO1119" s="21"/>
      <c r="BP1119" s="21"/>
      <c r="BQ1119" s="21"/>
      <c r="BR1119" s="21"/>
      <c r="BS1119" s="21"/>
      <c r="BT1119" s="21"/>
      <c r="BU1119" s="21"/>
      <c r="BV1119" s="21"/>
      <c r="BW1119" s="21"/>
      <c r="BX1119" s="21"/>
      <c r="BY1119" s="21"/>
      <c r="BZ1119" s="21"/>
      <c r="CA1119" s="21"/>
      <c r="CB1119" s="21"/>
      <c r="CC1119" s="21"/>
      <c r="CD1119" s="21"/>
      <c r="CE1119" s="21"/>
      <c r="CF1119" s="21"/>
      <c r="CG1119" s="21"/>
      <c r="CH1119" s="21"/>
      <c r="CI1119" s="21"/>
      <c r="CJ1119" s="21"/>
      <c r="CK1119" s="21"/>
      <c r="CL1119" s="21"/>
      <c r="CM1119" s="21"/>
      <c r="CN1119" s="21"/>
      <c r="CO1119" s="21"/>
      <c r="CP1119" s="21"/>
      <c r="CQ1119" s="21"/>
      <c r="CR1119" s="21"/>
      <c r="CS1119" s="21"/>
      <c r="CT1119" s="21"/>
      <c r="CU1119" s="21"/>
      <c r="CV1119" s="21"/>
      <c r="CW1119" s="21"/>
      <c r="CX1119" s="21"/>
      <c r="CY1119" s="22"/>
      <c r="CZ1119" s="21"/>
      <c r="DA1119" s="21"/>
      <c r="DB1119" s="21"/>
    </row>
    <row r="1120" spans="3:106" s="19" customFormat="1" ht="12">
      <c r="C1120" s="21"/>
      <c r="D1120" s="21"/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2"/>
      <c r="AX1120" s="21"/>
      <c r="AY1120" s="21"/>
      <c r="AZ1120" s="21"/>
      <c r="BA1120" s="21"/>
      <c r="BB1120" s="21"/>
      <c r="BC1120" s="21"/>
      <c r="BD1120" s="21"/>
      <c r="BE1120" s="21"/>
      <c r="BF1120" s="21"/>
      <c r="BG1120" s="21"/>
      <c r="BH1120" s="21"/>
      <c r="BI1120" s="21"/>
      <c r="BJ1120" s="21"/>
      <c r="BK1120" s="21"/>
      <c r="BL1120" s="21"/>
      <c r="BM1120" s="21"/>
      <c r="BN1120" s="21"/>
      <c r="BO1120" s="21"/>
      <c r="BP1120" s="21"/>
      <c r="BQ1120" s="21"/>
      <c r="BR1120" s="21"/>
      <c r="BS1120" s="21"/>
      <c r="BT1120" s="21"/>
      <c r="BU1120" s="21"/>
      <c r="BV1120" s="21"/>
      <c r="BW1120" s="21"/>
      <c r="BX1120" s="21"/>
      <c r="BY1120" s="21"/>
      <c r="BZ1120" s="21"/>
      <c r="CA1120" s="21"/>
      <c r="CB1120" s="21"/>
      <c r="CC1120" s="21"/>
      <c r="CD1120" s="21"/>
      <c r="CE1120" s="21"/>
      <c r="CF1120" s="21"/>
      <c r="CG1120" s="21"/>
      <c r="CH1120" s="21"/>
      <c r="CI1120" s="21"/>
      <c r="CJ1120" s="21"/>
      <c r="CK1120" s="21"/>
      <c r="CL1120" s="21"/>
      <c r="CM1120" s="21"/>
      <c r="CN1120" s="21"/>
      <c r="CO1120" s="21"/>
      <c r="CP1120" s="21"/>
      <c r="CQ1120" s="21"/>
      <c r="CR1120" s="21"/>
      <c r="CS1120" s="21"/>
      <c r="CT1120" s="21"/>
      <c r="CU1120" s="21"/>
      <c r="CV1120" s="21"/>
      <c r="CW1120" s="21"/>
      <c r="CX1120" s="21"/>
      <c r="CY1120" s="22"/>
      <c r="CZ1120" s="21"/>
      <c r="DA1120" s="21"/>
      <c r="DB1120" s="21"/>
    </row>
    <row r="1121" spans="3:106" s="19" customFormat="1" ht="12">
      <c r="C1121" s="21"/>
      <c r="D1121" s="21"/>
      <c r="E1121" s="21"/>
      <c r="F1121" s="21"/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2"/>
      <c r="AX1121" s="21"/>
      <c r="AY1121" s="21"/>
      <c r="AZ1121" s="21"/>
      <c r="BA1121" s="21"/>
      <c r="BB1121" s="21"/>
      <c r="BC1121" s="21"/>
      <c r="BD1121" s="21"/>
      <c r="BE1121" s="21"/>
      <c r="BF1121" s="21"/>
      <c r="BG1121" s="21"/>
      <c r="BH1121" s="21"/>
      <c r="BI1121" s="21"/>
      <c r="BJ1121" s="21"/>
      <c r="BK1121" s="21"/>
      <c r="BL1121" s="21"/>
      <c r="BM1121" s="21"/>
      <c r="BN1121" s="21"/>
      <c r="BO1121" s="21"/>
      <c r="BP1121" s="21"/>
      <c r="BQ1121" s="21"/>
      <c r="BR1121" s="21"/>
      <c r="BS1121" s="21"/>
      <c r="BT1121" s="21"/>
      <c r="BU1121" s="21"/>
      <c r="BV1121" s="21"/>
      <c r="BW1121" s="21"/>
      <c r="BX1121" s="21"/>
      <c r="BY1121" s="21"/>
      <c r="BZ1121" s="21"/>
      <c r="CA1121" s="21"/>
      <c r="CB1121" s="21"/>
      <c r="CC1121" s="21"/>
      <c r="CD1121" s="21"/>
      <c r="CE1121" s="21"/>
      <c r="CF1121" s="21"/>
      <c r="CG1121" s="21"/>
      <c r="CH1121" s="21"/>
      <c r="CI1121" s="21"/>
      <c r="CJ1121" s="21"/>
      <c r="CK1121" s="21"/>
      <c r="CL1121" s="21"/>
      <c r="CM1121" s="21"/>
      <c r="CN1121" s="21"/>
      <c r="CO1121" s="21"/>
      <c r="CP1121" s="21"/>
      <c r="CQ1121" s="21"/>
      <c r="CR1121" s="21"/>
      <c r="CS1121" s="21"/>
      <c r="CT1121" s="21"/>
      <c r="CU1121" s="21"/>
      <c r="CV1121" s="21"/>
      <c r="CW1121" s="21"/>
      <c r="CX1121" s="21"/>
      <c r="CY1121" s="22"/>
      <c r="CZ1121" s="21"/>
      <c r="DA1121" s="21"/>
      <c r="DB1121" s="21"/>
    </row>
    <row r="1122" spans="3:106" s="19" customFormat="1" ht="12">
      <c r="C1122" s="21"/>
      <c r="D1122" s="21"/>
      <c r="E1122" s="21"/>
      <c r="F1122" s="21"/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2"/>
      <c r="AX1122" s="21"/>
      <c r="AY1122" s="21"/>
      <c r="AZ1122" s="21"/>
      <c r="BA1122" s="21"/>
      <c r="BB1122" s="21"/>
      <c r="BC1122" s="21"/>
      <c r="BD1122" s="21"/>
      <c r="BE1122" s="21"/>
      <c r="BF1122" s="21"/>
      <c r="BG1122" s="21"/>
      <c r="BH1122" s="21"/>
      <c r="BI1122" s="21"/>
      <c r="BJ1122" s="21"/>
      <c r="BK1122" s="21"/>
      <c r="BL1122" s="21"/>
      <c r="BM1122" s="21"/>
      <c r="BN1122" s="21"/>
      <c r="BO1122" s="21"/>
      <c r="BP1122" s="21"/>
      <c r="BQ1122" s="21"/>
      <c r="BR1122" s="21"/>
      <c r="BS1122" s="21"/>
      <c r="BT1122" s="21"/>
      <c r="BU1122" s="21"/>
      <c r="BV1122" s="21"/>
      <c r="BW1122" s="21"/>
      <c r="BX1122" s="21"/>
      <c r="BY1122" s="21"/>
      <c r="BZ1122" s="21"/>
      <c r="CA1122" s="21"/>
      <c r="CB1122" s="21"/>
      <c r="CC1122" s="21"/>
      <c r="CD1122" s="21"/>
      <c r="CE1122" s="21"/>
      <c r="CF1122" s="21"/>
      <c r="CG1122" s="21"/>
      <c r="CH1122" s="21"/>
      <c r="CI1122" s="21"/>
      <c r="CJ1122" s="21"/>
      <c r="CK1122" s="21"/>
      <c r="CL1122" s="21"/>
      <c r="CM1122" s="21"/>
      <c r="CN1122" s="21"/>
      <c r="CO1122" s="21"/>
      <c r="CP1122" s="21"/>
      <c r="CQ1122" s="21"/>
      <c r="CR1122" s="21"/>
      <c r="CS1122" s="21"/>
      <c r="CT1122" s="21"/>
      <c r="CU1122" s="21"/>
      <c r="CV1122" s="21"/>
      <c r="CW1122" s="21"/>
      <c r="CX1122" s="21"/>
      <c r="CY1122" s="22"/>
      <c r="CZ1122" s="21"/>
      <c r="DA1122" s="21"/>
      <c r="DB1122" s="21"/>
    </row>
    <row r="1123" spans="3:106" s="19" customFormat="1" ht="12">
      <c r="C1123" s="21"/>
      <c r="D1123" s="21"/>
      <c r="E1123" s="21"/>
      <c r="F1123" s="21"/>
      <c r="G1123" s="21"/>
      <c r="H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2"/>
      <c r="AX1123" s="21"/>
      <c r="AY1123" s="21"/>
      <c r="AZ1123" s="21"/>
      <c r="BA1123" s="21"/>
      <c r="BB1123" s="21"/>
      <c r="BC1123" s="21"/>
      <c r="BD1123" s="21"/>
      <c r="BE1123" s="21"/>
      <c r="BF1123" s="21"/>
      <c r="BG1123" s="21"/>
      <c r="BH1123" s="21"/>
      <c r="BI1123" s="21"/>
      <c r="BJ1123" s="21"/>
      <c r="BK1123" s="21"/>
      <c r="BL1123" s="21"/>
      <c r="BM1123" s="21"/>
      <c r="BN1123" s="21"/>
      <c r="BO1123" s="21"/>
      <c r="BP1123" s="21"/>
      <c r="BQ1123" s="21"/>
      <c r="BR1123" s="21"/>
      <c r="BS1123" s="21"/>
      <c r="BT1123" s="21"/>
      <c r="BU1123" s="21"/>
      <c r="BV1123" s="21"/>
      <c r="BW1123" s="21"/>
      <c r="BX1123" s="21"/>
      <c r="BY1123" s="21"/>
      <c r="BZ1123" s="21"/>
      <c r="CA1123" s="21"/>
      <c r="CB1123" s="21"/>
      <c r="CC1123" s="21"/>
      <c r="CD1123" s="21"/>
      <c r="CE1123" s="21"/>
      <c r="CF1123" s="21"/>
      <c r="CG1123" s="21"/>
      <c r="CH1123" s="21"/>
      <c r="CI1123" s="21"/>
      <c r="CJ1123" s="21"/>
      <c r="CK1123" s="21"/>
      <c r="CL1123" s="21"/>
      <c r="CM1123" s="21"/>
      <c r="CN1123" s="21"/>
      <c r="CO1123" s="21"/>
      <c r="CP1123" s="21"/>
      <c r="CQ1123" s="21"/>
      <c r="CR1123" s="21"/>
      <c r="CS1123" s="21"/>
      <c r="CT1123" s="21"/>
      <c r="CU1123" s="21"/>
      <c r="CV1123" s="21"/>
      <c r="CW1123" s="21"/>
      <c r="CX1123" s="21"/>
      <c r="CY1123" s="22"/>
      <c r="CZ1123" s="21"/>
      <c r="DA1123" s="21"/>
      <c r="DB1123" s="21"/>
    </row>
    <row r="1124" spans="3:106" s="19" customFormat="1" ht="12">
      <c r="C1124" s="21"/>
      <c r="D1124" s="21"/>
      <c r="E1124" s="21"/>
      <c r="F1124" s="21"/>
      <c r="G1124" s="21"/>
      <c r="H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2"/>
      <c r="AX1124" s="21"/>
      <c r="AY1124" s="21"/>
      <c r="AZ1124" s="21"/>
      <c r="BA1124" s="21"/>
      <c r="BB1124" s="21"/>
      <c r="BC1124" s="21"/>
      <c r="BD1124" s="21"/>
      <c r="BE1124" s="21"/>
      <c r="BF1124" s="21"/>
      <c r="BG1124" s="21"/>
      <c r="BH1124" s="21"/>
      <c r="BI1124" s="21"/>
      <c r="BJ1124" s="21"/>
      <c r="BK1124" s="21"/>
      <c r="BL1124" s="21"/>
      <c r="BM1124" s="21"/>
      <c r="BN1124" s="21"/>
      <c r="BO1124" s="21"/>
      <c r="BP1124" s="21"/>
      <c r="BQ1124" s="21"/>
      <c r="BR1124" s="21"/>
      <c r="BS1124" s="21"/>
      <c r="BT1124" s="21"/>
      <c r="BU1124" s="21"/>
      <c r="BV1124" s="21"/>
      <c r="BW1124" s="21"/>
      <c r="BX1124" s="21"/>
      <c r="BY1124" s="21"/>
      <c r="BZ1124" s="21"/>
      <c r="CA1124" s="21"/>
      <c r="CB1124" s="21"/>
      <c r="CC1124" s="21"/>
      <c r="CD1124" s="21"/>
      <c r="CE1124" s="21"/>
      <c r="CF1124" s="21"/>
      <c r="CG1124" s="21"/>
      <c r="CH1124" s="21"/>
      <c r="CI1124" s="21"/>
      <c r="CJ1124" s="21"/>
      <c r="CK1124" s="21"/>
      <c r="CL1124" s="21"/>
      <c r="CM1124" s="21"/>
      <c r="CN1124" s="21"/>
      <c r="CO1124" s="21"/>
      <c r="CP1124" s="21"/>
      <c r="CQ1124" s="21"/>
      <c r="CR1124" s="21"/>
      <c r="CS1124" s="21"/>
      <c r="CT1124" s="21"/>
      <c r="CU1124" s="21"/>
      <c r="CV1124" s="21"/>
      <c r="CW1124" s="21"/>
      <c r="CX1124" s="21"/>
      <c r="CY1124" s="22"/>
      <c r="CZ1124" s="21"/>
      <c r="DA1124" s="21"/>
      <c r="DB1124" s="21"/>
    </row>
    <row r="1125" spans="3:106" s="19" customFormat="1" ht="12">
      <c r="C1125" s="21"/>
      <c r="D1125" s="21"/>
      <c r="E1125" s="21"/>
      <c r="F1125" s="21"/>
      <c r="G1125" s="21"/>
      <c r="H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2"/>
      <c r="AX1125" s="21"/>
      <c r="AY1125" s="21"/>
      <c r="AZ1125" s="21"/>
      <c r="BA1125" s="21"/>
      <c r="BB1125" s="21"/>
      <c r="BC1125" s="21"/>
      <c r="BD1125" s="21"/>
      <c r="BE1125" s="21"/>
      <c r="BF1125" s="21"/>
      <c r="BG1125" s="21"/>
      <c r="BH1125" s="21"/>
      <c r="BI1125" s="21"/>
      <c r="BJ1125" s="21"/>
      <c r="BK1125" s="21"/>
      <c r="BL1125" s="21"/>
      <c r="BM1125" s="21"/>
      <c r="BN1125" s="21"/>
      <c r="BO1125" s="21"/>
      <c r="BP1125" s="21"/>
      <c r="BQ1125" s="21"/>
      <c r="BR1125" s="21"/>
      <c r="BS1125" s="21"/>
      <c r="BT1125" s="21"/>
      <c r="BU1125" s="21"/>
      <c r="BV1125" s="21"/>
      <c r="BW1125" s="21"/>
      <c r="BX1125" s="21"/>
      <c r="BY1125" s="21"/>
      <c r="BZ1125" s="21"/>
      <c r="CA1125" s="21"/>
      <c r="CB1125" s="21"/>
      <c r="CC1125" s="21"/>
      <c r="CD1125" s="21"/>
      <c r="CE1125" s="21"/>
      <c r="CF1125" s="21"/>
      <c r="CG1125" s="21"/>
      <c r="CH1125" s="21"/>
      <c r="CI1125" s="21"/>
      <c r="CJ1125" s="21"/>
      <c r="CK1125" s="21"/>
      <c r="CL1125" s="21"/>
      <c r="CM1125" s="21"/>
      <c r="CN1125" s="21"/>
      <c r="CO1125" s="21"/>
      <c r="CP1125" s="21"/>
      <c r="CQ1125" s="21"/>
      <c r="CR1125" s="21"/>
      <c r="CS1125" s="21"/>
      <c r="CT1125" s="21"/>
      <c r="CU1125" s="21"/>
      <c r="CV1125" s="21"/>
      <c r="CW1125" s="21"/>
      <c r="CX1125" s="21"/>
      <c r="CY1125" s="22"/>
      <c r="CZ1125" s="21"/>
      <c r="DA1125" s="21"/>
      <c r="DB1125" s="21"/>
    </row>
    <row r="1126" spans="3:106" s="19" customFormat="1" ht="12">
      <c r="C1126" s="21"/>
      <c r="D1126" s="21"/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2"/>
      <c r="AX1126" s="21"/>
      <c r="AY1126" s="21"/>
      <c r="AZ1126" s="21"/>
      <c r="BA1126" s="21"/>
      <c r="BB1126" s="21"/>
      <c r="BC1126" s="21"/>
      <c r="BD1126" s="21"/>
      <c r="BE1126" s="21"/>
      <c r="BF1126" s="21"/>
      <c r="BG1126" s="21"/>
      <c r="BH1126" s="21"/>
      <c r="BI1126" s="21"/>
      <c r="BJ1126" s="21"/>
      <c r="BK1126" s="21"/>
      <c r="BL1126" s="21"/>
      <c r="BM1126" s="21"/>
      <c r="BN1126" s="21"/>
      <c r="BO1126" s="21"/>
      <c r="BP1126" s="21"/>
      <c r="BQ1126" s="21"/>
      <c r="BR1126" s="21"/>
      <c r="BS1126" s="21"/>
      <c r="BT1126" s="21"/>
      <c r="BU1126" s="21"/>
      <c r="BV1126" s="21"/>
      <c r="BW1126" s="21"/>
      <c r="BX1126" s="21"/>
      <c r="BY1126" s="21"/>
      <c r="BZ1126" s="21"/>
      <c r="CA1126" s="21"/>
      <c r="CB1126" s="21"/>
      <c r="CC1126" s="21"/>
      <c r="CD1126" s="21"/>
      <c r="CE1126" s="21"/>
      <c r="CF1126" s="21"/>
      <c r="CG1126" s="21"/>
      <c r="CH1126" s="21"/>
      <c r="CI1126" s="21"/>
      <c r="CJ1126" s="21"/>
      <c r="CK1126" s="21"/>
      <c r="CL1126" s="21"/>
      <c r="CM1126" s="21"/>
      <c r="CN1126" s="21"/>
      <c r="CO1126" s="21"/>
      <c r="CP1126" s="21"/>
      <c r="CQ1126" s="21"/>
      <c r="CR1126" s="21"/>
      <c r="CS1126" s="21"/>
      <c r="CT1126" s="21"/>
      <c r="CU1126" s="21"/>
      <c r="CV1126" s="21"/>
      <c r="CW1126" s="21"/>
      <c r="CX1126" s="21"/>
      <c r="CY1126" s="22"/>
      <c r="CZ1126" s="21"/>
      <c r="DA1126" s="21"/>
      <c r="DB1126" s="21"/>
    </row>
    <row r="1127" spans="3:106" s="19" customFormat="1" ht="12">
      <c r="C1127" s="21"/>
      <c r="D1127" s="21"/>
      <c r="E1127" s="21"/>
      <c r="F1127" s="21"/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2"/>
      <c r="AX1127" s="21"/>
      <c r="AY1127" s="21"/>
      <c r="AZ1127" s="21"/>
      <c r="BA1127" s="21"/>
      <c r="BB1127" s="21"/>
      <c r="BC1127" s="21"/>
      <c r="BD1127" s="21"/>
      <c r="BE1127" s="21"/>
      <c r="BF1127" s="21"/>
      <c r="BG1127" s="21"/>
      <c r="BH1127" s="21"/>
      <c r="BI1127" s="21"/>
      <c r="BJ1127" s="21"/>
      <c r="BK1127" s="21"/>
      <c r="BL1127" s="21"/>
      <c r="BM1127" s="21"/>
      <c r="BN1127" s="21"/>
      <c r="BO1127" s="21"/>
      <c r="BP1127" s="21"/>
      <c r="BQ1127" s="21"/>
      <c r="BR1127" s="21"/>
      <c r="BS1127" s="21"/>
      <c r="BT1127" s="21"/>
      <c r="BU1127" s="21"/>
      <c r="BV1127" s="21"/>
      <c r="BW1127" s="21"/>
      <c r="BX1127" s="21"/>
      <c r="BY1127" s="21"/>
      <c r="BZ1127" s="21"/>
      <c r="CA1127" s="21"/>
      <c r="CB1127" s="21"/>
      <c r="CC1127" s="21"/>
      <c r="CD1127" s="21"/>
      <c r="CE1127" s="21"/>
      <c r="CF1127" s="21"/>
      <c r="CG1127" s="21"/>
      <c r="CH1127" s="21"/>
      <c r="CI1127" s="21"/>
      <c r="CJ1127" s="21"/>
      <c r="CK1127" s="21"/>
      <c r="CL1127" s="21"/>
      <c r="CM1127" s="21"/>
      <c r="CN1127" s="21"/>
      <c r="CO1127" s="21"/>
      <c r="CP1127" s="21"/>
      <c r="CQ1127" s="21"/>
      <c r="CR1127" s="21"/>
      <c r="CS1127" s="21"/>
      <c r="CT1127" s="21"/>
      <c r="CU1127" s="21"/>
      <c r="CV1127" s="21"/>
      <c r="CW1127" s="21"/>
      <c r="CX1127" s="21"/>
      <c r="CY1127" s="22"/>
      <c r="CZ1127" s="21"/>
      <c r="DA1127" s="21"/>
      <c r="DB1127" s="21"/>
    </row>
    <row r="1128" spans="3:106" s="19" customFormat="1" ht="12">
      <c r="C1128" s="21"/>
      <c r="D1128" s="21"/>
      <c r="E1128" s="21"/>
      <c r="F1128" s="21"/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2"/>
      <c r="AX1128" s="21"/>
      <c r="AY1128" s="21"/>
      <c r="AZ1128" s="21"/>
      <c r="BA1128" s="21"/>
      <c r="BB1128" s="21"/>
      <c r="BC1128" s="21"/>
      <c r="BD1128" s="21"/>
      <c r="BE1128" s="21"/>
      <c r="BF1128" s="21"/>
      <c r="BG1128" s="21"/>
      <c r="BH1128" s="21"/>
      <c r="BI1128" s="21"/>
      <c r="BJ1128" s="21"/>
      <c r="BK1128" s="21"/>
      <c r="BL1128" s="21"/>
      <c r="BM1128" s="21"/>
      <c r="BN1128" s="21"/>
      <c r="BO1128" s="21"/>
      <c r="BP1128" s="21"/>
      <c r="BQ1128" s="21"/>
      <c r="BR1128" s="21"/>
      <c r="BS1128" s="21"/>
      <c r="BT1128" s="21"/>
      <c r="BU1128" s="21"/>
      <c r="BV1128" s="21"/>
      <c r="BW1128" s="21"/>
      <c r="BX1128" s="21"/>
      <c r="BY1128" s="21"/>
      <c r="BZ1128" s="21"/>
      <c r="CA1128" s="21"/>
      <c r="CB1128" s="21"/>
      <c r="CC1128" s="21"/>
      <c r="CD1128" s="21"/>
      <c r="CE1128" s="21"/>
      <c r="CF1128" s="21"/>
      <c r="CG1128" s="21"/>
      <c r="CH1128" s="21"/>
      <c r="CI1128" s="21"/>
      <c r="CJ1128" s="21"/>
      <c r="CK1128" s="21"/>
      <c r="CL1128" s="21"/>
      <c r="CM1128" s="21"/>
      <c r="CN1128" s="21"/>
      <c r="CO1128" s="21"/>
      <c r="CP1128" s="21"/>
      <c r="CQ1128" s="21"/>
      <c r="CR1128" s="21"/>
      <c r="CS1128" s="21"/>
      <c r="CT1128" s="21"/>
      <c r="CU1128" s="21"/>
      <c r="CV1128" s="21"/>
      <c r="CW1128" s="21"/>
      <c r="CX1128" s="21"/>
      <c r="CY1128" s="22"/>
      <c r="CZ1128" s="21"/>
      <c r="DA1128" s="21"/>
      <c r="DB1128" s="21"/>
    </row>
    <row r="1129" spans="3:106" s="19" customFormat="1" ht="12">
      <c r="C1129" s="21"/>
      <c r="D1129" s="21"/>
      <c r="E1129" s="21"/>
      <c r="F1129" s="21"/>
      <c r="G1129" s="21"/>
      <c r="H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2"/>
      <c r="AX1129" s="21"/>
      <c r="AY1129" s="21"/>
      <c r="AZ1129" s="21"/>
      <c r="BA1129" s="21"/>
      <c r="BB1129" s="21"/>
      <c r="BC1129" s="21"/>
      <c r="BD1129" s="21"/>
      <c r="BE1129" s="21"/>
      <c r="BF1129" s="21"/>
      <c r="BG1129" s="21"/>
      <c r="BH1129" s="21"/>
      <c r="BI1129" s="21"/>
      <c r="BJ1129" s="21"/>
      <c r="BK1129" s="21"/>
      <c r="BL1129" s="21"/>
      <c r="BM1129" s="21"/>
      <c r="BN1129" s="21"/>
      <c r="BO1129" s="21"/>
      <c r="BP1129" s="21"/>
      <c r="BQ1129" s="21"/>
      <c r="BR1129" s="21"/>
      <c r="BS1129" s="21"/>
      <c r="BT1129" s="21"/>
      <c r="BU1129" s="21"/>
      <c r="BV1129" s="21"/>
      <c r="BW1129" s="21"/>
      <c r="BX1129" s="21"/>
      <c r="BY1129" s="21"/>
      <c r="BZ1129" s="21"/>
      <c r="CA1129" s="21"/>
      <c r="CB1129" s="21"/>
      <c r="CC1129" s="21"/>
      <c r="CD1129" s="21"/>
      <c r="CE1129" s="21"/>
      <c r="CF1129" s="21"/>
      <c r="CG1129" s="21"/>
      <c r="CH1129" s="21"/>
      <c r="CI1129" s="21"/>
      <c r="CJ1129" s="21"/>
      <c r="CK1129" s="21"/>
      <c r="CL1129" s="21"/>
      <c r="CM1129" s="21"/>
      <c r="CN1129" s="21"/>
      <c r="CO1129" s="21"/>
      <c r="CP1129" s="21"/>
      <c r="CQ1129" s="21"/>
      <c r="CR1129" s="21"/>
      <c r="CS1129" s="21"/>
      <c r="CT1129" s="21"/>
      <c r="CU1129" s="21"/>
      <c r="CV1129" s="21"/>
      <c r="CW1129" s="21"/>
      <c r="CX1129" s="21"/>
      <c r="CY1129" s="22"/>
      <c r="CZ1129" s="21"/>
      <c r="DA1129" s="21"/>
      <c r="DB1129" s="21"/>
    </row>
    <row r="1130" spans="3:106" s="19" customFormat="1" ht="12">
      <c r="C1130" s="21"/>
      <c r="D1130" s="21"/>
      <c r="E1130" s="21"/>
      <c r="F1130" s="21"/>
      <c r="G1130" s="21"/>
      <c r="H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2"/>
      <c r="AX1130" s="21"/>
      <c r="AY1130" s="21"/>
      <c r="AZ1130" s="21"/>
      <c r="BA1130" s="21"/>
      <c r="BB1130" s="21"/>
      <c r="BC1130" s="21"/>
      <c r="BD1130" s="21"/>
      <c r="BE1130" s="21"/>
      <c r="BF1130" s="21"/>
      <c r="BG1130" s="21"/>
      <c r="BH1130" s="21"/>
      <c r="BI1130" s="21"/>
      <c r="BJ1130" s="21"/>
      <c r="BK1130" s="21"/>
      <c r="BL1130" s="21"/>
      <c r="BM1130" s="21"/>
      <c r="BN1130" s="21"/>
      <c r="BO1130" s="21"/>
      <c r="BP1130" s="21"/>
      <c r="BQ1130" s="21"/>
      <c r="BR1130" s="21"/>
      <c r="BS1130" s="21"/>
      <c r="BT1130" s="21"/>
      <c r="BU1130" s="21"/>
      <c r="BV1130" s="21"/>
      <c r="BW1130" s="21"/>
      <c r="BX1130" s="21"/>
      <c r="BY1130" s="21"/>
      <c r="BZ1130" s="21"/>
      <c r="CA1130" s="21"/>
      <c r="CB1130" s="21"/>
      <c r="CC1130" s="21"/>
      <c r="CD1130" s="21"/>
      <c r="CE1130" s="21"/>
      <c r="CF1130" s="21"/>
      <c r="CG1130" s="21"/>
      <c r="CH1130" s="21"/>
      <c r="CI1130" s="21"/>
      <c r="CJ1130" s="21"/>
      <c r="CK1130" s="21"/>
      <c r="CL1130" s="21"/>
      <c r="CM1130" s="21"/>
      <c r="CN1130" s="21"/>
      <c r="CO1130" s="21"/>
      <c r="CP1130" s="21"/>
      <c r="CQ1130" s="21"/>
      <c r="CR1130" s="21"/>
      <c r="CS1130" s="21"/>
      <c r="CT1130" s="21"/>
      <c r="CU1130" s="21"/>
      <c r="CV1130" s="21"/>
      <c r="CW1130" s="21"/>
      <c r="CX1130" s="21"/>
      <c r="CY1130" s="22"/>
      <c r="CZ1130" s="21"/>
      <c r="DA1130" s="21"/>
      <c r="DB1130" s="21"/>
    </row>
    <row r="1131" spans="3:106" s="19" customFormat="1" ht="12">
      <c r="C1131" s="21"/>
      <c r="D1131" s="21"/>
      <c r="E1131" s="21"/>
      <c r="F1131" s="21"/>
      <c r="G1131" s="21"/>
      <c r="H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2"/>
      <c r="AX1131" s="21"/>
      <c r="AY1131" s="21"/>
      <c r="AZ1131" s="21"/>
      <c r="BA1131" s="21"/>
      <c r="BB1131" s="21"/>
      <c r="BC1131" s="21"/>
      <c r="BD1131" s="21"/>
      <c r="BE1131" s="21"/>
      <c r="BF1131" s="21"/>
      <c r="BG1131" s="21"/>
      <c r="BH1131" s="21"/>
      <c r="BI1131" s="21"/>
      <c r="BJ1131" s="21"/>
      <c r="BK1131" s="21"/>
      <c r="BL1131" s="21"/>
      <c r="BM1131" s="21"/>
      <c r="BN1131" s="21"/>
      <c r="BO1131" s="21"/>
      <c r="BP1131" s="21"/>
      <c r="BQ1131" s="21"/>
      <c r="BR1131" s="21"/>
      <c r="BS1131" s="21"/>
      <c r="BT1131" s="21"/>
      <c r="BU1131" s="21"/>
      <c r="BV1131" s="21"/>
      <c r="BW1131" s="21"/>
      <c r="BX1131" s="21"/>
      <c r="BY1131" s="21"/>
      <c r="BZ1131" s="21"/>
      <c r="CA1131" s="21"/>
      <c r="CB1131" s="21"/>
      <c r="CC1131" s="21"/>
      <c r="CD1131" s="21"/>
      <c r="CE1131" s="21"/>
      <c r="CF1131" s="21"/>
      <c r="CG1131" s="21"/>
      <c r="CH1131" s="21"/>
      <c r="CI1131" s="21"/>
      <c r="CJ1131" s="21"/>
      <c r="CK1131" s="21"/>
      <c r="CL1131" s="21"/>
      <c r="CM1131" s="21"/>
      <c r="CN1131" s="21"/>
      <c r="CO1131" s="21"/>
      <c r="CP1131" s="21"/>
      <c r="CQ1131" s="21"/>
      <c r="CR1131" s="21"/>
      <c r="CS1131" s="21"/>
      <c r="CT1131" s="21"/>
      <c r="CU1131" s="21"/>
      <c r="CV1131" s="21"/>
      <c r="CW1131" s="21"/>
      <c r="CX1131" s="21"/>
      <c r="CY1131" s="22"/>
      <c r="CZ1131" s="21"/>
      <c r="DA1131" s="21"/>
      <c r="DB1131" s="21"/>
    </row>
    <row r="1132" spans="3:106" s="19" customFormat="1" ht="12">
      <c r="C1132" s="21"/>
      <c r="D1132" s="21"/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2"/>
      <c r="AX1132" s="21"/>
      <c r="AY1132" s="21"/>
      <c r="AZ1132" s="21"/>
      <c r="BA1132" s="21"/>
      <c r="BB1132" s="21"/>
      <c r="BC1132" s="21"/>
      <c r="BD1132" s="21"/>
      <c r="BE1132" s="21"/>
      <c r="BF1132" s="21"/>
      <c r="BG1132" s="21"/>
      <c r="BH1132" s="21"/>
      <c r="BI1132" s="21"/>
      <c r="BJ1132" s="21"/>
      <c r="BK1132" s="21"/>
      <c r="BL1132" s="21"/>
      <c r="BM1132" s="21"/>
      <c r="BN1132" s="21"/>
      <c r="BO1132" s="21"/>
      <c r="BP1132" s="21"/>
      <c r="BQ1132" s="21"/>
      <c r="BR1132" s="21"/>
      <c r="BS1132" s="21"/>
      <c r="BT1132" s="21"/>
      <c r="BU1132" s="21"/>
      <c r="BV1132" s="21"/>
      <c r="BW1132" s="21"/>
      <c r="BX1132" s="21"/>
      <c r="BY1132" s="21"/>
      <c r="BZ1132" s="21"/>
      <c r="CA1132" s="21"/>
      <c r="CB1132" s="21"/>
      <c r="CC1132" s="21"/>
      <c r="CD1132" s="21"/>
      <c r="CE1132" s="21"/>
      <c r="CF1132" s="21"/>
      <c r="CG1132" s="21"/>
      <c r="CH1132" s="21"/>
      <c r="CI1132" s="21"/>
      <c r="CJ1132" s="21"/>
      <c r="CK1132" s="21"/>
      <c r="CL1132" s="21"/>
      <c r="CM1132" s="21"/>
      <c r="CN1132" s="21"/>
      <c r="CO1132" s="21"/>
      <c r="CP1132" s="21"/>
      <c r="CQ1132" s="21"/>
      <c r="CR1132" s="21"/>
      <c r="CS1132" s="21"/>
      <c r="CT1132" s="21"/>
      <c r="CU1132" s="21"/>
      <c r="CV1132" s="21"/>
      <c r="CW1132" s="21"/>
      <c r="CX1132" s="21"/>
      <c r="CY1132" s="22"/>
      <c r="CZ1132" s="21"/>
      <c r="DA1132" s="21"/>
      <c r="DB1132" s="21"/>
    </row>
    <row r="1133" spans="3:106" s="19" customFormat="1" ht="12">
      <c r="C1133" s="21"/>
      <c r="D1133" s="21"/>
      <c r="E1133" s="21"/>
      <c r="F1133" s="21"/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2"/>
      <c r="AX1133" s="21"/>
      <c r="AY1133" s="21"/>
      <c r="AZ1133" s="21"/>
      <c r="BA1133" s="21"/>
      <c r="BB1133" s="21"/>
      <c r="BC1133" s="21"/>
      <c r="BD1133" s="21"/>
      <c r="BE1133" s="21"/>
      <c r="BF1133" s="21"/>
      <c r="BG1133" s="21"/>
      <c r="BH1133" s="21"/>
      <c r="BI1133" s="21"/>
      <c r="BJ1133" s="21"/>
      <c r="BK1133" s="21"/>
      <c r="BL1133" s="21"/>
      <c r="BM1133" s="21"/>
      <c r="BN1133" s="21"/>
      <c r="BO1133" s="21"/>
      <c r="BP1133" s="21"/>
      <c r="BQ1133" s="21"/>
      <c r="BR1133" s="21"/>
      <c r="BS1133" s="21"/>
      <c r="BT1133" s="21"/>
      <c r="BU1133" s="21"/>
      <c r="BV1133" s="21"/>
      <c r="BW1133" s="21"/>
      <c r="BX1133" s="21"/>
      <c r="BY1133" s="21"/>
      <c r="BZ1133" s="21"/>
      <c r="CA1133" s="21"/>
      <c r="CB1133" s="21"/>
      <c r="CC1133" s="21"/>
      <c r="CD1133" s="21"/>
      <c r="CE1133" s="21"/>
      <c r="CF1133" s="21"/>
      <c r="CG1133" s="21"/>
      <c r="CH1133" s="21"/>
      <c r="CI1133" s="21"/>
      <c r="CJ1133" s="21"/>
      <c r="CK1133" s="21"/>
      <c r="CL1133" s="21"/>
      <c r="CM1133" s="21"/>
      <c r="CN1133" s="21"/>
      <c r="CO1133" s="21"/>
      <c r="CP1133" s="21"/>
      <c r="CQ1133" s="21"/>
      <c r="CR1133" s="21"/>
      <c r="CS1133" s="21"/>
      <c r="CT1133" s="21"/>
      <c r="CU1133" s="21"/>
      <c r="CV1133" s="21"/>
      <c r="CW1133" s="21"/>
      <c r="CX1133" s="21"/>
      <c r="CY1133" s="22"/>
      <c r="CZ1133" s="21"/>
      <c r="DA1133" s="21"/>
      <c r="DB1133" s="21"/>
    </row>
    <row r="1134" spans="3:106" s="19" customFormat="1" ht="12">
      <c r="C1134" s="21"/>
      <c r="D1134" s="21"/>
      <c r="E1134" s="21"/>
      <c r="F1134" s="21"/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2"/>
      <c r="AX1134" s="21"/>
      <c r="AY1134" s="21"/>
      <c r="AZ1134" s="21"/>
      <c r="BA1134" s="21"/>
      <c r="BB1134" s="21"/>
      <c r="BC1134" s="21"/>
      <c r="BD1134" s="21"/>
      <c r="BE1134" s="21"/>
      <c r="BF1134" s="21"/>
      <c r="BG1134" s="21"/>
      <c r="BH1134" s="21"/>
      <c r="BI1134" s="21"/>
      <c r="BJ1134" s="21"/>
      <c r="BK1134" s="21"/>
      <c r="BL1134" s="21"/>
      <c r="BM1134" s="21"/>
      <c r="BN1134" s="21"/>
      <c r="BO1134" s="21"/>
      <c r="BP1134" s="21"/>
      <c r="BQ1134" s="21"/>
      <c r="BR1134" s="21"/>
      <c r="BS1134" s="21"/>
      <c r="BT1134" s="21"/>
      <c r="BU1134" s="21"/>
      <c r="BV1134" s="21"/>
      <c r="BW1134" s="21"/>
      <c r="BX1134" s="21"/>
      <c r="BY1134" s="21"/>
      <c r="BZ1134" s="21"/>
      <c r="CA1134" s="21"/>
      <c r="CB1134" s="21"/>
      <c r="CC1134" s="21"/>
      <c r="CD1134" s="21"/>
      <c r="CE1134" s="21"/>
      <c r="CF1134" s="21"/>
      <c r="CG1134" s="21"/>
      <c r="CH1134" s="21"/>
      <c r="CI1134" s="21"/>
      <c r="CJ1134" s="21"/>
      <c r="CK1134" s="21"/>
      <c r="CL1134" s="21"/>
      <c r="CM1134" s="21"/>
      <c r="CN1134" s="21"/>
      <c r="CO1134" s="21"/>
      <c r="CP1134" s="21"/>
      <c r="CQ1134" s="21"/>
      <c r="CR1134" s="21"/>
      <c r="CS1134" s="21"/>
      <c r="CT1134" s="21"/>
      <c r="CU1134" s="21"/>
      <c r="CV1134" s="21"/>
      <c r="CW1134" s="21"/>
      <c r="CX1134" s="21"/>
      <c r="CY1134" s="22"/>
      <c r="CZ1134" s="21"/>
      <c r="DA1134" s="21"/>
      <c r="DB1134" s="21"/>
    </row>
    <row r="1135" spans="3:106" s="19" customFormat="1" ht="12">
      <c r="C1135" s="21"/>
      <c r="D1135" s="21"/>
      <c r="E1135" s="21"/>
      <c r="F1135" s="21"/>
      <c r="G1135" s="21"/>
      <c r="H1135" s="21"/>
      <c r="I1135" s="21"/>
      <c r="J1135" s="21"/>
      <c r="K1135" s="21"/>
      <c r="L1135" s="21"/>
      <c r="M1135" s="21"/>
      <c r="N1135" s="21"/>
      <c r="O1135" s="21"/>
      <c r="P1135" s="21"/>
      <c r="Q1135" s="21"/>
      <c r="R1135" s="21"/>
      <c r="S1135" s="21"/>
      <c r="T1135" s="21"/>
      <c r="U1135" s="21"/>
      <c r="V1135" s="21"/>
      <c r="W1135" s="21"/>
      <c r="X1135" s="21"/>
      <c r="Y1135" s="21"/>
      <c r="Z1135" s="21"/>
      <c r="AA1135" s="21"/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2"/>
      <c r="AX1135" s="21"/>
      <c r="AY1135" s="21"/>
      <c r="AZ1135" s="21"/>
      <c r="BA1135" s="21"/>
      <c r="BB1135" s="21"/>
      <c r="BC1135" s="21"/>
      <c r="BD1135" s="21"/>
      <c r="BE1135" s="21"/>
      <c r="BF1135" s="21"/>
      <c r="BG1135" s="21"/>
      <c r="BH1135" s="21"/>
      <c r="BI1135" s="21"/>
      <c r="BJ1135" s="21"/>
      <c r="BK1135" s="21"/>
      <c r="BL1135" s="21"/>
      <c r="BM1135" s="21"/>
      <c r="BN1135" s="21"/>
      <c r="BO1135" s="21"/>
      <c r="BP1135" s="21"/>
      <c r="BQ1135" s="21"/>
      <c r="BR1135" s="21"/>
      <c r="BS1135" s="21"/>
      <c r="BT1135" s="21"/>
      <c r="BU1135" s="21"/>
      <c r="BV1135" s="21"/>
      <c r="BW1135" s="21"/>
      <c r="BX1135" s="21"/>
      <c r="BY1135" s="21"/>
      <c r="BZ1135" s="21"/>
      <c r="CA1135" s="21"/>
      <c r="CB1135" s="21"/>
      <c r="CC1135" s="21"/>
      <c r="CD1135" s="21"/>
      <c r="CE1135" s="21"/>
      <c r="CF1135" s="21"/>
      <c r="CG1135" s="21"/>
      <c r="CH1135" s="21"/>
      <c r="CI1135" s="21"/>
      <c r="CJ1135" s="21"/>
      <c r="CK1135" s="21"/>
      <c r="CL1135" s="21"/>
      <c r="CM1135" s="21"/>
      <c r="CN1135" s="21"/>
      <c r="CO1135" s="21"/>
      <c r="CP1135" s="21"/>
      <c r="CQ1135" s="21"/>
      <c r="CR1135" s="21"/>
      <c r="CS1135" s="21"/>
      <c r="CT1135" s="21"/>
      <c r="CU1135" s="21"/>
      <c r="CV1135" s="21"/>
      <c r="CW1135" s="21"/>
      <c r="CX1135" s="21"/>
      <c r="CY1135" s="22"/>
      <c r="CZ1135" s="21"/>
      <c r="DA1135" s="21"/>
      <c r="DB1135" s="21"/>
    </row>
    <row r="1136" spans="3:106" s="19" customFormat="1" ht="12">
      <c r="C1136" s="21"/>
      <c r="D1136" s="21"/>
      <c r="E1136" s="21"/>
      <c r="F1136" s="21"/>
      <c r="G1136" s="21"/>
      <c r="H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2"/>
      <c r="AX1136" s="21"/>
      <c r="AY1136" s="21"/>
      <c r="AZ1136" s="21"/>
      <c r="BA1136" s="21"/>
      <c r="BB1136" s="21"/>
      <c r="BC1136" s="21"/>
      <c r="BD1136" s="21"/>
      <c r="BE1136" s="21"/>
      <c r="BF1136" s="21"/>
      <c r="BG1136" s="21"/>
      <c r="BH1136" s="21"/>
      <c r="BI1136" s="21"/>
      <c r="BJ1136" s="21"/>
      <c r="BK1136" s="21"/>
      <c r="BL1136" s="21"/>
      <c r="BM1136" s="21"/>
      <c r="BN1136" s="21"/>
      <c r="BO1136" s="21"/>
      <c r="BP1136" s="21"/>
      <c r="BQ1136" s="21"/>
      <c r="BR1136" s="21"/>
      <c r="BS1136" s="21"/>
      <c r="BT1136" s="21"/>
      <c r="BU1136" s="21"/>
      <c r="BV1136" s="21"/>
      <c r="BW1136" s="21"/>
      <c r="BX1136" s="21"/>
      <c r="BY1136" s="21"/>
      <c r="BZ1136" s="21"/>
      <c r="CA1136" s="21"/>
      <c r="CB1136" s="21"/>
      <c r="CC1136" s="21"/>
      <c r="CD1136" s="21"/>
      <c r="CE1136" s="21"/>
      <c r="CF1136" s="21"/>
      <c r="CG1136" s="21"/>
      <c r="CH1136" s="21"/>
      <c r="CI1136" s="21"/>
      <c r="CJ1136" s="21"/>
      <c r="CK1136" s="21"/>
      <c r="CL1136" s="21"/>
      <c r="CM1136" s="21"/>
      <c r="CN1136" s="21"/>
      <c r="CO1136" s="21"/>
      <c r="CP1136" s="21"/>
      <c r="CQ1136" s="21"/>
      <c r="CR1136" s="21"/>
      <c r="CS1136" s="21"/>
      <c r="CT1136" s="21"/>
      <c r="CU1136" s="21"/>
      <c r="CV1136" s="21"/>
      <c r="CW1136" s="21"/>
      <c r="CX1136" s="21"/>
      <c r="CY1136" s="22"/>
      <c r="CZ1136" s="21"/>
      <c r="DA1136" s="21"/>
      <c r="DB1136" s="21"/>
    </row>
    <row r="1137" spans="3:106" s="19" customFormat="1" ht="12">
      <c r="C1137" s="21"/>
      <c r="D1137" s="21"/>
      <c r="E1137" s="21"/>
      <c r="F1137" s="21"/>
      <c r="G1137" s="21"/>
      <c r="H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2"/>
      <c r="AX1137" s="21"/>
      <c r="AY1137" s="21"/>
      <c r="AZ1137" s="21"/>
      <c r="BA1137" s="21"/>
      <c r="BB1137" s="21"/>
      <c r="BC1137" s="21"/>
      <c r="BD1137" s="21"/>
      <c r="BE1137" s="21"/>
      <c r="BF1137" s="21"/>
      <c r="BG1137" s="21"/>
      <c r="BH1137" s="21"/>
      <c r="BI1137" s="21"/>
      <c r="BJ1137" s="21"/>
      <c r="BK1137" s="21"/>
      <c r="BL1137" s="21"/>
      <c r="BM1137" s="21"/>
      <c r="BN1137" s="21"/>
      <c r="BO1137" s="21"/>
      <c r="BP1137" s="21"/>
      <c r="BQ1137" s="21"/>
      <c r="BR1137" s="21"/>
      <c r="BS1137" s="21"/>
      <c r="BT1137" s="21"/>
      <c r="BU1137" s="21"/>
      <c r="BV1137" s="21"/>
      <c r="BW1137" s="21"/>
      <c r="BX1137" s="21"/>
      <c r="BY1137" s="21"/>
      <c r="BZ1137" s="21"/>
      <c r="CA1137" s="21"/>
      <c r="CB1137" s="21"/>
      <c r="CC1137" s="21"/>
      <c r="CD1137" s="21"/>
      <c r="CE1137" s="21"/>
      <c r="CF1137" s="21"/>
      <c r="CG1137" s="21"/>
      <c r="CH1137" s="21"/>
      <c r="CI1137" s="21"/>
      <c r="CJ1137" s="21"/>
      <c r="CK1137" s="21"/>
      <c r="CL1137" s="21"/>
      <c r="CM1137" s="21"/>
      <c r="CN1137" s="21"/>
      <c r="CO1137" s="21"/>
      <c r="CP1137" s="21"/>
      <c r="CQ1137" s="21"/>
      <c r="CR1137" s="21"/>
      <c r="CS1137" s="21"/>
      <c r="CT1137" s="21"/>
      <c r="CU1137" s="21"/>
      <c r="CV1137" s="21"/>
      <c r="CW1137" s="21"/>
      <c r="CX1137" s="21"/>
      <c r="CY1137" s="22"/>
      <c r="CZ1137" s="21"/>
      <c r="DA1137" s="21"/>
      <c r="DB1137" s="21"/>
    </row>
    <row r="1138" spans="3:106" s="19" customFormat="1" ht="12">
      <c r="C1138" s="21"/>
      <c r="D1138" s="21"/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2"/>
      <c r="AX1138" s="21"/>
      <c r="AY1138" s="21"/>
      <c r="AZ1138" s="21"/>
      <c r="BA1138" s="21"/>
      <c r="BB1138" s="21"/>
      <c r="BC1138" s="21"/>
      <c r="BD1138" s="21"/>
      <c r="BE1138" s="21"/>
      <c r="BF1138" s="21"/>
      <c r="BG1138" s="21"/>
      <c r="BH1138" s="21"/>
      <c r="BI1138" s="21"/>
      <c r="BJ1138" s="21"/>
      <c r="BK1138" s="21"/>
      <c r="BL1138" s="21"/>
      <c r="BM1138" s="21"/>
      <c r="BN1138" s="21"/>
      <c r="BO1138" s="21"/>
      <c r="BP1138" s="21"/>
      <c r="BQ1138" s="21"/>
      <c r="BR1138" s="21"/>
      <c r="BS1138" s="21"/>
      <c r="BT1138" s="21"/>
      <c r="BU1138" s="21"/>
      <c r="BV1138" s="21"/>
      <c r="BW1138" s="21"/>
      <c r="BX1138" s="21"/>
      <c r="BY1138" s="21"/>
      <c r="BZ1138" s="21"/>
      <c r="CA1138" s="21"/>
      <c r="CB1138" s="21"/>
      <c r="CC1138" s="21"/>
      <c r="CD1138" s="21"/>
      <c r="CE1138" s="21"/>
      <c r="CF1138" s="21"/>
      <c r="CG1138" s="21"/>
      <c r="CH1138" s="21"/>
      <c r="CI1138" s="21"/>
      <c r="CJ1138" s="21"/>
      <c r="CK1138" s="21"/>
      <c r="CL1138" s="21"/>
      <c r="CM1138" s="21"/>
      <c r="CN1138" s="21"/>
      <c r="CO1138" s="21"/>
      <c r="CP1138" s="21"/>
      <c r="CQ1138" s="21"/>
      <c r="CR1138" s="21"/>
      <c r="CS1138" s="21"/>
      <c r="CT1138" s="21"/>
      <c r="CU1138" s="21"/>
      <c r="CV1138" s="21"/>
      <c r="CW1138" s="21"/>
      <c r="CX1138" s="21"/>
      <c r="CY1138" s="22"/>
      <c r="CZ1138" s="21"/>
      <c r="DA1138" s="21"/>
      <c r="DB1138" s="21"/>
    </row>
    <row r="1139" spans="3:106" s="19" customFormat="1" ht="12">
      <c r="C1139" s="21"/>
      <c r="D1139" s="21"/>
      <c r="E1139" s="21"/>
      <c r="F1139" s="21"/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2"/>
      <c r="AX1139" s="21"/>
      <c r="AY1139" s="21"/>
      <c r="AZ1139" s="21"/>
      <c r="BA1139" s="21"/>
      <c r="BB1139" s="21"/>
      <c r="BC1139" s="21"/>
      <c r="BD1139" s="21"/>
      <c r="BE1139" s="21"/>
      <c r="BF1139" s="21"/>
      <c r="BG1139" s="21"/>
      <c r="BH1139" s="21"/>
      <c r="BI1139" s="21"/>
      <c r="BJ1139" s="21"/>
      <c r="BK1139" s="21"/>
      <c r="BL1139" s="21"/>
      <c r="BM1139" s="21"/>
      <c r="BN1139" s="21"/>
      <c r="BO1139" s="21"/>
      <c r="BP1139" s="21"/>
      <c r="BQ1139" s="21"/>
      <c r="BR1139" s="21"/>
      <c r="BS1139" s="21"/>
      <c r="BT1139" s="21"/>
      <c r="BU1139" s="21"/>
      <c r="BV1139" s="21"/>
      <c r="BW1139" s="21"/>
      <c r="BX1139" s="21"/>
      <c r="BY1139" s="21"/>
      <c r="BZ1139" s="21"/>
      <c r="CA1139" s="21"/>
      <c r="CB1139" s="21"/>
      <c r="CC1139" s="21"/>
      <c r="CD1139" s="21"/>
      <c r="CE1139" s="21"/>
      <c r="CF1139" s="21"/>
      <c r="CG1139" s="21"/>
      <c r="CH1139" s="21"/>
      <c r="CI1139" s="21"/>
      <c r="CJ1139" s="21"/>
      <c r="CK1139" s="21"/>
      <c r="CL1139" s="21"/>
      <c r="CM1139" s="21"/>
      <c r="CN1139" s="21"/>
      <c r="CO1139" s="21"/>
      <c r="CP1139" s="21"/>
      <c r="CQ1139" s="21"/>
      <c r="CR1139" s="21"/>
      <c r="CS1139" s="21"/>
      <c r="CT1139" s="21"/>
      <c r="CU1139" s="21"/>
      <c r="CV1139" s="21"/>
      <c r="CW1139" s="21"/>
      <c r="CX1139" s="21"/>
      <c r="CY1139" s="22"/>
      <c r="CZ1139" s="21"/>
      <c r="DA1139" s="21"/>
      <c r="DB1139" s="21"/>
    </row>
    <row r="1140" spans="3:106" s="19" customFormat="1" ht="12">
      <c r="C1140" s="21"/>
      <c r="D1140" s="21"/>
      <c r="E1140" s="21"/>
      <c r="F1140" s="21"/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2"/>
      <c r="AX1140" s="21"/>
      <c r="AY1140" s="21"/>
      <c r="AZ1140" s="21"/>
      <c r="BA1140" s="21"/>
      <c r="BB1140" s="21"/>
      <c r="BC1140" s="21"/>
      <c r="BD1140" s="21"/>
      <c r="BE1140" s="21"/>
      <c r="BF1140" s="21"/>
      <c r="BG1140" s="21"/>
      <c r="BH1140" s="21"/>
      <c r="BI1140" s="21"/>
      <c r="BJ1140" s="21"/>
      <c r="BK1140" s="21"/>
      <c r="BL1140" s="21"/>
      <c r="BM1140" s="21"/>
      <c r="BN1140" s="21"/>
      <c r="BO1140" s="21"/>
      <c r="BP1140" s="21"/>
      <c r="BQ1140" s="21"/>
      <c r="BR1140" s="21"/>
      <c r="BS1140" s="21"/>
      <c r="BT1140" s="21"/>
      <c r="BU1140" s="21"/>
      <c r="BV1140" s="21"/>
      <c r="BW1140" s="21"/>
      <c r="BX1140" s="21"/>
      <c r="BY1140" s="21"/>
      <c r="BZ1140" s="21"/>
      <c r="CA1140" s="21"/>
      <c r="CB1140" s="21"/>
      <c r="CC1140" s="21"/>
      <c r="CD1140" s="21"/>
      <c r="CE1140" s="21"/>
      <c r="CF1140" s="21"/>
      <c r="CG1140" s="21"/>
      <c r="CH1140" s="21"/>
      <c r="CI1140" s="21"/>
      <c r="CJ1140" s="21"/>
      <c r="CK1140" s="21"/>
      <c r="CL1140" s="21"/>
      <c r="CM1140" s="21"/>
      <c r="CN1140" s="21"/>
      <c r="CO1140" s="21"/>
      <c r="CP1140" s="21"/>
      <c r="CQ1140" s="21"/>
      <c r="CR1140" s="21"/>
      <c r="CS1140" s="21"/>
      <c r="CT1140" s="21"/>
      <c r="CU1140" s="21"/>
      <c r="CV1140" s="21"/>
      <c r="CW1140" s="21"/>
      <c r="CX1140" s="21"/>
      <c r="CY1140" s="22"/>
      <c r="CZ1140" s="21"/>
      <c r="DA1140" s="21"/>
      <c r="DB1140" s="21"/>
    </row>
    <row r="1141" spans="3:106" s="19" customFormat="1" ht="12">
      <c r="C1141" s="21"/>
      <c r="D1141" s="21"/>
      <c r="E1141" s="21"/>
      <c r="F1141" s="21"/>
      <c r="G1141" s="21"/>
      <c r="H1141" s="21"/>
      <c r="I1141" s="21"/>
      <c r="J1141" s="21"/>
      <c r="K1141" s="21"/>
      <c r="L1141" s="21"/>
      <c r="M1141" s="21"/>
      <c r="N1141" s="21"/>
      <c r="O1141" s="21"/>
      <c r="P1141" s="21"/>
      <c r="Q1141" s="21"/>
      <c r="R1141" s="21"/>
      <c r="S1141" s="21"/>
      <c r="T1141" s="21"/>
      <c r="U1141" s="21"/>
      <c r="V1141" s="21"/>
      <c r="W1141" s="21"/>
      <c r="X1141" s="21"/>
      <c r="Y1141" s="21"/>
      <c r="Z1141" s="21"/>
      <c r="AA1141" s="21"/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2"/>
      <c r="AX1141" s="21"/>
      <c r="AY1141" s="21"/>
      <c r="AZ1141" s="21"/>
      <c r="BA1141" s="21"/>
      <c r="BB1141" s="21"/>
      <c r="BC1141" s="21"/>
      <c r="BD1141" s="21"/>
      <c r="BE1141" s="21"/>
      <c r="BF1141" s="21"/>
      <c r="BG1141" s="21"/>
      <c r="BH1141" s="21"/>
      <c r="BI1141" s="21"/>
      <c r="BJ1141" s="21"/>
      <c r="BK1141" s="21"/>
      <c r="BL1141" s="21"/>
      <c r="BM1141" s="21"/>
      <c r="BN1141" s="21"/>
      <c r="BO1141" s="21"/>
      <c r="BP1141" s="21"/>
      <c r="BQ1141" s="21"/>
      <c r="BR1141" s="21"/>
      <c r="BS1141" s="21"/>
      <c r="BT1141" s="21"/>
      <c r="BU1141" s="21"/>
      <c r="BV1141" s="21"/>
      <c r="BW1141" s="21"/>
      <c r="BX1141" s="21"/>
      <c r="BY1141" s="21"/>
      <c r="BZ1141" s="21"/>
      <c r="CA1141" s="21"/>
      <c r="CB1141" s="21"/>
      <c r="CC1141" s="21"/>
      <c r="CD1141" s="21"/>
      <c r="CE1141" s="21"/>
      <c r="CF1141" s="21"/>
      <c r="CG1141" s="21"/>
      <c r="CH1141" s="21"/>
      <c r="CI1141" s="21"/>
      <c r="CJ1141" s="21"/>
      <c r="CK1141" s="21"/>
      <c r="CL1141" s="21"/>
      <c r="CM1141" s="21"/>
      <c r="CN1141" s="21"/>
      <c r="CO1141" s="21"/>
      <c r="CP1141" s="21"/>
      <c r="CQ1141" s="21"/>
      <c r="CR1141" s="21"/>
      <c r="CS1141" s="21"/>
      <c r="CT1141" s="21"/>
      <c r="CU1141" s="21"/>
      <c r="CV1141" s="21"/>
      <c r="CW1141" s="21"/>
      <c r="CX1141" s="21"/>
      <c r="CY1141" s="22"/>
      <c r="CZ1141" s="21"/>
      <c r="DA1141" s="21"/>
      <c r="DB1141" s="21"/>
    </row>
    <row r="1142" spans="3:106" s="19" customFormat="1" ht="12">
      <c r="C1142" s="21"/>
      <c r="D1142" s="21"/>
      <c r="E1142" s="21"/>
      <c r="F1142" s="21"/>
      <c r="G1142" s="21"/>
      <c r="H1142" s="21"/>
      <c r="I1142" s="21"/>
      <c r="J1142" s="21"/>
      <c r="K1142" s="21"/>
      <c r="L1142" s="21"/>
      <c r="M1142" s="21"/>
      <c r="N1142" s="21"/>
      <c r="O1142" s="21"/>
      <c r="P1142" s="21"/>
      <c r="Q1142" s="21"/>
      <c r="R1142" s="21"/>
      <c r="S1142" s="21"/>
      <c r="T1142" s="21"/>
      <c r="U1142" s="21"/>
      <c r="V1142" s="21"/>
      <c r="W1142" s="21"/>
      <c r="X1142" s="21"/>
      <c r="Y1142" s="21"/>
      <c r="Z1142" s="21"/>
      <c r="AA1142" s="21"/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2"/>
      <c r="AX1142" s="21"/>
      <c r="AY1142" s="21"/>
      <c r="AZ1142" s="21"/>
      <c r="BA1142" s="21"/>
      <c r="BB1142" s="21"/>
      <c r="BC1142" s="21"/>
      <c r="BD1142" s="21"/>
      <c r="BE1142" s="21"/>
      <c r="BF1142" s="21"/>
      <c r="BG1142" s="21"/>
      <c r="BH1142" s="21"/>
      <c r="BI1142" s="21"/>
      <c r="BJ1142" s="21"/>
      <c r="BK1142" s="21"/>
      <c r="BL1142" s="21"/>
      <c r="BM1142" s="21"/>
      <c r="BN1142" s="21"/>
      <c r="BO1142" s="21"/>
      <c r="BP1142" s="21"/>
      <c r="BQ1142" s="21"/>
      <c r="BR1142" s="21"/>
      <c r="BS1142" s="21"/>
      <c r="BT1142" s="21"/>
      <c r="BU1142" s="21"/>
      <c r="BV1142" s="21"/>
      <c r="BW1142" s="21"/>
      <c r="BX1142" s="21"/>
      <c r="BY1142" s="21"/>
      <c r="BZ1142" s="21"/>
      <c r="CA1142" s="21"/>
      <c r="CB1142" s="21"/>
      <c r="CC1142" s="21"/>
      <c r="CD1142" s="21"/>
      <c r="CE1142" s="21"/>
      <c r="CF1142" s="21"/>
      <c r="CG1142" s="21"/>
      <c r="CH1142" s="21"/>
      <c r="CI1142" s="21"/>
      <c r="CJ1142" s="21"/>
      <c r="CK1142" s="21"/>
      <c r="CL1142" s="21"/>
      <c r="CM1142" s="21"/>
      <c r="CN1142" s="21"/>
      <c r="CO1142" s="21"/>
      <c r="CP1142" s="21"/>
      <c r="CQ1142" s="21"/>
      <c r="CR1142" s="21"/>
      <c r="CS1142" s="21"/>
      <c r="CT1142" s="21"/>
      <c r="CU1142" s="21"/>
      <c r="CV1142" s="21"/>
      <c r="CW1142" s="21"/>
      <c r="CX1142" s="21"/>
      <c r="CY1142" s="22"/>
      <c r="CZ1142" s="21"/>
      <c r="DA1142" s="21"/>
      <c r="DB1142" s="21"/>
    </row>
    <row r="1143" spans="3:106" s="19" customFormat="1" ht="12">
      <c r="C1143" s="21"/>
      <c r="D1143" s="21"/>
      <c r="E1143" s="21"/>
      <c r="F1143" s="21"/>
      <c r="G1143" s="21"/>
      <c r="H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2"/>
      <c r="AX1143" s="21"/>
      <c r="AY1143" s="21"/>
      <c r="AZ1143" s="21"/>
      <c r="BA1143" s="21"/>
      <c r="BB1143" s="21"/>
      <c r="BC1143" s="21"/>
      <c r="BD1143" s="21"/>
      <c r="BE1143" s="21"/>
      <c r="BF1143" s="21"/>
      <c r="BG1143" s="21"/>
      <c r="BH1143" s="21"/>
      <c r="BI1143" s="21"/>
      <c r="BJ1143" s="21"/>
      <c r="BK1143" s="21"/>
      <c r="BL1143" s="21"/>
      <c r="BM1143" s="21"/>
      <c r="BN1143" s="21"/>
      <c r="BO1143" s="21"/>
      <c r="BP1143" s="21"/>
      <c r="BQ1143" s="21"/>
      <c r="BR1143" s="21"/>
      <c r="BS1143" s="21"/>
      <c r="BT1143" s="21"/>
      <c r="BU1143" s="21"/>
      <c r="BV1143" s="21"/>
      <c r="BW1143" s="21"/>
      <c r="BX1143" s="21"/>
      <c r="BY1143" s="21"/>
      <c r="BZ1143" s="21"/>
      <c r="CA1143" s="21"/>
      <c r="CB1143" s="21"/>
      <c r="CC1143" s="21"/>
      <c r="CD1143" s="21"/>
      <c r="CE1143" s="21"/>
      <c r="CF1143" s="21"/>
      <c r="CG1143" s="21"/>
      <c r="CH1143" s="21"/>
      <c r="CI1143" s="21"/>
      <c r="CJ1143" s="21"/>
      <c r="CK1143" s="21"/>
      <c r="CL1143" s="21"/>
      <c r="CM1143" s="21"/>
      <c r="CN1143" s="21"/>
      <c r="CO1143" s="21"/>
      <c r="CP1143" s="21"/>
      <c r="CQ1143" s="21"/>
      <c r="CR1143" s="21"/>
      <c r="CS1143" s="21"/>
      <c r="CT1143" s="21"/>
      <c r="CU1143" s="21"/>
      <c r="CV1143" s="21"/>
      <c r="CW1143" s="21"/>
      <c r="CX1143" s="21"/>
      <c r="CY1143" s="22"/>
      <c r="CZ1143" s="21"/>
      <c r="DA1143" s="21"/>
      <c r="DB1143" s="21"/>
    </row>
    <row r="1144" spans="3:106" s="19" customFormat="1" ht="12">
      <c r="C1144" s="21"/>
      <c r="D1144" s="21"/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2"/>
      <c r="AX1144" s="21"/>
      <c r="AY1144" s="21"/>
      <c r="AZ1144" s="21"/>
      <c r="BA1144" s="21"/>
      <c r="BB1144" s="21"/>
      <c r="BC1144" s="21"/>
      <c r="BD1144" s="21"/>
      <c r="BE1144" s="21"/>
      <c r="BF1144" s="21"/>
      <c r="BG1144" s="21"/>
      <c r="BH1144" s="21"/>
      <c r="BI1144" s="21"/>
      <c r="BJ1144" s="21"/>
      <c r="BK1144" s="21"/>
      <c r="BL1144" s="21"/>
      <c r="BM1144" s="21"/>
      <c r="BN1144" s="21"/>
      <c r="BO1144" s="21"/>
      <c r="BP1144" s="21"/>
      <c r="BQ1144" s="21"/>
      <c r="BR1144" s="21"/>
      <c r="BS1144" s="21"/>
      <c r="BT1144" s="21"/>
      <c r="BU1144" s="21"/>
      <c r="BV1144" s="21"/>
      <c r="BW1144" s="21"/>
      <c r="BX1144" s="21"/>
      <c r="BY1144" s="21"/>
      <c r="BZ1144" s="21"/>
      <c r="CA1144" s="21"/>
      <c r="CB1144" s="21"/>
      <c r="CC1144" s="21"/>
      <c r="CD1144" s="21"/>
      <c r="CE1144" s="21"/>
      <c r="CF1144" s="21"/>
      <c r="CG1144" s="21"/>
      <c r="CH1144" s="21"/>
      <c r="CI1144" s="21"/>
      <c r="CJ1144" s="21"/>
      <c r="CK1144" s="21"/>
      <c r="CL1144" s="21"/>
      <c r="CM1144" s="21"/>
      <c r="CN1144" s="21"/>
      <c r="CO1144" s="21"/>
      <c r="CP1144" s="21"/>
      <c r="CQ1144" s="21"/>
      <c r="CR1144" s="21"/>
      <c r="CS1144" s="21"/>
      <c r="CT1144" s="21"/>
      <c r="CU1144" s="21"/>
      <c r="CV1144" s="21"/>
      <c r="CW1144" s="21"/>
      <c r="CX1144" s="21"/>
      <c r="CY1144" s="22"/>
      <c r="CZ1144" s="21"/>
      <c r="DA1144" s="21"/>
      <c r="DB1144" s="21"/>
    </row>
    <row r="1145" spans="3:106" s="19" customFormat="1" ht="12">
      <c r="C1145" s="21"/>
      <c r="D1145" s="21"/>
      <c r="E1145" s="21"/>
      <c r="F1145" s="21"/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2"/>
      <c r="AX1145" s="21"/>
      <c r="AY1145" s="21"/>
      <c r="AZ1145" s="21"/>
      <c r="BA1145" s="21"/>
      <c r="BB1145" s="21"/>
      <c r="BC1145" s="21"/>
      <c r="BD1145" s="21"/>
      <c r="BE1145" s="21"/>
      <c r="BF1145" s="21"/>
      <c r="BG1145" s="21"/>
      <c r="BH1145" s="21"/>
      <c r="BI1145" s="21"/>
      <c r="BJ1145" s="21"/>
      <c r="BK1145" s="21"/>
      <c r="BL1145" s="21"/>
      <c r="BM1145" s="21"/>
      <c r="BN1145" s="21"/>
      <c r="BO1145" s="21"/>
      <c r="BP1145" s="21"/>
      <c r="BQ1145" s="21"/>
      <c r="BR1145" s="21"/>
      <c r="BS1145" s="21"/>
      <c r="BT1145" s="21"/>
      <c r="BU1145" s="21"/>
      <c r="BV1145" s="21"/>
      <c r="BW1145" s="21"/>
      <c r="BX1145" s="21"/>
      <c r="BY1145" s="21"/>
      <c r="BZ1145" s="21"/>
      <c r="CA1145" s="21"/>
      <c r="CB1145" s="21"/>
      <c r="CC1145" s="21"/>
      <c r="CD1145" s="21"/>
      <c r="CE1145" s="21"/>
      <c r="CF1145" s="21"/>
      <c r="CG1145" s="21"/>
      <c r="CH1145" s="21"/>
      <c r="CI1145" s="21"/>
      <c r="CJ1145" s="21"/>
      <c r="CK1145" s="21"/>
      <c r="CL1145" s="21"/>
      <c r="CM1145" s="21"/>
      <c r="CN1145" s="21"/>
      <c r="CO1145" s="21"/>
      <c r="CP1145" s="21"/>
      <c r="CQ1145" s="21"/>
      <c r="CR1145" s="21"/>
      <c r="CS1145" s="21"/>
      <c r="CT1145" s="21"/>
      <c r="CU1145" s="21"/>
      <c r="CV1145" s="21"/>
      <c r="CW1145" s="21"/>
      <c r="CX1145" s="21"/>
      <c r="CY1145" s="22"/>
      <c r="CZ1145" s="21"/>
      <c r="DA1145" s="21"/>
      <c r="DB1145" s="21"/>
    </row>
    <row r="1146" spans="3:106" s="19" customFormat="1" ht="12">
      <c r="C1146" s="21"/>
      <c r="D1146" s="21"/>
      <c r="E1146" s="21"/>
      <c r="F1146" s="21"/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2"/>
      <c r="AX1146" s="21"/>
      <c r="AY1146" s="21"/>
      <c r="AZ1146" s="21"/>
      <c r="BA1146" s="21"/>
      <c r="BB1146" s="21"/>
      <c r="BC1146" s="21"/>
      <c r="BD1146" s="21"/>
      <c r="BE1146" s="21"/>
      <c r="BF1146" s="21"/>
      <c r="BG1146" s="21"/>
      <c r="BH1146" s="21"/>
      <c r="BI1146" s="21"/>
      <c r="BJ1146" s="21"/>
      <c r="BK1146" s="21"/>
      <c r="BL1146" s="21"/>
      <c r="BM1146" s="21"/>
      <c r="BN1146" s="21"/>
      <c r="BO1146" s="21"/>
      <c r="BP1146" s="21"/>
      <c r="BQ1146" s="21"/>
      <c r="BR1146" s="21"/>
      <c r="BS1146" s="21"/>
      <c r="BT1146" s="21"/>
      <c r="BU1146" s="21"/>
      <c r="BV1146" s="21"/>
      <c r="BW1146" s="21"/>
      <c r="BX1146" s="21"/>
      <c r="BY1146" s="21"/>
      <c r="BZ1146" s="21"/>
      <c r="CA1146" s="21"/>
      <c r="CB1146" s="21"/>
      <c r="CC1146" s="21"/>
      <c r="CD1146" s="21"/>
      <c r="CE1146" s="21"/>
      <c r="CF1146" s="21"/>
      <c r="CG1146" s="21"/>
      <c r="CH1146" s="21"/>
      <c r="CI1146" s="21"/>
      <c r="CJ1146" s="21"/>
      <c r="CK1146" s="21"/>
      <c r="CL1146" s="21"/>
      <c r="CM1146" s="21"/>
      <c r="CN1146" s="21"/>
      <c r="CO1146" s="21"/>
      <c r="CP1146" s="21"/>
      <c r="CQ1146" s="21"/>
      <c r="CR1146" s="21"/>
      <c r="CS1146" s="21"/>
      <c r="CT1146" s="21"/>
      <c r="CU1146" s="21"/>
      <c r="CV1146" s="21"/>
      <c r="CW1146" s="21"/>
      <c r="CX1146" s="21"/>
      <c r="CY1146" s="22"/>
      <c r="CZ1146" s="21"/>
      <c r="DA1146" s="21"/>
      <c r="DB1146" s="21"/>
    </row>
    <row r="1147" spans="3:106" s="19" customFormat="1" ht="12">
      <c r="C1147" s="21"/>
      <c r="D1147" s="21"/>
      <c r="E1147" s="21"/>
      <c r="F1147" s="21"/>
      <c r="G1147" s="21"/>
      <c r="H1147" s="21"/>
      <c r="I1147" s="21"/>
      <c r="J1147" s="21"/>
      <c r="K1147" s="21"/>
      <c r="L1147" s="21"/>
      <c r="M1147" s="21"/>
      <c r="N1147" s="21"/>
      <c r="O1147" s="21"/>
      <c r="P1147" s="21"/>
      <c r="Q1147" s="21"/>
      <c r="R1147" s="21"/>
      <c r="S1147" s="21"/>
      <c r="T1147" s="21"/>
      <c r="U1147" s="21"/>
      <c r="V1147" s="21"/>
      <c r="W1147" s="21"/>
      <c r="X1147" s="21"/>
      <c r="Y1147" s="21"/>
      <c r="Z1147" s="21"/>
      <c r="AA1147" s="21"/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2"/>
      <c r="AX1147" s="21"/>
      <c r="AY1147" s="21"/>
      <c r="AZ1147" s="21"/>
      <c r="BA1147" s="21"/>
      <c r="BB1147" s="21"/>
      <c r="BC1147" s="21"/>
      <c r="BD1147" s="21"/>
      <c r="BE1147" s="21"/>
      <c r="BF1147" s="21"/>
      <c r="BG1147" s="21"/>
      <c r="BH1147" s="21"/>
      <c r="BI1147" s="21"/>
      <c r="BJ1147" s="21"/>
      <c r="BK1147" s="21"/>
      <c r="BL1147" s="21"/>
      <c r="BM1147" s="21"/>
      <c r="BN1147" s="21"/>
      <c r="BO1147" s="21"/>
      <c r="BP1147" s="21"/>
      <c r="BQ1147" s="21"/>
      <c r="BR1147" s="21"/>
      <c r="BS1147" s="21"/>
      <c r="BT1147" s="21"/>
      <c r="BU1147" s="21"/>
      <c r="BV1147" s="21"/>
      <c r="BW1147" s="21"/>
      <c r="BX1147" s="21"/>
      <c r="BY1147" s="21"/>
      <c r="BZ1147" s="21"/>
      <c r="CA1147" s="21"/>
      <c r="CB1147" s="21"/>
      <c r="CC1147" s="21"/>
      <c r="CD1147" s="21"/>
      <c r="CE1147" s="21"/>
      <c r="CF1147" s="21"/>
      <c r="CG1147" s="21"/>
      <c r="CH1147" s="21"/>
      <c r="CI1147" s="21"/>
      <c r="CJ1147" s="21"/>
      <c r="CK1147" s="21"/>
      <c r="CL1147" s="21"/>
      <c r="CM1147" s="21"/>
      <c r="CN1147" s="21"/>
      <c r="CO1147" s="21"/>
      <c r="CP1147" s="21"/>
      <c r="CQ1147" s="21"/>
      <c r="CR1147" s="21"/>
      <c r="CS1147" s="21"/>
      <c r="CT1147" s="21"/>
      <c r="CU1147" s="21"/>
      <c r="CV1147" s="21"/>
      <c r="CW1147" s="21"/>
      <c r="CX1147" s="21"/>
      <c r="CY1147" s="22"/>
      <c r="CZ1147" s="21"/>
      <c r="DA1147" s="21"/>
      <c r="DB1147" s="21"/>
    </row>
    <row r="1148" spans="3:106" s="19" customFormat="1" ht="12">
      <c r="C1148" s="21"/>
      <c r="D1148" s="21"/>
      <c r="E1148" s="21"/>
      <c r="F1148" s="21"/>
      <c r="G1148" s="21"/>
      <c r="H1148" s="21"/>
      <c r="I1148" s="21"/>
      <c r="J1148" s="21"/>
      <c r="K1148" s="21"/>
      <c r="L1148" s="21"/>
      <c r="M1148" s="21"/>
      <c r="N1148" s="21"/>
      <c r="O1148" s="21"/>
      <c r="P1148" s="21"/>
      <c r="Q1148" s="21"/>
      <c r="R1148" s="21"/>
      <c r="S1148" s="21"/>
      <c r="T1148" s="21"/>
      <c r="U1148" s="21"/>
      <c r="V1148" s="21"/>
      <c r="W1148" s="21"/>
      <c r="X1148" s="21"/>
      <c r="Y1148" s="21"/>
      <c r="Z1148" s="21"/>
      <c r="AA1148" s="21"/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2"/>
      <c r="AX1148" s="21"/>
      <c r="AY1148" s="21"/>
      <c r="AZ1148" s="21"/>
      <c r="BA1148" s="21"/>
      <c r="BB1148" s="21"/>
      <c r="BC1148" s="21"/>
      <c r="BD1148" s="21"/>
      <c r="BE1148" s="21"/>
      <c r="BF1148" s="21"/>
      <c r="BG1148" s="21"/>
      <c r="BH1148" s="21"/>
      <c r="BI1148" s="21"/>
      <c r="BJ1148" s="21"/>
      <c r="BK1148" s="21"/>
      <c r="BL1148" s="21"/>
      <c r="BM1148" s="21"/>
      <c r="BN1148" s="21"/>
      <c r="BO1148" s="21"/>
      <c r="BP1148" s="21"/>
      <c r="BQ1148" s="21"/>
      <c r="BR1148" s="21"/>
      <c r="BS1148" s="21"/>
      <c r="BT1148" s="21"/>
      <c r="BU1148" s="21"/>
      <c r="BV1148" s="21"/>
      <c r="BW1148" s="21"/>
      <c r="BX1148" s="21"/>
      <c r="BY1148" s="21"/>
      <c r="BZ1148" s="21"/>
      <c r="CA1148" s="21"/>
      <c r="CB1148" s="21"/>
      <c r="CC1148" s="21"/>
      <c r="CD1148" s="21"/>
      <c r="CE1148" s="21"/>
      <c r="CF1148" s="21"/>
      <c r="CG1148" s="21"/>
      <c r="CH1148" s="21"/>
      <c r="CI1148" s="21"/>
      <c r="CJ1148" s="21"/>
      <c r="CK1148" s="21"/>
      <c r="CL1148" s="21"/>
      <c r="CM1148" s="21"/>
      <c r="CN1148" s="21"/>
      <c r="CO1148" s="21"/>
      <c r="CP1148" s="21"/>
      <c r="CQ1148" s="21"/>
      <c r="CR1148" s="21"/>
      <c r="CS1148" s="21"/>
      <c r="CT1148" s="21"/>
      <c r="CU1148" s="21"/>
      <c r="CV1148" s="21"/>
      <c r="CW1148" s="21"/>
      <c r="CX1148" s="21"/>
      <c r="CY1148" s="22"/>
      <c r="CZ1148" s="21"/>
      <c r="DA1148" s="21"/>
      <c r="DB1148" s="21"/>
    </row>
    <row r="1149" spans="3:106" s="19" customFormat="1" ht="12">
      <c r="C1149" s="21"/>
      <c r="D1149" s="21"/>
      <c r="E1149" s="21"/>
      <c r="F1149" s="21"/>
      <c r="G1149" s="21"/>
      <c r="H1149" s="21"/>
      <c r="I1149" s="21"/>
      <c r="J1149" s="21"/>
      <c r="K1149" s="21"/>
      <c r="L1149" s="21"/>
      <c r="M1149" s="21"/>
      <c r="N1149" s="21"/>
      <c r="O1149" s="21"/>
      <c r="P1149" s="21"/>
      <c r="Q1149" s="21"/>
      <c r="R1149" s="21"/>
      <c r="S1149" s="21"/>
      <c r="T1149" s="21"/>
      <c r="U1149" s="21"/>
      <c r="V1149" s="21"/>
      <c r="W1149" s="21"/>
      <c r="X1149" s="21"/>
      <c r="Y1149" s="21"/>
      <c r="Z1149" s="21"/>
      <c r="AA1149" s="21"/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2"/>
      <c r="AX1149" s="21"/>
      <c r="AY1149" s="21"/>
      <c r="AZ1149" s="21"/>
      <c r="BA1149" s="21"/>
      <c r="BB1149" s="21"/>
      <c r="BC1149" s="21"/>
      <c r="BD1149" s="21"/>
      <c r="BE1149" s="21"/>
      <c r="BF1149" s="21"/>
      <c r="BG1149" s="21"/>
      <c r="BH1149" s="21"/>
      <c r="BI1149" s="21"/>
      <c r="BJ1149" s="21"/>
      <c r="BK1149" s="21"/>
      <c r="BL1149" s="21"/>
      <c r="BM1149" s="21"/>
      <c r="BN1149" s="21"/>
      <c r="BO1149" s="21"/>
      <c r="BP1149" s="21"/>
      <c r="BQ1149" s="21"/>
      <c r="BR1149" s="21"/>
      <c r="BS1149" s="21"/>
      <c r="BT1149" s="21"/>
      <c r="BU1149" s="21"/>
      <c r="BV1149" s="21"/>
      <c r="BW1149" s="21"/>
      <c r="BX1149" s="21"/>
      <c r="BY1149" s="21"/>
      <c r="BZ1149" s="21"/>
      <c r="CA1149" s="21"/>
      <c r="CB1149" s="21"/>
      <c r="CC1149" s="21"/>
      <c r="CD1149" s="21"/>
      <c r="CE1149" s="21"/>
      <c r="CF1149" s="21"/>
      <c r="CG1149" s="21"/>
      <c r="CH1149" s="21"/>
      <c r="CI1149" s="21"/>
      <c r="CJ1149" s="21"/>
      <c r="CK1149" s="21"/>
      <c r="CL1149" s="21"/>
      <c r="CM1149" s="21"/>
      <c r="CN1149" s="21"/>
      <c r="CO1149" s="21"/>
      <c r="CP1149" s="21"/>
      <c r="CQ1149" s="21"/>
      <c r="CR1149" s="21"/>
      <c r="CS1149" s="21"/>
      <c r="CT1149" s="21"/>
      <c r="CU1149" s="21"/>
      <c r="CV1149" s="21"/>
      <c r="CW1149" s="21"/>
      <c r="CX1149" s="21"/>
      <c r="CY1149" s="22"/>
      <c r="CZ1149" s="21"/>
      <c r="DA1149" s="21"/>
      <c r="DB1149" s="21"/>
    </row>
    <row r="1150" spans="3:106" s="19" customFormat="1" ht="12">
      <c r="C1150" s="21"/>
      <c r="D1150" s="21"/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2"/>
      <c r="AX1150" s="21"/>
      <c r="AY1150" s="21"/>
      <c r="AZ1150" s="21"/>
      <c r="BA1150" s="21"/>
      <c r="BB1150" s="21"/>
      <c r="BC1150" s="21"/>
      <c r="BD1150" s="21"/>
      <c r="BE1150" s="21"/>
      <c r="BF1150" s="21"/>
      <c r="BG1150" s="21"/>
      <c r="BH1150" s="21"/>
      <c r="BI1150" s="21"/>
      <c r="BJ1150" s="21"/>
      <c r="BK1150" s="21"/>
      <c r="BL1150" s="21"/>
      <c r="BM1150" s="21"/>
      <c r="BN1150" s="21"/>
      <c r="BO1150" s="21"/>
      <c r="BP1150" s="21"/>
      <c r="BQ1150" s="21"/>
      <c r="BR1150" s="21"/>
      <c r="BS1150" s="21"/>
      <c r="BT1150" s="21"/>
      <c r="BU1150" s="21"/>
      <c r="BV1150" s="21"/>
      <c r="BW1150" s="21"/>
      <c r="BX1150" s="21"/>
      <c r="BY1150" s="21"/>
      <c r="BZ1150" s="21"/>
      <c r="CA1150" s="21"/>
      <c r="CB1150" s="21"/>
      <c r="CC1150" s="21"/>
      <c r="CD1150" s="21"/>
      <c r="CE1150" s="21"/>
      <c r="CF1150" s="21"/>
      <c r="CG1150" s="21"/>
      <c r="CH1150" s="21"/>
      <c r="CI1150" s="21"/>
      <c r="CJ1150" s="21"/>
      <c r="CK1150" s="21"/>
      <c r="CL1150" s="21"/>
      <c r="CM1150" s="21"/>
      <c r="CN1150" s="21"/>
      <c r="CO1150" s="21"/>
      <c r="CP1150" s="21"/>
      <c r="CQ1150" s="21"/>
      <c r="CR1150" s="21"/>
      <c r="CS1150" s="21"/>
      <c r="CT1150" s="21"/>
      <c r="CU1150" s="21"/>
      <c r="CV1150" s="21"/>
      <c r="CW1150" s="21"/>
      <c r="CX1150" s="21"/>
      <c r="CY1150" s="22"/>
      <c r="CZ1150" s="21"/>
      <c r="DA1150" s="21"/>
      <c r="DB1150" s="21"/>
    </row>
    <row r="1151" spans="3:106" s="19" customFormat="1" ht="12">
      <c r="C1151" s="21"/>
      <c r="D1151" s="21"/>
      <c r="E1151" s="21"/>
      <c r="F1151" s="21"/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2"/>
      <c r="AX1151" s="21"/>
      <c r="AY1151" s="21"/>
      <c r="AZ1151" s="21"/>
      <c r="BA1151" s="21"/>
      <c r="BB1151" s="21"/>
      <c r="BC1151" s="21"/>
      <c r="BD1151" s="21"/>
      <c r="BE1151" s="21"/>
      <c r="BF1151" s="21"/>
      <c r="BG1151" s="21"/>
      <c r="BH1151" s="21"/>
      <c r="BI1151" s="21"/>
      <c r="BJ1151" s="21"/>
      <c r="BK1151" s="21"/>
      <c r="BL1151" s="21"/>
      <c r="BM1151" s="21"/>
      <c r="BN1151" s="21"/>
      <c r="BO1151" s="21"/>
      <c r="BP1151" s="21"/>
      <c r="BQ1151" s="21"/>
      <c r="BR1151" s="21"/>
      <c r="BS1151" s="21"/>
      <c r="BT1151" s="21"/>
      <c r="BU1151" s="21"/>
      <c r="BV1151" s="21"/>
      <c r="BW1151" s="21"/>
      <c r="BX1151" s="21"/>
      <c r="BY1151" s="21"/>
      <c r="BZ1151" s="21"/>
      <c r="CA1151" s="21"/>
      <c r="CB1151" s="21"/>
      <c r="CC1151" s="21"/>
      <c r="CD1151" s="21"/>
      <c r="CE1151" s="21"/>
      <c r="CF1151" s="21"/>
      <c r="CG1151" s="21"/>
      <c r="CH1151" s="21"/>
      <c r="CI1151" s="21"/>
      <c r="CJ1151" s="21"/>
      <c r="CK1151" s="21"/>
      <c r="CL1151" s="21"/>
      <c r="CM1151" s="21"/>
      <c r="CN1151" s="21"/>
      <c r="CO1151" s="21"/>
      <c r="CP1151" s="21"/>
      <c r="CQ1151" s="21"/>
      <c r="CR1151" s="21"/>
      <c r="CS1151" s="21"/>
      <c r="CT1151" s="21"/>
      <c r="CU1151" s="21"/>
      <c r="CV1151" s="21"/>
      <c r="CW1151" s="21"/>
      <c r="CX1151" s="21"/>
      <c r="CY1151" s="22"/>
      <c r="CZ1151" s="21"/>
      <c r="DA1151" s="21"/>
      <c r="DB1151" s="21"/>
    </row>
    <row r="1152" spans="3:106" s="19" customFormat="1" ht="12">
      <c r="C1152" s="21"/>
      <c r="D1152" s="21"/>
      <c r="E1152" s="21"/>
      <c r="F1152" s="21"/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2"/>
      <c r="AX1152" s="21"/>
      <c r="AY1152" s="21"/>
      <c r="AZ1152" s="21"/>
      <c r="BA1152" s="21"/>
      <c r="BB1152" s="21"/>
      <c r="BC1152" s="21"/>
      <c r="BD1152" s="21"/>
      <c r="BE1152" s="21"/>
      <c r="BF1152" s="21"/>
      <c r="BG1152" s="21"/>
      <c r="BH1152" s="21"/>
      <c r="BI1152" s="21"/>
      <c r="BJ1152" s="21"/>
      <c r="BK1152" s="21"/>
      <c r="BL1152" s="21"/>
      <c r="BM1152" s="21"/>
      <c r="BN1152" s="21"/>
      <c r="BO1152" s="21"/>
      <c r="BP1152" s="21"/>
      <c r="BQ1152" s="21"/>
      <c r="BR1152" s="21"/>
      <c r="BS1152" s="21"/>
      <c r="BT1152" s="21"/>
      <c r="BU1152" s="21"/>
      <c r="BV1152" s="21"/>
      <c r="BW1152" s="21"/>
      <c r="BX1152" s="21"/>
      <c r="BY1152" s="21"/>
      <c r="BZ1152" s="21"/>
      <c r="CA1152" s="21"/>
      <c r="CB1152" s="21"/>
      <c r="CC1152" s="21"/>
      <c r="CD1152" s="21"/>
      <c r="CE1152" s="21"/>
      <c r="CF1152" s="21"/>
      <c r="CG1152" s="21"/>
      <c r="CH1152" s="21"/>
      <c r="CI1152" s="21"/>
      <c r="CJ1152" s="21"/>
      <c r="CK1152" s="21"/>
      <c r="CL1152" s="21"/>
      <c r="CM1152" s="21"/>
      <c r="CN1152" s="21"/>
      <c r="CO1152" s="21"/>
      <c r="CP1152" s="21"/>
      <c r="CQ1152" s="21"/>
      <c r="CR1152" s="21"/>
      <c r="CS1152" s="21"/>
      <c r="CT1152" s="21"/>
      <c r="CU1152" s="21"/>
      <c r="CV1152" s="21"/>
      <c r="CW1152" s="21"/>
      <c r="CX1152" s="21"/>
      <c r="CY1152" s="22"/>
      <c r="CZ1152" s="21"/>
      <c r="DA1152" s="21"/>
      <c r="DB1152" s="21"/>
    </row>
    <row r="1153" spans="3:113" s="19" customFormat="1" ht="12">
      <c r="C1153" s="21"/>
      <c r="D1153" s="21"/>
      <c r="E1153" s="21"/>
      <c r="F1153" s="21"/>
      <c r="G1153" s="21"/>
      <c r="H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2"/>
      <c r="AX1153" s="21"/>
      <c r="AY1153" s="21"/>
      <c r="AZ1153" s="21"/>
      <c r="BA1153" s="21"/>
      <c r="BB1153" s="21"/>
      <c r="BC1153" s="21"/>
      <c r="BD1153" s="21"/>
      <c r="BE1153" s="21"/>
      <c r="BF1153" s="21"/>
      <c r="BG1153" s="21"/>
      <c r="BH1153" s="21"/>
      <c r="BI1153" s="21"/>
      <c r="BJ1153" s="21"/>
      <c r="BK1153" s="21"/>
      <c r="BL1153" s="21"/>
      <c r="BM1153" s="21"/>
      <c r="BN1153" s="21"/>
      <c r="BO1153" s="21"/>
      <c r="BP1153" s="21"/>
      <c r="BQ1153" s="21"/>
      <c r="BR1153" s="21"/>
      <c r="BS1153" s="21"/>
      <c r="BT1153" s="21"/>
      <c r="BU1153" s="21"/>
      <c r="BV1153" s="21"/>
      <c r="BW1153" s="21"/>
      <c r="BX1153" s="21"/>
      <c r="BY1153" s="21"/>
      <c r="BZ1153" s="21"/>
      <c r="CA1153" s="21"/>
      <c r="CB1153" s="21"/>
      <c r="CC1153" s="21"/>
      <c r="CD1153" s="21"/>
      <c r="CE1153" s="21"/>
      <c r="CF1153" s="21"/>
      <c r="CG1153" s="21"/>
      <c r="CH1153" s="21"/>
      <c r="CI1153" s="21"/>
      <c r="CJ1153" s="21"/>
      <c r="CK1153" s="21"/>
      <c r="CL1153" s="21"/>
      <c r="CM1153" s="21"/>
      <c r="CN1153" s="21"/>
      <c r="CO1153" s="21"/>
      <c r="CP1153" s="21"/>
      <c r="CQ1153" s="21"/>
      <c r="CR1153" s="21"/>
      <c r="CS1153" s="21"/>
      <c r="CT1153" s="21"/>
      <c r="CU1153" s="21"/>
      <c r="CV1153" s="21"/>
      <c r="CW1153" s="21"/>
      <c r="CX1153" s="21"/>
      <c r="CY1153" s="22"/>
      <c r="CZ1153" s="21"/>
      <c r="DA1153" s="21"/>
      <c r="DB1153" s="21"/>
    </row>
    <row r="1154" spans="3:113" s="19" customFormat="1" ht="12">
      <c r="C1154" s="21"/>
      <c r="D1154" s="21"/>
      <c r="E1154" s="21"/>
      <c r="F1154" s="21"/>
      <c r="G1154" s="21"/>
      <c r="H1154" s="21"/>
      <c r="I1154" s="21"/>
      <c r="J1154" s="21"/>
      <c r="K1154" s="21"/>
      <c r="L1154" s="21"/>
      <c r="M1154" s="21"/>
      <c r="N1154" s="21"/>
      <c r="O1154" s="21"/>
      <c r="P1154" s="21"/>
      <c r="Q1154" s="21"/>
      <c r="R1154" s="21"/>
      <c r="S1154" s="21"/>
      <c r="T1154" s="21"/>
      <c r="U1154" s="21"/>
      <c r="V1154" s="21"/>
      <c r="W1154" s="21"/>
      <c r="X1154" s="21"/>
      <c r="Y1154" s="21"/>
      <c r="Z1154" s="21"/>
      <c r="AA1154" s="21"/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2"/>
      <c r="AX1154" s="21"/>
      <c r="AY1154" s="21"/>
      <c r="AZ1154" s="21"/>
      <c r="BA1154" s="21"/>
      <c r="BB1154" s="21"/>
      <c r="BC1154" s="21"/>
      <c r="BD1154" s="21"/>
      <c r="BE1154" s="21"/>
      <c r="BF1154" s="21"/>
      <c r="BG1154" s="21"/>
      <c r="BH1154" s="21"/>
      <c r="BI1154" s="21"/>
      <c r="BJ1154" s="21"/>
      <c r="BK1154" s="21"/>
      <c r="BL1154" s="21"/>
      <c r="BM1154" s="21"/>
      <c r="BN1154" s="21"/>
      <c r="BO1154" s="21"/>
      <c r="BP1154" s="21"/>
      <c r="BQ1154" s="21"/>
      <c r="BR1154" s="21"/>
      <c r="BS1154" s="21"/>
      <c r="BT1154" s="21"/>
      <c r="BU1154" s="21"/>
      <c r="BV1154" s="21"/>
      <c r="BW1154" s="21"/>
      <c r="BX1154" s="21"/>
      <c r="BY1154" s="21"/>
      <c r="BZ1154" s="21"/>
      <c r="CA1154" s="21"/>
      <c r="CB1154" s="21"/>
      <c r="CC1154" s="21"/>
      <c r="CD1154" s="21"/>
      <c r="CE1154" s="21"/>
      <c r="CF1154" s="21"/>
      <c r="CG1154" s="21"/>
      <c r="CH1154" s="21"/>
      <c r="CI1154" s="21"/>
      <c r="CJ1154" s="21"/>
      <c r="CK1154" s="21"/>
      <c r="CL1154" s="21"/>
      <c r="CM1154" s="21"/>
      <c r="CN1154" s="21"/>
      <c r="CO1154" s="21"/>
      <c r="CP1154" s="21"/>
      <c r="CQ1154" s="21"/>
      <c r="CR1154" s="21"/>
      <c r="CS1154" s="21"/>
      <c r="CT1154" s="21"/>
      <c r="CU1154" s="21"/>
      <c r="CV1154" s="21"/>
      <c r="CW1154" s="21"/>
      <c r="CX1154" s="21"/>
      <c r="CY1154" s="22"/>
      <c r="CZ1154" s="21"/>
      <c r="DA1154" s="21"/>
      <c r="DB1154" s="21"/>
    </row>
    <row r="1155" spans="3:113" s="19" customFormat="1" ht="12">
      <c r="C1155" s="21"/>
      <c r="D1155" s="21"/>
      <c r="E1155" s="21"/>
      <c r="F1155" s="21"/>
      <c r="G1155" s="21"/>
      <c r="H1155" s="21"/>
      <c r="I1155" s="21"/>
      <c r="J1155" s="21"/>
      <c r="K1155" s="21"/>
      <c r="L1155" s="21"/>
      <c r="M1155" s="21"/>
      <c r="N1155" s="21"/>
      <c r="O1155" s="21"/>
      <c r="P1155" s="21"/>
      <c r="Q1155" s="21"/>
      <c r="R1155" s="21"/>
      <c r="S1155" s="21"/>
      <c r="T1155" s="21"/>
      <c r="U1155" s="21"/>
      <c r="V1155" s="21"/>
      <c r="W1155" s="21"/>
      <c r="X1155" s="21"/>
      <c r="Y1155" s="21"/>
      <c r="Z1155" s="21"/>
      <c r="AA1155" s="21"/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2"/>
      <c r="AX1155" s="21"/>
      <c r="AY1155" s="21"/>
      <c r="AZ1155" s="21"/>
      <c r="BA1155" s="21"/>
      <c r="BB1155" s="21"/>
      <c r="BC1155" s="21"/>
      <c r="BD1155" s="21"/>
      <c r="BE1155" s="21"/>
      <c r="BF1155" s="21"/>
      <c r="BG1155" s="21"/>
      <c r="BH1155" s="21"/>
      <c r="BI1155" s="21"/>
      <c r="BJ1155" s="21"/>
      <c r="BK1155" s="21"/>
      <c r="BL1155" s="21"/>
      <c r="BM1155" s="21"/>
      <c r="BN1155" s="21"/>
      <c r="BO1155" s="21"/>
      <c r="BP1155" s="21"/>
      <c r="BQ1155" s="21"/>
      <c r="BR1155" s="21"/>
      <c r="BS1155" s="21"/>
      <c r="BT1155" s="21"/>
      <c r="BU1155" s="21"/>
      <c r="BV1155" s="21"/>
      <c r="BW1155" s="21"/>
      <c r="BX1155" s="21"/>
      <c r="BY1155" s="21"/>
      <c r="BZ1155" s="21"/>
      <c r="CA1155" s="21"/>
      <c r="CB1155" s="21"/>
      <c r="CC1155" s="21"/>
      <c r="CD1155" s="21"/>
      <c r="CE1155" s="21"/>
      <c r="CF1155" s="21"/>
      <c r="CG1155" s="21"/>
      <c r="CH1155" s="21"/>
      <c r="CI1155" s="21"/>
      <c r="CJ1155" s="21"/>
      <c r="CK1155" s="21"/>
      <c r="CL1155" s="21"/>
      <c r="CM1155" s="21"/>
      <c r="CN1155" s="21"/>
      <c r="CO1155" s="21"/>
      <c r="CP1155" s="21"/>
      <c r="CQ1155" s="21"/>
      <c r="CR1155" s="21"/>
      <c r="CS1155" s="21"/>
      <c r="CT1155" s="21"/>
      <c r="CU1155" s="21"/>
      <c r="CV1155" s="21"/>
      <c r="CW1155" s="21"/>
      <c r="CX1155" s="21"/>
      <c r="CY1155" s="22"/>
      <c r="CZ1155" s="21"/>
      <c r="DA1155" s="21"/>
      <c r="DB1155" s="21"/>
    </row>
    <row r="1156" spans="3:113" s="19" customFormat="1">
      <c r="C1156" s="21"/>
      <c r="D1156" s="21"/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2"/>
      <c r="AX1156" s="21"/>
      <c r="AY1156" s="21"/>
      <c r="AZ1156" s="21"/>
      <c r="BA1156" s="21"/>
      <c r="BB1156" s="21"/>
      <c r="BC1156" s="21"/>
      <c r="BD1156" s="21"/>
      <c r="BE1156" s="21"/>
      <c r="BF1156" s="21"/>
      <c r="BG1156" s="21"/>
      <c r="BH1156" s="21"/>
      <c r="BI1156" s="21"/>
      <c r="BJ1156" s="21"/>
      <c r="BK1156" s="21"/>
      <c r="BL1156" s="21"/>
      <c r="BM1156" s="21"/>
      <c r="BN1156" s="21"/>
      <c r="BO1156" s="21"/>
      <c r="BP1156" s="21"/>
      <c r="BQ1156" s="21"/>
      <c r="BR1156" s="21"/>
      <c r="BS1156" s="21"/>
      <c r="BT1156" s="21"/>
      <c r="BU1156" s="21"/>
      <c r="BV1156" s="21"/>
      <c r="BW1156" s="21"/>
      <c r="BX1156" s="21"/>
      <c r="BY1156" s="21"/>
      <c r="BZ1156" s="21"/>
      <c r="CA1156" s="21"/>
      <c r="CB1156" s="21"/>
      <c r="CC1156" s="21"/>
      <c r="CD1156" s="21"/>
      <c r="CE1156" s="21"/>
      <c r="CF1156" s="21"/>
      <c r="CG1156" s="21"/>
      <c r="CH1156" s="21"/>
      <c r="CI1156" s="21"/>
      <c r="CJ1156" s="21"/>
      <c r="CK1156" s="21"/>
      <c r="CL1156" s="21"/>
      <c r="CM1156" s="21"/>
      <c r="CN1156" s="21"/>
      <c r="CO1156" s="21"/>
      <c r="CP1156" s="21"/>
      <c r="CQ1156" s="21"/>
      <c r="CR1156" s="21"/>
      <c r="CS1156" s="21"/>
      <c r="CT1156" s="21"/>
      <c r="CU1156" s="21"/>
      <c r="CV1156" s="21"/>
      <c r="CW1156" s="21"/>
      <c r="CX1156" s="21"/>
      <c r="CY1156" s="22"/>
      <c r="CZ1156" s="21"/>
      <c r="DA1156" s="21"/>
      <c r="DB1156" s="21"/>
      <c r="DC1156" s="21"/>
      <c r="DD1156" s="21"/>
      <c r="DE1156" s="21"/>
      <c r="DF1156" s="21"/>
      <c r="DG1156"/>
      <c r="DH1156"/>
      <c r="DI1156"/>
    </row>
    <row r="1157" spans="3:113" s="19" customFormat="1">
      <c r="C1157" s="21"/>
      <c r="D1157" s="21"/>
      <c r="E1157" s="21"/>
      <c r="F1157" s="21"/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2"/>
      <c r="AX1157" s="21"/>
      <c r="AY1157" s="21"/>
      <c r="AZ1157" s="21"/>
      <c r="BA1157" s="21"/>
      <c r="BB1157" s="21"/>
      <c r="BC1157" s="21"/>
      <c r="BD1157" s="21"/>
      <c r="BE1157" s="21"/>
      <c r="BF1157" s="21"/>
      <c r="BG1157" s="21"/>
      <c r="BH1157" s="21"/>
      <c r="BI1157" s="21"/>
      <c r="BJ1157" s="21"/>
      <c r="BK1157" s="21"/>
      <c r="BL1157" s="21"/>
      <c r="BM1157" s="21"/>
      <c r="BN1157" s="21"/>
      <c r="BO1157" s="21"/>
      <c r="BP1157" s="21"/>
      <c r="BQ1157" s="21"/>
      <c r="BR1157" s="21"/>
      <c r="BS1157" s="21"/>
      <c r="BT1157" s="21"/>
      <c r="BU1157" s="21"/>
      <c r="BV1157" s="21"/>
      <c r="BW1157" s="21"/>
      <c r="BX1157" s="21"/>
      <c r="BY1157" s="21"/>
      <c r="BZ1157" s="21"/>
      <c r="CA1157" s="21"/>
      <c r="CB1157" s="21"/>
      <c r="CC1157" s="21"/>
      <c r="CD1157" s="21"/>
      <c r="CE1157" s="21"/>
      <c r="CF1157" s="21"/>
      <c r="CG1157" s="21"/>
      <c r="CH1157" s="21"/>
      <c r="CI1157" s="21"/>
      <c r="CJ1157" s="21"/>
      <c r="CK1157" s="21"/>
      <c r="CL1157" s="21"/>
      <c r="CM1157" s="21"/>
      <c r="CN1157" s="21"/>
      <c r="CO1157" s="21"/>
      <c r="CP1157" s="21"/>
      <c r="CQ1157" s="21"/>
      <c r="CR1157" s="21"/>
      <c r="CS1157" s="21"/>
      <c r="CT1157" s="21"/>
      <c r="CU1157" s="21"/>
      <c r="CV1157" s="21"/>
      <c r="CW1157" s="21"/>
      <c r="CX1157" s="21"/>
      <c r="CY1157" s="22"/>
      <c r="CZ1157" s="21"/>
      <c r="DA1157" s="21"/>
      <c r="DB1157" s="21"/>
      <c r="DC1157" s="21"/>
      <c r="DD1157" s="21"/>
      <c r="DE1157" s="21"/>
      <c r="DF1157" s="21"/>
      <c r="DG1157"/>
      <c r="DH1157"/>
      <c r="DI1157"/>
    </row>
    <row r="1158" spans="3:113" s="19" customFormat="1">
      <c r="C1158" s="21"/>
      <c r="D1158" s="21"/>
      <c r="E1158" s="21"/>
      <c r="F1158" s="21"/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2"/>
      <c r="AX1158" s="21"/>
      <c r="AY1158" s="21"/>
      <c r="AZ1158" s="21"/>
      <c r="BA1158" s="21"/>
      <c r="BB1158" s="21"/>
      <c r="BC1158" s="21"/>
      <c r="BD1158" s="21"/>
      <c r="BE1158" s="21"/>
      <c r="BF1158" s="21"/>
      <c r="BG1158" s="21"/>
      <c r="BH1158" s="21"/>
      <c r="BI1158" s="21"/>
      <c r="BJ1158" s="21"/>
      <c r="BK1158" s="21"/>
      <c r="BL1158" s="21"/>
      <c r="BM1158" s="21"/>
      <c r="BN1158" s="21"/>
      <c r="BO1158" s="21"/>
      <c r="BP1158" s="21"/>
      <c r="BQ1158" s="21"/>
      <c r="BR1158" s="21"/>
      <c r="BS1158" s="21"/>
      <c r="BT1158" s="21"/>
      <c r="BU1158" s="21"/>
      <c r="BV1158" s="21"/>
      <c r="BW1158" s="21"/>
      <c r="BX1158" s="21"/>
      <c r="BY1158" s="21"/>
      <c r="BZ1158" s="21"/>
      <c r="CA1158" s="21"/>
      <c r="CB1158" s="21"/>
      <c r="CC1158" s="21"/>
      <c r="CD1158" s="21"/>
      <c r="CE1158" s="21"/>
      <c r="CF1158" s="21"/>
      <c r="CG1158" s="21"/>
      <c r="CH1158" s="21"/>
      <c r="CI1158" s="21"/>
      <c r="CJ1158" s="21"/>
      <c r="CK1158" s="21"/>
      <c r="CL1158" s="21"/>
      <c r="CM1158" s="21"/>
      <c r="CN1158" s="21"/>
      <c r="CO1158" s="21"/>
      <c r="CP1158" s="21"/>
      <c r="CQ1158" s="21"/>
      <c r="CR1158" s="21"/>
      <c r="CS1158" s="21"/>
      <c r="CT1158" s="21"/>
      <c r="CU1158" s="21"/>
      <c r="CV1158" s="21"/>
      <c r="CW1158" s="21"/>
      <c r="CX1158" s="21"/>
      <c r="CY1158" s="22"/>
      <c r="CZ1158" s="21"/>
      <c r="DA1158" s="21"/>
      <c r="DB1158" s="21"/>
      <c r="DC1158" s="21"/>
      <c r="DD1158" s="21"/>
      <c r="DE1158" s="21"/>
      <c r="DF1158" s="21"/>
      <c r="DG1158"/>
      <c r="DH1158"/>
      <c r="DI1158"/>
    </row>
    <row r="1159" spans="3:113" s="19" customFormat="1">
      <c r="C1159" s="21"/>
      <c r="D1159" s="21"/>
      <c r="E1159" s="21"/>
      <c r="F1159" s="21"/>
      <c r="G1159" s="21"/>
      <c r="H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2"/>
      <c r="AX1159" s="21"/>
      <c r="AY1159" s="21"/>
      <c r="AZ1159" s="21"/>
      <c r="BA1159" s="21"/>
      <c r="BB1159" s="21"/>
      <c r="BC1159" s="21"/>
      <c r="BD1159" s="21"/>
      <c r="BE1159" s="21"/>
      <c r="BF1159" s="21"/>
      <c r="BG1159" s="21"/>
      <c r="BH1159" s="21"/>
      <c r="BI1159" s="21"/>
      <c r="BJ1159" s="21"/>
      <c r="BK1159" s="21"/>
      <c r="BL1159" s="21"/>
      <c r="BM1159" s="21"/>
      <c r="BN1159" s="21"/>
      <c r="BO1159" s="21"/>
      <c r="BP1159" s="21"/>
      <c r="BQ1159" s="21"/>
      <c r="BR1159" s="21"/>
      <c r="BS1159" s="21"/>
      <c r="BT1159" s="21"/>
      <c r="BU1159" s="21"/>
      <c r="BV1159" s="21"/>
      <c r="BW1159" s="21"/>
      <c r="BX1159" s="21"/>
      <c r="BY1159" s="21"/>
      <c r="BZ1159" s="21"/>
      <c r="CA1159" s="21"/>
      <c r="CB1159" s="21"/>
      <c r="CC1159" s="21"/>
      <c r="CD1159" s="21"/>
      <c r="CE1159" s="21"/>
      <c r="CF1159" s="21"/>
      <c r="CG1159" s="21"/>
      <c r="CH1159" s="21"/>
      <c r="CI1159" s="21"/>
      <c r="CJ1159" s="21"/>
      <c r="CK1159" s="21"/>
      <c r="CL1159" s="21"/>
      <c r="CM1159" s="21"/>
      <c r="CN1159" s="21"/>
      <c r="CO1159" s="21"/>
      <c r="CP1159" s="21"/>
      <c r="CQ1159" s="21"/>
      <c r="CR1159" s="21"/>
      <c r="CS1159" s="21"/>
      <c r="CT1159" s="21"/>
      <c r="CU1159" s="21"/>
      <c r="CV1159" s="21"/>
      <c r="CW1159" s="21"/>
      <c r="CX1159" s="21"/>
      <c r="CY1159" s="22"/>
      <c r="CZ1159" s="21"/>
      <c r="DA1159" s="21"/>
      <c r="DB1159" s="21"/>
      <c r="DC1159" s="21"/>
      <c r="DD1159" s="21"/>
      <c r="DE1159" s="21"/>
      <c r="DF1159" s="21"/>
      <c r="DG1159"/>
      <c r="DH1159"/>
      <c r="DI1159"/>
    </row>
    <row r="1160" spans="3:113" s="19" customFormat="1">
      <c r="C1160" s="21"/>
      <c r="D1160" s="21"/>
      <c r="E1160" s="21"/>
      <c r="F1160" s="21"/>
      <c r="G1160" s="21"/>
      <c r="H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2"/>
      <c r="AX1160" s="21"/>
      <c r="AY1160" s="21"/>
      <c r="AZ1160" s="21"/>
      <c r="BA1160" s="21"/>
      <c r="BB1160" s="21"/>
      <c r="BC1160" s="21"/>
      <c r="BD1160" s="21"/>
      <c r="BE1160" s="21"/>
      <c r="BF1160" s="21"/>
      <c r="BG1160" s="21"/>
      <c r="BH1160" s="21"/>
      <c r="BI1160" s="21"/>
      <c r="BJ1160" s="21"/>
      <c r="BK1160" s="21"/>
      <c r="BL1160" s="21"/>
      <c r="BM1160" s="21"/>
      <c r="BN1160" s="21"/>
      <c r="BO1160" s="21"/>
      <c r="BP1160" s="21"/>
      <c r="BQ1160" s="21"/>
      <c r="BR1160" s="21"/>
      <c r="BS1160" s="21"/>
      <c r="BT1160" s="21"/>
      <c r="BU1160" s="21"/>
      <c r="BV1160" s="21"/>
      <c r="BW1160" s="21"/>
      <c r="BX1160" s="21"/>
      <c r="BY1160" s="21"/>
      <c r="BZ1160" s="21"/>
      <c r="CA1160" s="21"/>
      <c r="CB1160" s="21"/>
      <c r="CC1160" s="21"/>
      <c r="CD1160" s="21"/>
      <c r="CE1160" s="21"/>
      <c r="CF1160" s="21"/>
      <c r="CG1160" s="21"/>
      <c r="CH1160" s="21"/>
      <c r="CI1160" s="21"/>
      <c r="CJ1160" s="21"/>
      <c r="CK1160" s="21"/>
      <c r="CL1160" s="21"/>
      <c r="CM1160" s="21"/>
      <c r="CN1160" s="21"/>
      <c r="CO1160" s="21"/>
      <c r="CP1160" s="21"/>
      <c r="CQ1160" s="21"/>
      <c r="CR1160" s="21"/>
      <c r="CS1160" s="21"/>
      <c r="CT1160" s="21"/>
      <c r="CU1160" s="21"/>
      <c r="CV1160" s="21"/>
      <c r="CW1160" s="21"/>
      <c r="CX1160" s="21"/>
      <c r="CY1160" s="22"/>
      <c r="CZ1160" s="21"/>
      <c r="DA1160" s="21"/>
      <c r="DB1160" s="21"/>
      <c r="DC1160" s="21"/>
      <c r="DD1160" s="21"/>
      <c r="DE1160" s="21"/>
      <c r="DF1160" s="21"/>
      <c r="DG1160"/>
      <c r="DH1160"/>
      <c r="DI1160"/>
    </row>
    <row r="1161" spans="3:113" s="19" customFormat="1">
      <c r="C1161" s="21"/>
      <c r="D1161" s="21"/>
      <c r="E1161" s="21"/>
      <c r="F1161" s="21"/>
      <c r="G1161" s="21"/>
      <c r="H1161" s="21"/>
      <c r="I1161" s="21"/>
      <c r="J1161" s="21"/>
      <c r="K1161" s="21"/>
      <c r="L1161" s="21"/>
      <c r="M1161" s="21"/>
      <c r="N1161" s="21"/>
      <c r="O1161" s="21"/>
      <c r="P1161" s="21"/>
      <c r="Q1161" s="21"/>
      <c r="R1161" s="21"/>
      <c r="S1161" s="21"/>
      <c r="T1161" s="21"/>
      <c r="U1161" s="21"/>
      <c r="V1161" s="21"/>
      <c r="W1161" s="21"/>
      <c r="X1161" s="21"/>
      <c r="Y1161" s="21"/>
      <c r="Z1161" s="21"/>
      <c r="AA1161" s="21"/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2"/>
      <c r="AX1161" s="21"/>
      <c r="AY1161" s="21"/>
      <c r="AZ1161" s="21"/>
      <c r="BA1161" s="21"/>
      <c r="BB1161" s="21"/>
      <c r="BC1161" s="21"/>
      <c r="BD1161" s="21"/>
      <c r="BE1161" s="21"/>
      <c r="BF1161" s="21"/>
      <c r="BG1161" s="21"/>
      <c r="BH1161" s="21"/>
      <c r="BI1161" s="21"/>
      <c r="BJ1161" s="21"/>
      <c r="BK1161" s="21"/>
      <c r="BL1161" s="21"/>
      <c r="BM1161" s="21"/>
      <c r="BN1161" s="21"/>
      <c r="BO1161" s="21"/>
      <c r="BP1161" s="21"/>
      <c r="BQ1161" s="21"/>
      <c r="BR1161" s="21"/>
      <c r="BS1161" s="21"/>
      <c r="BT1161" s="21"/>
      <c r="BU1161" s="21"/>
      <c r="BV1161" s="21"/>
      <c r="BW1161" s="21"/>
      <c r="BX1161" s="21"/>
      <c r="BY1161" s="21"/>
      <c r="BZ1161" s="21"/>
      <c r="CA1161" s="21"/>
      <c r="CB1161" s="21"/>
      <c r="CC1161" s="21"/>
      <c r="CD1161" s="21"/>
      <c r="CE1161" s="21"/>
      <c r="CF1161" s="21"/>
      <c r="CG1161" s="21"/>
      <c r="CH1161" s="21"/>
      <c r="CI1161" s="21"/>
      <c r="CJ1161" s="21"/>
      <c r="CK1161" s="21"/>
      <c r="CL1161" s="21"/>
      <c r="CM1161" s="21"/>
      <c r="CN1161" s="21"/>
      <c r="CO1161" s="21"/>
      <c r="CP1161" s="21"/>
      <c r="CQ1161" s="21"/>
      <c r="CR1161" s="21"/>
      <c r="CS1161" s="21"/>
      <c r="CT1161" s="21"/>
      <c r="CU1161" s="21"/>
      <c r="CV1161" s="21"/>
      <c r="CW1161" s="21"/>
      <c r="CX1161" s="21"/>
      <c r="CY1161" s="22"/>
      <c r="CZ1161" s="21"/>
      <c r="DA1161" s="21"/>
      <c r="DB1161" s="21"/>
      <c r="DC1161" s="21"/>
      <c r="DD1161" s="21"/>
      <c r="DE1161" s="21"/>
      <c r="DF1161" s="21"/>
      <c r="DG1161"/>
      <c r="DH1161"/>
      <c r="DI1161"/>
    </row>
    <row r="1162" spans="3:113" s="19" customFormat="1">
      <c r="C1162" s="21"/>
      <c r="D1162" s="21"/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2"/>
      <c r="AX1162" s="21"/>
      <c r="AY1162" s="21"/>
      <c r="AZ1162" s="21"/>
      <c r="BA1162" s="21"/>
      <c r="BB1162" s="21"/>
      <c r="BC1162" s="21"/>
      <c r="BD1162" s="21"/>
      <c r="BE1162" s="21"/>
      <c r="BF1162" s="21"/>
      <c r="BG1162" s="21"/>
      <c r="BH1162" s="21"/>
      <c r="BI1162" s="21"/>
      <c r="BJ1162" s="21"/>
      <c r="BK1162" s="21"/>
      <c r="BL1162" s="21"/>
      <c r="BM1162" s="21"/>
      <c r="BN1162" s="21"/>
      <c r="BO1162" s="21"/>
      <c r="BP1162" s="21"/>
      <c r="BQ1162" s="21"/>
      <c r="BR1162" s="21"/>
      <c r="BS1162" s="21"/>
      <c r="BT1162" s="21"/>
      <c r="BU1162" s="21"/>
      <c r="BV1162" s="21"/>
      <c r="BW1162" s="21"/>
      <c r="BX1162" s="21"/>
      <c r="BY1162" s="21"/>
      <c r="BZ1162" s="21"/>
      <c r="CA1162" s="21"/>
      <c r="CB1162" s="21"/>
      <c r="CC1162" s="21"/>
      <c r="CD1162" s="21"/>
      <c r="CE1162" s="21"/>
      <c r="CF1162" s="21"/>
      <c r="CG1162" s="21"/>
      <c r="CH1162" s="21"/>
      <c r="CI1162" s="21"/>
      <c r="CJ1162" s="21"/>
      <c r="CK1162" s="21"/>
      <c r="CL1162" s="21"/>
      <c r="CM1162" s="21"/>
      <c r="CN1162" s="21"/>
      <c r="CO1162" s="21"/>
      <c r="CP1162" s="21"/>
      <c r="CQ1162" s="21"/>
      <c r="CR1162" s="21"/>
      <c r="CS1162" s="21"/>
      <c r="CT1162" s="21"/>
      <c r="CU1162" s="21"/>
      <c r="CV1162" s="21"/>
      <c r="CW1162" s="21"/>
      <c r="CX1162" s="21"/>
      <c r="CY1162" s="22"/>
      <c r="CZ1162" s="21"/>
      <c r="DA1162" s="21"/>
      <c r="DB1162" s="21"/>
      <c r="DC1162" s="21"/>
      <c r="DD1162" s="21"/>
      <c r="DE1162" s="21"/>
      <c r="DF1162" s="21"/>
      <c r="DG1162"/>
      <c r="DH1162"/>
      <c r="DI1162"/>
    </row>
    <row r="1163" spans="3:113" s="19" customFormat="1">
      <c r="C1163" s="21"/>
      <c r="D1163" s="21"/>
      <c r="E1163" s="21"/>
      <c r="F1163" s="21"/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2"/>
      <c r="AX1163" s="21"/>
      <c r="AY1163" s="21"/>
      <c r="AZ1163" s="21"/>
      <c r="BA1163" s="21"/>
      <c r="BB1163" s="21"/>
      <c r="BC1163" s="21"/>
      <c r="BD1163" s="21"/>
      <c r="BE1163" s="21"/>
      <c r="BF1163" s="21"/>
      <c r="BG1163" s="21"/>
      <c r="BH1163" s="21"/>
      <c r="BI1163" s="21"/>
      <c r="BJ1163" s="21"/>
      <c r="BK1163" s="21"/>
      <c r="BL1163" s="21"/>
      <c r="BM1163" s="21"/>
      <c r="BN1163" s="21"/>
      <c r="BO1163" s="21"/>
      <c r="BP1163" s="21"/>
      <c r="BQ1163" s="21"/>
      <c r="BR1163" s="21"/>
      <c r="BS1163" s="21"/>
      <c r="BT1163" s="21"/>
      <c r="BU1163" s="21"/>
      <c r="BV1163" s="21"/>
      <c r="BW1163" s="21"/>
      <c r="BX1163" s="21"/>
      <c r="BY1163" s="21"/>
      <c r="BZ1163" s="21"/>
      <c r="CA1163" s="21"/>
      <c r="CB1163" s="21"/>
      <c r="CC1163" s="21"/>
      <c r="CD1163" s="21"/>
      <c r="CE1163" s="21"/>
      <c r="CF1163" s="21"/>
      <c r="CG1163" s="21"/>
      <c r="CH1163" s="21"/>
      <c r="CI1163" s="21"/>
      <c r="CJ1163" s="21"/>
      <c r="CK1163" s="21"/>
      <c r="CL1163" s="21"/>
      <c r="CM1163" s="21"/>
      <c r="CN1163" s="21"/>
      <c r="CO1163" s="21"/>
      <c r="CP1163" s="21"/>
      <c r="CQ1163" s="21"/>
      <c r="CR1163" s="21"/>
      <c r="CS1163" s="21"/>
      <c r="CT1163" s="21"/>
      <c r="CU1163" s="21"/>
      <c r="CV1163" s="21"/>
      <c r="CW1163" s="21"/>
      <c r="CX1163" s="21"/>
      <c r="CY1163" s="22"/>
      <c r="CZ1163" s="21"/>
      <c r="DA1163" s="21"/>
      <c r="DB1163" s="21"/>
      <c r="DC1163" s="21"/>
      <c r="DD1163" s="21"/>
      <c r="DE1163" s="21"/>
      <c r="DF1163" s="21"/>
      <c r="DG1163"/>
      <c r="DH1163"/>
      <c r="DI1163"/>
    </row>
    <row r="1164" spans="3:113" s="19" customFormat="1">
      <c r="C1164" s="21"/>
      <c r="D1164" s="21"/>
      <c r="E1164" s="21"/>
      <c r="F1164" s="21"/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2"/>
      <c r="AX1164" s="21"/>
      <c r="AY1164" s="21"/>
      <c r="AZ1164" s="21"/>
      <c r="BA1164" s="21"/>
      <c r="BB1164" s="21"/>
      <c r="BC1164" s="21"/>
      <c r="BD1164" s="21"/>
      <c r="BE1164" s="21"/>
      <c r="BF1164" s="21"/>
      <c r="BG1164" s="21"/>
      <c r="BH1164" s="21"/>
      <c r="BI1164" s="21"/>
      <c r="BJ1164" s="21"/>
      <c r="BK1164" s="21"/>
      <c r="BL1164" s="21"/>
      <c r="BM1164" s="21"/>
      <c r="BN1164" s="21"/>
      <c r="BO1164" s="21"/>
      <c r="BP1164" s="21"/>
      <c r="BQ1164" s="21"/>
      <c r="BR1164" s="21"/>
      <c r="BS1164" s="21"/>
      <c r="BT1164" s="21"/>
      <c r="BU1164" s="21"/>
      <c r="BV1164" s="21"/>
      <c r="BW1164" s="21"/>
      <c r="BX1164" s="21"/>
      <c r="BY1164" s="21"/>
      <c r="BZ1164" s="21"/>
      <c r="CA1164" s="21"/>
      <c r="CB1164" s="21"/>
      <c r="CC1164" s="21"/>
      <c r="CD1164" s="21"/>
      <c r="CE1164" s="21"/>
      <c r="CF1164" s="21"/>
      <c r="CG1164" s="21"/>
      <c r="CH1164" s="21"/>
      <c r="CI1164" s="21"/>
      <c r="CJ1164" s="21"/>
      <c r="CK1164" s="21"/>
      <c r="CL1164" s="21"/>
      <c r="CM1164" s="21"/>
      <c r="CN1164" s="21"/>
      <c r="CO1164" s="21"/>
      <c r="CP1164" s="21"/>
      <c r="CQ1164" s="21"/>
      <c r="CR1164" s="21"/>
      <c r="CS1164" s="21"/>
      <c r="CT1164" s="21"/>
      <c r="CU1164" s="21"/>
      <c r="CV1164" s="21"/>
      <c r="CW1164" s="21"/>
      <c r="CX1164" s="21"/>
      <c r="CY1164" s="22"/>
      <c r="CZ1164" s="21"/>
      <c r="DA1164" s="21"/>
      <c r="DB1164" s="21"/>
      <c r="DC1164" s="21"/>
      <c r="DD1164" s="21"/>
      <c r="DE1164" s="21"/>
      <c r="DF1164" s="21"/>
      <c r="DG1164"/>
      <c r="DH1164"/>
      <c r="DI1164"/>
    </row>
    <row r="1165" spans="3:113" s="19" customFormat="1">
      <c r="C1165" s="21"/>
      <c r="D1165" s="21"/>
      <c r="E1165" s="21"/>
      <c r="F1165" s="21"/>
      <c r="G1165" s="21"/>
      <c r="H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2"/>
      <c r="AX1165" s="21"/>
      <c r="AY1165" s="21"/>
      <c r="AZ1165" s="21"/>
      <c r="BA1165" s="21"/>
      <c r="BB1165" s="21"/>
      <c r="BC1165" s="21"/>
      <c r="BD1165" s="21"/>
      <c r="BE1165" s="21"/>
      <c r="BF1165" s="21"/>
      <c r="BG1165" s="21"/>
      <c r="BH1165" s="21"/>
      <c r="BI1165" s="21"/>
      <c r="BJ1165" s="21"/>
      <c r="BK1165" s="21"/>
      <c r="BL1165" s="21"/>
      <c r="BM1165" s="21"/>
      <c r="BN1165" s="21"/>
      <c r="BO1165" s="21"/>
      <c r="BP1165" s="21"/>
      <c r="BQ1165" s="21"/>
      <c r="BR1165" s="21"/>
      <c r="BS1165" s="21"/>
      <c r="BT1165" s="21"/>
      <c r="BU1165" s="21"/>
      <c r="BV1165" s="21"/>
      <c r="BW1165" s="21"/>
      <c r="BX1165" s="21"/>
      <c r="BY1165" s="21"/>
      <c r="BZ1165" s="21"/>
      <c r="CA1165" s="21"/>
      <c r="CB1165" s="21"/>
      <c r="CC1165" s="21"/>
      <c r="CD1165" s="21"/>
      <c r="CE1165" s="21"/>
      <c r="CF1165" s="21"/>
      <c r="CG1165" s="21"/>
      <c r="CH1165" s="21"/>
      <c r="CI1165" s="21"/>
      <c r="CJ1165" s="21"/>
      <c r="CK1165" s="21"/>
      <c r="CL1165" s="21"/>
      <c r="CM1165" s="21"/>
      <c r="CN1165" s="21"/>
      <c r="CO1165" s="21"/>
      <c r="CP1165" s="21"/>
      <c r="CQ1165" s="21"/>
      <c r="CR1165" s="21"/>
      <c r="CS1165" s="21"/>
      <c r="CT1165" s="21"/>
      <c r="CU1165" s="21"/>
      <c r="CV1165" s="21"/>
      <c r="CW1165" s="21"/>
      <c r="CX1165" s="21"/>
      <c r="CY1165" s="22"/>
      <c r="CZ1165" s="21"/>
      <c r="DA1165" s="21"/>
      <c r="DB1165" s="21"/>
      <c r="DC1165" s="21"/>
      <c r="DD1165" s="21"/>
      <c r="DE1165" s="21"/>
      <c r="DF1165" s="21"/>
      <c r="DG1165"/>
      <c r="DH1165"/>
      <c r="DI1165"/>
    </row>
    <row r="1166" spans="3:113" s="19" customFormat="1">
      <c r="C1166" s="21"/>
      <c r="D1166" s="21"/>
      <c r="E1166" s="21"/>
      <c r="F1166" s="21"/>
      <c r="G1166" s="21"/>
      <c r="H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2"/>
      <c r="AX1166" s="21"/>
      <c r="AY1166" s="21"/>
      <c r="AZ1166" s="21"/>
      <c r="BA1166" s="21"/>
      <c r="BB1166" s="21"/>
      <c r="BC1166" s="21"/>
      <c r="BD1166" s="21"/>
      <c r="BE1166" s="21"/>
      <c r="BF1166" s="21"/>
      <c r="BG1166" s="21"/>
      <c r="BH1166" s="21"/>
      <c r="BI1166" s="21"/>
      <c r="BJ1166" s="21"/>
      <c r="BK1166" s="21"/>
      <c r="BL1166" s="21"/>
      <c r="BM1166" s="21"/>
      <c r="BN1166" s="21"/>
      <c r="BO1166" s="21"/>
      <c r="BP1166" s="21"/>
      <c r="BQ1166" s="21"/>
      <c r="BR1166" s="21"/>
      <c r="BS1166" s="21"/>
      <c r="BT1166" s="21"/>
      <c r="BU1166" s="21"/>
      <c r="BV1166" s="21"/>
      <c r="BW1166" s="21"/>
      <c r="BX1166" s="21"/>
      <c r="BY1166" s="21"/>
      <c r="BZ1166" s="21"/>
      <c r="CA1166" s="21"/>
      <c r="CB1166" s="21"/>
      <c r="CC1166" s="21"/>
      <c r="CD1166" s="21"/>
      <c r="CE1166" s="21"/>
      <c r="CF1166" s="21"/>
      <c r="CG1166" s="21"/>
      <c r="CH1166" s="21"/>
      <c r="CI1166" s="21"/>
      <c r="CJ1166" s="21"/>
      <c r="CK1166" s="21"/>
      <c r="CL1166" s="21"/>
      <c r="CM1166" s="21"/>
      <c r="CN1166" s="21"/>
      <c r="CO1166" s="21"/>
      <c r="CP1166" s="21"/>
      <c r="CQ1166" s="21"/>
      <c r="CR1166" s="21"/>
      <c r="CS1166" s="21"/>
      <c r="CT1166" s="21"/>
      <c r="CU1166" s="21"/>
      <c r="CV1166" s="21"/>
      <c r="CW1166" s="21"/>
      <c r="CX1166" s="21"/>
      <c r="CY1166" s="22"/>
      <c r="CZ1166" s="21"/>
      <c r="DA1166" s="21"/>
      <c r="DB1166" s="21"/>
      <c r="DC1166" s="21"/>
      <c r="DD1166" s="21"/>
      <c r="DE1166" s="21"/>
      <c r="DF1166" s="21"/>
      <c r="DG1166"/>
      <c r="DH1166"/>
      <c r="DI1166"/>
    </row>
    <row r="1167" spans="3:113" s="19" customFormat="1">
      <c r="C1167" s="21"/>
      <c r="D1167" s="21"/>
      <c r="E1167" s="21"/>
      <c r="F1167" s="21"/>
      <c r="G1167" s="21"/>
      <c r="H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2"/>
      <c r="AX1167" s="21"/>
      <c r="AY1167" s="21"/>
      <c r="AZ1167" s="21"/>
      <c r="BA1167" s="21"/>
      <c r="BB1167" s="21"/>
      <c r="BC1167" s="21"/>
      <c r="BD1167" s="21"/>
      <c r="BE1167" s="21"/>
      <c r="BF1167" s="21"/>
      <c r="BG1167" s="21"/>
      <c r="BH1167" s="21"/>
      <c r="BI1167" s="21"/>
      <c r="BJ1167" s="21"/>
      <c r="BK1167" s="21"/>
      <c r="BL1167" s="21"/>
      <c r="BM1167" s="21"/>
      <c r="BN1167" s="21"/>
      <c r="BO1167" s="21"/>
      <c r="BP1167" s="21"/>
      <c r="BQ1167" s="21"/>
      <c r="BR1167" s="21"/>
      <c r="BS1167" s="21"/>
      <c r="BT1167" s="21"/>
      <c r="BU1167" s="21"/>
      <c r="BV1167" s="21"/>
      <c r="BW1167" s="21"/>
      <c r="BX1167" s="21"/>
      <c r="BY1167" s="21"/>
      <c r="BZ1167" s="21"/>
      <c r="CA1167" s="21"/>
      <c r="CB1167" s="21"/>
      <c r="CC1167" s="21"/>
      <c r="CD1167" s="21"/>
      <c r="CE1167" s="21"/>
      <c r="CF1167" s="21"/>
      <c r="CG1167" s="21"/>
      <c r="CH1167" s="21"/>
      <c r="CI1167" s="21"/>
      <c r="CJ1167" s="21"/>
      <c r="CK1167" s="21"/>
      <c r="CL1167" s="21"/>
      <c r="CM1167" s="21"/>
      <c r="CN1167" s="21"/>
      <c r="CO1167" s="21"/>
      <c r="CP1167" s="21"/>
      <c r="CQ1167" s="21"/>
      <c r="CR1167" s="21"/>
      <c r="CS1167" s="21"/>
      <c r="CT1167" s="21"/>
      <c r="CU1167" s="21"/>
      <c r="CV1167" s="21"/>
      <c r="CW1167" s="21"/>
      <c r="CX1167" s="21"/>
      <c r="CY1167" s="22"/>
      <c r="CZ1167" s="21"/>
      <c r="DA1167" s="21"/>
      <c r="DB1167" s="21"/>
      <c r="DC1167" s="21"/>
      <c r="DD1167" s="21"/>
      <c r="DE1167" s="21"/>
      <c r="DF1167" s="21"/>
      <c r="DG1167"/>
      <c r="DH1167"/>
      <c r="DI1167"/>
    </row>
    <row r="1168" spans="3:113" s="19" customFormat="1">
      <c r="C1168" s="21"/>
      <c r="D1168" s="21"/>
      <c r="E1168" s="21"/>
      <c r="F1168" s="21"/>
      <c r="G1168" s="21"/>
      <c r="H1168" s="21"/>
      <c r="I1168" s="21"/>
      <c r="J1168" s="21"/>
      <c r="K1168" s="21"/>
      <c r="L1168" s="21"/>
      <c r="M1168" s="21"/>
      <c r="N1168" s="21"/>
      <c r="O1168" s="21"/>
      <c r="P1168" s="21"/>
      <c r="Q1168" s="21"/>
      <c r="R1168" s="21"/>
      <c r="S1168" s="21"/>
      <c r="T1168" s="21"/>
      <c r="U1168" s="21"/>
      <c r="V1168" s="21"/>
      <c r="W1168" s="21"/>
      <c r="X1168" s="21"/>
      <c r="Y1168" s="21"/>
      <c r="Z1168" s="21"/>
      <c r="AA1168" s="21"/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2"/>
      <c r="AX1168" s="21"/>
      <c r="AY1168" s="21"/>
      <c r="AZ1168" s="21"/>
      <c r="BA1168" s="21"/>
      <c r="BB1168" s="21"/>
      <c r="BC1168" s="21"/>
      <c r="BD1168" s="21"/>
      <c r="BE1168" s="21"/>
      <c r="BF1168" s="21"/>
      <c r="BG1168" s="21"/>
      <c r="BH1168" s="21"/>
      <c r="BI1168" s="21"/>
      <c r="BJ1168" s="21"/>
      <c r="BK1168" s="21"/>
      <c r="BL1168" s="21"/>
      <c r="BM1168" s="21"/>
      <c r="BN1168" s="21"/>
      <c r="BO1168" s="21"/>
      <c r="BP1168" s="21"/>
      <c r="BQ1168" s="21"/>
      <c r="BR1168" s="21"/>
      <c r="BS1168" s="21"/>
      <c r="BT1168" s="21"/>
      <c r="BU1168" s="21"/>
      <c r="BV1168" s="21"/>
      <c r="BW1168" s="21"/>
      <c r="BX1168" s="21"/>
      <c r="BY1168" s="21"/>
      <c r="BZ1168" s="21"/>
      <c r="CA1168" s="21"/>
      <c r="CB1168" s="21"/>
      <c r="CC1168" s="21"/>
      <c r="CD1168" s="21"/>
      <c r="CE1168" s="21"/>
      <c r="CF1168" s="21"/>
      <c r="CG1168" s="21"/>
      <c r="CH1168" s="21"/>
      <c r="CI1168" s="21"/>
      <c r="CJ1168" s="21"/>
      <c r="CK1168" s="21"/>
      <c r="CL1168" s="21"/>
      <c r="CM1168" s="21"/>
      <c r="CN1168" s="21"/>
      <c r="CO1168" s="21"/>
      <c r="CP1168" s="21"/>
      <c r="CQ1168" s="21"/>
      <c r="CR1168" s="21"/>
      <c r="CS1168" s="21"/>
      <c r="CT1168" s="21"/>
      <c r="CU1168" s="21"/>
      <c r="CV1168" s="21"/>
      <c r="CW1168" s="21"/>
      <c r="CX1168" s="21"/>
      <c r="CY1168" s="22"/>
      <c r="CZ1168" s="21"/>
      <c r="DA1168" s="21"/>
      <c r="DB1168" s="21"/>
      <c r="DC1168" s="21"/>
      <c r="DD1168" s="21"/>
      <c r="DE1168" s="21"/>
      <c r="DF1168" s="21"/>
      <c r="DG1168"/>
      <c r="DH1168"/>
      <c r="DI1168"/>
    </row>
    <row r="1169" spans="3:103" s="19" customFormat="1" ht="12">
      <c r="C1169" s="21"/>
      <c r="D1169" s="21"/>
      <c r="E1169" s="21"/>
      <c r="F1169" s="21"/>
      <c r="G1169" s="21"/>
      <c r="H1169" s="21"/>
      <c r="I1169" s="21"/>
      <c r="J1169" s="21"/>
      <c r="K1169" s="21"/>
      <c r="L1169" s="21"/>
      <c r="M1169" s="21"/>
      <c r="N1169" s="21"/>
      <c r="O1169" s="21"/>
      <c r="P1169" s="21"/>
      <c r="Q1169" s="21"/>
      <c r="R1169" s="21"/>
      <c r="S1169" s="21"/>
      <c r="T1169" s="21"/>
      <c r="U1169" s="21"/>
      <c r="V1169" s="21"/>
      <c r="W1169" s="21"/>
      <c r="X1169" s="21"/>
      <c r="Y1169" s="21"/>
      <c r="Z1169" s="21"/>
      <c r="AA1169" s="21"/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W1169" s="296"/>
      <c r="CY1169" s="296"/>
    </row>
    <row r="1170" spans="3:103" s="19" customFormat="1" ht="12">
      <c r="C1170" s="21"/>
      <c r="D1170" s="21"/>
      <c r="E1170" s="21"/>
      <c r="F1170" s="21"/>
      <c r="G1170" s="21"/>
      <c r="H1170" s="21"/>
      <c r="I1170" s="21"/>
      <c r="J1170" s="21"/>
      <c r="K1170" s="21"/>
      <c r="L1170" s="21"/>
      <c r="M1170" s="21"/>
      <c r="N1170" s="21"/>
      <c r="O1170" s="21"/>
      <c r="P1170" s="21"/>
      <c r="Q1170" s="21"/>
      <c r="R1170" s="21"/>
      <c r="S1170" s="21"/>
      <c r="T1170" s="21"/>
      <c r="U1170" s="21"/>
      <c r="V1170" s="21"/>
      <c r="W1170" s="21"/>
      <c r="X1170" s="21"/>
      <c r="Y1170" s="21"/>
      <c r="Z1170" s="21"/>
      <c r="AA1170" s="21"/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W1170" s="296"/>
      <c r="CY1170" s="296"/>
    </row>
    <row r="1171" spans="3:103" s="19" customFormat="1" ht="12">
      <c r="C1171" s="21"/>
      <c r="D1171" s="21"/>
      <c r="E1171" s="21"/>
      <c r="F1171" s="21"/>
      <c r="G1171" s="21"/>
      <c r="H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W1171" s="296"/>
      <c r="CY1171" s="296"/>
    </row>
    <row r="1172" spans="3:103" s="19" customFormat="1" ht="12">
      <c r="C1172" s="21"/>
      <c r="D1172" s="21"/>
      <c r="E1172" s="21"/>
      <c r="F1172" s="21"/>
      <c r="G1172" s="21"/>
      <c r="H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W1172" s="296"/>
      <c r="CY1172" s="296"/>
    </row>
    <row r="1173" spans="3:103" s="19" customFormat="1" ht="12">
      <c r="C1173" s="21"/>
      <c r="D1173" s="21"/>
      <c r="E1173" s="21"/>
      <c r="F1173" s="21"/>
      <c r="G1173" s="21"/>
      <c r="H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W1173" s="296"/>
      <c r="CY1173" s="296"/>
    </row>
    <row r="1174" spans="3:103" s="19" customFormat="1" ht="12">
      <c r="C1174" s="21"/>
      <c r="D1174" s="21"/>
      <c r="E1174" s="21"/>
      <c r="F1174" s="21"/>
      <c r="G1174" s="21"/>
      <c r="H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W1174" s="296"/>
      <c r="CY1174" s="296"/>
    </row>
    <row r="1175" spans="3:103" s="19" customFormat="1" ht="12">
      <c r="C1175" s="21"/>
      <c r="D1175" s="21"/>
      <c r="E1175" s="21"/>
      <c r="F1175" s="21"/>
      <c r="G1175" s="21"/>
      <c r="H1175" s="21"/>
      <c r="I1175" s="21"/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W1175" s="296"/>
      <c r="CY1175" s="296"/>
    </row>
    <row r="1176" spans="3:103" s="19" customFormat="1" ht="12">
      <c r="C1176" s="21"/>
      <c r="D1176" s="21"/>
      <c r="E1176" s="21"/>
      <c r="F1176" s="21"/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W1176" s="296"/>
      <c r="CY1176" s="296"/>
    </row>
    <row r="1177" spans="3:103" s="19" customFormat="1" ht="12">
      <c r="C1177" s="21"/>
      <c r="D1177" s="21"/>
      <c r="E1177" s="21"/>
      <c r="F1177" s="21"/>
      <c r="G1177" s="21"/>
      <c r="H1177" s="21"/>
      <c r="I1177" s="21"/>
      <c r="J1177" s="21"/>
      <c r="K1177" s="21"/>
      <c r="L1177" s="21"/>
      <c r="M1177" s="21"/>
      <c r="N1177" s="21"/>
      <c r="O1177" s="21"/>
      <c r="P1177" s="21"/>
      <c r="Q1177" s="21"/>
      <c r="R1177" s="21"/>
      <c r="S1177" s="21"/>
      <c r="T1177" s="21"/>
      <c r="U1177" s="21"/>
      <c r="V1177" s="21"/>
      <c r="W1177" s="21"/>
      <c r="X1177" s="21"/>
      <c r="Y1177" s="21"/>
      <c r="Z1177" s="21"/>
      <c r="AA1177" s="21"/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W1177" s="296"/>
      <c r="CY1177" s="296"/>
    </row>
    <row r="1178" spans="3:103" s="19" customFormat="1" ht="12">
      <c r="C1178" s="21"/>
      <c r="D1178" s="21"/>
      <c r="E1178" s="21"/>
      <c r="F1178" s="21"/>
      <c r="G1178" s="21"/>
      <c r="H1178" s="21"/>
      <c r="I1178" s="21"/>
      <c r="J1178" s="21"/>
      <c r="K1178" s="21"/>
      <c r="L1178" s="21"/>
      <c r="M1178" s="21"/>
      <c r="N1178" s="21"/>
      <c r="O1178" s="21"/>
      <c r="P1178" s="21"/>
      <c r="Q1178" s="21"/>
      <c r="R1178" s="21"/>
      <c r="S1178" s="21"/>
      <c r="T1178" s="21"/>
      <c r="U1178" s="21"/>
      <c r="V1178" s="21"/>
      <c r="W1178" s="21"/>
      <c r="X1178" s="21"/>
      <c r="Y1178" s="21"/>
      <c r="Z1178" s="21"/>
      <c r="AA1178" s="21"/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W1178" s="296"/>
      <c r="CY1178" s="296"/>
    </row>
    <row r="1179" spans="3:103" s="19" customFormat="1" ht="12">
      <c r="C1179" s="21"/>
      <c r="D1179" s="21"/>
      <c r="E1179" s="21"/>
      <c r="F1179" s="21"/>
      <c r="G1179" s="21"/>
      <c r="H1179" s="21"/>
      <c r="I1179" s="21"/>
      <c r="J1179" s="21"/>
      <c r="K1179" s="21"/>
      <c r="L1179" s="21"/>
      <c r="M1179" s="21"/>
      <c r="N1179" s="21"/>
      <c r="O1179" s="21"/>
      <c r="P1179" s="21"/>
      <c r="Q1179" s="21"/>
      <c r="R1179" s="21"/>
      <c r="S1179" s="21"/>
      <c r="T1179" s="21"/>
      <c r="U1179" s="21"/>
      <c r="V1179" s="21"/>
      <c r="W1179" s="21"/>
      <c r="X1179" s="21"/>
      <c r="Y1179" s="21"/>
      <c r="Z1179" s="21"/>
      <c r="AA1179" s="21"/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W1179" s="296"/>
      <c r="CY1179" s="296"/>
    </row>
    <row r="1180" spans="3:103" s="19" customFormat="1" ht="12">
      <c r="C1180" s="21"/>
      <c r="D1180" s="21"/>
      <c r="E1180" s="21"/>
      <c r="F1180" s="21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W1180" s="296"/>
      <c r="CY1180" s="296"/>
    </row>
    <row r="1181" spans="3:103" s="19" customFormat="1" ht="12">
      <c r="C1181" s="21"/>
      <c r="D1181" s="21"/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W1181" s="296"/>
      <c r="CY1181" s="296"/>
    </row>
    <row r="1182" spans="3:103" s="19" customFormat="1" ht="12">
      <c r="C1182" s="21"/>
      <c r="D1182" s="21"/>
      <c r="E1182" s="21"/>
      <c r="F1182" s="21"/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W1182" s="296"/>
      <c r="CY1182" s="296"/>
    </row>
    <row r="1183" spans="3:103" s="19" customFormat="1" ht="12">
      <c r="C1183" s="21"/>
      <c r="D1183" s="21"/>
      <c r="E1183" s="21"/>
      <c r="F1183" s="21"/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W1183" s="296"/>
      <c r="CY1183" s="296"/>
    </row>
    <row r="1184" spans="3:103" s="19" customFormat="1" ht="12">
      <c r="C1184" s="21"/>
      <c r="D1184" s="21"/>
      <c r="E1184" s="21"/>
      <c r="F1184" s="21"/>
      <c r="G1184" s="21"/>
      <c r="H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W1184" s="296"/>
      <c r="CY1184" s="296"/>
    </row>
    <row r="1185" spans="3:103" s="19" customFormat="1" ht="12">
      <c r="C1185" s="21"/>
      <c r="D1185" s="21"/>
      <c r="E1185" s="21"/>
      <c r="F1185" s="21"/>
      <c r="G1185" s="21"/>
      <c r="H1185" s="21"/>
      <c r="I1185" s="21"/>
      <c r="J1185" s="21"/>
      <c r="K1185" s="21"/>
      <c r="L1185" s="21"/>
      <c r="M1185" s="21"/>
      <c r="N1185" s="21"/>
      <c r="O1185" s="21"/>
      <c r="P1185" s="21"/>
      <c r="Q1185" s="21"/>
      <c r="R1185" s="21"/>
      <c r="S1185" s="21"/>
      <c r="T1185" s="21"/>
      <c r="U1185" s="21"/>
      <c r="V1185" s="21"/>
      <c r="W1185" s="21"/>
      <c r="X1185" s="21"/>
      <c r="Y1185" s="21"/>
      <c r="Z1185" s="21"/>
      <c r="AA1185" s="21"/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W1185" s="296"/>
      <c r="CY1185" s="296"/>
    </row>
    <row r="1186" spans="3:103" s="19" customFormat="1" ht="12">
      <c r="C1186" s="21"/>
      <c r="D1186" s="21"/>
      <c r="E1186" s="21"/>
      <c r="F1186" s="21"/>
      <c r="G1186" s="21"/>
      <c r="H1186" s="21"/>
      <c r="I1186" s="21"/>
      <c r="J1186" s="21"/>
      <c r="K1186" s="21"/>
      <c r="L1186" s="21"/>
      <c r="M1186" s="21"/>
      <c r="N1186" s="21"/>
      <c r="O1186" s="21"/>
      <c r="P1186" s="21"/>
      <c r="Q1186" s="21"/>
      <c r="R1186" s="21"/>
      <c r="S1186" s="21"/>
      <c r="T1186" s="21"/>
      <c r="U1186" s="21"/>
      <c r="V1186" s="21"/>
      <c r="W1186" s="21"/>
      <c r="X1186" s="21"/>
      <c r="Y1186" s="21"/>
      <c r="Z1186" s="21"/>
      <c r="AA1186" s="21"/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W1186" s="296"/>
      <c r="CY1186" s="296"/>
    </row>
    <row r="1187" spans="3:103" s="19" customFormat="1" ht="12">
      <c r="C1187" s="21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W1187" s="296"/>
      <c r="CY1187" s="296"/>
    </row>
    <row r="1188" spans="3:103" s="19" customFormat="1" ht="12">
      <c r="C1188" s="21"/>
      <c r="D1188" s="21"/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W1188" s="296"/>
      <c r="CY1188" s="296"/>
    </row>
    <row r="1189" spans="3:103" s="19" customFormat="1" ht="12">
      <c r="C1189" s="21"/>
      <c r="D1189" s="21"/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W1189" s="296"/>
      <c r="CY1189" s="296"/>
    </row>
    <row r="1190" spans="3:103" s="19" customFormat="1" ht="12">
      <c r="C1190" s="21"/>
      <c r="D1190" s="21"/>
      <c r="E1190" s="21"/>
      <c r="F1190" s="21"/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W1190" s="296"/>
      <c r="CY1190" s="296"/>
    </row>
    <row r="1191" spans="3:103" s="19" customFormat="1" ht="12">
      <c r="C1191" s="21"/>
      <c r="D1191" s="21"/>
      <c r="E1191" s="21"/>
      <c r="F1191" s="21"/>
      <c r="G1191" s="21"/>
      <c r="H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W1191" s="296"/>
      <c r="CY1191" s="296"/>
    </row>
    <row r="1192" spans="3:103" s="19" customFormat="1" ht="12">
      <c r="C1192" s="21"/>
      <c r="D1192" s="21"/>
      <c r="E1192" s="21"/>
      <c r="F1192" s="21"/>
      <c r="G1192" s="21"/>
      <c r="H1192" s="21"/>
      <c r="I1192" s="21"/>
      <c r="J1192" s="21"/>
      <c r="K1192" s="21"/>
      <c r="L1192" s="21"/>
      <c r="M1192" s="21"/>
      <c r="N1192" s="21"/>
      <c r="O1192" s="21"/>
      <c r="P1192" s="21"/>
      <c r="Q1192" s="21"/>
      <c r="R1192" s="21"/>
      <c r="S1192" s="21"/>
      <c r="T1192" s="21"/>
      <c r="U1192" s="21"/>
      <c r="V1192" s="21"/>
      <c r="W1192" s="21"/>
      <c r="X1192" s="21"/>
      <c r="Y1192" s="21"/>
      <c r="Z1192" s="21"/>
      <c r="AA1192" s="21"/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W1192" s="296"/>
      <c r="CY1192" s="296"/>
    </row>
    <row r="1193" spans="3:103" s="19" customFormat="1" ht="12">
      <c r="C1193" s="21"/>
      <c r="D1193" s="21"/>
      <c r="E1193" s="21"/>
      <c r="F1193" s="21"/>
      <c r="G1193" s="21"/>
      <c r="H1193" s="21"/>
      <c r="I1193" s="21"/>
      <c r="J1193" s="21"/>
      <c r="K1193" s="21"/>
      <c r="L1193" s="21"/>
      <c r="M1193" s="21"/>
      <c r="N1193" s="21"/>
      <c r="O1193" s="21"/>
      <c r="P1193" s="21"/>
      <c r="Q1193" s="21"/>
      <c r="R1193" s="21"/>
      <c r="S1193" s="21"/>
      <c r="T1193" s="21"/>
      <c r="U1193" s="21"/>
      <c r="V1193" s="21"/>
      <c r="W1193" s="21"/>
      <c r="X1193" s="21"/>
      <c r="Y1193" s="21"/>
      <c r="Z1193" s="21"/>
      <c r="AA1193" s="21"/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W1193" s="296"/>
      <c r="CY1193" s="296"/>
    </row>
    <row r="1194" spans="3:103" s="19" customFormat="1" ht="12">
      <c r="C1194" s="21"/>
      <c r="D1194" s="21"/>
      <c r="E1194" s="21"/>
      <c r="F1194" s="21"/>
      <c r="G1194" s="21"/>
      <c r="H1194" s="21"/>
      <c r="I1194" s="21"/>
      <c r="J1194" s="21"/>
      <c r="K1194" s="21"/>
      <c r="L1194" s="21"/>
      <c r="M1194" s="21"/>
      <c r="N1194" s="21"/>
      <c r="O1194" s="21"/>
      <c r="P1194" s="21"/>
      <c r="Q1194" s="21"/>
      <c r="R1194" s="21"/>
      <c r="S1194" s="21"/>
      <c r="T1194" s="21"/>
      <c r="U1194" s="21"/>
      <c r="V1194" s="21"/>
      <c r="W1194" s="21"/>
      <c r="X1194" s="21"/>
      <c r="Y1194" s="21"/>
      <c r="Z1194" s="21"/>
      <c r="AA1194" s="21"/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W1194" s="296"/>
      <c r="CY1194" s="296"/>
    </row>
    <row r="1195" spans="3:103" s="19" customFormat="1" ht="12">
      <c r="C1195" s="21"/>
      <c r="D1195" s="21"/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W1195" s="296"/>
      <c r="CY1195" s="296"/>
    </row>
    <row r="1196" spans="3:103" s="19" customFormat="1" ht="12">
      <c r="C1196" s="21"/>
      <c r="D1196" s="21"/>
      <c r="E1196" s="21"/>
      <c r="F1196" s="21"/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W1196" s="296"/>
      <c r="CY1196" s="296"/>
    </row>
    <row r="1197" spans="3:103" s="19" customFormat="1" ht="12">
      <c r="C1197" s="21"/>
      <c r="D1197" s="21"/>
      <c r="E1197" s="21"/>
      <c r="F1197" s="21"/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W1197" s="296"/>
      <c r="CY1197" s="296"/>
    </row>
    <row r="1198" spans="3:103" s="19" customFormat="1" ht="12">
      <c r="C1198" s="21"/>
      <c r="D1198" s="21"/>
      <c r="E1198" s="21"/>
      <c r="F1198" s="21"/>
      <c r="G1198" s="21"/>
      <c r="H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W1198" s="296"/>
      <c r="CY1198" s="296"/>
    </row>
    <row r="1199" spans="3:103" s="19" customFormat="1" ht="12">
      <c r="C1199" s="21"/>
      <c r="D1199" s="21"/>
      <c r="E1199" s="21"/>
      <c r="F1199" s="21"/>
      <c r="G1199" s="21"/>
      <c r="H1199" s="21"/>
      <c r="I1199" s="21"/>
      <c r="J1199" s="21"/>
      <c r="K1199" s="21"/>
      <c r="L1199" s="21"/>
      <c r="M1199" s="21"/>
      <c r="N1199" s="21"/>
      <c r="O1199" s="21"/>
      <c r="P1199" s="21"/>
      <c r="Q1199" s="21"/>
      <c r="R1199" s="21"/>
      <c r="S1199" s="21"/>
      <c r="T1199" s="21"/>
      <c r="U1199" s="21"/>
      <c r="V1199" s="21"/>
      <c r="W1199" s="21"/>
      <c r="X1199" s="21"/>
      <c r="Y1199" s="21"/>
      <c r="Z1199" s="21"/>
      <c r="AA1199" s="21"/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W1199" s="296"/>
      <c r="CY1199" s="296"/>
    </row>
    <row r="1200" spans="3:103" s="19" customFormat="1" ht="12">
      <c r="C1200" s="21"/>
      <c r="D1200" s="21"/>
      <c r="E1200" s="21"/>
      <c r="F1200" s="21"/>
      <c r="G1200" s="21"/>
      <c r="H1200" s="21"/>
      <c r="I1200" s="21"/>
      <c r="J1200" s="21"/>
      <c r="K1200" s="21"/>
      <c r="L1200" s="21"/>
      <c r="M1200" s="21"/>
      <c r="N1200" s="21"/>
      <c r="O1200" s="21"/>
      <c r="P1200" s="21"/>
      <c r="Q1200" s="21"/>
      <c r="R1200" s="21"/>
      <c r="S1200" s="21"/>
      <c r="T1200" s="21"/>
      <c r="U1200" s="21"/>
      <c r="V1200" s="21"/>
      <c r="W1200" s="21"/>
      <c r="X1200" s="21"/>
      <c r="Y1200" s="21"/>
      <c r="Z1200" s="21"/>
      <c r="AA1200" s="21"/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W1200" s="296"/>
      <c r="CY1200" s="296"/>
    </row>
    <row r="1201" spans="3:103" s="19" customFormat="1" ht="12">
      <c r="C1201" s="21"/>
      <c r="D1201" s="21"/>
      <c r="E1201" s="21"/>
      <c r="F1201" s="21"/>
      <c r="G1201" s="21"/>
      <c r="H1201" s="21"/>
      <c r="I1201" s="21"/>
      <c r="J1201" s="21"/>
      <c r="K1201" s="21"/>
      <c r="L1201" s="21"/>
      <c r="M1201" s="21"/>
      <c r="N1201" s="21"/>
      <c r="O1201" s="21"/>
      <c r="P1201" s="21"/>
      <c r="Q1201" s="21"/>
      <c r="R1201" s="21"/>
      <c r="S1201" s="21"/>
      <c r="T1201" s="21"/>
      <c r="U1201" s="21"/>
      <c r="V1201" s="21"/>
      <c r="W1201" s="21"/>
      <c r="X1201" s="21"/>
      <c r="Y1201" s="21"/>
      <c r="Z1201" s="21"/>
      <c r="AA1201" s="21"/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W1201" s="296"/>
      <c r="CY1201" s="296"/>
    </row>
    <row r="1202" spans="3:103" s="19" customFormat="1" ht="12">
      <c r="C1202" s="21"/>
      <c r="D1202" s="21"/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W1202" s="296"/>
      <c r="CY1202" s="296"/>
    </row>
    <row r="1203" spans="3:103" s="19" customFormat="1" ht="12">
      <c r="C1203" s="21"/>
      <c r="D1203" s="21"/>
      <c r="E1203" s="21"/>
      <c r="F1203" s="21"/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W1203" s="296"/>
      <c r="CY1203" s="296"/>
    </row>
    <row r="1204" spans="3:103" s="19" customFormat="1" ht="12">
      <c r="C1204" s="21"/>
      <c r="D1204" s="21"/>
      <c r="E1204" s="21"/>
      <c r="F1204" s="21"/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W1204" s="296"/>
      <c r="CY1204" s="296"/>
    </row>
    <row r="1205" spans="3:103" s="19" customFormat="1" ht="12">
      <c r="C1205" s="21"/>
      <c r="D1205" s="21"/>
      <c r="E1205" s="21"/>
      <c r="F1205" s="21"/>
      <c r="G1205" s="21"/>
      <c r="H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W1205" s="296"/>
      <c r="CY1205" s="296"/>
    </row>
    <row r="1206" spans="3:103" s="19" customFormat="1" ht="12">
      <c r="C1206" s="21"/>
      <c r="D1206" s="21"/>
      <c r="E1206" s="21"/>
      <c r="F1206" s="21"/>
      <c r="G1206" s="21"/>
      <c r="H1206" s="21"/>
      <c r="I1206" s="21"/>
      <c r="J1206" s="21"/>
      <c r="K1206" s="21"/>
      <c r="L1206" s="21"/>
      <c r="M1206" s="21"/>
      <c r="N1206" s="21"/>
      <c r="O1206" s="21"/>
      <c r="P1206" s="21"/>
      <c r="Q1206" s="21"/>
      <c r="R1206" s="21"/>
      <c r="S1206" s="21"/>
      <c r="T1206" s="21"/>
      <c r="U1206" s="21"/>
      <c r="V1206" s="21"/>
      <c r="W1206" s="21"/>
      <c r="X1206" s="21"/>
      <c r="Y1206" s="21"/>
      <c r="Z1206" s="21"/>
      <c r="AA1206" s="21"/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W1206" s="296"/>
      <c r="CY1206" s="296"/>
    </row>
    <row r="1207" spans="3:103" s="19" customFormat="1" ht="12">
      <c r="C1207" s="21"/>
      <c r="D1207" s="21"/>
      <c r="E1207" s="21"/>
      <c r="F1207" s="21"/>
      <c r="G1207" s="21"/>
      <c r="H1207" s="21"/>
      <c r="I1207" s="21"/>
      <c r="J1207" s="21"/>
      <c r="K1207" s="21"/>
      <c r="L1207" s="21"/>
      <c r="M1207" s="21"/>
      <c r="N1207" s="21"/>
      <c r="O1207" s="21"/>
      <c r="P1207" s="21"/>
      <c r="Q1207" s="21"/>
      <c r="R1207" s="21"/>
      <c r="S1207" s="21"/>
      <c r="T1207" s="21"/>
      <c r="U1207" s="21"/>
      <c r="V1207" s="21"/>
      <c r="W1207" s="21"/>
      <c r="X1207" s="21"/>
      <c r="Y1207" s="21"/>
      <c r="Z1207" s="21"/>
      <c r="AA1207" s="21"/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W1207" s="296"/>
      <c r="CY1207" s="296"/>
    </row>
    <row r="1208" spans="3:103" s="19" customFormat="1" ht="12">
      <c r="C1208" s="21"/>
      <c r="D1208" s="21"/>
      <c r="E1208" s="21"/>
      <c r="F1208" s="21"/>
      <c r="G1208" s="21"/>
      <c r="H1208" s="21"/>
      <c r="I1208" s="21"/>
      <c r="J1208" s="21"/>
      <c r="K1208" s="21"/>
      <c r="L1208" s="21"/>
      <c r="M1208" s="21"/>
      <c r="N1208" s="21"/>
      <c r="O1208" s="21"/>
      <c r="P1208" s="21"/>
      <c r="Q1208" s="21"/>
      <c r="R1208" s="21"/>
      <c r="S1208" s="21"/>
      <c r="T1208" s="21"/>
      <c r="U1208" s="21"/>
      <c r="V1208" s="21"/>
      <c r="W1208" s="21"/>
      <c r="X1208" s="21"/>
      <c r="Y1208" s="21"/>
      <c r="Z1208" s="21"/>
      <c r="AA1208" s="21"/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W1208" s="296"/>
      <c r="CY1208" s="296"/>
    </row>
    <row r="1209" spans="3:103" s="19" customFormat="1" ht="12">
      <c r="C1209" s="21"/>
      <c r="D1209" s="21"/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W1209" s="296"/>
      <c r="CY1209" s="296"/>
    </row>
    <row r="1210" spans="3:103" s="19" customFormat="1" ht="12">
      <c r="C1210" s="21"/>
      <c r="D1210" s="21"/>
      <c r="E1210" s="21"/>
      <c r="F1210" s="21"/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W1210" s="296"/>
      <c r="CY1210" s="296"/>
    </row>
    <row r="1211" spans="3:103" s="19" customFormat="1" ht="12">
      <c r="C1211" s="21"/>
      <c r="D1211" s="21"/>
      <c r="E1211" s="21"/>
      <c r="F1211" s="21"/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W1211" s="296"/>
      <c r="CY1211" s="296"/>
    </row>
    <row r="1212" spans="3:103" s="19" customFormat="1" ht="12">
      <c r="C1212" s="21"/>
      <c r="D1212" s="21"/>
      <c r="E1212" s="21"/>
      <c r="F1212" s="21"/>
      <c r="G1212" s="21"/>
      <c r="H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W1212" s="296"/>
      <c r="CY1212" s="296"/>
    </row>
    <row r="1213" spans="3:103" s="19" customFormat="1" ht="12">
      <c r="C1213" s="21"/>
      <c r="D1213" s="21"/>
      <c r="E1213" s="21"/>
      <c r="F1213" s="21"/>
      <c r="G1213" s="21"/>
      <c r="H1213" s="21"/>
      <c r="I1213" s="21"/>
      <c r="J1213" s="21"/>
      <c r="K1213" s="21"/>
      <c r="L1213" s="21"/>
      <c r="M1213" s="21"/>
      <c r="N1213" s="21"/>
      <c r="O1213" s="21"/>
      <c r="P1213" s="21"/>
      <c r="Q1213" s="21"/>
      <c r="R1213" s="21"/>
      <c r="S1213" s="21"/>
      <c r="T1213" s="21"/>
      <c r="U1213" s="21"/>
      <c r="V1213" s="21"/>
      <c r="W1213" s="21"/>
      <c r="X1213" s="21"/>
      <c r="Y1213" s="21"/>
      <c r="Z1213" s="21"/>
      <c r="AA1213" s="21"/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W1213" s="296"/>
      <c r="CY1213" s="296"/>
    </row>
    <row r="1214" spans="3:103" s="19" customFormat="1" ht="12">
      <c r="C1214" s="21"/>
      <c r="D1214" s="21"/>
      <c r="E1214" s="21"/>
      <c r="F1214" s="21"/>
      <c r="G1214" s="21"/>
      <c r="H1214" s="21"/>
      <c r="I1214" s="21"/>
      <c r="J1214" s="21"/>
      <c r="K1214" s="21"/>
      <c r="L1214" s="21"/>
      <c r="M1214" s="21"/>
      <c r="N1214" s="21"/>
      <c r="O1214" s="21"/>
      <c r="P1214" s="21"/>
      <c r="Q1214" s="21"/>
      <c r="R1214" s="21"/>
      <c r="S1214" s="21"/>
      <c r="T1214" s="21"/>
      <c r="U1214" s="21"/>
      <c r="V1214" s="21"/>
      <c r="W1214" s="21"/>
      <c r="X1214" s="21"/>
      <c r="Y1214" s="21"/>
      <c r="Z1214" s="21"/>
      <c r="AA1214" s="21"/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W1214" s="296"/>
      <c r="CY1214" s="296"/>
    </row>
    <row r="1215" spans="3:103" s="19" customFormat="1" ht="12">
      <c r="C1215" s="21"/>
      <c r="D1215" s="21"/>
      <c r="E1215" s="21"/>
      <c r="F1215" s="21"/>
      <c r="G1215" s="21"/>
      <c r="H1215" s="21"/>
      <c r="I1215" s="21"/>
      <c r="J1215" s="21"/>
      <c r="K1215" s="21"/>
      <c r="L1215" s="21"/>
      <c r="M1215" s="21"/>
      <c r="N1215" s="21"/>
      <c r="O1215" s="21"/>
      <c r="P1215" s="21"/>
      <c r="Q1215" s="21"/>
      <c r="R1215" s="21"/>
      <c r="S1215" s="21"/>
      <c r="T1215" s="21"/>
      <c r="U1215" s="21"/>
      <c r="V1215" s="21"/>
      <c r="W1215" s="21"/>
      <c r="X1215" s="21"/>
      <c r="Y1215" s="21"/>
      <c r="Z1215" s="21"/>
      <c r="AA1215" s="21"/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W1215" s="296"/>
      <c r="CY1215" s="296"/>
    </row>
    <row r="1216" spans="3:103" s="19" customFormat="1" ht="12">
      <c r="C1216" s="21"/>
      <c r="D1216" s="21"/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W1216" s="296"/>
      <c r="CY1216" s="296"/>
    </row>
    <row r="1217" spans="3:103" s="19" customFormat="1" ht="12">
      <c r="C1217" s="21"/>
      <c r="D1217" s="21"/>
      <c r="E1217" s="21"/>
      <c r="F1217" s="21"/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W1217" s="296"/>
      <c r="CY1217" s="296"/>
    </row>
    <row r="1218" spans="3:103" s="19" customFormat="1" ht="12">
      <c r="C1218" s="21"/>
      <c r="D1218" s="21"/>
      <c r="E1218" s="21"/>
      <c r="F1218" s="21"/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W1218" s="296"/>
      <c r="CY1218" s="296"/>
    </row>
    <row r="1219" spans="3:103" s="19" customFormat="1" ht="12">
      <c r="C1219" s="21"/>
      <c r="D1219" s="21"/>
      <c r="E1219" s="21"/>
      <c r="F1219" s="21"/>
      <c r="G1219" s="21"/>
      <c r="H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W1219" s="296"/>
      <c r="CY1219" s="296"/>
    </row>
    <row r="1220" spans="3:103" s="19" customFormat="1" ht="12">
      <c r="C1220" s="21"/>
      <c r="D1220" s="21"/>
      <c r="E1220" s="21"/>
      <c r="F1220" s="21"/>
      <c r="G1220" s="21"/>
      <c r="H1220" s="21"/>
      <c r="I1220" s="21"/>
      <c r="J1220" s="21"/>
      <c r="K1220" s="21"/>
      <c r="L1220" s="21"/>
      <c r="M1220" s="21"/>
      <c r="N1220" s="21"/>
      <c r="O1220" s="21"/>
      <c r="P1220" s="21"/>
      <c r="Q1220" s="21"/>
      <c r="R1220" s="21"/>
      <c r="S1220" s="21"/>
      <c r="T1220" s="21"/>
      <c r="U1220" s="21"/>
      <c r="V1220" s="21"/>
      <c r="W1220" s="21"/>
      <c r="X1220" s="21"/>
      <c r="Y1220" s="21"/>
      <c r="Z1220" s="21"/>
      <c r="AA1220" s="21"/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W1220" s="296"/>
      <c r="CY1220" s="296"/>
    </row>
    <row r="1221" spans="3:103" s="19" customFormat="1" ht="12">
      <c r="C1221" s="21"/>
      <c r="D1221" s="21"/>
      <c r="E1221" s="21"/>
      <c r="F1221" s="21"/>
      <c r="G1221" s="21"/>
      <c r="H1221" s="21"/>
      <c r="I1221" s="21"/>
      <c r="J1221" s="21"/>
      <c r="K1221" s="21"/>
      <c r="L1221" s="21"/>
      <c r="M1221" s="21"/>
      <c r="N1221" s="21"/>
      <c r="O1221" s="21"/>
      <c r="P1221" s="21"/>
      <c r="Q1221" s="21"/>
      <c r="R1221" s="21"/>
      <c r="S1221" s="21"/>
      <c r="T1221" s="21"/>
      <c r="U1221" s="21"/>
      <c r="V1221" s="21"/>
      <c r="W1221" s="21"/>
      <c r="X1221" s="21"/>
      <c r="Y1221" s="21"/>
      <c r="Z1221" s="21"/>
      <c r="AA1221" s="21"/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W1221" s="296"/>
      <c r="CY1221" s="296"/>
    </row>
    <row r="1222" spans="3:103" s="19" customFormat="1" ht="12">
      <c r="C1222" s="21"/>
      <c r="D1222" s="21"/>
      <c r="E1222" s="21"/>
      <c r="F1222" s="21"/>
      <c r="G1222" s="21"/>
      <c r="H1222" s="21"/>
      <c r="I1222" s="21"/>
      <c r="J1222" s="21"/>
      <c r="K1222" s="21"/>
      <c r="L1222" s="21"/>
      <c r="M1222" s="21"/>
      <c r="N1222" s="21"/>
      <c r="O1222" s="21"/>
      <c r="P1222" s="21"/>
      <c r="Q1222" s="21"/>
      <c r="R1222" s="21"/>
      <c r="S1222" s="21"/>
      <c r="T1222" s="21"/>
      <c r="U1222" s="21"/>
      <c r="V1222" s="21"/>
      <c r="W1222" s="21"/>
      <c r="X1222" s="21"/>
      <c r="Y1222" s="21"/>
      <c r="Z1222" s="21"/>
      <c r="AA1222" s="21"/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W1222" s="296"/>
      <c r="CY1222" s="296"/>
    </row>
    <row r="1223" spans="3:103" s="19" customFormat="1" ht="12">
      <c r="C1223" s="21"/>
      <c r="D1223" s="21"/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W1223" s="296"/>
      <c r="CY1223" s="296"/>
    </row>
    <row r="1224" spans="3:103" s="19" customFormat="1" ht="12">
      <c r="C1224" s="21"/>
      <c r="D1224" s="21"/>
      <c r="E1224" s="21"/>
      <c r="F1224" s="21"/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W1224" s="296"/>
      <c r="CY1224" s="296"/>
    </row>
    <row r="1225" spans="3:103" s="19" customFormat="1" ht="12">
      <c r="C1225" s="21"/>
      <c r="D1225" s="21"/>
      <c r="E1225" s="21"/>
      <c r="F1225" s="21"/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W1225" s="296"/>
      <c r="CY1225" s="296"/>
    </row>
    <row r="1226" spans="3:103" s="19" customFormat="1" ht="12">
      <c r="C1226" s="21"/>
      <c r="D1226" s="21"/>
      <c r="E1226" s="21"/>
      <c r="F1226" s="21"/>
      <c r="G1226" s="21"/>
      <c r="H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W1226" s="296"/>
      <c r="CY1226" s="296"/>
    </row>
    <row r="1227" spans="3:103" s="19" customFormat="1" ht="12">
      <c r="C1227" s="21"/>
      <c r="D1227" s="21"/>
      <c r="E1227" s="21"/>
      <c r="F1227" s="21"/>
      <c r="G1227" s="21"/>
      <c r="H1227" s="21"/>
      <c r="I1227" s="21"/>
      <c r="J1227" s="21"/>
      <c r="K1227" s="21"/>
      <c r="L1227" s="21"/>
      <c r="M1227" s="21"/>
      <c r="N1227" s="21"/>
      <c r="O1227" s="21"/>
      <c r="P1227" s="21"/>
      <c r="Q1227" s="21"/>
      <c r="R1227" s="21"/>
      <c r="S1227" s="21"/>
      <c r="T1227" s="21"/>
      <c r="U1227" s="21"/>
      <c r="V1227" s="21"/>
      <c r="W1227" s="21"/>
      <c r="X1227" s="21"/>
      <c r="Y1227" s="21"/>
      <c r="Z1227" s="21"/>
      <c r="AA1227" s="21"/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W1227" s="296"/>
      <c r="CY1227" s="296"/>
    </row>
    <row r="1228" spans="3:103" s="19" customFormat="1" ht="12">
      <c r="C1228" s="21"/>
      <c r="D1228" s="21"/>
      <c r="E1228" s="21"/>
      <c r="F1228" s="21"/>
      <c r="G1228" s="21"/>
      <c r="H1228" s="21"/>
      <c r="I1228" s="21"/>
      <c r="J1228" s="21"/>
      <c r="K1228" s="21"/>
      <c r="L1228" s="21"/>
      <c r="M1228" s="21"/>
      <c r="N1228" s="21"/>
      <c r="O1228" s="21"/>
      <c r="P1228" s="21"/>
      <c r="Q1228" s="21"/>
      <c r="R1228" s="21"/>
      <c r="S1228" s="21"/>
      <c r="T1228" s="21"/>
      <c r="U1228" s="21"/>
      <c r="V1228" s="21"/>
      <c r="W1228" s="21"/>
      <c r="X1228" s="21"/>
      <c r="Y1228" s="21"/>
      <c r="Z1228" s="21"/>
      <c r="AA1228" s="21"/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W1228" s="296"/>
      <c r="CY1228" s="296"/>
    </row>
    <row r="1229" spans="3:103" s="19" customFormat="1" ht="12">
      <c r="C1229" s="21"/>
      <c r="D1229" s="21"/>
      <c r="E1229" s="21"/>
      <c r="F1229" s="21"/>
      <c r="G1229" s="21"/>
      <c r="H1229" s="21"/>
      <c r="I1229" s="21"/>
      <c r="J1229" s="21"/>
      <c r="K1229" s="21"/>
      <c r="L1229" s="21"/>
      <c r="M1229" s="21"/>
      <c r="N1229" s="21"/>
      <c r="O1229" s="21"/>
      <c r="P1229" s="21"/>
      <c r="Q1229" s="21"/>
      <c r="R1229" s="21"/>
      <c r="S1229" s="21"/>
      <c r="T1229" s="21"/>
      <c r="U1229" s="21"/>
      <c r="V1229" s="21"/>
      <c r="W1229" s="21"/>
      <c r="X1229" s="21"/>
      <c r="Y1229" s="21"/>
      <c r="Z1229" s="21"/>
      <c r="AA1229" s="21"/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W1229" s="296"/>
      <c r="CY1229" s="296"/>
    </row>
    <row r="1230" spans="3:103" s="19" customFormat="1" ht="12">
      <c r="C1230" s="21"/>
      <c r="D1230" s="21"/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W1230" s="296"/>
      <c r="CY1230" s="296"/>
    </row>
    <row r="1231" spans="3:103" s="19" customFormat="1" ht="12">
      <c r="C1231" s="21"/>
      <c r="D1231" s="21"/>
      <c r="E1231" s="21"/>
      <c r="F1231" s="21"/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W1231" s="296"/>
      <c r="CY1231" s="296"/>
    </row>
    <row r="1232" spans="3:103" s="19" customFormat="1" ht="12">
      <c r="C1232" s="21"/>
      <c r="D1232" s="21"/>
      <c r="E1232" s="21"/>
      <c r="F1232" s="21"/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W1232" s="296"/>
      <c r="CY1232" s="296"/>
    </row>
    <row r="1233" spans="3:103" s="19" customFormat="1" ht="12">
      <c r="C1233" s="21"/>
      <c r="D1233" s="21"/>
      <c r="E1233" s="21"/>
      <c r="F1233" s="21"/>
      <c r="G1233" s="21"/>
      <c r="H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W1233" s="296"/>
      <c r="CY1233" s="296"/>
    </row>
    <row r="1234" spans="3:103" s="19" customFormat="1" ht="12">
      <c r="C1234" s="21"/>
      <c r="D1234" s="21"/>
      <c r="E1234" s="21"/>
      <c r="F1234" s="21"/>
      <c r="G1234" s="21"/>
      <c r="H1234" s="21"/>
      <c r="I1234" s="21"/>
      <c r="J1234" s="21"/>
      <c r="K1234" s="21"/>
      <c r="L1234" s="21"/>
      <c r="M1234" s="21"/>
      <c r="N1234" s="21"/>
      <c r="O1234" s="21"/>
      <c r="P1234" s="21"/>
      <c r="Q1234" s="21"/>
      <c r="R1234" s="21"/>
      <c r="S1234" s="21"/>
      <c r="T1234" s="21"/>
      <c r="U1234" s="21"/>
      <c r="V1234" s="21"/>
      <c r="W1234" s="21"/>
      <c r="X1234" s="21"/>
      <c r="Y1234" s="21"/>
      <c r="Z1234" s="21"/>
      <c r="AA1234" s="21"/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W1234" s="296"/>
      <c r="CY1234" s="296"/>
    </row>
    <row r="1235" spans="3:103" s="19" customFormat="1" ht="12">
      <c r="C1235" s="21"/>
      <c r="D1235" s="21"/>
      <c r="E1235" s="21"/>
      <c r="F1235" s="21"/>
      <c r="G1235" s="21"/>
      <c r="H1235" s="21"/>
      <c r="I1235" s="21"/>
      <c r="J1235" s="21"/>
      <c r="K1235" s="21"/>
      <c r="L1235" s="21"/>
      <c r="M1235" s="21"/>
      <c r="N1235" s="21"/>
      <c r="O1235" s="21"/>
      <c r="P1235" s="21"/>
      <c r="Q1235" s="21"/>
      <c r="R1235" s="21"/>
      <c r="S1235" s="21"/>
      <c r="T1235" s="21"/>
      <c r="U1235" s="21"/>
      <c r="V1235" s="21"/>
      <c r="W1235" s="21"/>
      <c r="X1235" s="21"/>
      <c r="Y1235" s="21"/>
      <c r="Z1235" s="21"/>
      <c r="AA1235" s="21"/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W1235" s="296"/>
      <c r="CY1235" s="296"/>
    </row>
    <row r="1236" spans="3:103" s="19" customFormat="1" ht="12">
      <c r="C1236" s="21"/>
      <c r="D1236" s="21"/>
      <c r="E1236" s="21"/>
      <c r="F1236" s="21"/>
      <c r="G1236" s="21"/>
      <c r="H1236" s="21"/>
      <c r="I1236" s="21"/>
      <c r="J1236" s="21"/>
      <c r="K1236" s="21"/>
      <c r="L1236" s="21"/>
      <c r="M1236" s="21"/>
      <c r="N1236" s="21"/>
      <c r="O1236" s="21"/>
      <c r="P1236" s="21"/>
      <c r="Q1236" s="21"/>
      <c r="R1236" s="21"/>
      <c r="S1236" s="21"/>
      <c r="T1236" s="21"/>
      <c r="U1236" s="21"/>
      <c r="V1236" s="21"/>
      <c r="W1236" s="21"/>
      <c r="X1236" s="21"/>
      <c r="Y1236" s="21"/>
      <c r="Z1236" s="21"/>
      <c r="AA1236" s="21"/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W1236" s="296"/>
      <c r="CY1236" s="296"/>
    </row>
    <row r="1237" spans="3:103" s="19" customFormat="1" ht="12">
      <c r="C1237" s="21"/>
      <c r="D1237" s="21"/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W1237" s="296"/>
      <c r="CY1237" s="296"/>
    </row>
    <row r="1238" spans="3:103" s="19" customFormat="1" ht="12">
      <c r="C1238" s="21"/>
      <c r="D1238" s="21"/>
      <c r="E1238" s="21"/>
      <c r="F1238" s="21"/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W1238" s="296"/>
      <c r="CY1238" s="296"/>
    </row>
    <row r="1239" spans="3:103" s="19" customFormat="1" ht="12">
      <c r="C1239" s="21"/>
      <c r="D1239" s="21"/>
      <c r="E1239" s="21"/>
      <c r="F1239" s="21"/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W1239" s="296"/>
      <c r="CY1239" s="296"/>
    </row>
    <row r="1240" spans="3:103" s="19" customFormat="1" ht="12">
      <c r="C1240" s="21"/>
      <c r="D1240" s="21"/>
      <c r="E1240" s="21"/>
      <c r="F1240" s="21"/>
      <c r="G1240" s="21"/>
      <c r="H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W1240" s="296"/>
      <c r="CY1240" s="296"/>
    </row>
    <row r="1241" spans="3:103" s="19" customFormat="1" ht="12">
      <c r="C1241" s="21"/>
      <c r="D1241" s="21"/>
      <c r="E1241" s="21"/>
      <c r="F1241" s="21"/>
      <c r="G1241" s="21"/>
      <c r="H1241" s="21"/>
      <c r="I1241" s="21"/>
      <c r="J1241" s="21"/>
      <c r="K1241" s="21"/>
      <c r="L1241" s="21"/>
      <c r="M1241" s="21"/>
      <c r="N1241" s="21"/>
      <c r="O1241" s="21"/>
      <c r="P1241" s="21"/>
      <c r="Q1241" s="21"/>
      <c r="R1241" s="21"/>
      <c r="S1241" s="21"/>
      <c r="T1241" s="21"/>
      <c r="U1241" s="21"/>
      <c r="V1241" s="21"/>
      <c r="W1241" s="21"/>
      <c r="X1241" s="21"/>
      <c r="Y1241" s="21"/>
      <c r="Z1241" s="21"/>
      <c r="AA1241" s="21"/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W1241" s="296"/>
      <c r="CY1241" s="296"/>
    </row>
    <row r="1242" spans="3:103" s="19" customFormat="1" ht="12">
      <c r="C1242" s="21"/>
      <c r="D1242" s="21"/>
      <c r="E1242" s="21"/>
      <c r="F1242" s="21"/>
      <c r="G1242" s="21"/>
      <c r="H1242" s="21"/>
      <c r="I1242" s="21"/>
      <c r="J1242" s="21"/>
      <c r="K1242" s="21"/>
      <c r="L1242" s="21"/>
      <c r="M1242" s="21"/>
      <c r="N1242" s="21"/>
      <c r="O1242" s="21"/>
      <c r="P1242" s="21"/>
      <c r="Q1242" s="21"/>
      <c r="R1242" s="21"/>
      <c r="S1242" s="21"/>
      <c r="T1242" s="21"/>
      <c r="U1242" s="21"/>
      <c r="V1242" s="21"/>
      <c r="W1242" s="21"/>
      <c r="X1242" s="21"/>
      <c r="Y1242" s="21"/>
      <c r="Z1242" s="21"/>
      <c r="AA1242" s="21"/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W1242" s="296"/>
      <c r="CY1242" s="296"/>
    </row>
    <row r="1243" spans="3:103" s="19" customFormat="1" ht="12">
      <c r="C1243" s="21"/>
      <c r="D1243" s="21"/>
      <c r="E1243" s="21"/>
      <c r="F1243" s="21"/>
      <c r="G1243" s="21"/>
      <c r="H1243" s="21"/>
      <c r="I1243" s="21"/>
      <c r="J1243" s="21"/>
      <c r="K1243" s="21"/>
      <c r="L1243" s="21"/>
      <c r="M1243" s="21"/>
      <c r="N1243" s="21"/>
      <c r="O1243" s="21"/>
      <c r="P1243" s="21"/>
      <c r="Q1243" s="21"/>
      <c r="R1243" s="21"/>
      <c r="S1243" s="21"/>
      <c r="T1243" s="21"/>
      <c r="U1243" s="21"/>
      <c r="V1243" s="21"/>
      <c r="W1243" s="21"/>
      <c r="X1243" s="21"/>
      <c r="Y1243" s="21"/>
      <c r="Z1243" s="21"/>
      <c r="AA1243" s="21"/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W1243" s="296"/>
      <c r="CY1243" s="296"/>
    </row>
    <row r="1244" spans="3:103" s="19" customFormat="1" ht="12">
      <c r="C1244" s="21"/>
      <c r="D1244" s="21"/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W1244" s="296"/>
      <c r="CY1244" s="296"/>
    </row>
    <row r="1245" spans="3:103" s="19" customFormat="1" ht="12">
      <c r="C1245" s="21"/>
      <c r="D1245" s="21"/>
      <c r="E1245" s="21"/>
      <c r="F1245" s="21"/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W1245" s="296"/>
      <c r="CY1245" s="296"/>
    </row>
    <row r="1246" spans="3:103" s="19" customFormat="1" ht="12">
      <c r="C1246" s="21"/>
      <c r="D1246" s="21"/>
      <c r="E1246" s="21"/>
      <c r="F1246" s="21"/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W1246" s="296"/>
      <c r="CY1246" s="296"/>
    </row>
    <row r="1247" spans="3:103" s="19" customFormat="1" ht="12">
      <c r="C1247" s="21"/>
      <c r="D1247" s="21"/>
      <c r="E1247" s="21"/>
      <c r="F1247" s="21"/>
      <c r="G1247" s="21"/>
      <c r="H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W1247" s="296"/>
      <c r="CY1247" s="296"/>
    </row>
    <row r="1248" spans="3:103" s="19" customFormat="1" ht="12">
      <c r="C1248" s="21"/>
      <c r="D1248" s="21"/>
      <c r="E1248" s="21"/>
      <c r="F1248" s="21"/>
      <c r="G1248" s="21"/>
      <c r="H1248" s="21"/>
      <c r="I1248" s="21"/>
      <c r="J1248" s="21"/>
      <c r="K1248" s="21"/>
      <c r="L1248" s="21"/>
      <c r="M1248" s="21"/>
      <c r="N1248" s="21"/>
      <c r="O1248" s="21"/>
      <c r="P1248" s="21"/>
      <c r="Q1248" s="21"/>
      <c r="R1248" s="21"/>
      <c r="S1248" s="21"/>
      <c r="T1248" s="21"/>
      <c r="U1248" s="21"/>
      <c r="V1248" s="21"/>
      <c r="W1248" s="21"/>
      <c r="X1248" s="21"/>
      <c r="Y1248" s="21"/>
      <c r="Z1248" s="21"/>
      <c r="AA1248" s="21"/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W1248" s="296"/>
      <c r="CY1248" s="296"/>
    </row>
    <row r="1249" spans="3:103" s="19" customFormat="1" ht="12">
      <c r="C1249" s="21"/>
      <c r="D1249" s="21"/>
      <c r="E1249" s="21"/>
      <c r="F1249" s="21"/>
      <c r="G1249" s="21"/>
      <c r="H1249" s="21"/>
      <c r="I1249" s="21"/>
      <c r="J1249" s="21"/>
      <c r="K1249" s="21"/>
      <c r="L1249" s="21"/>
      <c r="M1249" s="21"/>
      <c r="N1249" s="21"/>
      <c r="O1249" s="21"/>
      <c r="P1249" s="21"/>
      <c r="Q1249" s="21"/>
      <c r="R1249" s="21"/>
      <c r="S1249" s="21"/>
      <c r="T1249" s="21"/>
      <c r="U1249" s="21"/>
      <c r="V1249" s="21"/>
      <c r="W1249" s="21"/>
      <c r="X1249" s="21"/>
      <c r="Y1249" s="21"/>
      <c r="Z1249" s="21"/>
      <c r="AA1249" s="21"/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W1249" s="296"/>
      <c r="CY1249" s="296"/>
    </row>
    <row r="1250" spans="3:103" s="19" customFormat="1" ht="12">
      <c r="C1250" s="21"/>
      <c r="D1250" s="21"/>
      <c r="E1250" s="21"/>
      <c r="F1250" s="21"/>
      <c r="G1250" s="21"/>
      <c r="H1250" s="21"/>
      <c r="I1250" s="21"/>
      <c r="J1250" s="21"/>
      <c r="K1250" s="21"/>
      <c r="L1250" s="21"/>
      <c r="M1250" s="21"/>
      <c r="N1250" s="21"/>
      <c r="O1250" s="21"/>
      <c r="P1250" s="21"/>
      <c r="Q1250" s="21"/>
      <c r="R1250" s="21"/>
      <c r="S1250" s="21"/>
      <c r="T1250" s="21"/>
      <c r="U1250" s="21"/>
      <c r="V1250" s="21"/>
      <c r="W1250" s="21"/>
      <c r="X1250" s="21"/>
      <c r="Y1250" s="21"/>
      <c r="Z1250" s="21"/>
      <c r="AA1250" s="21"/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W1250" s="296"/>
      <c r="CY1250" s="296"/>
    </row>
    <row r="1251" spans="3:103" s="19" customFormat="1" ht="12">
      <c r="C1251" s="21"/>
      <c r="D1251" s="21"/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W1251" s="296"/>
      <c r="CY1251" s="296"/>
    </row>
    <row r="1252" spans="3:103" s="19" customFormat="1" ht="12">
      <c r="C1252" s="21"/>
      <c r="D1252" s="21"/>
      <c r="E1252" s="21"/>
      <c r="F1252" s="21"/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W1252" s="296"/>
      <c r="CY1252" s="296"/>
    </row>
    <row r="1253" spans="3:103" s="19" customFormat="1" ht="12">
      <c r="C1253" s="21"/>
      <c r="D1253" s="21"/>
      <c r="E1253" s="21"/>
      <c r="F1253" s="21"/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W1253" s="296"/>
      <c r="CY1253" s="296"/>
    </row>
    <row r="1254" spans="3:103" s="19" customFormat="1" ht="12">
      <c r="C1254" s="21"/>
      <c r="D1254" s="21"/>
      <c r="E1254" s="21"/>
      <c r="F1254" s="21"/>
      <c r="G1254" s="21"/>
      <c r="H1254" s="21"/>
      <c r="I1254" s="21"/>
      <c r="J1254" s="21"/>
      <c r="K1254" s="21"/>
      <c r="L1254" s="21"/>
      <c r="M1254" s="21"/>
      <c r="N1254" s="21"/>
      <c r="O1254" s="21"/>
      <c r="P1254" s="21"/>
      <c r="Q1254" s="21"/>
      <c r="R1254" s="21"/>
      <c r="S1254" s="21"/>
      <c r="T1254" s="21"/>
      <c r="U1254" s="21"/>
      <c r="V1254" s="21"/>
      <c r="W1254" s="21"/>
      <c r="X1254" s="21"/>
      <c r="Y1254" s="21"/>
      <c r="Z1254" s="21"/>
      <c r="AA1254" s="21"/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W1254" s="296"/>
      <c r="CY1254" s="296"/>
    </row>
    <row r="1255" spans="3:103" s="19" customFormat="1" ht="12">
      <c r="C1255" s="21"/>
      <c r="D1255" s="21"/>
      <c r="E1255" s="21"/>
      <c r="F1255" s="21"/>
      <c r="G1255" s="21"/>
      <c r="H1255" s="21"/>
      <c r="I1255" s="21"/>
      <c r="J1255" s="21"/>
      <c r="K1255" s="21"/>
      <c r="L1255" s="21"/>
      <c r="M1255" s="21"/>
      <c r="N1255" s="21"/>
      <c r="O1255" s="21"/>
      <c r="P1255" s="21"/>
      <c r="Q1255" s="21"/>
      <c r="R1255" s="21"/>
      <c r="S1255" s="21"/>
      <c r="T1255" s="21"/>
      <c r="U1255" s="21"/>
      <c r="V1255" s="21"/>
      <c r="W1255" s="21"/>
      <c r="X1255" s="21"/>
      <c r="Y1255" s="21"/>
      <c r="Z1255" s="21"/>
      <c r="AA1255" s="21"/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W1255" s="296"/>
      <c r="CY1255" s="296"/>
    </row>
    <row r="1256" spans="3:103" s="19" customFormat="1" ht="12">
      <c r="C1256" s="21"/>
      <c r="D1256" s="21"/>
      <c r="E1256" s="21"/>
      <c r="F1256" s="21"/>
      <c r="G1256" s="21"/>
      <c r="H1256" s="21"/>
      <c r="I1256" s="21"/>
      <c r="J1256" s="21"/>
      <c r="K1256" s="21"/>
      <c r="L1256" s="21"/>
      <c r="M1256" s="21"/>
      <c r="N1256" s="21"/>
      <c r="O1256" s="21"/>
      <c r="P1256" s="21"/>
      <c r="Q1256" s="21"/>
      <c r="R1256" s="21"/>
      <c r="S1256" s="21"/>
      <c r="T1256" s="21"/>
      <c r="U1256" s="21"/>
      <c r="V1256" s="21"/>
      <c r="W1256" s="21"/>
      <c r="X1256" s="21"/>
      <c r="Y1256" s="21"/>
      <c r="Z1256" s="21"/>
      <c r="AA1256" s="21"/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W1256" s="296"/>
      <c r="CY1256" s="296"/>
    </row>
    <row r="1257" spans="3:103" s="19" customFormat="1" ht="12">
      <c r="C1257" s="21"/>
      <c r="D1257" s="21"/>
      <c r="E1257" s="21"/>
      <c r="F1257" s="21"/>
      <c r="G1257" s="21"/>
      <c r="H1257" s="21"/>
      <c r="I1257" s="21"/>
      <c r="J1257" s="21"/>
      <c r="K1257" s="21"/>
      <c r="L1257" s="21"/>
      <c r="M1257" s="21"/>
      <c r="N1257" s="21"/>
      <c r="O1257" s="21"/>
      <c r="P1257" s="21"/>
      <c r="Q1257" s="21"/>
      <c r="R1257" s="21"/>
      <c r="S1257" s="21"/>
      <c r="T1257" s="21"/>
      <c r="U1257" s="21"/>
      <c r="V1257" s="21"/>
      <c r="W1257" s="21"/>
      <c r="X1257" s="21"/>
      <c r="Y1257" s="21"/>
      <c r="Z1257" s="21"/>
      <c r="AA1257" s="21"/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W1257" s="296"/>
      <c r="CY1257" s="296"/>
    </row>
    <row r="1258" spans="3:103" s="19" customFormat="1" ht="12">
      <c r="C1258" s="21"/>
      <c r="D1258" s="21"/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W1258" s="296"/>
      <c r="CY1258" s="296"/>
    </row>
    <row r="1259" spans="3:103" s="19" customFormat="1" ht="12">
      <c r="C1259" s="21"/>
      <c r="D1259" s="21"/>
      <c r="E1259" s="21"/>
      <c r="F1259" s="21"/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W1259" s="296"/>
      <c r="CY1259" s="296"/>
    </row>
    <row r="1260" spans="3:103" s="19" customFormat="1" ht="12">
      <c r="C1260" s="21"/>
      <c r="D1260" s="21"/>
      <c r="E1260" s="21"/>
      <c r="F1260" s="21"/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W1260" s="296"/>
      <c r="CY1260" s="296"/>
    </row>
    <row r="1261" spans="3:103" s="19" customFormat="1" ht="12">
      <c r="C1261" s="21"/>
      <c r="D1261" s="21"/>
      <c r="E1261" s="21"/>
      <c r="F1261" s="21"/>
      <c r="G1261" s="21"/>
      <c r="H1261" s="21"/>
      <c r="I1261" s="21"/>
      <c r="J1261" s="21"/>
      <c r="K1261" s="21"/>
      <c r="L1261" s="21"/>
      <c r="M1261" s="21"/>
      <c r="N1261" s="21"/>
      <c r="O1261" s="21"/>
      <c r="P1261" s="21"/>
      <c r="Q1261" s="21"/>
      <c r="R1261" s="21"/>
      <c r="S1261" s="21"/>
      <c r="T1261" s="21"/>
      <c r="U1261" s="21"/>
      <c r="V1261" s="21"/>
      <c r="W1261" s="21"/>
      <c r="X1261" s="21"/>
      <c r="Y1261" s="21"/>
      <c r="Z1261" s="21"/>
      <c r="AA1261" s="21"/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W1261" s="296"/>
      <c r="CY1261" s="296"/>
    </row>
    <row r="1262" spans="3:103" s="19" customFormat="1" ht="12">
      <c r="C1262" s="21"/>
      <c r="D1262" s="21"/>
      <c r="E1262" s="21"/>
      <c r="F1262" s="21"/>
      <c r="G1262" s="21"/>
      <c r="H1262" s="21"/>
      <c r="I1262" s="21"/>
      <c r="J1262" s="21"/>
      <c r="K1262" s="21"/>
      <c r="L1262" s="21"/>
      <c r="M1262" s="21"/>
      <c r="N1262" s="21"/>
      <c r="O1262" s="21"/>
      <c r="P1262" s="21"/>
      <c r="Q1262" s="21"/>
      <c r="R1262" s="21"/>
      <c r="S1262" s="21"/>
      <c r="T1262" s="21"/>
      <c r="U1262" s="21"/>
      <c r="V1262" s="21"/>
      <c r="W1262" s="21"/>
      <c r="X1262" s="21"/>
      <c r="Y1262" s="21"/>
      <c r="Z1262" s="21"/>
      <c r="AA1262" s="21"/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W1262" s="296"/>
      <c r="CY1262" s="296"/>
    </row>
    <row r="1263" spans="3:103" s="19" customFormat="1" ht="12">
      <c r="C1263" s="21"/>
      <c r="D1263" s="21"/>
      <c r="E1263" s="21"/>
      <c r="F1263" s="21"/>
      <c r="G1263" s="21"/>
      <c r="H1263" s="21"/>
      <c r="I1263" s="21"/>
      <c r="J1263" s="21"/>
      <c r="K1263" s="21"/>
      <c r="L1263" s="21"/>
      <c r="M1263" s="21"/>
      <c r="N1263" s="21"/>
      <c r="O1263" s="21"/>
      <c r="P1263" s="21"/>
      <c r="Q1263" s="21"/>
      <c r="R1263" s="21"/>
      <c r="S1263" s="21"/>
      <c r="T1263" s="21"/>
      <c r="U1263" s="21"/>
      <c r="V1263" s="21"/>
      <c r="W1263" s="21"/>
      <c r="X1263" s="21"/>
      <c r="Y1263" s="21"/>
      <c r="Z1263" s="21"/>
      <c r="AA1263" s="21"/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W1263" s="296"/>
      <c r="CY1263" s="296"/>
    </row>
    <row r="1264" spans="3:103" s="19" customFormat="1" ht="12">
      <c r="C1264" s="21"/>
      <c r="D1264" s="21"/>
      <c r="E1264" s="21"/>
      <c r="F1264" s="21"/>
      <c r="G1264" s="21"/>
      <c r="H1264" s="21"/>
      <c r="I1264" s="21"/>
      <c r="J1264" s="21"/>
      <c r="K1264" s="21"/>
      <c r="L1264" s="21"/>
      <c r="M1264" s="21"/>
      <c r="N1264" s="21"/>
      <c r="O1264" s="21"/>
      <c r="P1264" s="21"/>
      <c r="Q1264" s="21"/>
      <c r="R1264" s="21"/>
      <c r="S1264" s="21"/>
      <c r="T1264" s="21"/>
      <c r="U1264" s="21"/>
      <c r="V1264" s="21"/>
      <c r="W1264" s="21"/>
      <c r="X1264" s="21"/>
      <c r="Y1264" s="21"/>
      <c r="Z1264" s="21"/>
      <c r="AA1264" s="21"/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W1264" s="296"/>
      <c r="CY1264" s="296"/>
    </row>
    <row r="1265" spans="3:103" s="19" customFormat="1" ht="12">
      <c r="C1265" s="21"/>
      <c r="D1265" s="21"/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W1265" s="296"/>
      <c r="CY1265" s="296"/>
    </row>
    <row r="1266" spans="3:103" s="19" customFormat="1" ht="12">
      <c r="C1266" s="21"/>
      <c r="D1266" s="21"/>
      <c r="E1266" s="21"/>
      <c r="F1266" s="21"/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W1266" s="296"/>
      <c r="CY1266" s="296"/>
    </row>
    <row r="1267" spans="3:103" s="19" customFormat="1" ht="12">
      <c r="C1267" s="21"/>
      <c r="D1267" s="21"/>
      <c r="E1267" s="21"/>
      <c r="F1267" s="21"/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W1267" s="296"/>
      <c r="CY1267" s="296"/>
    </row>
    <row r="1268" spans="3:103" s="19" customFormat="1" ht="12">
      <c r="C1268" s="21"/>
      <c r="D1268" s="21"/>
      <c r="E1268" s="21"/>
      <c r="F1268" s="21"/>
      <c r="G1268" s="21"/>
      <c r="H1268" s="21"/>
      <c r="I1268" s="21"/>
      <c r="J1268" s="21"/>
      <c r="K1268" s="21"/>
      <c r="L1268" s="21"/>
      <c r="M1268" s="21"/>
      <c r="N1268" s="21"/>
      <c r="O1268" s="21"/>
      <c r="P1268" s="21"/>
      <c r="Q1268" s="21"/>
      <c r="R1268" s="21"/>
      <c r="S1268" s="21"/>
      <c r="T1268" s="21"/>
      <c r="U1268" s="21"/>
      <c r="V1268" s="21"/>
      <c r="W1268" s="21"/>
      <c r="X1268" s="21"/>
      <c r="Y1268" s="21"/>
      <c r="Z1268" s="21"/>
      <c r="AA1268" s="21"/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W1268" s="296"/>
      <c r="CY1268" s="296"/>
    </row>
    <row r="1269" spans="3:103" s="19" customFormat="1" ht="12">
      <c r="C1269" s="21"/>
      <c r="D1269" s="21"/>
      <c r="E1269" s="21"/>
      <c r="F1269" s="21"/>
      <c r="G1269" s="21"/>
      <c r="H1269" s="21"/>
      <c r="I1269" s="21"/>
      <c r="J1269" s="21"/>
      <c r="K1269" s="21"/>
      <c r="L1269" s="21"/>
      <c r="M1269" s="21"/>
      <c r="N1269" s="21"/>
      <c r="O1269" s="21"/>
      <c r="P1269" s="21"/>
      <c r="Q1269" s="21"/>
      <c r="R1269" s="21"/>
      <c r="S1269" s="21"/>
      <c r="T1269" s="21"/>
      <c r="U1269" s="21"/>
      <c r="V1269" s="21"/>
      <c r="W1269" s="21"/>
      <c r="X1269" s="21"/>
      <c r="Y1269" s="21"/>
      <c r="Z1269" s="21"/>
      <c r="AA1269" s="21"/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W1269" s="296"/>
      <c r="CY1269" s="296"/>
    </row>
    <row r="1270" spans="3:103" s="19" customFormat="1" ht="12">
      <c r="C1270" s="21"/>
      <c r="D1270" s="21"/>
      <c r="E1270" s="21"/>
      <c r="F1270" s="21"/>
      <c r="G1270" s="21"/>
      <c r="H1270" s="21"/>
      <c r="I1270" s="21"/>
      <c r="J1270" s="21"/>
      <c r="K1270" s="21"/>
      <c r="L1270" s="21"/>
      <c r="M1270" s="21"/>
      <c r="N1270" s="21"/>
      <c r="O1270" s="21"/>
      <c r="P1270" s="21"/>
      <c r="Q1270" s="21"/>
      <c r="R1270" s="21"/>
      <c r="S1270" s="21"/>
      <c r="T1270" s="21"/>
      <c r="U1270" s="21"/>
      <c r="V1270" s="21"/>
      <c r="W1270" s="21"/>
      <c r="X1270" s="21"/>
      <c r="Y1270" s="21"/>
      <c r="Z1270" s="21"/>
      <c r="AA1270" s="21"/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W1270" s="296"/>
      <c r="CY1270" s="296"/>
    </row>
    <row r="1271" spans="3:103" s="19" customFormat="1" ht="12">
      <c r="C1271" s="21"/>
      <c r="D1271" s="21"/>
      <c r="E1271" s="21"/>
      <c r="F1271" s="21"/>
      <c r="G1271" s="21"/>
      <c r="H1271" s="21"/>
      <c r="I1271" s="21"/>
      <c r="J1271" s="21"/>
      <c r="K1271" s="21"/>
      <c r="L1271" s="21"/>
      <c r="M1271" s="21"/>
      <c r="N1271" s="21"/>
      <c r="O1271" s="21"/>
      <c r="P1271" s="21"/>
      <c r="Q1271" s="21"/>
      <c r="R1271" s="21"/>
      <c r="S1271" s="21"/>
      <c r="T1271" s="21"/>
      <c r="U1271" s="21"/>
      <c r="V1271" s="21"/>
      <c r="W1271" s="21"/>
      <c r="X1271" s="21"/>
      <c r="Y1271" s="21"/>
      <c r="Z1271" s="21"/>
      <c r="AA1271" s="21"/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W1271" s="296"/>
      <c r="CY1271" s="296"/>
    </row>
    <row r="1272" spans="3:103" s="19" customFormat="1" ht="12">
      <c r="C1272" s="21"/>
      <c r="D1272" s="21"/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W1272" s="296"/>
      <c r="CY1272" s="296"/>
    </row>
    <row r="1273" spans="3:103" s="19" customFormat="1" ht="12">
      <c r="C1273" s="21"/>
      <c r="D1273" s="21"/>
      <c r="E1273" s="21"/>
      <c r="F1273" s="21"/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W1273" s="296"/>
      <c r="CY1273" s="296"/>
    </row>
    <row r="1274" spans="3:103" s="19" customFormat="1" ht="12">
      <c r="C1274" s="21"/>
      <c r="D1274" s="21"/>
      <c r="E1274" s="21"/>
      <c r="F1274" s="21"/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W1274" s="296"/>
      <c r="CY1274" s="296"/>
    </row>
    <row r="1275" spans="3:103" s="19" customFormat="1" ht="12">
      <c r="C1275" s="21"/>
      <c r="D1275" s="21"/>
      <c r="E1275" s="21"/>
      <c r="F1275" s="21"/>
      <c r="G1275" s="21"/>
      <c r="H1275" s="21"/>
      <c r="I1275" s="21"/>
      <c r="J1275" s="21"/>
      <c r="K1275" s="21"/>
      <c r="L1275" s="21"/>
      <c r="M1275" s="21"/>
      <c r="N1275" s="21"/>
      <c r="O1275" s="21"/>
      <c r="P1275" s="21"/>
      <c r="Q1275" s="21"/>
      <c r="R1275" s="21"/>
      <c r="S1275" s="21"/>
      <c r="T1275" s="21"/>
      <c r="U1275" s="21"/>
      <c r="V1275" s="21"/>
      <c r="W1275" s="21"/>
      <c r="X1275" s="21"/>
      <c r="Y1275" s="21"/>
      <c r="Z1275" s="21"/>
      <c r="AA1275" s="21"/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W1275" s="296"/>
      <c r="CY1275" s="296"/>
    </row>
    <row r="1276" spans="3:103" s="19" customFormat="1" ht="12">
      <c r="C1276" s="21"/>
      <c r="D1276" s="21"/>
      <c r="E1276" s="21"/>
      <c r="F1276" s="21"/>
      <c r="G1276" s="21"/>
      <c r="H1276" s="21"/>
      <c r="I1276" s="21"/>
      <c r="J1276" s="21"/>
      <c r="K1276" s="21"/>
      <c r="L1276" s="21"/>
      <c r="M1276" s="21"/>
      <c r="N1276" s="21"/>
      <c r="O1276" s="21"/>
      <c r="P1276" s="21"/>
      <c r="Q1276" s="21"/>
      <c r="R1276" s="21"/>
      <c r="S1276" s="21"/>
      <c r="T1276" s="21"/>
      <c r="U1276" s="21"/>
      <c r="V1276" s="21"/>
      <c r="W1276" s="21"/>
      <c r="X1276" s="21"/>
      <c r="Y1276" s="21"/>
      <c r="Z1276" s="21"/>
      <c r="AA1276" s="21"/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W1276" s="296"/>
      <c r="CY1276" s="296"/>
    </row>
    <row r="1277" spans="3:103" s="19" customFormat="1" ht="12">
      <c r="C1277" s="21"/>
      <c r="D1277" s="21"/>
      <c r="E1277" s="21"/>
      <c r="F1277" s="21"/>
      <c r="G1277" s="21"/>
      <c r="H1277" s="21"/>
      <c r="I1277" s="21"/>
      <c r="J1277" s="21"/>
      <c r="K1277" s="21"/>
      <c r="L1277" s="21"/>
      <c r="M1277" s="21"/>
      <c r="N1277" s="21"/>
      <c r="O1277" s="21"/>
      <c r="P1277" s="21"/>
      <c r="Q1277" s="21"/>
      <c r="R1277" s="21"/>
      <c r="S1277" s="21"/>
      <c r="T1277" s="21"/>
      <c r="U1277" s="21"/>
      <c r="V1277" s="21"/>
      <c r="W1277" s="21"/>
      <c r="X1277" s="21"/>
      <c r="Y1277" s="21"/>
      <c r="Z1277" s="21"/>
      <c r="AA1277" s="21"/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W1277" s="296"/>
      <c r="CY1277" s="296"/>
    </row>
    <row r="1278" spans="3:103" s="19" customFormat="1" ht="12">
      <c r="C1278" s="21"/>
      <c r="D1278" s="21"/>
      <c r="E1278" s="21"/>
      <c r="F1278" s="21"/>
      <c r="G1278" s="21"/>
      <c r="H1278" s="21"/>
      <c r="I1278" s="21"/>
      <c r="J1278" s="21"/>
      <c r="K1278" s="21"/>
      <c r="L1278" s="21"/>
      <c r="M1278" s="21"/>
      <c r="N1278" s="21"/>
      <c r="O1278" s="21"/>
      <c r="P1278" s="21"/>
      <c r="Q1278" s="21"/>
      <c r="R1278" s="21"/>
      <c r="S1278" s="21"/>
      <c r="T1278" s="21"/>
      <c r="U1278" s="21"/>
      <c r="V1278" s="21"/>
      <c r="W1278" s="21"/>
      <c r="X1278" s="21"/>
      <c r="Y1278" s="21"/>
      <c r="Z1278" s="21"/>
      <c r="AA1278" s="21"/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W1278" s="296"/>
      <c r="CY1278" s="296"/>
    </row>
    <row r="1279" spans="3:103" s="19" customFormat="1" ht="12">
      <c r="C1279" s="21"/>
      <c r="D1279" s="21"/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W1279" s="296"/>
      <c r="CY1279" s="296"/>
    </row>
    <row r="1280" spans="3:103" s="19" customFormat="1" ht="12">
      <c r="C1280" s="21"/>
      <c r="D1280" s="21"/>
      <c r="E1280" s="21"/>
      <c r="F1280" s="21"/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W1280" s="296"/>
      <c r="CY1280" s="296"/>
    </row>
    <row r="1281" spans="3:103" s="19" customFormat="1" ht="12">
      <c r="C1281" s="21"/>
      <c r="D1281" s="21"/>
      <c r="E1281" s="21"/>
      <c r="F1281" s="21"/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W1281" s="296"/>
      <c r="CY1281" s="296"/>
    </row>
    <row r="1282" spans="3:103" s="19" customFormat="1" ht="12">
      <c r="C1282" s="21"/>
      <c r="D1282" s="21"/>
      <c r="E1282" s="21"/>
      <c r="F1282" s="21"/>
      <c r="G1282" s="21"/>
      <c r="H1282" s="21"/>
      <c r="I1282" s="21"/>
      <c r="J1282" s="21"/>
      <c r="K1282" s="21"/>
      <c r="L1282" s="21"/>
      <c r="M1282" s="21"/>
      <c r="N1282" s="21"/>
      <c r="O1282" s="21"/>
      <c r="P1282" s="21"/>
      <c r="Q1282" s="21"/>
      <c r="R1282" s="21"/>
      <c r="S1282" s="21"/>
      <c r="T1282" s="21"/>
      <c r="U1282" s="21"/>
      <c r="V1282" s="21"/>
      <c r="W1282" s="21"/>
      <c r="X1282" s="21"/>
      <c r="Y1282" s="21"/>
      <c r="Z1282" s="21"/>
      <c r="AA1282" s="21"/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W1282" s="296"/>
      <c r="CY1282" s="296"/>
    </row>
    <row r="1283" spans="3:103" s="19" customFormat="1" ht="12">
      <c r="C1283" s="21"/>
      <c r="D1283" s="21"/>
      <c r="E1283" s="21"/>
      <c r="F1283" s="21"/>
      <c r="G1283" s="21"/>
      <c r="H1283" s="21"/>
      <c r="I1283" s="21"/>
      <c r="J1283" s="21"/>
      <c r="K1283" s="21"/>
      <c r="L1283" s="21"/>
      <c r="M1283" s="21"/>
      <c r="N1283" s="21"/>
      <c r="O1283" s="21"/>
      <c r="P1283" s="21"/>
      <c r="Q1283" s="21"/>
      <c r="R1283" s="21"/>
      <c r="S1283" s="21"/>
      <c r="T1283" s="21"/>
      <c r="U1283" s="21"/>
      <c r="V1283" s="21"/>
      <c r="W1283" s="21"/>
      <c r="X1283" s="21"/>
      <c r="Y1283" s="21"/>
      <c r="Z1283" s="21"/>
      <c r="AA1283" s="21"/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W1283" s="296"/>
      <c r="CY1283" s="296"/>
    </row>
    <row r="1284" spans="3:103" s="19" customFormat="1" ht="12">
      <c r="C1284" s="21"/>
      <c r="D1284" s="21"/>
      <c r="E1284" s="21"/>
      <c r="F1284" s="21"/>
      <c r="G1284" s="21"/>
      <c r="H1284" s="21"/>
      <c r="I1284" s="21"/>
      <c r="J1284" s="21"/>
      <c r="K1284" s="21"/>
      <c r="L1284" s="21"/>
      <c r="M1284" s="21"/>
      <c r="N1284" s="21"/>
      <c r="O1284" s="21"/>
      <c r="P1284" s="21"/>
      <c r="Q1284" s="21"/>
      <c r="R1284" s="21"/>
      <c r="S1284" s="21"/>
      <c r="T1284" s="21"/>
      <c r="U1284" s="21"/>
      <c r="V1284" s="21"/>
      <c r="W1284" s="21"/>
      <c r="X1284" s="21"/>
      <c r="Y1284" s="21"/>
      <c r="Z1284" s="21"/>
      <c r="AA1284" s="21"/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W1284" s="296"/>
      <c r="CY1284" s="296"/>
    </row>
    <row r="1285" spans="3:103" s="19" customFormat="1" ht="12">
      <c r="C1285" s="21"/>
      <c r="D1285" s="21"/>
      <c r="E1285" s="21"/>
      <c r="F1285" s="21"/>
      <c r="G1285" s="21"/>
      <c r="H1285" s="21"/>
      <c r="I1285" s="21"/>
      <c r="J1285" s="21"/>
      <c r="K1285" s="21"/>
      <c r="L1285" s="21"/>
      <c r="M1285" s="21"/>
      <c r="N1285" s="21"/>
      <c r="O1285" s="21"/>
      <c r="P1285" s="21"/>
      <c r="Q1285" s="21"/>
      <c r="R1285" s="21"/>
      <c r="S1285" s="21"/>
      <c r="T1285" s="21"/>
      <c r="U1285" s="21"/>
      <c r="V1285" s="21"/>
      <c r="W1285" s="21"/>
      <c r="X1285" s="21"/>
      <c r="Y1285" s="21"/>
      <c r="Z1285" s="21"/>
      <c r="AA1285" s="21"/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W1285" s="296"/>
      <c r="CY1285" s="296"/>
    </row>
    <row r="1286" spans="3:103" s="19" customFormat="1" ht="12">
      <c r="C1286" s="21"/>
      <c r="D1286" s="21"/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W1286" s="296"/>
      <c r="CY1286" s="296"/>
    </row>
    <row r="1287" spans="3:103" s="19" customFormat="1" ht="12">
      <c r="C1287" s="21"/>
      <c r="D1287" s="21"/>
      <c r="E1287" s="21"/>
      <c r="F1287" s="21"/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W1287" s="296"/>
      <c r="CY1287" s="296"/>
    </row>
    <row r="1288" spans="3:103" s="19" customFormat="1" ht="12">
      <c r="C1288" s="21"/>
      <c r="D1288" s="21"/>
      <c r="E1288" s="21"/>
      <c r="F1288" s="21"/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W1288" s="296"/>
      <c r="CY1288" s="296"/>
    </row>
    <row r="1289" spans="3:103" s="19" customFormat="1" ht="12">
      <c r="C1289" s="21"/>
      <c r="D1289" s="21"/>
      <c r="E1289" s="21"/>
      <c r="F1289" s="21"/>
      <c r="G1289" s="21"/>
      <c r="H1289" s="21"/>
      <c r="I1289" s="21"/>
      <c r="J1289" s="21"/>
      <c r="K1289" s="21"/>
      <c r="L1289" s="21"/>
      <c r="M1289" s="21"/>
      <c r="N1289" s="21"/>
      <c r="O1289" s="21"/>
      <c r="P1289" s="21"/>
      <c r="Q1289" s="21"/>
      <c r="R1289" s="21"/>
      <c r="S1289" s="21"/>
      <c r="T1289" s="21"/>
      <c r="U1289" s="21"/>
      <c r="V1289" s="21"/>
      <c r="W1289" s="21"/>
      <c r="X1289" s="21"/>
      <c r="Y1289" s="21"/>
      <c r="Z1289" s="21"/>
      <c r="AA1289" s="21"/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W1289" s="296"/>
      <c r="CY1289" s="296"/>
    </row>
    <row r="1290" spans="3:103" s="19" customFormat="1" ht="12">
      <c r="C1290" s="21"/>
      <c r="D1290" s="21"/>
      <c r="E1290" s="21"/>
      <c r="F1290" s="21"/>
      <c r="G1290" s="21"/>
      <c r="H1290" s="21"/>
      <c r="I1290" s="21"/>
      <c r="J1290" s="21"/>
      <c r="K1290" s="21"/>
      <c r="L1290" s="21"/>
      <c r="M1290" s="21"/>
      <c r="N1290" s="21"/>
      <c r="O1290" s="21"/>
      <c r="P1290" s="21"/>
      <c r="Q1290" s="21"/>
      <c r="R1290" s="21"/>
      <c r="S1290" s="21"/>
      <c r="T1290" s="21"/>
      <c r="U1290" s="21"/>
      <c r="V1290" s="21"/>
      <c r="W1290" s="21"/>
      <c r="X1290" s="21"/>
      <c r="Y1290" s="21"/>
      <c r="Z1290" s="21"/>
      <c r="AA1290" s="21"/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W1290" s="296"/>
      <c r="CY1290" s="296"/>
    </row>
    <row r="1291" spans="3:103" s="19" customFormat="1" ht="12">
      <c r="C1291" s="21"/>
      <c r="D1291" s="21"/>
      <c r="E1291" s="21"/>
      <c r="F1291" s="21"/>
      <c r="G1291" s="21"/>
      <c r="H1291" s="21"/>
      <c r="I1291" s="21"/>
      <c r="J1291" s="21"/>
      <c r="K1291" s="21"/>
      <c r="L1291" s="21"/>
      <c r="M1291" s="21"/>
      <c r="N1291" s="21"/>
      <c r="O1291" s="21"/>
      <c r="P1291" s="21"/>
      <c r="Q1291" s="21"/>
      <c r="R1291" s="21"/>
      <c r="S1291" s="21"/>
      <c r="T1291" s="21"/>
      <c r="U1291" s="21"/>
      <c r="V1291" s="21"/>
      <c r="W1291" s="21"/>
      <c r="X1291" s="21"/>
      <c r="Y1291" s="21"/>
      <c r="Z1291" s="21"/>
      <c r="AA1291" s="21"/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W1291" s="296"/>
      <c r="CY1291" s="296"/>
    </row>
    <row r="1292" spans="3:103" s="19" customFormat="1" ht="12">
      <c r="C1292" s="21"/>
      <c r="D1292" s="21"/>
      <c r="E1292" s="21"/>
      <c r="F1292" s="21"/>
      <c r="G1292" s="21"/>
      <c r="H1292" s="21"/>
      <c r="I1292" s="21"/>
      <c r="J1292" s="21"/>
      <c r="K1292" s="21"/>
      <c r="L1292" s="21"/>
      <c r="M1292" s="21"/>
      <c r="N1292" s="21"/>
      <c r="O1292" s="21"/>
      <c r="P1292" s="21"/>
      <c r="Q1292" s="21"/>
      <c r="R1292" s="21"/>
      <c r="S1292" s="21"/>
      <c r="T1292" s="21"/>
      <c r="U1292" s="21"/>
      <c r="V1292" s="21"/>
      <c r="W1292" s="21"/>
      <c r="X1292" s="21"/>
      <c r="Y1292" s="21"/>
      <c r="Z1292" s="21"/>
      <c r="AA1292" s="21"/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W1292" s="296"/>
      <c r="CY1292" s="296"/>
    </row>
    <row r="1293" spans="3:103" s="19" customFormat="1" ht="12">
      <c r="C1293" s="21"/>
      <c r="D1293" s="21"/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W1293" s="296"/>
      <c r="CY1293" s="296"/>
    </row>
    <row r="1294" spans="3:103" s="19" customFormat="1" ht="12">
      <c r="C1294" s="21"/>
      <c r="D1294" s="21"/>
      <c r="E1294" s="21"/>
      <c r="F1294" s="21"/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W1294" s="296"/>
      <c r="CY1294" s="296"/>
    </row>
    <row r="1295" spans="3:103" s="19" customFormat="1" ht="12">
      <c r="C1295" s="21"/>
      <c r="D1295" s="21"/>
      <c r="E1295" s="21"/>
      <c r="F1295" s="21"/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W1295" s="296"/>
      <c r="CY1295" s="296"/>
    </row>
    <row r="1296" spans="3:103" s="19" customFormat="1" ht="12">
      <c r="C1296" s="21"/>
      <c r="D1296" s="21"/>
      <c r="E1296" s="21"/>
      <c r="F1296" s="21"/>
      <c r="G1296" s="21"/>
      <c r="H1296" s="21"/>
      <c r="I1296" s="21"/>
      <c r="J1296" s="21"/>
      <c r="K1296" s="21"/>
      <c r="L1296" s="21"/>
      <c r="M1296" s="21"/>
      <c r="N1296" s="21"/>
      <c r="O1296" s="21"/>
      <c r="P1296" s="21"/>
      <c r="Q1296" s="21"/>
      <c r="R1296" s="21"/>
      <c r="S1296" s="21"/>
      <c r="T1296" s="21"/>
      <c r="U1296" s="21"/>
      <c r="V1296" s="21"/>
      <c r="W1296" s="21"/>
      <c r="X1296" s="21"/>
      <c r="Y1296" s="21"/>
      <c r="Z1296" s="21"/>
      <c r="AA1296" s="21"/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W1296" s="296"/>
      <c r="CY1296" s="296"/>
    </row>
    <row r="1297" spans="3:103" s="19" customFormat="1" ht="12">
      <c r="C1297" s="21"/>
      <c r="D1297" s="21"/>
      <c r="E1297" s="21"/>
      <c r="F1297" s="21"/>
      <c r="G1297" s="21"/>
      <c r="H1297" s="21"/>
      <c r="I1297" s="21"/>
      <c r="J1297" s="21"/>
      <c r="K1297" s="21"/>
      <c r="L1297" s="21"/>
      <c r="M1297" s="21"/>
      <c r="N1297" s="21"/>
      <c r="O1297" s="21"/>
      <c r="P1297" s="21"/>
      <c r="Q1297" s="21"/>
      <c r="R1297" s="21"/>
      <c r="S1297" s="21"/>
      <c r="T1297" s="21"/>
      <c r="U1297" s="21"/>
      <c r="V1297" s="21"/>
      <c r="W1297" s="21"/>
      <c r="X1297" s="21"/>
      <c r="Y1297" s="21"/>
      <c r="Z1297" s="21"/>
      <c r="AA1297" s="21"/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W1297" s="296"/>
      <c r="CY1297" s="296"/>
    </row>
    <row r="1298" spans="3:103" s="19" customFormat="1" ht="12">
      <c r="C1298" s="21"/>
      <c r="D1298" s="21"/>
      <c r="E1298" s="21"/>
      <c r="F1298" s="21"/>
      <c r="G1298" s="21"/>
      <c r="H1298" s="21"/>
      <c r="I1298" s="21"/>
      <c r="J1298" s="21"/>
      <c r="K1298" s="21"/>
      <c r="L1298" s="21"/>
      <c r="M1298" s="21"/>
      <c r="N1298" s="21"/>
      <c r="O1298" s="21"/>
      <c r="P1298" s="21"/>
      <c r="Q1298" s="21"/>
      <c r="R1298" s="21"/>
      <c r="S1298" s="21"/>
      <c r="T1298" s="21"/>
      <c r="U1298" s="21"/>
      <c r="V1298" s="21"/>
      <c r="W1298" s="21"/>
      <c r="X1298" s="21"/>
      <c r="Y1298" s="21"/>
      <c r="Z1298" s="21"/>
      <c r="AA1298" s="21"/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W1298" s="296"/>
      <c r="CY1298" s="296"/>
    </row>
    <row r="1299" spans="3:103" s="19" customFormat="1" ht="12">
      <c r="C1299" s="21"/>
      <c r="D1299" s="21"/>
      <c r="E1299" s="21"/>
      <c r="F1299" s="21"/>
      <c r="G1299" s="21"/>
      <c r="H1299" s="21"/>
      <c r="I1299" s="21"/>
      <c r="J1299" s="21"/>
      <c r="K1299" s="21"/>
      <c r="L1299" s="21"/>
      <c r="M1299" s="21"/>
      <c r="N1299" s="21"/>
      <c r="O1299" s="21"/>
      <c r="P1299" s="21"/>
      <c r="Q1299" s="21"/>
      <c r="R1299" s="21"/>
      <c r="S1299" s="21"/>
      <c r="T1299" s="21"/>
      <c r="U1299" s="21"/>
      <c r="V1299" s="21"/>
      <c r="W1299" s="21"/>
      <c r="X1299" s="21"/>
      <c r="Y1299" s="21"/>
      <c r="Z1299" s="21"/>
      <c r="AA1299" s="21"/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W1299" s="296"/>
      <c r="CY1299" s="296"/>
    </row>
    <row r="1300" spans="3:103" s="19" customFormat="1" ht="12">
      <c r="C1300" s="21"/>
      <c r="D1300" s="21"/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W1300" s="296"/>
      <c r="CY1300" s="296"/>
    </row>
    <row r="1301" spans="3:103" s="19" customFormat="1" ht="12">
      <c r="C1301" s="21"/>
      <c r="D1301" s="21"/>
      <c r="E1301" s="21"/>
      <c r="F1301" s="21"/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W1301" s="296"/>
      <c r="CY1301" s="296"/>
    </row>
    <row r="1302" spans="3:103" s="19" customFormat="1" ht="12">
      <c r="C1302" s="21"/>
      <c r="D1302" s="21"/>
      <c r="E1302" s="21"/>
      <c r="F1302" s="21"/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W1302" s="296"/>
      <c r="CY1302" s="296"/>
    </row>
    <row r="1303" spans="3:103" s="19" customFormat="1" ht="12">
      <c r="C1303" s="21"/>
      <c r="D1303" s="21"/>
      <c r="E1303" s="21"/>
      <c r="F1303" s="21"/>
      <c r="G1303" s="21"/>
      <c r="H1303" s="21"/>
      <c r="I1303" s="21"/>
      <c r="J1303" s="21"/>
      <c r="K1303" s="21"/>
      <c r="L1303" s="21"/>
      <c r="M1303" s="21"/>
      <c r="N1303" s="21"/>
      <c r="O1303" s="21"/>
      <c r="P1303" s="21"/>
      <c r="Q1303" s="21"/>
      <c r="R1303" s="21"/>
      <c r="S1303" s="21"/>
      <c r="T1303" s="21"/>
      <c r="U1303" s="21"/>
      <c r="V1303" s="21"/>
      <c r="W1303" s="21"/>
      <c r="X1303" s="21"/>
      <c r="Y1303" s="21"/>
      <c r="Z1303" s="21"/>
      <c r="AA1303" s="21"/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W1303" s="296"/>
      <c r="CY1303" s="296"/>
    </row>
    <row r="1304" spans="3:103" s="19" customFormat="1" ht="12">
      <c r="C1304" s="21"/>
      <c r="D1304" s="21"/>
      <c r="E1304" s="21"/>
      <c r="F1304" s="21"/>
      <c r="G1304" s="21"/>
      <c r="H1304" s="21"/>
      <c r="I1304" s="21"/>
      <c r="J1304" s="21"/>
      <c r="K1304" s="21"/>
      <c r="L1304" s="21"/>
      <c r="M1304" s="21"/>
      <c r="N1304" s="21"/>
      <c r="O1304" s="21"/>
      <c r="P1304" s="21"/>
      <c r="Q1304" s="21"/>
      <c r="R1304" s="21"/>
      <c r="S1304" s="21"/>
      <c r="T1304" s="21"/>
      <c r="U1304" s="21"/>
      <c r="V1304" s="21"/>
      <c r="W1304" s="21"/>
      <c r="X1304" s="21"/>
      <c r="Y1304" s="21"/>
      <c r="Z1304" s="21"/>
      <c r="AA1304" s="21"/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W1304" s="296"/>
      <c r="CY1304" s="296"/>
    </row>
    <row r="1305" spans="3:103" s="19" customFormat="1" ht="12">
      <c r="C1305" s="21"/>
      <c r="D1305" s="21"/>
      <c r="E1305" s="21"/>
      <c r="F1305" s="21"/>
      <c r="G1305" s="21"/>
      <c r="H1305" s="21"/>
      <c r="I1305" s="21"/>
      <c r="J1305" s="21"/>
      <c r="K1305" s="21"/>
      <c r="L1305" s="21"/>
      <c r="M1305" s="21"/>
      <c r="N1305" s="21"/>
      <c r="O1305" s="21"/>
      <c r="P1305" s="21"/>
      <c r="Q1305" s="21"/>
      <c r="R1305" s="21"/>
      <c r="S1305" s="21"/>
      <c r="T1305" s="21"/>
      <c r="U1305" s="21"/>
      <c r="V1305" s="21"/>
      <c r="W1305" s="21"/>
      <c r="X1305" s="21"/>
      <c r="Y1305" s="21"/>
      <c r="Z1305" s="21"/>
      <c r="AA1305" s="21"/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W1305" s="296"/>
      <c r="CY1305" s="296"/>
    </row>
    <row r="1306" spans="3:103" s="19" customFormat="1" ht="12">
      <c r="C1306" s="21"/>
      <c r="D1306" s="21"/>
      <c r="E1306" s="21"/>
      <c r="F1306" s="21"/>
      <c r="G1306" s="21"/>
      <c r="H1306" s="21"/>
      <c r="I1306" s="21"/>
      <c r="J1306" s="21"/>
      <c r="K1306" s="21"/>
      <c r="L1306" s="21"/>
      <c r="M1306" s="21"/>
      <c r="N1306" s="21"/>
      <c r="O1306" s="21"/>
      <c r="P1306" s="21"/>
      <c r="Q1306" s="21"/>
      <c r="R1306" s="21"/>
      <c r="S1306" s="21"/>
      <c r="T1306" s="21"/>
      <c r="U1306" s="21"/>
      <c r="V1306" s="21"/>
      <c r="W1306" s="21"/>
      <c r="X1306" s="21"/>
      <c r="Y1306" s="21"/>
      <c r="Z1306" s="21"/>
      <c r="AA1306" s="21"/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W1306" s="296"/>
      <c r="CY1306" s="296"/>
    </row>
    <row r="1307" spans="3:103" s="19" customFormat="1" ht="12">
      <c r="C1307" s="21"/>
      <c r="D1307" s="21"/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W1307" s="296"/>
      <c r="CY1307" s="296"/>
    </row>
    <row r="1308" spans="3:103" s="19" customFormat="1" ht="12">
      <c r="C1308" s="21"/>
      <c r="D1308" s="21"/>
      <c r="E1308" s="21"/>
      <c r="F1308" s="21"/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W1308" s="296"/>
      <c r="CY1308" s="296"/>
    </row>
    <row r="1309" spans="3:103" s="19" customFormat="1" ht="12">
      <c r="C1309" s="21"/>
      <c r="D1309" s="21"/>
      <c r="E1309" s="21"/>
      <c r="F1309" s="21"/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W1309" s="296"/>
      <c r="CY1309" s="296"/>
    </row>
    <row r="1310" spans="3:103" s="19" customFormat="1" ht="12">
      <c r="C1310" s="21"/>
      <c r="D1310" s="21"/>
      <c r="E1310" s="21"/>
      <c r="F1310" s="21"/>
      <c r="G1310" s="21"/>
      <c r="H1310" s="21"/>
      <c r="I1310" s="21"/>
      <c r="J1310" s="21"/>
      <c r="K1310" s="21"/>
      <c r="L1310" s="21"/>
      <c r="M1310" s="21"/>
      <c r="N1310" s="21"/>
      <c r="O1310" s="21"/>
      <c r="P1310" s="21"/>
      <c r="Q1310" s="21"/>
      <c r="R1310" s="21"/>
      <c r="S1310" s="21"/>
      <c r="T1310" s="21"/>
      <c r="U1310" s="21"/>
      <c r="V1310" s="21"/>
      <c r="W1310" s="21"/>
      <c r="X1310" s="21"/>
      <c r="Y1310" s="21"/>
      <c r="Z1310" s="21"/>
      <c r="AA1310" s="21"/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W1310" s="296"/>
      <c r="CY1310" s="296"/>
    </row>
    <row r="1311" spans="3:103" s="19" customFormat="1" ht="12">
      <c r="C1311" s="21"/>
      <c r="D1311" s="21"/>
      <c r="E1311" s="21"/>
      <c r="F1311" s="21"/>
      <c r="G1311" s="21"/>
      <c r="H1311" s="21"/>
      <c r="I1311" s="21"/>
      <c r="J1311" s="21"/>
      <c r="K1311" s="21"/>
      <c r="L1311" s="21"/>
      <c r="M1311" s="21"/>
      <c r="N1311" s="21"/>
      <c r="O1311" s="21"/>
      <c r="P1311" s="21"/>
      <c r="Q1311" s="21"/>
      <c r="R1311" s="21"/>
      <c r="S1311" s="21"/>
      <c r="T1311" s="21"/>
      <c r="U1311" s="21"/>
      <c r="V1311" s="21"/>
      <c r="W1311" s="21"/>
      <c r="X1311" s="21"/>
      <c r="Y1311" s="21"/>
      <c r="Z1311" s="21"/>
      <c r="AA1311" s="21"/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W1311" s="296"/>
      <c r="CY1311" s="296"/>
    </row>
    <row r="1312" spans="3:103" s="19" customFormat="1" ht="12">
      <c r="C1312" s="21"/>
      <c r="D1312" s="21"/>
      <c r="E1312" s="21"/>
      <c r="F1312" s="21"/>
      <c r="G1312" s="21"/>
      <c r="H1312" s="21"/>
      <c r="I1312" s="21"/>
      <c r="J1312" s="21"/>
      <c r="K1312" s="21"/>
      <c r="L1312" s="21"/>
      <c r="M1312" s="21"/>
      <c r="N1312" s="21"/>
      <c r="O1312" s="21"/>
      <c r="P1312" s="21"/>
      <c r="Q1312" s="21"/>
      <c r="R1312" s="21"/>
      <c r="S1312" s="21"/>
      <c r="T1312" s="21"/>
      <c r="U1312" s="21"/>
      <c r="V1312" s="21"/>
      <c r="W1312" s="21"/>
      <c r="X1312" s="21"/>
      <c r="Y1312" s="21"/>
      <c r="Z1312" s="21"/>
      <c r="AA1312" s="21"/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W1312" s="296"/>
      <c r="CY1312" s="296"/>
    </row>
    <row r="1313" spans="3:103" s="19" customFormat="1" ht="12">
      <c r="C1313" s="21"/>
      <c r="D1313" s="21"/>
      <c r="E1313" s="21"/>
      <c r="F1313" s="21"/>
      <c r="G1313" s="21"/>
      <c r="H1313" s="21"/>
      <c r="I1313" s="21"/>
      <c r="J1313" s="21"/>
      <c r="K1313" s="21"/>
      <c r="L1313" s="21"/>
      <c r="M1313" s="21"/>
      <c r="N1313" s="21"/>
      <c r="O1313" s="21"/>
      <c r="P1313" s="21"/>
      <c r="Q1313" s="21"/>
      <c r="R1313" s="21"/>
      <c r="S1313" s="21"/>
      <c r="T1313" s="21"/>
      <c r="U1313" s="21"/>
      <c r="V1313" s="21"/>
      <c r="W1313" s="21"/>
      <c r="X1313" s="21"/>
      <c r="Y1313" s="21"/>
      <c r="Z1313" s="21"/>
      <c r="AA1313" s="21"/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W1313" s="296"/>
      <c r="CY1313" s="296"/>
    </row>
    <row r="1314" spans="3:103" s="19" customFormat="1" ht="12">
      <c r="C1314" s="21"/>
      <c r="D1314" s="21"/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W1314" s="296"/>
      <c r="CY1314" s="296"/>
    </row>
    <row r="1315" spans="3:103" s="19" customFormat="1" ht="12">
      <c r="C1315" s="21"/>
      <c r="D1315" s="21"/>
      <c r="E1315" s="21"/>
      <c r="F1315" s="21"/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W1315" s="296"/>
      <c r="CY1315" s="296"/>
    </row>
    <row r="1316" spans="3:103" s="19" customFormat="1" ht="12">
      <c r="C1316" s="21"/>
      <c r="D1316" s="21"/>
      <c r="E1316" s="21"/>
      <c r="F1316" s="21"/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W1316" s="296"/>
      <c r="CY1316" s="296"/>
    </row>
    <row r="1317" spans="3:103" s="19" customFormat="1" ht="12">
      <c r="C1317" s="21"/>
      <c r="D1317" s="21"/>
      <c r="E1317" s="21"/>
      <c r="F1317" s="21"/>
      <c r="G1317" s="21"/>
      <c r="H1317" s="21"/>
      <c r="I1317" s="21"/>
      <c r="J1317" s="21"/>
      <c r="K1317" s="21"/>
      <c r="L1317" s="21"/>
      <c r="M1317" s="21"/>
      <c r="N1317" s="21"/>
      <c r="O1317" s="21"/>
      <c r="P1317" s="21"/>
      <c r="Q1317" s="21"/>
      <c r="R1317" s="21"/>
      <c r="S1317" s="21"/>
      <c r="T1317" s="21"/>
      <c r="U1317" s="21"/>
      <c r="V1317" s="21"/>
      <c r="W1317" s="21"/>
      <c r="X1317" s="21"/>
      <c r="Y1317" s="21"/>
      <c r="Z1317" s="21"/>
      <c r="AA1317" s="21"/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W1317" s="296"/>
      <c r="CY1317" s="296"/>
    </row>
    <row r="1318" spans="3:103" s="19" customFormat="1" ht="12">
      <c r="C1318" s="21"/>
      <c r="D1318" s="21"/>
      <c r="E1318" s="21"/>
      <c r="F1318" s="21"/>
      <c r="G1318" s="21"/>
      <c r="H1318" s="21"/>
      <c r="I1318" s="21"/>
      <c r="J1318" s="21"/>
      <c r="K1318" s="21"/>
      <c r="L1318" s="21"/>
      <c r="M1318" s="21"/>
      <c r="N1318" s="21"/>
      <c r="O1318" s="21"/>
      <c r="P1318" s="21"/>
      <c r="Q1318" s="21"/>
      <c r="R1318" s="21"/>
      <c r="S1318" s="21"/>
      <c r="T1318" s="21"/>
      <c r="U1318" s="21"/>
      <c r="V1318" s="21"/>
      <c r="W1318" s="21"/>
      <c r="X1318" s="21"/>
      <c r="Y1318" s="21"/>
      <c r="Z1318" s="21"/>
      <c r="AA1318" s="21"/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W1318" s="296"/>
      <c r="CY1318" s="296"/>
    </row>
    <row r="1319" spans="3:103" s="19" customFormat="1" ht="12">
      <c r="C1319" s="21"/>
      <c r="D1319" s="21"/>
      <c r="E1319" s="21"/>
      <c r="F1319" s="21"/>
      <c r="G1319" s="21"/>
      <c r="H1319" s="21"/>
      <c r="I1319" s="21"/>
      <c r="J1319" s="21"/>
      <c r="K1319" s="21"/>
      <c r="L1319" s="21"/>
      <c r="M1319" s="21"/>
      <c r="N1319" s="21"/>
      <c r="O1319" s="21"/>
      <c r="P1319" s="21"/>
      <c r="Q1319" s="21"/>
      <c r="R1319" s="21"/>
      <c r="S1319" s="21"/>
      <c r="T1319" s="21"/>
      <c r="U1319" s="21"/>
      <c r="V1319" s="21"/>
      <c r="W1319" s="21"/>
      <c r="X1319" s="21"/>
      <c r="Y1319" s="21"/>
      <c r="Z1319" s="21"/>
      <c r="AA1319" s="21"/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W1319" s="296"/>
      <c r="CY1319" s="296"/>
    </row>
    <row r="1320" spans="3:103" s="19" customFormat="1" ht="12">
      <c r="C1320" s="21"/>
      <c r="D1320" s="21"/>
      <c r="E1320" s="21"/>
      <c r="F1320" s="21"/>
      <c r="G1320" s="21"/>
      <c r="H1320" s="21"/>
      <c r="I1320" s="21"/>
      <c r="J1320" s="21"/>
      <c r="K1320" s="21"/>
      <c r="L1320" s="21"/>
      <c r="M1320" s="21"/>
      <c r="N1320" s="21"/>
      <c r="O1320" s="21"/>
      <c r="P1320" s="21"/>
      <c r="Q1320" s="21"/>
      <c r="R1320" s="21"/>
      <c r="S1320" s="21"/>
      <c r="T1320" s="21"/>
      <c r="U1320" s="21"/>
      <c r="V1320" s="21"/>
      <c r="W1320" s="21"/>
      <c r="X1320" s="21"/>
      <c r="Y1320" s="21"/>
      <c r="Z1320" s="21"/>
      <c r="AA1320" s="21"/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W1320" s="296"/>
      <c r="CY1320" s="296"/>
    </row>
    <row r="1321" spans="3:103" s="19" customFormat="1" ht="12">
      <c r="C1321" s="21"/>
      <c r="D1321" s="21"/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W1321" s="296"/>
      <c r="CY1321" s="296"/>
    </row>
    <row r="1322" spans="3:103" s="19" customFormat="1" ht="12">
      <c r="C1322" s="21"/>
      <c r="D1322" s="21"/>
      <c r="E1322" s="21"/>
      <c r="F1322" s="21"/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W1322" s="296"/>
      <c r="CY1322" s="296"/>
    </row>
    <row r="1323" spans="3:103" s="19" customFormat="1" ht="12">
      <c r="C1323" s="21"/>
      <c r="D1323" s="21"/>
      <c r="E1323" s="21"/>
      <c r="F1323" s="21"/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W1323" s="296"/>
      <c r="CY1323" s="296"/>
    </row>
    <row r="1324" spans="3:103" s="19" customFormat="1" ht="12">
      <c r="C1324" s="21"/>
      <c r="D1324" s="21"/>
      <c r="E1324" s="21"/>
      <c r="F1324" s="21"/>
      <c r="G1324" s="21"/>
      <c r="H1324" s="21"/>
      <c r="I1324" s="21"/>
      <c r="J1324" s="21"/>
      <c r="K1324" s="21"/>
      <c r="L1324" s="21"/>
      <c r="M1324" s="21"/>
      <c r="N1324" s="21"/>
      <c r="O1324" s="21"/>
      <c r="P1324" s="21"/>
      <c r="Q1324" s="21"/>
      <c r="R1324" s="21"/>
      <c r="S1324" s="21"/>
      <c r="T1324" s="21"/>
      <c r="U1324" s="21"/>
      <c r="V1324" s="21"/>
      <c r="W1324" s="21"/>
      <c r="X1324" s="21"/>
      <c r="Y1324" s="21"/>
      <c r="Z1324" s="21"/>
      <c r="AA1324" s="21"/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W1324" s="296"/>
      <c r="CY1324" s="296"/>
    </row>
    <row r="1325" spans="3:103" s="19" customFormat="1" ht="12">
      <c r="C1325" s="21"/>
      <c r="D1325" s="21"/>
      <c r="E1325" s="21"/>
      <c r="F1325" s="21"/>
      <c r="G1325" s="21"/>
      <c r="H1325" s="21"/>
      <c r="I1325" s="21"/>
      <c r="J1325" s="21"/>
      <c r="K1325" s="21"/>
      <c r="L1325" s="21"/>
      <c r="M1325" s="21"/>
      <c r="N1325" s="21"/>
      <c r="O1325" s="21"/>
      <c r="P1325" s="21"/>
      <c r="Q1325" s="21"/>
      <c r="R1325" s="21"/>
      <c r="S1325" s="21"/>
      <c r="T1325" s="21"/>
      <c r="U1325" s="21"/>
      <c r="V1325" s="21"/>
      <c r="W1325" s="21"/>
      <c r="X1325" s="21"/>
      <c r="Y1325" s="21"/>
      <c r="Z1325" s="21"/>
      <c r="AA1325" s="21"/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W1325" s="296"/>
      <c r="CY1325" s="296"/>
    </row>
    <row r="1326" spans="3:103" s="19" customFormat="1" ht="12">
      <c r="C1326" s="21"/>
      <c r="D1326" s="21"/>
      <c r="E1326" s="21"/>
      <c r="F1326" s="21"/>
      <c r="G1326" s="21"/>
      <c r="H1326" s="21"/>
      <c r="I1326" s="21"/>
      <c r="J1326" s="21"/>
      <c r="K1326" s="21"/>
      <c r="L1326" s="21"/>
      <c r="M1326" s="21"/>
      <c r="N1326" s="21"/>
      <c r="O1326" s="21"/>
      <c r="P1326" s="21"/>
      <c r="Q1326" s="21"/>
      <c r="R1326" s="21"/>
      <c r="S1326" s="21"/>
      <c r="T1326" s="21"/>
      <c r="U1326" s="21"/>
      <c r="V1326" s="21"/>
      <c r="W1326" s="21"/>
      <c r="X1326" s="21"/>
      <c r="Y1326" s="21"/>
      <c r="Z1326" s="21"/>
      <c r="AA1326" s="21"/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W1326" s="296"/>
      <c r="CY1326" s="296"/>
    </row>
    <row r="1327" spans="3:103" s="19" customFormat="1" ht="12">
      <c r="C1327" s="21"/>
      <c r="D1327" s="21"/>
      <c r="E1327" s="21"/>
      <c r="F1327" s="21"/>
      <c r="G1327" s="21"/>
      <c r="H1327" s="21"/>
      <c r="I1327" s="21"/>
      <c r="J1327" s="21"/>
      <c r="K1327" s="21"/>
      <c r="L1327" s="21"/>
      <c r="M1327" s="21"/>
      <c r="N1327" s="21"/>
      <c r="O1327" s="21"/>
      <c r="P1327" s="21"/>
      <c r="Q1327" s="21"/>
      <c r="R1327" s="21"/>
      <c r="S1327" s="21"/>
      <c r="T1327" s="21"/>
      <c r="U1327" s="21"/>
      <c r="V1327" s="21"/>
      <c r="W1327" s="21"/>
      <c r="X1327" s="21"/>
      <c r="Y1327" s="21"/>
      <c r="Z1327" s="21"/>
      <c r="AA1327" s="21"/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W1327" s="296"/>
      <c r="CY1327" s="296"/>
    </row>
    <row r="1328" spans="3:103" s="19" customFormat="1" ht="12">
      <c r="C1328" s="21"/>
      <c r="D1328" s="21"/>
      <c r="E1328" s="21"/>
      <c r="F1328" s="21"/>
      <c r="G1328" s="21"/>
      <c r="H1328" s="21"/>
      <c r="I1328" s="21"/>
      <c r="J1328" s="21"/>
      <c r="K1328" s="21"/>
      <c r="L1328" s="21"/>
      <c r="M1328" s="21"/>
      <c r="N1328" s="21"/>
      <c r="O1328" s="21"/>
      <c r="P1328" s="21"/>
      <c r="Q1328" s="21"/>
      <c r="R1328" s="21"/>
      <c r="S1328" s="21"/>
      <c r="T1328" s="21"/>
      <c r="U1328" s="21"/>
      <c r="V1328" s="21"/>
      <c r="W1328" s="21"/>
      <c r="X1328" s="21"/>
      <c r="Y1328" s="21"/>
      <c r="Z1328" s="21"/>
      <c r="AA1328" s="21"/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W1328" s="296"/>
      <c r="CY1328" s="296"/>
    </row>
    <row r="1329" spans="3:103" s="19" customFormat="1" ht="12">
      <c r="C1329" s="21"/>
      <c r="D1329" s="21"/>
      <c r="E1329" s="21"/>
      <c r="F1329" s="21"/>
      <c r="G1329" s="21"/>
      <c r="H1329" s="21"/>
      <c r="I1329" s="21"/>
      <c r="J1329" s="21"/>
      <c r="K1329" s="21"/>
      <c r="L1329" s="21"/>
      <c r="M1329" s="21"/>
      <c r="N1329" s="21"/>
      <c r="O1329" s="21"/>
      <c r="P1329" s="21"/>
      <c r="Q1329" s="21"/>
      <c r="R1329" s="21"/>
      <c r="S1329" s="21"/>
      <c r="T1329" s="21"/>
      <c r="U1329" s="21"/>
      <c r="V1329" s="21"/>
      <c r="W1329" s="21"/>
      <c r="X1329" s="21"/>
      <c r="Y1329" s="21"/>
      <c r="Z1329" s="21"/>
      <c r="AA1329" s="21"/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W1329" s="296"/>
      <c r="CY1329" s="296"/>
    </row>
    <row r="1330" spans="3:103" s="19" customFormat="1" ht="12">
      <c r="C1330" s="21"/>
      <c r="D1330" s="21"/>
      <c r="E1330" s="21"/>
      <c r="F1330" s="21"/>
      <c r="G1330" s="21"/>
      <c r="H1330" s="21"/>
      <c r="I1330" s="21"/>
      <c r="J1330" s="21"/>
      <c r="K1330" s="21"/>
      <c r="L1330" s="21"/>
      <c r="M1330" s="21"/>
      <c r="N1330" s="21"/>
      <c r="O1330" s="21"/>
      <c r="P1330" s="21"/>
      <c r="Q1330" s="21"/>
      <c r="R1330" s="21"/>
      <c r="S1330" s="21"/>
      <c r="T1330" s="21"/>
      <c r="U1330" s="21"/>
      <c r="V1330" s="21"/>
      <c r="W1330" s="21"/>
      <c r="X1330" s="21"/>
      <c r="Y1330" s="21"/>
      <c r="Z1330" s="21"/>
      <c r="AA1330" s="21"/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W1330" s="296"/>
      <c r="CY1330" s="296"/>
    </row>
    <row r="1331" spans="3:103" s="19" customFormat="1" ht="12">
      <c r="C1331" s="21"/>
      <c r="D1331" s="21"/>
      <c r="E1331" s="21"/>
      <c r="F1331" s="21"/>
      <c r="G1331" s="21"/>
      <c r="H1331" s="21"/>
      <c r="I1331" s="21"/>
      <c r="J1331" s="21"/>
      <c r="K1331" s="21"/>
      <c r="L1331" s="21"/>
      <c r="M1331" s="21"/>
      <c r="N1331" s="21"/>
      <c r="O1331" s="21"/>
      <c r="P1331" s="21"/>
      <c r="Q1331" s="21"/>
      <c r="R1331" s="21"/>
      <c r="S1331" s="21"/>
      <c r="T1331" s="21"/>
      <c r="U1331" s="21"/>
      <c r="V1331" s="21"/>
      <c r="W1331" s="21"/>
      <c r="X1331" s="21"/>
      <c r="Y1331" s="21"/>
      <c r="Z1331" s="21"/>
      <c r="AA1331" s="21"/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W1331" s="296"/>
      <c r="CY1331" s="296"/>
    </row>
    <row r="1332" spans="3:103" s="19" customFormat="1" ht="12">
      <c r="C1332" s="21"/>
      <c r="D1332" s="21"/>
      <c r="E1332" s="21"/>
      <c r="F1332" s="21"/>
      <c r="G1332" s="21"/>
      <c r="H1332" s="21"/>
      <c r="I1332" s="21"/>
      <c r="J1332" s="21"/>
      <c r="K1332" s="21"/>
      <c r="L1332" s="21"/>
      <c r="M1332" s="21"/>
      <c r="N1332" s="21"/>
      <c r="O1332" s="21"/>
      <c r="P1332" s="21"/>
      <c r="Q1332" s="21"/>
      <c r="R1332" s="21"/>
      <c r="S1332" s="21"/>
      <c r="T1332" s="21"/>
      <c r="U1332" s="21"/>
      <c r="V1332" s="21"/>
      <c r="W1332" s="21"/>
      <c r="X1332" s="21"/>
      <c r="Y1332" s="21"/>
      <c r="Z1332" s="21"/>
      <c r="AA1332" s="21"/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W1332" s="296"/>
      <c r="CY1332" s="296"/>
    </row>
    <row r="1333" spans="3:103" s="19" customFormat="1" ht="12">
      <c r="C1333" s="21"/>
      <c r="D1333" s="21"/>
      <c r="E1333" s="21"/>
      <c r="F1333" s="21"/>
      <c r="G1333" s="21"/>
      <c r="H1333" s="21"/>
      <c r="I1333" s="21"/>
      <c r="J1333" s="21"/>
      <c r="K1333" s="21"/>
      <c r="L1333" s="21"/>
      <c r="M1333" s="21"/>
      <c r="N1333" s="21"/>
      <c r="O1333" s="21"/>
      <c r="P1333" s="21"/>
      <c r="Q1333" s="21"/>
      <c r="R1333" s="21"/>
      <c r="S1333" s="21"/>
      <c r="T1333" s="21"/>
      <c r="U1333" s="21"/>
      <c r="V1333" s="21"/>
      <c r="W1333" s="21"/>
      <c r="X1333" s="21"/>
      <c r="Y1333" s="21"/>
      <c r="Z1333" s="21"/>
      <c r="AA1333" s="21"/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W1333" s="296"/>
      <c r="CY1333" s="296"/>
    </row>
    <row r="1334" spans="3:103" s="19" customFormat="1" ht="12">
      <c r="C1334" s="21"/>
      <c r="D1334" s="21"/>
      <c r="E1334" s="21"/>
      <c r="F1334" s="21"/>
      <c r="G1334" s="21"/>
      <c r="H1334" s="21"/>
      <c r="I1334" s="21"/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W1334" s="296"/>
      <c r="CY1334" s="296"/>
    </row>
    <row r="1335" spans="3:103" s="19" customFormat="1" ht="12">
      <c r="C1335" s="21"/>
      <c r="D1335" s="21"/>
      <c r="E1335" s="21"/>
      <c r="F1335" s="21"/>
      <c r="G1335" s="21"/>
      <c r="H1335" s="21"/>
      <c r="I1335" s="21"/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W1335" s="296"/>
      <c r="CY1335" s="296"/>
    </row>
    <row r="1336" spans="3:103" s="19" customFormat="1" ht="12">
      <c r="C1336" s="21"/>
      <c r="D1336" s="21"/>
      <c r="E1336" s="21"/>
      <c r="F1336" s="21"/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W1336" s="296"/>
      <c r="CY1336" s="296"/>
    </row>
    <row r="1337" spans="3:103" s="19" customFormat="1" ht="12">
      <c r="C1337" s="21"/>
      <c r="D1337" s="21"/>
      <c r="E1337" s="21"/>
      <c r="F1337" s="21"/>
      <c r="G1337" s="21"/>
      <c r="H1337" s="21"/>
      <c r="I1337" s="21"/>
      <c r="J1337" s="21"/>
      <c r="K1337" s="21"/>
      <c r="L1337" s="21"/>
      <c r="M1337" s="21"/>
      <c r="N1337" s="21"/>
      <c r="O1337" s="21"/>
      <c r="P1337" s="21"/>
      <c r="Q1337" s="21"/>
      <c r="R1337" s="21"/>
      <c r="S1337" s="21"/>
      <c r="T1337" s="21"/>
      <c r="U1337" s="21"/>
      <c r="V1337" s="21"/>
      <c r="W1337" s="21"/>
      <c r="X1337" s="21"/>
      <c r="Y1337" s="21"/>
      <c r="Z1337" s="21"/>
      <c r="AA1337" s="21"/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W1337" s="296"/>
      <c r="CY1337" s="296"/>
    </row>
    <row r="1338" spans="3:103" s="19" customFormat="1" ht="12">
      <c r="C1338" s="21"/>
      <c r="D1338" s="21"/>
      <c r="E1338" s="21"/>
      <c r="F1338" s="21"/>
      <c r="G1338" s="21"/>
      <c r="H1338" s="21"/>
      <c r="I1338" s="21"/>
      <c r="J1338" s="21"/>
      <c r="K1338" s="21"/>
      <c r="L1338" s="21"/>
      <c r="M1338" s="21"/>
      <c r="N1338" s="21"/>
      <c r="O1338" s="21"/>
      <c r="P1338" s="21"/>
      <c r="Q1338" s="21"/>
      <c r="R1338" s="21"/>
      <c r="S1338" s="21"/>
      <c r="T1338" s="21"/>
      <c r="U1338" s="21"/>
      <c r="V1338" s="21"/>
      <c r="W1338" s="21"/>
      <c r="X1338" s="21"/>
      <c r="Y1338" s="21"/>
      <c r="Z1338" s="21"/>
      <c r="AA1338" s="21"/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W1338" s="296"/>
      <c r="CY1338" s="296"/>
    </row>
    <row r="1339" spans="3:103" s="19" customFormat="1" ht="12">
      <c r="C1339" s="21"/>
      <c r="D1339" s="21"/>
      <c r="E1339" s="21"/>
      <c r="F1339" s="21"/>
      <c r="G1339" s="21"/>
      <c r="H1339" s="21"/>
      <c r="I1339" s="21"/>
      <c r="J1339" s="21"/>
      <c r="K1339" s="21"/>
      <c r="L1339" s="21"/>
      <c r="M1339" s="21"/>
      <c r="N1339" s="21"/>
      <c r="O1339" s="21"/>
      <c r="P1339" s="21"/>
      <c r="Q1339" s="21"/>
      <c r="R1339" s="21"/>
      <c r="S1339" s="21"/>
      <c r="T1339" s="21"/>
      <c r="U1339" s="21"/>
      <c r="V1339" s="21"/>
      <c r="W1339" s="21"/>
      <c r="X1339" s="21"/>
      <c r="Y1339" s="21"/>
      <c r="Z1339" s="21"/>
      <c r="AA1339" s="21"/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W1339" s="296"/>
      <c r="CY1339" s="296"/>
    </row>
    <row r="1340" spans="3:103" s="19" customFormat="1" ht="12">
      <c r="C1340" s="21"/>
      <c r="D1340" s="21"/>
      <c r="E1340" s="21"/>
      <c r="F1340" s="21"/>
      <c r="G1340" s="21"/>
      <c r="H1340" s="21"/>
      <c r="I1340" s="21"/>
      <c r="J1340" s="21"/>
      <c r="K1340" s="21"/>
      <c r="L1340" s="21"/>
      <c r="M1340" s="21"/>
      <c r="N1340" s="21"/>
      <c r="O1340" s="21"/>
      <c r="P1340" s="21"/>
      <c r="Q1340" s="21"/>
      <c r="R1340" s="21"/>
      <c r="S1340" s="21"/>
      <c r="T1340" s="21"/>
      <c r="U1340" s="21"/>
      <c r="V1340" s="21"/>
      <c r="W1340" s="21"/>
      <c r="X1340" s="21"/>
      <c r="Y1340" s="21"/>
      <c r="Z1340" s="21"/>
      <c r="AA1340" s="21"/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W1340" s="296"/>
      <c r="CY1340" s="296"/>
    </row>
    <row r="1341" spans="3:103" s="19" customFormat="1" ht="12">
      <c r="C1341" s="21"/>
      <c r="D1341" s="21"/>
      <c r="E1341" s="21"/>
      <c r="F1341" s="21"/>
      <c r="G1341" s="21"/>
      <c r="H1341" s="21"/>
      <c r="I1341" s="21"/>
      <c r="J1341" s="21"/>
      <c r="K1341" s="21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W1341" s="296"/>
      <c r="CY1341" s="296"/>
    </row>
    <row r="1342" spans="3:103" s="19" customFormat="1" ht="12">
      <c r="C1342" s="21"/>
      <c r="D1342" s="21"/>
      <c r="E1342" s="21"/>
      <c r="F1342" s="21"/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W1342" s="296"/>
      <c r="CY1342" s="296"/>
    </row>
    <row r="1343" spans="3:103" s="19" customFormat="1" ht="12">
      <c r="C1343" s="21"/>
      <c r="D1343" s="21"/>
      <c r="E1343" s="21"/>
      <c r="F1343" s="21"/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W1343" s="296"/>
      <c r="CY1343" s="296"/>
    </row>
    <row r="1344" spans="3:103" s="19" customFormat="1" ht="12">
      <c r="C1344" s="21"/>
      <c r="D1344" s="21"/>
      <c r="E1344" s="21"/>
      <c r="F1344" s="21"/>
      <c r="G1344" s="21"/>
      <c r="H1344" s="21"/>
      <c r="I1344" s="21"/>
      <c r="J1344" s="21"/>
      <c r="K1344" s="21"/>
      <c r="L1344" s="21"/>
      <c r="M1344" s="21"/>
      <c r="N1344" s="21"/>
      <c r="O1344" s="21"/>
      <c r="P1344" s="21"/>
      <c r="Q1344" s="21"/>
      <c r="R1344" s="21"/>
      <c r="S1344" s="21"/>
      <c r="T1344" s="21"/>
      <c r="U1344" s="21"/>
      <c r="V1344" s="21"/>
      <c r="W1344" s="21"/>
      <c r="X1344" s="21"/>
      <c r="Y1344" s="21"/>
      <c r="Z1344" s="21"/>
      <c r="AA1344" s="21"/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W1344" s="296"/>
      <c r="CY1344" s="296"/>
    </row>
    <row r="1345" spans="3:103" s="19" customFormat="1" ht="12">
      <c r="C1345" s="21"/>
      <c r="D1345" s="21"/>
      <c r="E1345" s="21"/>
      <c r="F1345" s="21"/>
      <c r="G1345" s="21"/>
      <c r="H1345" s="21"/>
      <c r="I1345" s="21"/>
      <c r="J1345" s="21"/>
      <c r="K1345" s="21"/>
      <c r="L1345" s="21"/>
      <c r="M1345" s="21"/>
      <c r="N1345" s="21"/>
      <c r="O1345" s="21"/>
      <c r="P1345" s="21"/>
      <c r="Q1345" s="21"/>
      <c r="R1345" s="21"/>
      <c r="S1345" s="21"/>
      <c r="T1345" s="21"/>
      <c r="U1345" s="21"/>
      <c r="V1345" s="21"/>
      <c r="W1345" s="21"/>
      <c r="X1345" s="21"/>
      <c r="Y1345" s="21"/>
      <c r="Z1345" s="21"/>
      <c r="AA1345" s="21"/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W1345" s="296"/>
      <c r="CY1345" s="296"/>
    </row>
    <row r="1346" spans="3:103" s="19" customFormat="1" ht="12">
      <c r="C1346" s="21"/>
      <c r="D1346" s="21"/>
      <c r="E1346" s="21"/>
      <c r="F1346" s="21"/>
      <c r="G1346" s="21"/>
      <c r="H1346" s="21"/>
      <c r="I1346" s="21"/>
      <c r="J1346" s="21"/>
      <c r="K1346" s="21"/>
      <c r="L1346" s="21"/>
      <c r="M1346" s="21"/>
      <c r="N1346" s="21"/>
      <c r="O1346" s="21"/>
      <c r="P1346" s="21"/>
      <c r="Q1346" s="21"/>
      <c r="R1346" s="21"/>
      <c r="S1346" s="21"/>
      <c r="T1346" s="21"/>
      <c r="U1346" s="21"/>
      <c r="V1346" s="21"/>
      <c r="W1346" s="21"/>
      <c r="X1346" s="21"/>
      <c r="Y1346" s="21"/>
      <c r="Z1346" s="21"/>
      <c r="AA1346" s="21"/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W1346" s="296"/>
      <c r="CY1346" s="296"/>
    </row>
    <row r="1347" spans="3:103" s="19" customFormat="1" ht="12">
      <c r="C1347" s="21"/>
      <c r="D1347" s="21"/>
      <c r="E1347" s="21"/>
      <c r="F1347" s="21"/>
      <c r="G1347" s="21"/>
      <c r="H1347" s="21"/>
      <c r="I1347" s="21"/>
      <c r="J1347" s="21"/>
      <c r="K1347" s="21"/>
      <c r="L1347" s="21"/>
      <c r="M1347" s="21"/>
      <c r="N1347" s="21"/>
      <c r="O1347" s="21"/>
      <c r="P1347" s="21"/>
      <c r="Q1347" s="21"/>
      <c r="R1347" s="21"/>
      <c r="S1347" s="21"/>
      <c r="T1347" s="21"/>
      <c r="U1347" s="21"/>
      <c r="V1347" s="21"/>
      <c r="W1347" s="21"/>
      <c r="X1347" s="21"/>
      <c r="Y1347" s="21"/>
      <c r="Z1347" s="21"/>
      <c r="AA1347" s="21"/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W1347" s="296"/>
      <c r="CY1347" s="296"/>
    </row>
    <row r="1348" spans="3:103" s="19" customFormat="1" ht="12">
      <c r="C1348" s="21"/>
      <c r="D1348" s="21"/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W1348" s="296"/>
      <c r="CY1348" s="296"/>
    </row>
    <row r="1349" spans="3:103" s="19" customFormat="1" ht="12">
      <c r="C1349" s="21"/>
      <c r="D1349" s="21"/>
      <c r="E1349" s="21"/>
      <c r="F1349" s="21"/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W1349" s="296"/>
      <c r="CY1349" s="296"/>
    </row>
    <row r="1350" spans="3:103" s="19" customFormat="1" ht="12">
      <c r="C1350" s="21"/>
      <c r="D1350" s="21"/>
      <c r="E1350" s="21"/>
      <c r="F1350" s="21"/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W1350" s="296"/>
      <c r="CY1350" s="296"/>
    </row>
    <row r="1351" spans="3:103" s="19" customFormat="1" ht="12">
      <c r="C1351" s="21"/>
      <c r="D1351" s="21"/>
      <c r="E1351" s="21"/>
      <c r="F1351" s="21"/>
      <c r="G1351" s="21"/>
      <c r="H1351" s="21"/>
      <c r="I1351" s="21"/>
      <c r="J1351" s="21"/>
      <c r="K1351" s="21"/>
      <c r="L1351" s="21"/>
      <c r="M1351" s="21"/>
      <c r="N1351" s="21"/>
      <c r="O1351" s="21"/>
      <c r="P1351" s="21"/>
      <c r="Q1351" s="21"/>
      <c r="R1351" s="21"/>
      <c r="S1351" s="21"/>
      <c r="T1351" s="21"/>
      <c r="U1351" s="21"/>
      <c r="V1351" s="21"/>
      <c r="W1351" s="21"/>
      <c r="X1351" s="21"/>
      <c r="Y1351" s="21"/>
      <c r="Z1351" s="21"/>
      <c r="AA1351" s="21"/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W1351" s="296"/>
      <c r="CY1351" s="296"/>
    </row>
    <row r="1352" spans="3:103" s="19" customFormat="1" ht="12">
      <c r="C1352" s="21"/>
      <c r="D1352" s="21"/>
      <c r="E1352" s="2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P1352" s="21"/>
      <c r="Q1352" s="21"/>
      <c r="R1352" s="21"/>
      <c r="S1352" s="21"/>
      <c r="T1352" s="21"/>
      <c r="U1352" s="21"/>
      <c r="V1352" s="21"/>
      <c r="W1352" s="21"/>
      <c r="X1352" s="21"/>
      <c r="Y1352" s="21"/>
      <c r="Z1352" s="21"/>
      <c r="AA1352" s="21"/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W1352" s="296"/>
      <c r="CY1352" s="296"/>
    </row>
    <row r="1353" spans="3:103" s="19" customFormat="1" ht="12">
      <c r="C1353" s="21"/>
      <c r="D1353" s="21"/>
      <c r="E1353" s="21"/>
      <c r="F1353" s="21"/>
      <c r="G1353" s="21"/>
      <c r="H1353" s="21"/>
      <c r="I1353" s="21"/>
      <c r="J1353" s="21"/>
      <c r="K1353" s="21"/>
      <c r="L1353" s="21"/>
      <c r="M1353" s="21"/>
      <c r="N1353" s="21"/>
      <c r="O1353" s="21"/>
      <c r="P1353" s="21"/>
      <c r="Q1353" s="21"/>
      <c r="R1353" s="21"/>
      <c r="S1353" s="21"/>
      <c r="T1353" s="21"/>
      <c r="U1353" s="21"/>
      <c r="V1353" s="21"/>
      <c r="W1353" s="21"/>
      <c r="X1353" s="21"/>
      <c r="Y1353" s="21"/>
      <c r="Z1353" s="21"/>
      <c r="AA1353" s="21"/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W1353" s="296"/>
      <c r="CY1353" s="296"/>
    </row>
    <row r="1354" spans="3:103" s="19" customFormat="1" ht="12">
      <c r="C1354" s="21"/>
      <c r="D1354" s="21"/>
      <c r="E1354" s="21"/>
      <c r="F1354" s="21"/>
      <c r="G1354" s="21"/>
      <c r="H1354" s="21"/>
      <c r="I1354" s="21"/>
      <c r="J1354" s="21"/>
      <c r="K1354" s="21"/>
      <c r="L1354" s="21"/>
      <c r="M1354" s="21"/>
      <c r="N1354" s="21"/>
      <c r="O1354" s="21"/>
      <c r="P1354" s="21"/>
      <c r="Q1354" s="21"/>
      <c r="R1354" s="21"/>
      <c r="S1354" s="21"/>
      <c r="T1354" s="21"/>
      <c r="U1354" s="21"/>
      <c r="V1354" s="21"/>
      <c r="W1354" s="21"/>
      <c r="X1354" s="21"/>
      <c r="Y1354" s="21"/>
      <c r="Z1354" s="21"/>
      <c r="AA1354" s="21"/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W1354" s="296"/>
      <c r="CY1354" s="296"/>
    </row>
    <row r="1355" spans="3:103" s="19" customFormat="1" ht="12">
      <c r="C1355" s="21"/>
      <c r="D1355" s="21"/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W1355" s="296"/>
      <c r="CY1355" s="296"/>
    </row>
    <row r="1356" spans="3:103" s="19" customFormat="1" ht="12">
      <c r="C1356" s="21"/>
      <c r="D1356" s="21"/>
      <c r="E1356" s="21"/>
      <c r="F1356" s="21"/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W1356" s="296"/>
      <c r="CY1356" s="296"/>
    </row>
    <row r="1357" spans="3:103" s="19" customFormat="1" ht="12">
      <c r="C1357" s="21"/>
      <c r="D1357" s="21"/>
      <c r="E1357" s="21"/>
      <c r="F1357" s="21"/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W1357" s="296"/>
      <c r="CY1357" s="296"/>
    </row>
    <row r="1358" spans="3:103" s="19" customFormat="1" ht="12">
      <c r="C1358" s="21"/>
      <c r="D1358" s="21"/>
      <c r="E1358" s="21"/>
      <c r="F1358" s="21"/>
      <c r="G1358" s="21"/>
      <c r="H1358" s="21"/>
      <c r="I1358" s="21"/>
      <c r="J1358" s="21"/>
      <c r="K1358" s="21"/>
      <c r="L1358" s="21"/>
      <c r="M1358" s="21"/>
      <c r="N1358" s="21"/>
      <c r="O1358" s="21"/>
      <c r="P1358" s="21"/>
      <c r="Q1358" s="21"/>
      <c r="R1358" s="21"/>
      <c r="S1358" s="21"/>
      <c r="T1358" s="21"/>
      <c r="U1358" s="21"/>
      <c r="V1358" s="21"/>
      <c r="W1358" s="21"/>
      <c r="X1358" s="21"/>
      <c r="Y1358" s="21"/>
      <c r="Z1358" s="21"/>
      <c r="AA1358" s="21"/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W1358" s="296"/>
      <c r="CY1358" s="296"/>
    </row>
    <row r="1359" spans="3:103" s="19" customFormat="1" ht="12">
      <c r="C1359" s="21"/>
      <c r="D1359" s="21"/>
      <c r="E1359" s="21"/>
      <c r="F1359" s="21"/>
      <c r="G1359" s="21"/>
      <c r="H1359" s="21"/>
      <c r="I1359" s="21"/>
      <c r="J1359" s="21"/>
      <c r="K1359" s="21"/>
      <c r="L1359" s="21"/>
      <c r="M1359" s="21"/>
      <c r="N1359" s="21"/>
      <c r="O1359" s="21"/>
      <c r="P1359" s="21"/>
      <c r="Q1359" s="21"/>
      <c r="R1359" s="21"/>
      <c r="S1359" s="21"/>
      <c r="T1359" s="21"/>
      <c r="U1359" s="21"/>
      <c r="V1359" s="21"/>
      <c r="W1359" s="21"/>
      <c r="X1359" s="21"/>
      <c r="Y1359" s="21"/>
      <c r="Z1359" s="21"/>
      <c r="AA1359" s="21"/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W1359" s="296"/>
      <c r="CY1359" s="296"/>
    </row>
    <row r="1360" spans="3:103" s="19" customFormat="1" ht="12">
      <c r="C1360" s="21"/>
      <c r="D1360" s="21"/>
      <c r="E1360" s="21"/>
      <c r="F1360" s="21"/>
      <c r="G1360" s="21"/>
      <c r="H1360" s="21"/>
      <c r="I1360" s="21"/>
      <c r="J1360" s="21"/>
      <c r="K1360" s="21"/>
      <c r="L1360" s="21"/>
      <c r="M1360" s="21"/>
      <c r="N1360" s="21"/>
      <c r="O1360" s="21"/>
      <c r="P1360" s="21"/>
      <c r="Q1360" s="21"/>
      <c r="R1360" s="21"/>
      <c r="S1360" s="21"/>
      <c r="T1360" s="21"/>
      <c r="U1360" s="21"/>
      <c r="V1360" s="21"/>
      <c r="W1360" s="21"/>
      <c r="X1360" s="21"/>
      <c r="Y1360" s="21"/>
      <c r="Z1360" s="21"/>
      <c r="AA1360" s="21"/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W1360" s="296"/>
      <c r="CY1360" s="296"/>
    </row>
    <row r="1361" spans="3:103" s="19" customFormat="1" ht="12">
      <c r="C1361" s="21"/>
      <c r="D1361" s="21"/>
      <c r="E1361" s="21"/>
      <c r="F1361" s="21"/>
      <c r="G1361" s="21"/>
      <c r="H1361" s="21"/>
      <c r="I1361" s="21"/>
      <c r="J1361" s="21"/>
      <c r="K1361" s="21"/>
      <c r="L1361" s="21"/>
      <c r="M1361" s="21"/>
      <c r="N1361" s="21"/>
      <c r="O1361" s="21"/>
      <c r="P1361" s="21"/>
      <c r="Q1361" s="21"/>
      <c r="R1361" s="21"/>
      <c r="S1361" s="21"/>
      <c r="T1361" s="21"/>
      <c r="U1361" s="21"/>
      <c r="V1361" s="21"/>
      <c r="W1361" s="21"/>
      <c r="X1361" s="21"/>
      <c r="Y1361" s="21"/>
      <c r="Z1361" s="21"/>
      <c r="AA1361" s="21"/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W1361" s="296"/>
      <c r="CY1361" s="296"/>
    </row>
    <row r="1362" spans="3:103" s="19" customFormat="1" ht="12">
      <c r="C1362" s="21"/>
      <c r="D1362" s="21"/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W1362" s="296"/>
      <c r="CY1362" s="296"/>
    </row>
    <row r="1363" spans="3:103" s="19" customFormat="1" ht="12">
      <c r="C1363" s="21"/>
      <c r="D1363" s="21"/>
      <c r="E1363" s="21"/>
      <c r="F1363" s="21"/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W1363" s="296"/>
      <c r="CY1363" s="296"/>
    </row>
    <row r="1364" spans="3:103" s="19" customFormat="1" ht="12">
      <c r="C1364" s="21"/>
      <c r="D1364" s="21"/>
      <c r="E1364" s="21"/>
      <c r="F1364" s="21"/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W1364" s="296"/>
      <c r="CY1364" s="296"/>
    </row>
    <row r="1365" spans="3:103" s="19" customFormat="1" ht="12">
      <c r="C1365" s="21"/>
      <c r="D1365" s="21"/>
      <c r="E1365" s="21"/>
      <c r="F1365" s="21"/>
      <c r="G1365" s="21"/>
      <c r="H1365" s="21"/>
      <c r="I1365" s="21"/>
      <c r="J1365" s="21"/>
      <c r="K1365" s="21"/>
      <c r="L1365" s="21"/>
      <c r="M1365" s="21"/>
      <c r="N1365" s="21"/>
      <c r="O1365" s="21"/>
      <c r="P1365" s="21"/>
      <c r="Q1365" s="21"/>
      <c r="R1365" s="21"/>
      <c r="S1365" s="21"/>
      <c r="T1365" s="21"/>
      <c r="U1365" s="21"/>
      <c r="V1365" s="21"/>
      <c r="W1365" s="21"/>
      <c r="X1365" s="21"/>
      <c r="Y1365" s="21"/>
      <c r="Z1365" s="21"/>
      <c r="AA1365" s="21"/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W1365" s="296"/>
      <c r="CY1365" s="296"/>
    </row>
    <row r="1366" spans="3:103" s="19" customFormat="1" ht="12">
      <c r="C1366" s="21"/>
      <c r="D1366" s="21"/>
      <c r="E1366" s="21"/>
      <c r="F1366" s="21"/>
      <c r="G1366" s="21"/>
      <c r="H1366" s="21"/>
      <c r="I1366" s="21"/>
      <c r="J1366" s="21"/>
      <c r="K1366" s="21"/>
      <c r="L1366" s="21"/>
      <c r="M1366" s="21"/>
      <c r="N1366" s="21"/>
      <c r="O1366" s="21"/>
      <c r="P1366" s="21"/>
      <c r="Q1366" s="21"/>
      <c r="R1366" s="21"/>
      <c r="S1366" s="21"/>
      <c r="T1366" s="21"/>
      <c r="U1366" s="21"/>
      <c r="V1366" s="21"/>
      <c r="W1366" s="21"/>
      <c r="X1366" s="21"/>
      <c r="Y1366" s="21"/>
      <c r="Z1366" s="21"/>
      <c r="AA1366" s="21"/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W1366" s="296"/>
      <c r="CY1366" s="296"/>
    </row>
    <row r="1367" spans="3:103" s="19" customFormat="1" ht="12">
      <c r="C1367" s="21"/>
      <c r="D1367" s="21"/>
      <c r="E1367" s="21"/>
      <c r="F1367" s="21"/>
      <c r="G1367" s="21"/>
      <c r="H1367" s="21"/>
      <c r="I1367" s="21"/>
      <c r="J1367" s="21"/>
      <c r="K1367" s="21"/>
      <c r="L1367" s="21"/>
      <c r="M1367" s="21"/>
      <c r="N1367" s="21"/>
      <c r="O1367" s="21"/>
      <c r="P1367" s="21"/>
      <c r="Q1367" s="21"/>
      <c r="R1367" s="21"/>
      <c r="S1367" s="21"/>
      <c r="T1367" s="21"/>
      <c r="U1367" s="21"/>
      <c r="V1367" s="21"/>
      <c r="W1367" s="21"/>
      <c r="X1367" s="21"/>
      <c r="Y1367" s="21"/>
      <c r="Z1367" s="21"/>
      <c r="AA1367" s="21"/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W1367" s="296"/>
      <c r="CY1367" s="296"/>
    </row>
    <row r="1368" spans="3:103" s="19" customFormat="1" ht="12">
      <c r="C1368" s="21"/>
      <c r="D1368" s="21"/>
      <c r="E1368" s="21"/>
      <c r="F1368" s="21"/>
      <c r="G1368" s="21"/>
      <c r="H1368" s="21"/>
      <c r="I1368" s="21"/>
      <c r="J1368" s="21"/>
      <c r="K1368" s="21"/>
      <c r="L1368" s="21"/>
      <c r="M1368" s="21"/>
      <c r="N1368" s="21"/>
      <c r="O1368" s="21"/>
      <c r="P1368" s="21"/>
      <c r="Q1368" s="21"/>
      <c r="R1368" s="21"/>
      <c r="S1368" s="21"/>
      <c r="T1368" s="21"/>
      <c r="U1368" s="21"/>
      <c r="V1368" s="21"/>
      <c r="W1368" s="21"/>
      <c r="X1368" s="21"/>
      <c r="Y1368" s="21"/>
      <c r="Z1368" s="21"/>
      <c r="AA1368" s="21"/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W1368" s="296"/>
      <c r="CY1368" s="296"/>
    </row>
    <row r="1369" spans="3:103" s="19" customFormat="1" ht="12">
      <c r="C1369" s="21"/>
      <c r="D1369" s="21"/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W1369" s="296"/>
      <c r="CY1369" s="296"/>
    </row>
    <row r="1370" spans="3:103" s="19" customFormat="1" ht="12">
      <c r="C1370" s="21"/>
      <c r="D1370" s="21"/>
      <c r="E1370" s="21"/>
      <c r="F1370" s="21"/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W1370" s="296"/>
      <c r="CY1370" s="296"/>
    </row>
    <row r="1371" spans="3:103" s="19" customFormat="1" ht="12">
      <c r="C1371" s="21"/>
      <c r="D1371" s="21"/>
      <c r="E1371" s="21"/>
      <c r="F1371" s="21"/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W1371" s="296"/>
      <c r="CY1371" s="296"/>
    </row>
    <row r="1372" spans="3:103" s="19" customFormat="1" ht="12">
      <c r="C1372" s="21"/>
      <c r="D1372" s="21"/>
      <c r="E1372" s="2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P1372" s="21"/>
      <c r="Q1372" s="21"/>
      <c r="R1372" s="21"/>
      <c r="S1372" s="21"/>
      <c r="T1372" s="21"/>
      <c r="U1372" s="21"/>
      <c r="V1372" s="21"/>
      <c r="W1372" s="21"/>
      <c r="X1372" s="21"/>
      <c r="Y1372" s="21"/>
      <c r="Z1372" s="21"/>
      <c r="AA1372" s="21"/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W1372" s="296"/>
      <c r="CY1372" s="296"/>
    </row>
    <row r="1373" spans="3:103" s="19" customFormat="1" ht="12">
      <c r="C1373" s="21"/>
      <c r="D1373" s="21"/>
      <c r="E1373" s="21"/>
      <c r="F1373" s="21"/>
      <c r="G1373" s="21"/>
      <c r="H1373" s="21"/>
      <c r="I1373" s="21"/>
      <c r="J1373" s="21"/>
      <c r="K1373" s="21"/>
      <c r="L1373" s="21"/>
      <c r="M1373" s="21"/>
      <c r="N1373" s="21"/>
      <c r="O1373" s="21"/>
      <c r="P1373" s="21"/>
      <c r="Q1373" s="21"/>
      <c r="R1373" s="21"/>
      <c r="S1373" s="21"/>
      <c r="T1373" s="21"/>
      <c r="U1373" s="21"/>
      <c r="V1373" s="21"/>
      <c r="W1373" s="21"/>
      <c r="X1373" s="21"/>
      <c r="Y1373" s="21"/>
      <c r="Z1373" s="21"/>
      <c r="AA1373" s="21"/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W1373" s="296"/>
      <c r="CY1373" s="296"/>
    </row>
    <row r="1374" spans="3:103" s="19" customFormat="1" ht="12">
      <c r="C1374" s="21"/>
      <c r="D1374" s="21"/>
      <c r="E1374" s="21"/>
      <c r="F1374" s="21"/>
      <c r="G1374" s="21"/>
      <c r="H1374" s="21"/>
      <c r="I1374" s="21"/>
      <c r="J1374" s="21"/>
      <c r="K1374" s="21"/>
      <c r="L1374" s="21"/>
      <c r="M1374" s="21"/>
      <c r="N1374" s="21"/>
      <c r="O1374" s="21"/>
      <c r="P1374" s="21"/>
      <c r="Q1374" s="21"/>
      <c r="R1374" s="21"/>
      <c r="S1374" s="21"/>
      <c r="T1374" s="21"/>
      <c r="U1374" s="21"/>
      <c r="V1374" s="21"/>
      <c r="W1374" s="21"/>
      <c r="X1374" s="21"/>
      <c r="Y1374" s="21"/>
      <c r="Z1374" s="21"/>
      <c r="AA1374" s="21"/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W1374" s="296"/>
      <c r="CY1374" s="296"/>
    </row>
    <row r="1375" spans="3:103" s="19" customFormat="1" ht="12">
      <c r="C1375" s="21"/>
      <c r="D1375" s="21"/>
      <c r="E1375" s="21"/>
      <c r="F1375" s="21"/>
      <c r="G1375" s="21"/>
      <c r="H1375" s="21"/>
      <c r="I1375" s="21"/>
      <c r="J1375" s="21"/>
      <c r="K1375" s="21"/>
      <c r="L1375" s="21"/>
      <c r="M1375" s="21"/>
      <c r="N1375" s="21"/>
      <c r="O1375" s="21"/>
      <c r="P1375" s="21"/>
      <c r="Q1375" s="21"/>
      <c r="R1375" s="21"/>
      <c r="S1375" s="21"/>
      <c r="T1375" s="21"/>
      <c r="U1375" s="21"/>
      <c r="V1375" s="21"/>
      <c r="W1375" s="21"/>
      <c r="X1375" s="21"/>
      <c r="Y1375" s="21"/>
      <c r="Z1375" s="21"/>
      <c r="AA1375" s="21"/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W1375" s="296"/>
      <c r="CY1375" s="296"/>
    </row>
    <row r="1376" spans="3:103" s="19" customFormat="1" ht="12">
      <c r="C1376" s="21"/>
      <c r="D1376" s="21"/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W1376" s="296"/>
      <c r="CY1376" s="296"/>
    </row>
    <row r="1377" spans="3:103" s="19" customFormat="1" ht="12">
      <c r="C1377" s="21"/>
      <c r="D1377" s="21"/>
      <c r="E1377" s="21"/>
      <c r="F1377" s="21"/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W1377" s="296"/>
      <c r="CY1377" s="296"/>
    </row>
    <row r="1378" spans="3:103" s="19" customFormat="1" ht="12">
      <c r="C1378" s="21"/>
      <c r="D1378" s="21"/>
      <c r="E1378" s="21"/>
      <c r="F1378" s="21"/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W1378" s="296"/>
      <c r="CY1378" s="296"/>
    </row>
    <row r="1379" spans="3:103" s="19" customFormat="1" ht="12">
      <c r="C1379" s="21"/>
      <c r="D1379" s="21"/>
      <c r="E1379" s="21"/>
      <c r="F1379" s="21"/>
      <c r="G1379" s="21"/>
      <c r="H1379" s="21"/>
      <c r="I1379" s="21"/>
      <c r="J1379" s="21"/>
      <c r="K1379" s="21"/>
      <c r="L1379" s="21"/>
      <c r="M1379" s="21"/>
      <c r="N1379" s="21"/>
      <c r="O1379" s="21"/>
      <c r="P1379" s="21"/>
      <c r="Q1379" s="21"/>
      <c r="R1379" s="21"/>
      <c r="S1379" s="21"/>
      <c r="T1379" s="21"/>
      <c r="U1379" s="21"/>
      <c r="V1379" s="21"/>
      <c r="W1379" s="21"/>
      <c r="X1379" s="21"/>
      <c r="Y1379" s="21"/>
      <c r="Z1379" s="21"/>
      <c r="AA1379" s="21"/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W1379" s="296"/>
      <c r="CY1379" s="296"/>
    </row>
    <row r="1380" spans="3:103" s="19" customFormat="1" ht="12">
      <c r="C1380" s="21"/>
      <c r="D1380" s="21"/>
      <c r="E1380" s="21"/>
      <c r="F1380" s="21"/>
      <c r="G1380" s="21"/>
      <c r="H1380" s="21"/>
      <c r="I1380" s="21"/>
      <c r="J1380" s="21"/>
      <c r="K1380" s="21"/>
      <c r="L1380" s="21"/>
      <c r="M1380" s="21"/>
      <c r="N1380" s="21"/>
      <c r="O1380" s="21"/>
      <c r="P1380" s="21"/>
      <c r="Q1380" s="21"/>
      <c r="R1380" s="21"/>
      <c r="S1380" s="21"/>
      <c r="T1380" s="21"/>
      <c r="U1380" s="21"/>
      <c r="V1380" s="21"/>
      <c r="W1380" s="21"/>
      <c r="X1380" s="21"/>
      <c r="Y1380" s="21"/>
      <c r="Z1380" s="21"/>
      <c r="AA1380" s="21"/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W1380" s="296"/>
      <c r="CY1380" s="296"/>
    </row>
    <row r="1381" spans="3:103" s="19" customFormat="1" ht="12">
      <c r="C1381" s="21"/>
      <c r="D1381" s="21"/>
      <c r="E1381" s="21"/>
      <c r="F1381" s="21"/>
      <c r="G1381" s="21"/>
      <c r="H1381" s="21"/>
      <c r="I1381" s="21"/>
      <c r="J1381" s="21"/>
      <c r="K1381" s="21"/>
      <c r="L1381" s="21"/>
      <c r="M1381" s="21"/>
      <c r="N1381" s="21"/>
      <c r="O1381" s="21"/>
      <c r="P1381" s="21"/>
      <c r="Q1381" s="21"/>
      <c r="R1381" s="21"/>
      <c r="S1381" s="21"/>
      <c r="T1381" s="21"/>
      <c r="U1381" s="21"/>
      <c r="V1381" s="21"/>
      <c r="W1381" s="21"/>
      <c r="X1381" s="21"/>
      <c r="Y1381" s="21"/>
      <c r="Z1381" s="21"/>
      <c r="AA1381" s="21"/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W1381" s="296"/>
      <c r="CY1381" s="296"/>
    </row>
    <row r="1382" spans="3:103" s="19" customFormat="1" ht="12">
      <c r="C1382" s="21"/>
      <c r="D1382" s="21"/>
      <c r="E1382" s="21"/>
      <c r="F1382" s="21"/>
      <c r="G1382" s="21"/>
      <c r="H1382" s="21"/>
      <c r="I1382" s="21"/>
      <c r="J1382" s="21"/>
      <c r="K1382" s="21"/>
      <c r="L1382" s="21"/>
      <c r="M1382" s="21"/>
      <c r="N1382" s="21"/>
      <c r="O1382" s="21"/>
      <c r="P1382" s="21"/>
      <c r="Q1382" s="21"/>
      <c r="R1382" s="21"/>
      <c r="S1382" s="21"/>
      <c r="T1382" s="21"/>
      <c r="U1382" s="21"/>
      <c r="V1382" s="21"/>
      <c r="W1382" s="21"/>
      <c r="X1382" s="21"/>
      <c r="Y1382" s="21"/>
      <c r="Z1382" s="21"/>
      <c r="AA1382" s="21"/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W1382" s="296"/>
      <c r="CY1382" s="296"/>
    </row>
    <row r="1383" spans="3:103" s="19" customFormat="1" ht="12">
      <c r="C1383" s="21"/>
      <c r="D1383" s="21"/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W1383" s="296"/>
      <c r="CY1383" s="296"/>
    </row>
    <row r="1384" spans="3:103" s="19" customFormat="1" ht="12">
      <c r="C1384" s="21"/>
      <c r="D1384" s="21"/>
      <c r="E1384" s="21"/>
      <c r="F1384" s="21"/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W1384" s="296"/>
      <c r="CY1384" s="296"/>
    </row>
    <row r="1385" spans="3:103" s="19" customFormat="1" ht="12">
      <c r="C1385" s="21"/>
      <c r="D1385" s="21"/>
      <c r="E1385" s="21"/>
      <c r="F1385" s="21"/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W1385" s="296"/>
      <c r="CY1385" s="296"/>
    </row>
    <row r="1386" spans="3:103" s="19" customFormat="1" ht="12">
      <c r="C1386" s="21"/>
      <c r="D1386" s="21"/>
      <c r="E1386" s="21"/>
      <c r="F1386" s="21"/>
      <c r="G1386" s="21"/>
      <c r="H1386" s="21"/>
      <c r="I1386" s="21"/>
      <c r="J1386" s="21"/>
      <c r="K1386" s="21"/>
      <c r="L1386" s="21"/>
      <c r="M1386" s="21"/>
      <c r="N1386" s="21"/>
      <c r="O1386" s="21"/>
      <c r="P1386" s="21"/>
      <c r="Q1386" s="21"/>
      <c r="R1386" s="21"/>
      <c r="S1386" s="21"/>
      <c r="T1386" s="21"/>
      <c r="U1386" s="21"/>
      <c r="V1386" s="21"/>
      <c r="W1386" s="21"/>
      <c r="X1386" s="21"/>
      <c r="Y1386" s="21"/>
      <c r="Z1386" s="21"/>
      <c r="AA1386" s="21"/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W1386" s="296"/>
      <c r="CY1386" s="296"/>
    </row>
    <row r="1387" spans="3:103" s="19" customFormat="1" ht="12">
      <c r="C1387" s="21"/>
      <c r="D1387" s="21"/>
      <c r="E1387" s="21"/>
      <c r="F1387" s="21"/>
      <c r="G1387" s="21"/>
      <c r="H1387" s="21"/>
      <c r="I1387" s="21"/>
      <c r="J1387" s="21"/>
      <c r="K1387" s="21"/>
      <c r="L1387" s="21"/>
      <c r="M1387" s="21"/>
      <c r="N1387" s="21"/>
      <c r="O1387" s="21"/>
      <c r="P1387" s="21"/>
      <c r="Q1387" s="21"/>
      <c r="R1387" s="21"/>
      <c r="S1387" s="21"/>
      <c r="T1387" s="21"/>
      <c r="U1387" s="21"/>
      <c r="V1387" s="21"/>
      <c r="W1387" s="21"/>
      <c r="X1387" s="21"/>
      <c r="Y1387" s="21"/>
      <c r="Z1387" s="21"/>
      <c r="AA1387" s="21"/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W1387" s="296"/>
      <c r="CY1387" s="296"/>
    </row>
    <row r="1388" spans="3:103" s="19" customFormat="1" ht="12">
      <c r="C1388" s="21"/>
      <c r="D1388" s="21"/>
      <c r="E1388" s="21"/>
      <c r="F1388" s="21"/>
      <c r="G1388" s="21"/>
      <c r="H1388" s="21"/>
      <c r="I1388" s="21"/>
      <c r="J1388" s="21"/>
      <c r="K1388" s="21"/>
      <c r="L1388" s="21"/>
      <c r="M1388" s="21"/>
      <c r="N1388" s="21"/>
      <c r="O1388" s="21"/>
      <c r="P1388" s="21"/>
      <c r="Q1388" s="21"/>
      <c r="R1388" s="21"/>
      <c r="S1388" s="21"/>
      <c r="T1388" s="21"/>
      <c r="U1388" s="21"/>
      <c r="V1388" s="21"/>
      <c r="W1388" s="21"/>
      <c r="X1388" s="21"/>
      <c r="Y1388" s="21"/>
      <c r="Z1388" s="21"/>
      <c r="AA1388" s="21"/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W1388" s="296"/>
      <c r="CY1388" s="296"/>
    </row>
    <row r="1389" spans="3:103" s="19" customFormat="1" ht="12">
      <c r="C1389" s="21"/>
      <c r="D1389" s="21"/>
      <c r="E1389" s="21"/>
      <c r="F1389" s="21"/>
      <c r="G1389" s="21"/>
      <c r="H1389" s="21"/>
      <c r="I1389" s="21"/>
      <c r="J1389" s="21"/>
      <c r="K1389" s="21"/>
      <c r="L1389" s="21"/>
      <c r="M1389" s="21"/>
      <c r="N1389" s="21"/>
      <c r="O1389" s="21"/>
      <c r="P1389" s="21"/>
      <c r="Q1389" s="21"/>
      <c r="R1389" s="21"/>
      <c r="S1389" s="21"/>
      <c r="T1389" s="21"/>
      <c r="U1389" s="21"/>
      <c r="V1389" s="21"/>
      <c r="W1389" s="21"/>
      <c r="X1389" s="21"/>
      <c r="Y1389" s="21"/>
      <c r="Z1389" s="21"/>
      <c r="AA1389" s="21"/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W1389" s="296"/>
      <c r="CY1389" s="296"/>
    </row>
    <row r="1390" spans="3:103" s="19" customFormat="1" ht="12">
      <c r="C1390" s="21"/>
      <c r="D1390" s="21"/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W1390" s="296"/>
      <c r="CY1390" s="296"/>
    </row>
    <row r="1391" spans="3:103" s="19" customFormat="1" ht="12">
      <c r="C1391" s="21"/>
      <c r="D1391" s="21"/>
      <c r="E1391" s="21"/>
      <c r="F1391" s="21"/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W1391" s="296"/>
      <c r="CY1391" s="296"/>
    </row>
    <row r="1392" spans="3:103" s="19" customFormat="1" ht="12">
      <c r="C1392" s="21"/>
      <c r="D1392" s="21"/>
      <c r="E1392" s="2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W1392" s="296"/>
      <c r="CY1392" s="296"/>
    </row>
    <row r="1393" spans="3:103" s="19" customFormat="1" ht="12">
      <c r="C1393" s="21"/>
      <c r="D1393" s="21"/>
      <c r="E1393" s="21"/>
      <c r="F1393" s="21"/>
      <c r="G1393" s="21"/>
      <c r="H1393" s="21"/>
      <c r="I1393" s="21"/>
      <c r="J1393" s="21"/>
      <c r="K1393" s="21"/>
      <c r="L1393" s="21"/>
      <c r="M1393" s="21"/>
      <c r="N1393" s="21"/>
      <c r="O1393" s="21"/>
      <c r="P1393" s="21"/>
      <c r="Q1393" s="21"/>
      <c r="R1393" s="21"/>
      <c r="S1393" s="21"/>
      <c r="T1393" s="21"/>
      <c r="U1393" s="21"/>
      <c r="V1393" s="21"/>
      <c r="W1393" s="21"/>
      <c r="X1393" s="21"/>
      <c r="Y1393" s="21"/>
      <c r="Z1393" s="21"/>
      <c r="AA1393" s="21"/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W1393" s="296"/>
      <c r="CY1393" s="296"/>
    </row>
    <row r="1394" spans="3:103" s="19" customFormat="1" ht="12">
      <c r="C1394" s="21"/>
      <c r="D1394" s="21"/>
      <c r="E1394" s="21"/>
      <c r="F1394" s="21"/>
      <c r="G1394" s="21"/>
      <c r="H1394" s="21"/>
      <c r="I1394" s="21"/>
      <c r="J1394" s="21"/>
      <c r="K1394" s="21"/>
      <c r="L1394" s="21"/>
      <c r="M1394" s="21"/>
      <c r="N1394" s="21"/>
      <c r="O1394" s="21"/>
      <c r="P1394" s="21"/>
      <c r="Q1394" s="21"/>
      <c r="R1394" s="21"/>
      <c r="S1394" s="21"/>
      <c r="T1394" s="21"/>
      <c r="U1394" s="21"/>
      <c r="V1394" s="21"/>
      <c r="W1394" s="21"/>
      <c r="X1394" s="21"/>
      <c r="Y1394" s="21"/>
      <c r="Z1394" s="21"/>
      <c r="AA1394" s="21"/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W1394" s="296"/>
      <c r="CY1394" s="296"/>
    </row>
    <row r="1395" spans="3:103" s="19" customFormat="1" ht="12">
      <c r="C1395" s="21"/>
      <c r="D1395" s="21"/>
      <c r="E1395" s="21"/>
      <c r="F1395" s="21"/>
      <c r="G1395" s="21"/>
      <c r="H1395" s="21"/>
      <c r="I1395" s="21"/>
      <c r="J1395" s="21"/>
      <c r="K1395" s="21"/>
      <c r="L1395" s="21"/>
      <c r="M1395" s="21"/>
      <c r="N1395" s="21"/>
      <c r="O1395" s="21"/>
      <c r="P1395" s="21"/>
      <c r="Q1395" s="21"/>
      <c r="R1395" s="21"/>
      <c r="S1395" s="21"/>
      <c r="T1395" s="21"/>
      <c r="U1395" s="21"/>
      <c r="V1395" s="21"/>
      <c r="W1395" s="21"/>
      <c r="X1395" s="21"/>
      <c r="Y1395" s="21"/>
      <c r="Z1395" s="21"/>
      <c r="AA1395" s="21"/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W1395" s="296"/>
      <c r="CY1395" s="296"/>
    </row>
    <row r="1396" spans="3:103" s="19" customFormat="1" ht="12">
      <c r="C1396" s="21"/>
      <c r="D1396" s="21"/>
      <c r="E1396" s="21"/>
      <c r="F1396" s="21"/>
      <c r="G1396" s="21"/>
      <c r="H1396" s="21"/>
      <c r="I1396" s="21"/>
      <c r="J1396" s="21"/>
      <c r="K1396" s="21"/>
      <c r="L1396" s="21"/>
      <c r="M1396" s="21"/>
      <c r="N1396" s="21"/>
      <c r="O1396" s="21"/>
      <c r="P1396" s="21"/>
      <c r="Q1396" s="21"/>
      <c r="R1396" s="21"/>
      <c r="S1396" s="21"/>
      <c r="T1396" s="21"/>
      <c r="U1396" s="21"/>
      <c r="V1396" s="21"/>
      <c r="W1396" s="21"/>
      <c r="X1396" s="21"/>
      <c r="Y1396" s="21"/>
      <c r="Z1396" s="21"/>
      <c r="AA1396" s="21"/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W1396" s="296"/>
      <c r="CY1396" s="296"/>
    </row>
    <row r="1397" spans="3:103" s="19" customFormat="1" ht="12"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W1397" s="296"/>
      <c r="CY1397" s="296"/>
    </row>
    <row r="1398" spans="3:103" s="19" customFormat="1" ht="12">
      <c r="C1398" s="21"/>
      <c r="D1398" s="21"/>
      <c r="E1398" s="21"/>
      <c r="F1398" s="21"/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W1398" s="296"/>
      <c r="CY1398" s="296"/>
    </row>
    <row r="1399" spans="3:103" s="19" customFormat="1" ht="12">
      <c r="C1399" s="21"/>
      <c r="D1399" s="21"/>
      <c r="E1399" s="21"/>
      <c r="F1399" s="21"/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W1399" s="296"/>
      <c r="CY1399" s="296"/>
    </row>
    <row r="1400" spans="3:103" s="19" customFormat="1" ht="12">
      <c r="C1400" s="21"/>
      <c r="D1400" s="21"/>
      <c r="E1400" s="21"/>
      <c r="F1400" s="21"/>
      <c r="G1400" s="21"/>
      <c r="H1400" s="21"/>
      <c r="I1400" s="21"/>
      <c r="J1400" s="21"/>
      <c r="K1400" s="21"/>
      <c r="L1400" s="21"/>
      <c r="M1400" s="21"/>
      <c r="N1400" s="21"/>
      <c r="O1400" s="21"/>
      <c r="P1400" s="21"/>
      <c r="Q1400" s="21"/>
      <c r="R1400" s="21"/>
      <c r="S1400" s="21"/>
      <c r="T1400" s="21"/>
      <c r="U1400" s="21"/>
      <c r="V1400" s="21"/>
      <c r="W1400" s="21"/>
      <c r="X1400" s="21"/>
      <c r="Y1400" s="21"/>
      <c r="Z1400" s="21"/>
      <c r="AA1400" s="21"/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W1400" s="296"/>
      <c r="CY1400" s="296"/>
    </row>
    <row r="1401" spans="3:103" s="19" customFormat="1" ht="12">
      <c r="C1401" s="21"/>
      <c r="D1401" s="21"/>
      <c r="E1401" s="21"/>
      <c r="F1401" s="21"/>
      <c r="G1401" s="21"/>
      <c r="H1401" s="21"/>
      <c r="I1401" s="21"/>
      <c r="J1401" s="21"/>
      <c r="K1401" s="21"/>
      <c r="L1401" s="21"/>
      <c r="M1401" s="21"/>
      <c r="N1401" s="21"/>
      <c r="O1401" s="21"/>
      <c r="P1401" s="21"/>
      <c r="Q1401" s="21"/>
      <c r="R1401" s="21"/>
      <c r="S1401" s="21"/>
      <c r="T1401" s="21"/>
      <c r="U1401" s="21"/>
      <c r="V1401" s="21"/>
      <c r="W1401" s="21"/>
      <c r="X1401" s="21"/>
      <c r="Y1401" s="21"/>
      <c r="Z1401" s="21"/>
      <c r="AA1401" s="21"/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W1401" s="296"/>
      <c r="CY1401" s="296"/>
    </row>
    <row r="1402" spans="3:103" s="19" customFormat="1" ht="12">
      <c r="C1402" s="21"/>
      <c r="D1402" s="21"/>
      <c r="E1402" s="21"/>
      <c r="F1402" s="21"/>
      <c r="G1402" s="21"/>
      <c r="H1402" s="21"/>
      <c r="I1402" s="21"/>
      <c r="J1402" s="21"/>
      <c r="K1402" s="21"/>
      <c r="L1402" s="21"/>
      <c r="M1402" s="21"/>
      <c r="N1402" s="21"/>
      <c r="O1402" s="21"/>
      <c r="P1402" s="21"/>
      <c r="Q1402" s="21"/>
      <c r="R1402" s="21"/>
      <c r="S1402" s="21"/>
      <c r="T1402" s="21"/>
      <c r="U1402" s="21"/>
      <c r="V1402" s="21"/>
      <c r="W1402" s="21"/>
      <c r="X1402" s="21"/>
      <c r="Y1402" s="21"/>
      <c r="Z1402" s="21"/>
      <c r="AA1402" s="21"/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W1402" s="296"/>
      <c r="CY1402" s="296"/>
    </row>
    <row r="1403" spans="3:103" s="19" customFormat="1" ht="12">
      <c r="C1403" s="21"/>
      <c r="D1403" s="21"/>
      <c r="E1403" s="21"/>
      <c r="F1403" s="21"/>
      <c r="G1403" s="21"/>
      <c r="H1403" s="21"/>
      <c r="I1403" s="21"/>
      <c r="J1403" s="21"/>
      <c r="K1403" s="21"/>
      <c r="L1403" s="21"/>
      <c r="M1403" s="21"/>
      <c r="N1403" s="21"/>
      <c r="O1403" s="21"/>
      <c r="P1403" s="21"/>
      <c r="Q1403" s="21"/>
      <c r="R1403" s="21"/>
      <c r="S1403" s="21"/>
      <c r="T1403" s="21"/>
      <c r="U1403" s="21"/>
      <c r="V1403" s="21"/>
      <c r="W1403" s="21"/>
      <c r="X1403" s="21"/>
      <c r="Y1403" s="21"/>
      <c r="Z1403" s="21"/>
      <c r="AA1403" s="21"/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W1403" s="296"/>
      <c r="CY1403" s="296"/>
    </row>
    <row r="1404" spans="3:103" s="19" customFormat="1" ht="12">
      <c r="C1404" s="21"/>
      <c r="D1404" s="21"/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W1404" s="296"/>
      <c r="CY1404" s="296"/>
    </row>
    <row r="1405" spans="3:103" s="19" customFormat="1" ht="12">
      <c r="C1405" s="21"/>
      <c r="D1405" s="21"/>
      <c r="E1405" s="21"/>
      <c r="F1405" s="21"/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W1405" s="296"/>
      <c r="CY1405" s="296"/>
    </row>
    <row r="1406" spans="3:103" s="19" customFormat="1" ht="12">
      <c r="C1406" s="21"/>
      <c r="D1406" s="21"/>
      <c r="E1406" s="21"/>
      <c r="F1406" s="21"/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W1406" s="296"/>
      <c r="CY1406" s="296"/>
    </row>
    <row r="1407" spans="3:103" s="19" customFormat="1" ht="12">
      <c r="C1407" s="21"/>
      <c r="D1407" s="21"/>
      <c r="E1407" s="21"/>
      <c r="F1407" s="21"/>
      <c r="G1407" s="21"/>
      <c r="H1407" s="21"/>
      <c r="I1407" s="21"/>
      <c r="J1407" s="21"/>
      <c r="K1407" s="21"/>
      <c r="L1407" s="21"/>
      <c r="M1407" s="21"/>
      <c r="N1407" s="21"/>
      <c r="O1407" s="21"/>
      <c r="P1407" s="21"/>
      <c r="Q1407" s="21"/>
      <c r="R1407" s="21"/>
      <c r="S1407" s="21"/>
      <c r="T1407" s="21"/>
      <c r="U1407" s="21"/>
      <c r="V1407" s="21"/>
      <c r="W1407" s="21"/>
      <c r="X1407" s="21"/>
      <c r="Y1407" s="21"/>
      <c r="Z1407" s="21"/>
      <c r="AA1407" s="21"/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W1407" s="296"/>
      <c r="CY1407" s="296"/>
    </row>
    <row r="1408" spans="3:103" s="19" customFormat="1" ht="12">
      <c r="C1408" s="21"/>
      <c r="D1408" s="21"/>
      <c r="E1408" s="21"/>
      <c r="F1408" s="21"/>
      <c r="G1408" s="21"/>
      <c r="H1408" s="21"/>
      <c r="I1408" s="21"/>
      <c r="J1408" s="21"/>
      <c r="K1408" s="21"/>
      <c r="L1408" s="21"/>
      <c r="M1408" s="21"/>
      <c r="N1408" s="21"/>
      <c r="O1408" s="21"/>
      <c r="P1408" s="21"/>
      <c r="Q1408" s="21"/>
      <c r="R1408" s="21"/>
      <c r="S1408" s="21"/>
      <c r="T1408" s="21"/>
      <c r="U1408" s="21"/>
      <c r="V1408" s="21"/>
      <c r="W1408" s="21"/>
      <c r="X1408" s="21"/>
      <c r="Y1408" s="21"/>
      <c r="Z1408" s="21"/>
      <c r="AA1408" s="21"/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W1408" s="296"/>
      <c r="CY1408" s="296"/>
    </row>
    <row r="1409" spans="3:103" s="19" customFormat="1" ht="12">
      <c r="C1409" s="21"/>
      <c r="D1409" s="21"/>
      <c r="E1409" s="21"/>
      <c r="F1409" s="21"/>
      <c r="G1409" s="21"/>
      <c r="H1409" s="21"/>
      <c r="I1409" s="21"/>
      <c r="J1409" s="21"/>
      <c r="K1409" s="21"/>
      <c r="L1409" s="21"/>
      <c r="M1409" s="21"/>
      <c r="N1409" s="21"/>
      <c r="O1409" s="21"/>
      <c r="P1409" s="21"/>
      <c r="Q1409" s="21"/>
      <c r="R1409" s="21"/>
      <c r="S1409" s="21"/>
      <c r="T1409" s="21"/>
      <c r="U1409" s="21"/>
      <c r="V1409" s="21"/>
      <c r="W1409" s="21"/>
      <c r="X1409" s="21"/>
      <c r="Y1409" s="21"/>
      <c r="Z1409" s="21"/>
      <c r="AA1409" s="21"/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W1409" s="296"/>
      <c r="CY1409" s="296"/>
    </row>
    <row r="1410" spans="3:103" s="19" customFormat="1" ht="12">
      <c r="C1410" s="21"/>
      <c r="D1410" s="21"/>
      <c r="E1410" s="21"/>
      <c r="F1410" s="21"/>
      <c r="G1410" s="21"/>
      <c r="H1410" s="21"/>
      <c r="I1410" s="21"/>
      <c r="J1410" s="21"/>
      <c r="K1410" s="21"/>
      <c r="L1410" s="21"/>
      <c r="M1410" s="21"/>
      <c r="N1410" s="21"/>
      <c r="O1410" s="21"/>
      <c r="P1410" s="21"/>
      <c r="Q1410" s="21"/>
      <c r="R1410" s="21"/>
      <c r="S1410" s="21"/>
      <c r="T1410" s="21"/>
      <c r="U1410" s="21"/>
      <c r="V1410" s="21"/>
      <c r="W1410" s="21"/>
      <c r="X1410" s="21"/>
      <c r="Y1410" s="21"/>
      <c r="Z1410" s="21"/>
      <c r="AA1410" s="21"/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W1410" s="296"/>
      <c r="CY1410" s="296"/>
    </row>
    <row r="1411" spans="3:103" s="19" customFormat="1" ht="12">
      <c r="C1411" s="21"/>
      <c r="D1411" s="21"/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W1411" s="296"/>
      <c r="CY1411" s="296"/>
    </row>
    <row r="1412" spans="3:103" s="19" customFormat="1" ht="12">
      <c r="C1412" s="21"/>
      <c r="D1412" s="21"/>
      <c r="E1412" s="21"/>
      <c r="F1412" s="21"/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W1412" s="296"/>
      <c r="CY1412" s="296"/>
    </row>
    <row r="1413" spans="3:103" s="19" customFormat="1" ht="12">
      <c r="C1413" s="21"/>
      <c r="D1413" s="21"/>
      <c r="E1413" s="21"/>
      <c r="F1413" s="21"/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W1413" s="296"/>
      <c r="CY1413" s="296"/>
    </row>
    <row r="1414" spans="3:103" s="19" customFormat="1" ht="12">
      <c r="C1414" s="21"/>
      <c r="D1414" s="21"/>
      <c r="E1414" s="21"/>
      <c r="F1414" s="21"/>
      <c r="G1414" s="21"/>
      <c r="H1414" s="21"/>
      <c r="I1414" s="21"/>
      <c r="J1414" s="21"/>
      <c r="K1414" s="21"/>
      <c r="L1414" s="21"/>
      <c r="M1414" s="21"/>
      <c r="N1414" s="21"/>
      <c r="O1414" s="21"/>
      <c r="P1414" s="21"/>
      <c r="Q1414" s="21"/>
      <c r="R1414" s="21"/>
      <c r="S1414" s="21"/>
      <c r="T1414" s="21"/>
      <c r="U1414" s="21"/>
      <c r="V1414" s="21"/>
      <c r="W1414" s="21"/>
      <c r="X1414" s="21"/>
      <c r="Y1414" s="21"/>
      <c r="Z1414" s="21"/>
      <c r="AA1414" s="21"/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W1414" s="296"/>
      <c r="CY1414" s="296"/>
    </row>
    <row r="1415" spans="3:103" s="19" customFormat="1" ht="12">
      <c r="C1415" s="21"/>
      <c r="D1415" s="21"/>
      <c r="E1415" s="21"/>
      <c r="F1415" s="21"/>
      <c r="G1415" s="21"/>
      <c r="H1415" s="21"/>
      <c r="I1415" s="21"/>
      <c r="J1415" s="21"/>
      <c r="K1415" s="21"/>
      <c r="L1415" s="21"/>
      <c r="M1415" s="21"/>
      <c r="N1415" s="21"/>
      <c r="O1415" s="21"/>
      <c r="P1415" s="21"/>
      <c r="Q1415" s="21"/>
      <c r="R1415" s="21"/>
      <c r="S1415" s="21"/>
      <c r="T1415" s="21"/>
      <c r="U1415" s="21"/>
      <c r="V1415" s="21"/>
      <c r="W1415" s="21"/>
      <c r="X1415" s="21"/>
      <c r="Y1415" s="21"/>
      <c r="Z1415" s="21"/>
      <c r="AA1415" s="21"/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W1415" s="296"/>
      <c r="CY1415" s="296"/>
    </row>
    <row r="1416" spans="3:103" s="19" customFormat="1" ht="12">
      <c r="C1416" s="21"/>
      <c r="D1416" s="21"/>
      <c r="E1416" s="21"/>
      <c r="F1416" s="21"/>
      <c r="G1416" s="21"/>
      <c r="H1416" s="21"/>
      <c r="I1416" s="21"/>
      <c r="J1416" s="21"/>
      <c r="K1416" s="21"/>
      <c r="L1416" s="21"/>
      <c r="M1416" s="21"/>
      <c r="N1416" s="21"/>
      <c r="O1416" s="21"/>
      <c r="P1416" s="21"/>
      <c r="Q1416" s="21"/>
      <c r="R1416" s="21"/>
      <c r="S1416" s="21"/>
      <c r="T1416" s="21"/>
      <c r="U1416" s="21"/>
      <c r="V1416" s="21"/>
      <c r="W1416" s="21"/>
      <c r="X1416" s="21"/>
      <c r="Y1416" s="21"/>
      <c r="Z1416" s="21"/>
      <c r="AA1416" s="21"/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W1416" s="296"/>
      <c r="CY1416" s="296"/>
    </row>
    <row r="1417" spans="3:103" s="19" customFormat="1" ht="12">
      <c r="C1417" s="21"/>
      <c r="D1417" s="21"/>
      <c r="E1417" s="21"/>
      <c r="F1417" s="21"/>
      <c r="G1417" s="21"/>
      <c r="H1417" s="21"/>
      <c r="I1417" s="21"/>
      <c r="J1417" s="21"/>
      <c r="K1417" s="21"/>
      <c r="L1417" s="21"/>
      <c r="M1417" s="21"/>
      <c r="N1417" s="21"/>
      <c r="O1417" s="21"/>
      <c r="P1417" s="21"/>
      <c r="Q1417" s="21"/>
      <c r="R1417" s="21"/>
      <c r="S1417" s="21"/>
      <c r="T1417" s="21"/>
      <c r="U1417" s="21"/>
      <c r="V1417" s="21"/>
      <c r="W1417" s="21"/>
      <c r="X1417" s="21"/>
      <c r="Y1417" s="21"/>
      <c r="Z1417" s="21"/>
      <c r="AA1417" s="21"/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W1417" s="296"/>
      <c r="CY1417" s="296"/>
    </row>
    <row r="1418" spans="3:103" s="19" customFormat="1" ht="12">
      <c r="C1418" s="21"/>
      <c r="D1418" s="21"/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W1418" s="296"/>
      <c r="CY1418" s="296"/>
    </row>
    <row r="1419" spans="3:103" s="19" customFormat="1" ht="12">
      <c r="C1419" s="21"/>
      <c r="D1419" s="21"/>
      <c r="E1419" s="21"/>
      <c r="F1419" s="21"/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W1419" s="296"/>
      <c r="CY1419" s="296"/>
    </row>
    <row r="1420" spans="3:103" s="19" customFormat="1" ht="12">
      <c r="C1420" s="21"/>
      <c r="D1420" s="21"/>
      <c r="E1420" s="21"/>
      <c r="F1420" s="21"/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W1420" s="296"/>
      <c r="CY1420" s="296"/>
    </row>
    <row r="1421" spans="3:103" s="19" customFormat="1" ht="12">
      <c r="C1421" s="21"/>
      <c r="D1421" s="21"/>
      <c r="E1421" s="21"/>
      <c r="F1421" s="21"/>
      <c r="G1421" s="21"/>
      <c r="H1421" s="21"/>
      <c r="I1421" s="21"/>
      <c r="J1421" s="21"/>
      <c r="K1421" s="21"/>
      <c r="L1421" s="21"/>
      <c r="M1421" s="21"/>
      <c r="N1421" s="21"/>
      <c r="O1421" s="21"/>
      <c r="P1421" s="21"/>
      <c r="Q1421" s="21"/>
      <c r="R1421" s="21"/>
      <c r="S1421" s="21"/>
      <c r="T1421" s="21"/>
      <c r="U1421" s="21"/>
      <c r="V1421" s="21"/>
      <c r="W1421" s="21"/>
      <c r="X1421" s="21"/>
      <c r="Y1421" s="21"/>
      <c r="Z1421" s="21"/>
      <c r="AA1421" s="21"/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W1421" s="296"/>
      <c r="CY1421" s="296"/>
    </row>
    <row r="1422" spans="3:103" s="19" customFormat="1" ht="12">
      <c r="C1422" s="21"/>
      <c r="D1422" s="21"/>
      <c r="E1422" s="21"/>
      <c r="F1422" s="21"/>
      <c r="G1422" s="21"/>
      <c r="H1422" s="21"/>
      <c r="I1422" s="21"/>
      <c r="J1422" s="21"/>
      <c r="K1422" s="21"/>
      <c r="L1422" s="21"/>
      <c r="M1422" s="21"/>
      <c r="N1422" s="21"/>
      <c r="O1422" s="21"/>
      <c r="P1422" s="21"/>
      <c r="Q1422" s="21"/>
      <c r="R1422" s="21"/>
      <c r="S1422" s="21"/>
      <c r="T1422" s="21"/>
      <c r="U1422" s="21"/>
      <c r="V1422" s="21"/>
      <c r="W1422" s="21"/>
      <c r="X1422" s="21"/>
      <c r="Y1422" s="21"/>
      <c r="Z1422" s="21"/>
      <c r="AA1422" s="21"/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W1422" s="296"/>
      <c r="CY1422" s="296"/>
    </row>
    <row r="1423" spans="3:103" s="19" customFormat="1" ht="12">
      <c r="C1423" s="21"/>
      <c r="D1423" s="21"/>
      <c r="E1423" s="21"/>
      <c r="F1423" s="21"/>
      <c r="G1423" s="21"/>
      <c r="H1423" s="21"/>
      <c r="I1423" s="21"/>
      <c r="J1423" s="21"/>
      <c r="K1423" s="21"/>
      <c r="L1423" s="21"/>
      <c r="M1423" s="21"/>
      <c r="N1423" s="21"/>
      <c r="O1423" s="21"/>
      <c r="P1423" s="21"/>
      <c r="Q1423" s="21"/>
      <c r="R1423" s="21"/>
      <c r="S1423" s="21"/>
      <c r="T1423" s="21"/>
      <c r="U1423" s="21"/>
      <c r="V1423" s="21"/>
      <c r="W1423" s="21"/>
      <c r="X1423" s="21"/>
      <c r="Y1423" s="21"/>
      <c r="Z1423" s="21"/>
      <c r="AA1423" s="21"/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W1423" s="296"/>
      <c r="CY1423" s="296"/>
    </row>
    <row r="1424" spans="3:103" s="19" customFormat="1" ht="12">
      <c r="C1424" s="21"/>
      <c r="D1424" s="21"/>
      <c r="E1424" s="21"/>
      <c r="F1424" s="21"/>
      <c r="G1424" s="21"/>
      <c r="H1424" s="21"/>
      <c r="I1424" s="21"/>
      <c r="J1424" s="21"/>
      <c r="K1424" s="21"/>
      <c r="L1424" s="21"/>
      <c r="M1424" s="21"/>
      <c r="N1424" s="21"/>
      <c r="O1424" s="21"/>
      <c r="P1424" s="21"/>
      <c r="Q1424" s="21"/>
      <c r="R1424" s="21"/>
      <c r="S1424" s="21"/>
      <c r="T1424" s="21"/>
      <c r="U1424" s="21"/>
      <c r="V1424" s="21"/>
      <c r="W1424" s="21"/>
      <c r="X1424" s="21"/>
      <c r="Y1424" s="21"/>
      <c r="Z1424" s="21"/>
      <c r="AA1424" s="21"/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W1424" s="296"/>
      <c r="CY1424" s="296"/>
    </row>
    <row r="1425" spans="3:103" s="19" customFormat="1" ht="12">
      <c r="C1425" s="21"/>
      <c r="D1425" s="21"/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W1425" s="296"/>
      <c r="CY1425" s="296"/>
    </row>
    <row r="1426" spans="3:103" s="19" customFormat="1" ht="12">
      <c r="C1426" s="21"/>
      <c r="D1426" s="21"/>
      <c r="E1426" s="21"/>
      <c r="F1426" s="21"/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W1426" s="296"/>
      <c r="CY1426" s="296"/>
    </row>
    <row r="1427" spans="3:103" s="19" customFormat="1" ht="12">
      <c r="C1427" s="21"/>
      <c r="D1427" s="21"/>
      <c r="E1427" s="21"/>
      <c r="F1427" s="21"/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W1427" s="296"/>
      <c r="CY1427" s="296"/>
    </row>
    <row r="1428" spans="3:103" s="19" customFormat="1" ht="12">
      <c r="C1428" s="21"/>
      <c r="D1428" s="21"/>
      <c r="E1428" s="21"/>
      <c r="F1428" s="21"/>
      <c r="G1428" s="21"/>
      <c r="H1428" s="21"/>
      <c r="I1428" s="21"/>
      <c r="J1428" s="21"/>
      <c r="K1428" s="21"/>
      <c r="L1428" s="21"/>
      <c r="M1428" s="21"/>
      <c r="N1428" s="21"/>
      <c r="O1428" s="21"/>
      <c r="P1428" s="21"/>
      <c r="Q1428" s="21"/>
      <c r="R1428" s="21"/>
      <c r="S1428" s="21"/>
      <c r="T1428" s="21"/>
      <c r="U1428" s="21"/>
      <c r="V1428" s="21"/>
      <c r="W1428" s="21"/>
      <c r="X1428" s="21"/>
      <c r="Y1428" s="21"/>
      <c r="Z1428" s="21"/>
      <c r="AA1428" s="21"/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W1428" s="296"/>
      <c r="CY1428" s="296"/>
    </row>
    <row r="1429" spans="3:103" s="19" customFormat="1" ht="12">
      <c r="C1429" s="21"/>
      <c r="D1429" s="21"/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W1429" s="296"/>
      <c r="CY1429" s="296"/>
    </row>
    <row r="1430" spans="3:103" s="19" customFormat="1" ht="12">
      <c r="C1430" s="21"/>
      <c r="D1430" s="21"/>
      <c r="E1430" s="21"/>
      <c r="F1430" s="21"/>
      <c r="G1430" s="21"/>
      <c r="H1430" s="21"/>
      <c r="I1430" s="21"/>
      <c r="J1430" s="21"/>
      <c r="K1430" s="21"/>
      <c r="L1430" s="21"/>
      <c r="M1430" s="21"/>
      <c r="N1430" s="21"/>
      <c r="O1430" s="21"/>
      <c r="P1430" s="21"/>
      <c r="Q1430" s="21"/>
      <c r="R1430" s="21"/>
      <c r="S1430" s="21"/>
      <c r="T1430" s="21"/>
      <c r="U1430" s="21"/>
      <c r="V1430" s="21"/>
      <c r="W1430" s="21"/>
      <c r="X1430" s="21"/>
      <c r="Y1430" s="21"/>
      <c r="Z1430" s="21"/>
      <c r="AA1430" s="21"/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W1430" s="296"/>
      <c r="CY1430" s="296"/>
    </row>
    <row r="1431" spans="3:103" s="19" customFormat="1" ht="12">
      <c r="C1431" s="21"/>
      <c r="D1431" s="21"/>
      <c r="E1431" s="21"/>
      <c r="F1431" s="21"/>
      <c r="G1431" s="21"/>
      <c r="H1431" s="21"/>
      <c r="I1431" s="21"/>
      <c r="J1431" s="21"/>
      <c r="K1431" s="21"/>
      <c r="L1431" s="21"/>
      <c r="M1431" s="21"/>
      <c r="N1431" s="21"/>
      <c r="O1431" s="21"/>
      <c r="P1431" s="21"/>
      <c r="Q1431" s="21"/>
      <c r="R1431" s="21"/>
      <c r="S1431" s="21"/>
      <c r="T1431" s="21"/>
      <c r="U1431" s="21"/>
      <c r="V1431" s="21"/>
      <c r="W1431" s="21"/>
      <c r="X1431" s="21"/>
      <c r="Y1431" s="21"/>
      <c r="Z1431" s="21"/>
      <c r="AA1431" s="21"/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W1431" s="296"/>
      <c r="CY1431" s="296"/>
    </row>
    <row r="1432" spans="3:103" s="19" customFormat="1" ht="12">
      <c r="C1432" s="21"/>
      <c r="D1432" s="21"/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W1432" s="296"/>
      <c r="CY1432" s="296"/>
    </row>
    <row r="1433" spans="3:103" s="19" customFormat="1" ht="12">
      <c r="C1433" s="21"/>
      <c r="D1433" s="21"/>
      <c r="E1433" s="21"/>
      <c r="F1433" s="21"/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W1433" s="296"/>
      <c r="CY1433" s="296"/>
    </row>
    <row r="1434" spans="3:103" s="19" customFormat="1" ht="12">
      <c r="C1434" s="21"/>
      <c r="D1434" s="21"/>
      <c r="E1434" s="21"/>
      <c r="F1434" s="21"/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W1434" s="296"/>
      <c r="CY1434" s="296"/>
    </row>
    <row r="1435" spans="3:103" s="19" customFormat="1" ht="12">
      <c r="C1435" s="21"/>
      <c r="D1435" s="21"/>
      <c r="E1435" s="21"/>
      <c r="F1435" s="21"/>
      <c r="G1435" s="21"/>
      <c r="H1435" s="21"/>
      <c r="I1435" s="21"/>
      <c r="J1435" s="21"/>
      <c r="K1435" s="21"/>
      <c r="L1435" s="21"/>
      <c r="M1435" s="21"/>
      <c r="N1435" s="21"/>
      <c r="O1435" s="21"/>
      <c r="P1435" s="21"/>
      <c r="Q1435" s="21"/>
      <c r="R1435" s="21"/>
      <c r="S1435" s="21"/>
      <c r="T1435" s="21"/>
      <c r="U1435" s="21"/>
      <c r="V1435" s="21"/>
      <c r="W1435" s="21"/>
      <c r="X1435" s="21"/>
      <c r="Y1435" s="21"/>
      <c r="Z1435" s="21"/>
      <c r="AA1435" s="21"/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W1435" s="296"/>
      <c r="CY1435" s="296"/>
    </row>
    <row r="1436" spans="3:103" s="19" customFormat="1" ht="12">
      <c r="C1436" s="21"/>
      <c r="D1436" s="21"/>
      <c r="E1436" s="21"/>
      <c r="F1436" s="21"/>
      <c r="G1436" s="21"/>
      <c r="H1436" s="21"/>
      <c r="I1436" s="21"/>
      <c r="J1436" s="21"/>
      <c r="K1436" s="21"/>
      <c r="L1436" s="21"/>
      <c r="M1436" s="21"/>
      <c r="N1436" s="21"/>
      <c r="O1436" s="21"/>
      <c r="P1436" s="21"/>
      <c r="Q1436" s="21"/>
      <c r="R1436" s="21"/>
      <c r="S1436" s="21"/>
      <c r="T1436" s="21"/>
      <c r="U1436" s="21"/>
      <c r="V1436" s="21"/>
      <c r="W1436" s="21"/>
      <c r="X1436" s="21"/>
      <c r="Y1436" s="21"/>
      <c r="Z1436" s="21"/>
      <c r="AA1436" s="21"/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W1436" s="296"/>
      <c r="CY1436" s="296"/>
    </row>
    <row r="1437" spans="3:103" s="19" customFormat="1" ht="12">
      <c r="C1437" s="21"/>
      <c r="D1437" s="21"/>
      <c r="E1437" s="21"/>
      <c r="F1437" s="21"/>
      <c r="G1437" s="21"/>
      <c r="H1437" s="21"/>
      <c r="I1437" s="21"/>
      <c r="J1437" s="21"/>
      <c r="K1437" s="21"/>
      <c r="L1437" s="21"/>
      <c r="M1437" s="21"/>
      <c r="N1437" s="21"/>
      <c r="O1437" s="21"/>
      <c r="P1437" s="21"/>
      <c r="Q1437" s="21"/>
      <c r="R1437" s="21"/>
      <c r="S1437" s="21"/>
      <c r="T1437" s="21"/>
      <c r="U1437" s="21"/>
      <c r="V1437" s="21"/>
      <c r="W1437" s="21"/>
      <c r="X1437" s="21"/>
      <c r="Y1437" s="21"/>
      <c r="Z1437" s="21"/>
      <c r="AA1437" s="21"/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W1437" s="296"/>
      <c r="CY1437" s="296"/>
    </row>
    <row r="1438" spans="3:103" s="19" customFormat="1" ht="12">
      <c r="C1438" s="21"/>
      <c r="D1438" s="21"/>
      <c r="E1438" s="21"/>
      <c r="F1438" s="21"/>
      <c r="G1438" s="21"/>
      <c r="H1438" s="21"/>
      <c r="I1438" s="21"/>
      <c r="J1438" s="21"/>
      <c r="K1438" s="21"/>
      <c r="L1438" s="21"/>
      <c r="M1438" s="21"/>
      <c r="N1438" s="21"/>
      <c r="O1438" s="21"/>
      <c r="P1438" s="21"/>
      <c r="Q1438" s="21"/>
      <c r="R1438" s="21"/>
      <c r="S1438" s="21"/>
      <c r="T1438" s="21"/>
      <c r="U1438" s="21"/>
      <c r="V1438" s="21"/>
      <c r="W1438" s="21"/>
      <c r="X1438" s="21"/>
      <c r="Y1438" s="21"/>
      <c r="Z1438" s="21"/>
      <c r="AA1438" s="21"/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W1438" s="296"/>
      <c r="CY1438" s="296"/>
    </row>
    <row r="1439" spans="3:103" s="19" customFormat="1" ht="12">
      <c r="C1439" s="21"/>
      <c r="D1439" s="21"/>
      <c r="E1439" s="21"/>
      <c r="F1439" s="21"/>
      <c r="G1439" s="21"/>
      <c r="H1439" s="21"/>
      <c r="I1439" s="21"/>
      <c r="J1439" s="21"/>
      <c r="K1439" s="21"/>
      <c r="L1439" s="21"/>
      <c r="M1439" s="21"/>
      <c r="N1439" s="21"/>
      <c r="O1439" s="21"/>
      <c r="P1439" s="21"/>
      <c r="Q1439" s="21"/>
      <c r="R1439" s="21"/>
      <c r="S1439" s="21"/>
      <c r="T1439" s="21"/>
      <c r="U1439" s="21"/>
      <c r="V1439" s="21"/>
      <c r="W1439" s="21"/>
      <c r="X1439" s="21"/>
      <c r="Y1439" s="21"/>
      <c r="Z1439" s="21"/>
      <c r="AA1439" s="21"/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W1439" s="296"/>
      <c r="CY1439" s="296"/>
    </row>
    <row r="1440" spans="3:103" s="19" customFormat="1" ht="12">
      <c r="C1440" s="21"/>
      <c r="D1440" s="21"/>
      <c r="E1440" s="21"/>
      <c r="F1440" s="21"/>
      <c r="G1440" s="21"/>
      <c r="H1440" s="21"/>
      <c r="I1440" s="21"/>
      <c r="J1440" s="21"/>
      <c r="K1440" s="21"/>
      <c r="L1440" s="21"/>
      <c r="M1440" s="21"/>
      <c r="N1440" s="21"/>
      <c r="O1440" s="21"/>
      <c r="P1440" s="21"/>
      <c r="Q1440" s="21"/>
      <c r="R1440" s="21"/>
      <c r="S1440" s="21"/>
      <c r="T1440" s="21"/>
      <c r="U1440" s="21"/>
      <c r="V1440" s="21"/>
      <c r="W1440" s="21"/>
      <c r="X1440" s="21"/>
      <c r="Y1440" s="21"/>
      <c r="Z1440" s="21"/>
      <c r="AA1440" s="21"/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W1440" s="296"/>
      <c r="CY1440" s="296"/>
    </row>
    <row r="1441" spans="3:103" s="19" customFormat="1" ht="12">
      <c r="C1441" s="21"/>
      <c r="D1441" s="21"/>
      <c r="E1441" s="21"/>
      <c r="F1441" s="21"/>
      <c r="G1441" s="21"/>
      <c r="H1441" s="21"/>
      <c r="I1441" s="21"/>
      <c r="J1441" s="21"/>
      <c r="K1441" s="21"/>
      <c r="L1441" s="21"/>
      <c r="M1441" s="21"/>
      <c r="N1441" s="21"/>
      <c r="O1441" s="21"/>
      <c r="P1441" s="21"/>
      <c r="Q1441" s="21"/>
      <c r="R1441" s="21"/>
      <c r="S1441" s="21"/>
      <c r="T1441" s="21"/>
      <c r="U1441" s="21"/>
      <c r="V1441" s="21"/>
      <c r="W1441" s="21"/>
      <c r="X1441" s="21"/>
      <c r="Y1441" s="21"/>
      <c r="Z1441" s="21"/>
      <c r="AA1441" s="21"/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W1441" s="296"/>
      <c r="CY1441" s="296"/>
    </row>
    <row r="1442" spans="3:103" s="19" customFormat="1" ht="12">
      <c r="C1442" s="21"/>
      <c r="D1442" s="21"/>
      <c r="E1442" s="21"/>
      <c r="F1442" s="21"/>
      <c r="G1442" s="21"/>
      <c r="H1442" s="21"/>
      <c r="I1442" s="21"/>
      <c r="J1442" s="21"/>
      <c r="K1442" s="21"/>
      <c r="L1442" s="21"/>
      <c r="M1442" s="21"/>
      <c r="N1442" s="21"/>
      <c r="O1442" s="21"/>
      <c r="P1442" s="21"/>
      <c r="Q1442" s="21"/>
      <c r="R1442" s="21"/>
      <c r="S1442" s="21"/>
      <c r="T1442" s="21"/>
      <c r="U1442" s="21"/>
      <c r="V1442" s="21"/>
      <c r="W1442" s="21"/>
      <c r="X1442" s="21"/>
      <c r="Y1442" s="21"/>
      <c r="Z1442" s="21"/>
      <c r="AA1442" s="21"/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W1442" s="296"/>
      <c r="CY1442" s="296"/>
    </row>
    <row r="1443" spans="3:103" s="19" customFormat="1" ht="12">
      <c r="C1443" s="21"/>
      <c r="D1443" s="21"/>
      <c r="E1443" s="21"/>
      <c r="F1443" s="21"/>
      <c r="G1443" s="21"/>
      <c r="H1443" s="21"/>
      <c r="I1443" s="21"/>
      <c r="J1443" s="21"/>
      <c r="K1443" s="21"/>
      <c r="L1443" s="21"/>
      <c r="M1443" s="21"/>
      <c r="N1443" s="21"/>
      <c r="O1443" s="21"/>
      <c r="P1443" s="21"/>
      <c r="Q1443" s="21"/>
      <c r="R1443" s="21"/>
      <c r="S1443" s="21"/>
      <c r="T1443" s="21"/>
      <c r="U1443" s="21"/>
      <c r="V1443" s="21"/>
      <c r="W1443" s="21"/>
      <c r="X1443" s="21"/>
      <c r="Y1443" s="21"/>
      <c r="Z1443" s="21"/>
      <c r="AA1443" s="21"/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W1443" s="296"/>
      <c r="CY1443" s="296"/>
    </row>
    <row r="1444" spans="3:103" s="19" customFormat="1" ht="12">
      <c r="C1444" s="21"/>
      <c r="D1444" s="21"/>
      <c r="E1444" s="21"/>
      <c r="F1444" s="21"/>
      <c r="G1444" s="21"/>
      <c r="H1444" s="21"/>
      <c r="I1444" s="21"/>
      <c r="J1444" s="21"/>
      <c r="K1444" s="21"/>
      <c r="L1444" s="21"/>
      <c r="M1444" s="21"/>
      <c r="N1444" s="21"/>
      <c r="O1444" s="21"/>
      <c r="P1444" s="21"/>
      <c r="Q1444" s="21"/>
      <c r="R1444" s="21"/>
      <c r="S1444" s="21"/>
      <c r="T1444" s="21"/>
      <c r="U1444" s="21"/>
      <c r="V1444" s="21"/>
      <c r="W1444" s="21"/>
      <c r="X1444" s="21"/>
      <c r="Y1444" s="21"/>
      <c r="Z1444" s="21"/>
      <c r="AA1444" s="21"/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W1444" s="296"/>
      <c r="CY1444" s="296"/>
    </row>
    <row r="1445" spans="3:103" s="19" customFormat="1" ht="12">
      <c r="C1445" s="21"/>
      <c r="D1445" s="21"/>
      <c r="E1445" s="21"/>
      <c r="F1445" s="21"/>
      <c r="G1445" s="21"/>
      <c r="H1445" s="21"/>
      <c r="I1445" s="21"/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W1445" s="296"/>
      <c r="CY1445" s="296"/>
    </row>
    <row r="1446" spans="3:103" s="19" customFormat="1" ht="12">
      <c r="C1446" s="21"/>
      <c r="D1446" s="21"/>
      <c r="E1446" s="21"/>
      <c r="F1446" s="21"/>
      <c r="G1446" s="21"/>
      <c r="H1446" s="21"/>
      <c r="I1446" s="21"/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W1446" s="296"/>
      <c r="CY1446" s="296"/>
    </row>
    <row r="1447" spans="3:103" s="19" customFormat="1" ht="12">
      <c r="C1447" s="21"/>
      <c r="D1447" s="21"/>
      <c r="E1447" s="21"/>
      <c r="F1447" s="21"/>
      <c r="G1447" s="21"/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W1447" s="296"/>
      <c r="CY1447" s="296"/>
    </row>
    <row r="1448" spans="3:103" s="19" customFormat="1" ht="12">
      <c r="C1448" s="21"/>
      <c r="D1448" s="21"/>
      <c r="E1448" s="21"/>
      <c r="F1448" s="21"/>
      <c r="G1448" s="21"/>
      <c r="H1448" s="21"/>
      <c r="I1448" s="21"/>
      <c r="J1448" s="21"/>
      <c r="K1448" s="21"/>
      <c r="L1448" s="21"/>
      <c r="M1448" s="21"/>
      <c r="N1448" s="21"/>
      <c r="O1448" s="21"/>
      <c r="P1448" s="21"/>
      <c r="Q1448" s="21"/>
      <c r="R1448" s="21"/>
      <c r="S1448" s="21"/>
      <c r="T1448" s="21"/>
      <c r="U1448" s="21"/>
      <c r="V1448" s="21"/>
      <c r="W1448" s="21"/>
      <c r="X1448" s="21"/>
      <c r="Y1448" s="21"/>
      <c r="Z1448" s="21"/>
      <c r="AA1448" s="21"/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W1448" s="296"/>
      <c r="CY1448" s="296"/>
    </row>
    <row r="1449" spans="3:103" s="19" customFormat="1" ht="12">
      <c r="C1449" s="21"/>
      <c r="D1449" s="21"/>
      <c r="E1449" s="21"/>
      <c r="F1449" s="21"/>
      <c r="G1449" s="21"/>
      <c r="H1449" s="21"/>
      <c r="I1449" s="21"/>
      <c r="J1449" s="21"/>
      <c r="K1449" s="21"/>
      <c r="L1449" s="21"/>
      <c r="M1449" s="21"/>
      <c r="N1449" s="21"/>
      <c r="O1449" s="21"/>
      <c r="P1449" s="21"/>
      <c r="Q1449" s="21"/>
      <c r="R1449" s="21"/>
      <c r="S1449" s="21"/>
      <c r="T1449" s="21"/>
      <c r="U1449" s="21"/>
      <c r="V1449" s="21"/>
      <c r="W1449" s="21"/>
      <c r="X1449" s="21"/>
      <c r="Y1449" s="21"/>
      <c r="Z1449" s="21"/>
      <c r="AA1449" s="21"/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W1449" s="296"/>
      <c r="CY1449" s="296"/>
    </row>
    <row r="1450" spans="3:103" s="19" customFormat="1" ht="12">
      <c r="C1450" s="21"/>
      <c r="D1450" s="21"/>
      <c r="E1450" s="21"/>
      <c r="F1450" s="21"/>
      <c r="G1450" s="21"/>
      <c r="H1450" s="21"/>
      <c r="I1450" s="21"/>
      <c r="J1450" s="21"/>
      <c r="K1450" s="21"/>
      <c r="L1450" s="21"/>
      <c r="M1450" s="21"/>
      <c r="N1450" s="21"/>
      <c r="O1450" s="21"/>
      <c r="P1450" s="21"/>
      <c r="Q1450" s="21"/>
      <c r="R1450" s="21"/>
      <c r="S1450" s="21"/>
      <c r="T1450" s="21"/>
      <c r="U1450" s="21"/>
      <c r="V1450" s="21"/>
      <c r="W1450" s="21"/>
      <c r="X1450" s="21"/>
      <c r="Y1450" s="21"/>
      <c r="Z1450" s="21"/>
      <c r="AA1450" s="21"/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W1450" s="296"/>
      <c r="CY1450" s="296"/>
    </row>
    <row r="1451" spans="3:103" s="19" customFormat="1" ht="12">
      <c r="C1451" s="21"/>
      <c r="D1451" s="21"/>
      <c r="E1451" s="21"/>
      <c r="F1451" s="21"/>
      <c r="G1451" s="21"/>
      <c r="H1451" s="21"/>
      <c r="I1451" s="21"/>
      <c r="J1451" s="21"/>
      <c r="K1451" s="21"/>
      <c r="L1451" s="21"/>
      <c r="M1451" s="21"/>
      <c r="N1451" s="21"/>
      <c r="O1451" s="21"/>
      <c r="P1451" s="21"/>
      <c r="Q1451" s="21"/>
      <c r="R1451" s="21"/>
      <c r="S1451" s="21"/>
      <c r="T1451" s="21"/>
      <c r="U1451" s="21"/>
      <c r="V1451" s="21"/>
      <c r="W1451" s="21"/>
      <c r="X1451" s="21"/>
      <c r="Y1451" s="21"/>
      <c r="Z1451" s="21"/>
      <c r="AA1451" s="21"/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W1451" s="296"/>
      <c r="CY1451" s="296"/>
    </row>
    <row r="1452" spans="3:103" s="19" customFormat="1" ht="12">
      <c r="C1452" s="21"/>
      <c r="D1452" s="21"/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W1452" s="296"/>
      <c r="CY1452" s="296"/>
    </row>
    <row r="1453" spans="3:103" s="19" customFormat="1" ht="12">
      <c r="C1453" s="21"/>
      <c r="D1453" s="21"/>
      <c r="E1453" s="21"/>
      <c r="F1453" s="21"/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W1453" s="296"/>
      <c r="CY1453" s="296"/>
    </row>
    <row r="1454" spans="3:103" s="19" customFormat="1" ht="12">
      <c r="C1454" s="21"/>
      <c r="D1454" s="21"/>
      <c r="E1454" s="21"/>
      <c r="F1454" s="21"/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W1454" s="296"/>
      <c r="CY1454" s="296"/>
    </row>
    <row r="1455" spans="3:103" s="19" customFormat="1" ht="12">
      <c r="C1455" s="21"/>
      <c r="D1455" s="21"/>
      <c r="E1455" s="21"/>
      <c r="F1455" s="21"/>
      <c r="G1455" s="21"/>
      <c r="H1455" s="21"/>
      <c r="I1455" s="21"/>
      <c r="J1455" s="21"/>
      <c r="K1455" s="21"/>
      <c r="L1455" s="21"/>
      <c r="M1455" s="21"/>
      <c r="N1455" s="21"/>
      <c r="O1455" s="21"/>
      <c r="P1455" s="21"/>
      <c r="Q1455" s="21"/>
      <c r="R1455" s="21"/>
      <c r="S1455" s="21"/>
      <c r="T1455" s="21"/>
      <c r="U1455" s="21"/>
      <c r="V1455" s="21"/>
      <c r="W1455" s="21"/>
      <c r="X1455" s="21"/>
      <c r="Y1455" s="21"/>
      <c r="Z1455" s="21"/>
      <c r="AA1455" s="21"/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W1455" s="296"/>
      <c r="CY1455" s="296"/>
    </row>
    <row r="1456" spans="3:103" s="19" customFormat="1" ht="12">
      <c r="C1456" s="21"/>
      <c r="D1456" s="21"/>
      <c r="E1456" s="21"/>
      <c r="F1456" s="21"/>
      <c r="G1456" s="21"/>
      <c r="H1456" s="21"/>
      <c r="I1456" s="21"/>
      <c r="J1456" s="21"/>
      <c r="K1456" s="21"/>
      <c r="L1456" s="21"/>
      <c r="M1456" s="21"/>
      <c r="N1456" s="21"/>
      <c r="O1456" s="21"/>
      <c r="P1456" s="21"/>
      <c r="Q1456" s="21"/>
      <c r="R1456" s="21"/>
      <c r="S1456" s="21"/>
      <c r="T1456" s="21"/>
      <c r="U1456" s="21"/>
      <c r="V1456" s="21"/>
      <c r="W1456" s="21"/>
      <c r="X1456" s="21"/>
      <c r="Y1456" s="21"/>
      <c r="Z1456" s="21"/>
      <c r="AA1456" s="21"/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W1456" s="296"/>
      <c r="CY1456" s="296"/>
    </row>
    <row r="1457" spans="3:103" s="19" customFormat="1" ht="12">
      <c r="C1457" s="21"/>
      <c r="D1457" s="21"/>
      <c r="E1457" s="21"/>
      <c r="F1457" s="21"/>
      <c r="G1457" s="21"/>
      <c r="H1457" s="21"/>
      <c r="I1457" s="21"/>
      <c r="J1457" s="21"/>
      <c r="K1457" s="21"/>
      <c r="L1457" s="21"/>
      <c r="M1457" s="21"/>
      <c r="N1457" s="21"/>
      <c r="O1457" s="21"/>
      <c r="P1457" s="21"/>
      <c r="Q1457" s="21"/>
      <c r="R1457" s="21"/>
      <c r="S1457" s="21"/>
      <c r="T1457" s="21"/>
      <c r="U1457" s="21"/>
      <c r="V1457" s="21"/>
      <c r="W1457" s="21"/>
      <c r="X1457" s="21"/>
      <c r="Y1457" s="21"/>
      <c r="Z1457" s="21"/>
      <c r="AA1457" s="21"/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W1457" s="296"/>
      <c r="CY1457" s="296"/>
    </row>
    <row r="1458" spans="3:103" s="19" customFormat="1" ht="12">
      <c r="C1458" s="21"/>
      <c r="D1458" s="21"/>
      <c r="E1458" s="21"/>
      <c r="F1458" s="21"/>
      <c r="G1458" s="21"/>
      <c r="H1458" s="21"/>
      <c r="I1458" s="21"/>
      <c r="J1458" s="21"/>
      <c r="K1458" s="21"/>
      <c r="L1458" s="21"/>
      <c r="M1458" s="21"/>
      <c r="N1458" s="21"/>
      <c r="O1458" s="21"/>
      <c r="P1458" s="21"/>
      <c r="Q1458" s="21"/>
      <c r="R1458" s="21"/>
      <c r="S1458" s="21"/>
      <c r="T1458" s="21"/>
      <c r="U1458" s="21"/>
      <c r="V1458" s="21"/>
      <c r="W1458" s="21"/>
      <c r="X1458" s="21"/>
      <c r="Y1458" s="21"/>
      <c r="Z1458" s="21"/>
      <c r="AA1458" s="21"/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W1458" s="296"/>
      <c r="CY1458" s="296"/>
    </row>
    <row r="1459" spans="3:103" s="19" customFormat="1" ht="12">
      <c r="C1459" s="21"/>
      <c r="D1459" s="21"/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W1459" s="296"/>
      <c r="CY1459" s="296"/>
    </row>
    <row r="1460" spans="3:103" s="19" customFormat="1" ht="12">
      <c r="C1460" s="21"/>
      <c r="D1460" s="21"/>
      <c r="E1460" s="21"/>
      <c r="F1460" s="21"/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W1460" s="296"/>
      <c r="CY1460" s="296"/>
    </row>
    <row r="1461" spans="3:103" s="19" customFormat="1" ht="12">
      <c r="C1461" s="21"/>
      <c r="D1461" s="21"/>
      <c r="E1461" s="21"/>
      <c r="F1461" s="21"/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W1461" s="296"/>
      <c r="CY1461" s="296"/>
    </row>
    <row r="1462" spans="3:103" s="19" customFormat="1" ht="12">
      <c r="C1462" s="21"/>
      <c r="D1462" s="21"/>
      <c r="E1462" s="21"/>
      <c r="F1462" s="21"/>
      <c r="G1462" s="21"/>
      <c r="H1462" s="21"/>
      <c r="I1462" s="21"/>
      <c r="J1462" s="21"/>
      <c r="K1462" s="21"/>
      <c r="L1462" s="21"/>
      <c r="M1462" s="21"/>
      <c r="N1462" s="21"/>
      <c r="O1462" s="21"/>
      <c r="P1462" s="21"/>
      <c r="Q1462" s="21"/>
      <c r="R1462" s="21"/>
      <c r="S1462" s="21"/>
      <c r="T1462" s="21"/>
      <c r="U1462" s="21"/>
      <c r="V1462" s="21"/>
      <c r="W1462" s="21"/>
      <c r="X1462" s="21"/>
      <c r="Y1462" s="21"/>
      <c r="Z1462" s="21"/>
      <c r="AA1462" s="21"/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W1462" s="296"/>
      <c r="CY1462" s="296"/>
    </row>
    <row r="1463" spans="3:103" s="19" customFormat="1" ht="12">
      <c r="C1463" s="21"/>
      <c r="D1463" s="21"/>
      <c r="E1463" s="21"/>
      <c r="F1463" s="21"/>
      <c r="G1463" s="21"/>
      <c r="H1463" s="21"/>
      <c r="I1463" s="21"/>
      <c r="J1463" s="21"/>
      <c r="K1463" s="21"/>
      <c r="L1463" s="21"/>
      <c r="M1463" s="21"/>
      <c r="N1463" s="21"/>
      <c r="O1463" s="21"/>
      <c r="P1463" s="21"/>
      <c r="Q1463" s="21"/>
      <c r="R1463" s="21"/>
      <c r="S1463" s="21"/>
      <c r="T1463" s="21"/>
      <c r="U1463" s="21"/>
      <c r="V1463" s="21"/>
      <c r="W1463" s="21"/>
      <c r="X1463" s="21"/>
      <c r="Y1463" s="21"/>
      <c r="Z1463" s="21"/>
      <c r="AA1463" s="21"/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W1463" s="296"/>
      <c r="CY1463" s="296"/>
    </row>
    <row r="1464" spans="3:103" s="19" customFormat="1" ht="12">
      <c r="C1464" s="21"/>
      <c r="D1464" s="21"/>
      <c r="E1464" s="21"/>
      <c r="F1464" s="21"/>
      <c r="G1464" s="21"/>
      <c r="H1464" s="21"/>
      <c r="I1464" s="21"/>
      <c r="J1464" s="21"/>
      <c r="K1464" s="21"/>
      <c r="L1464" s="21"/>
      <c r="M1464" s="21"/>
      <c r="N1464" s="21"/>
      <c r="O1464" s="21"/>
      <c r="P1464" s="21"/>
      <c r="Q1464" s="21"/>
      <c r="R1464" s="21"/>
      <c r="S1464" s="21"/>
      <c r="T1464" s="21"/>
      <c r="U1464" s="21"/>
      <c r="V1464" s="21"/>
      <c r="W1464" s="21"/>
      <c r="X1464" s="21"/>
      <c r="Y1464" s="21"/>
      <c r="Z1464" s="21"/>
      <c r="AA1464" s="21"/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W1464" s="296"/>
      <c r="CY1464" s="296"/>
    </row>
    <row r="1465" spans="3:103" s="19" customFormat="1" ht="12">
      <c r="C1465" s="21"/>
      <c r="D1465" s="21"/>
      <c r="E1465" s="21"/>
      <c r="F1465" s="21"/>
      <c r="G1465" s="21"/>
      <c r="H1465" s="21"/>
      <c r="I1465" s="21"/>
      <c r="J1465" s="21"/>
      <c r="K1465" s="21"/>
      <c r="L1465" s="21"/>
      <c r="M1465" s="21"/>
      <c r="N1465" s="21"/>
      <c r="O1465" s="21"/>
      <c r="P1465" s="21"/>
      <c r="Q1465" s="21"/>
      <c r="R1465" s="21"/>
      <c r="S1465" s="21"/>
      <c r="T1465" s="21"/>
      <c r="U1465" s="21"/>
      <c r="V1465" s="21"/>
      <c r="W1465" s="21"/>
      <c r="X1465" s="21"/>
      <c r="Y1465" s="21"/>
      <c r="Z1465" s="21"/>
      <c r="AA1465" s="21"/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W1465" s="296"/>
      <c r="CY1465" s="296"/>
    </row>
    <row r="1466" spans="3:103" s="19" customFormat="1" ht="12">
      <c r="C1466" s="21"/>
      <c r="D1466" s="21"/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W1466" s="296"/>
      <c r="CY1466" s="296"/>
    </row>
    <row r="1467" spans="3:103" s="19" customFormat="1" ht="12">
      <c r="C1467" s="21"/>
      <c r="D1467" s="21"/>
      <c r="E1467" s="21"/>
      <c r="F1467" s="21"/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W1467" s="296"/>
      <c r="CY1467" s="296"/>
    </row>
    <row r="1468" spans="3:103" s="19" customFormat="1" ht="12">
      <c r="C1468" s="21"/>
      <c r="D1468" s="21"/>
      <c r="E1468" s="21"/>
      <c r="F1468" s="21"/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W1468" s="296"/>
      <c r="CY1468" s="296"/>
    </row>
    <row r="1469" spans="3:103" s="19" customFormat="1" ht="12">
      <c r="C1469" s="21"/>
      <c r="D1469" s="21"/>
      <c r="E1469" s="21"/>
      <c r="F1469" s="21"/>
      <c r="G1469" s="21"/>
      <c r="H1469" s="21"/>
      <c r="I1469" s="21"/>
      <c r="J1469" s="21"/>
      <c r="K1469" s="21"/>
      <c r="L1469" s="21"/>
      <c r="M1469" s="21"/>
      <c r="N1469" s="21"/>
      <c r="O1469" s="21"/>
      <c r="P1469" s="21"/>
      <c r="Q1469" s="21"/>
      <c r="R1469" s="21"/>
      <c r="S1469" s="21"/>
      <c r="T1469" s="21"/>
      <c r="U1469" s="21"/>
      <c r="V1469" s="21"/>
      <c r="W1469" s="21"/>
      <c r="X1469" s="21"/>
      <c r="Y1469" s="21"/>
      <c r="Z1469" s="21"/>
      <c r="AA1469" s="21"/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W1469" s="296"/>
      <c r="CY1469" s="296"/>
    </row>
    <row r="1470" spans="3:103" s="19" customFormat="1" ht="12">
      <c r="C1470" s="21"/>
      <c r="D1470" s="21"/>
      <c r="E1470" s="21"/>
      <c r="F1470" s="21"/>
      <c r="G1470" s="21"/>
      <c r="H1470" s="21"/>
      <c r="I1470" s="21"/>
      <c r="J1470" s="21"/>
      <c r="K1470" s="21"/>
      <c r="L1470" s="21"/>
      <c r="M1470" s="21"/>
      <c r="N1470" s="21"/>
      <c r="O1470" s="21"/>
      <c r="P1470" s="21"/>
      <c r="Q1470" s="21"/>
      <c r="R1470" s="21"/>
      <c r="S1470" s="21"/>
      <c r="T1470" s="21"/>
      <c r="U1470" s="21"/>
      <c r="V1470" s="21"/>
      <c r="W1470" s="21"/>
      <c r="X1470" s="21"/>
      <c r="Y1470" s="21"/>
      <c r="Z1470" s="21"/>
      <c r="AA1470" s="21"/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W1470" s="296"/>
      <c r="CY1470" s="296"/>
    </row>
    <row r="1471" spans="3:103" s="19" customFormat="1" ht="12">
      <c r="C1471" s="21"/>
      <c r="D1471" s="21"/>
      <c r="E1471" s="21"/>
      <c r="F1471" s="21"/>
      <c r="G1471" s="21"/>
      <c r="H1471" s="21"/>
      <c r="I1471" s="21"/>
      <c r="J1471" s="21"/>
      <c r="K1471" s="21"/>
      <c r="L1471" s="21"/>
      <c r="M1471" s="21"/>
      <c r="N1471" s="21"/>
      <c r="O1471" s="21"/>
      <c r="P1471" s="21"/>
      <c r="Q1471" s="21"/>
      <c r="R1471" s="21"/>
      <c r="S1471" s="21"/>
      <c r="T1471" s="21"/>
      <c r="U1471" s="21"/>
      <c r="V1471" s="21"/>
      <c r="W1471" s="21"/>
      <c r="X1471" s="21"/>
      <c r="Y1471" s="21"/>
      <c r="Z1471" s="21"/>
      <c r="AA1471" s="21"/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W1471" s="296"/>
      <c r="CY1471" s="296"/>
    </row>
    <row r="1472" spans="3:103" s="19" customFormat="1" ht="12">
      <c r="C1472" s="21"/>
      <c r="D1472" s="21"/>
      <c r="E1472" s="21"/>
      <c r="F1472" s="21"/>
      <c r="G1472" s="21"/>
      <c r="H1472" s="21"/>
      <c r="I1472" s="21"/>
      <c r="J1472" s="21"/>
      <c r="K1472" s="21"/>
      <c r="L1472" s="21"/>
      <c r="M1472" s="21"/>
      <c r="N1472" s="21"/>
      <c r="O1472" s="21"/>
      <c r="P1472" s="21"/>
      <c r="Q1472" s="21"/>
      <c r="R1472" s="21"/>
      <c r="S1472" s="21"/>
      <c r="T1472" s="21"/>
      <c r="U1472" s="21"/>
      <c r="V1472" s="21"/>
      <c r="W1472" s="21"/>
      <c r="X1472" s="21"/>
      <c r="Y1472" s="21"/>
      <c r="Z1472" s="21"/>
      <c r="AA1472" s="21"/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W1472" s="296"/>
      <c r="CY1472" s="296"/>
    </row>
    <row r="1473" spans="3:103" s="19" customFormat="1" ht="12">
      <c r="C1473" s="21"/>
      <c r="D1473" s="21"/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W1473" s="296"/>
      <c r="CY1473" s="296"/>
    </row>
    <row r="1474" spans="3:103" s="19" customFormat="1" ht="12">
      <c r="C1474" s="21"/>
      <c r="D1474" s="21"/>
      <c r="E1474" s="21"/>
      <c r="F1474" s="21"/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W1474" s="296"/>
      <c r="CY1474" s="296"/>
    </row>
    <row r="1475" spans="3:103" s="19" customFormat="1" ht="12">
      <c r="C1475" s="21"/>
      <c r="D1475" s="21"/>
      <c r="E1475" s="21"/>
      <c r="F1475" s="21"/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W1475" s="296"/>
      <c r="CY1475" s="296"/>
    </row>
    <row r="1476" spans="3:103" s="19" customFormat="1" ht="12">
      <c r="C1476" s="21"/>
      <c r="D1476" s="21"/>
      <c r="E1476" s="21"/>
      <c r="F1476" s="21"/>
      <c r="G1476" s="21"/>
      <c r="H1476" s="21"/>
      <c r="I1476" s="21"/>
      <c r="J1476" s="21"/>
      <c r="K1476" s="21"/>
      <c r="L1476" s="21"/>
      <c r="M1476" s="21"/>
      <c r="N1476" s="21"/>
      <c r="O1476" s="21"/>
      <c r="P1476" s="21"/>
      <c r="Q1476" s="21"/>
      <c r="R1476" s="21"/>
      <c r="S1476" s="21"/>
      <c r="T1476" s="21"/>
      <c r="U1476" s="21"/>
      <c r="V1476" s="21"/>
      <c r="W1476" s="21"/>
      <c r="X1476" s="21"/>
      <c r="Y1476" s="21"/>
      <c r="Z1476" s="21"/>
      <c r="AA1476" s="21"/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W1476" s="296"/>
      <c r="CY1476" s="296"/>
    </row>
    <row r="1477" spans="3:103" s="19" customFormat="1" ht="12">
      <c r="C1477" s="21"/>
      <c r="D1477" s="21"/>
      <c r="E1477" s="21"/>
      <c r="F1477" s="21"/>
      <c r="G1477" s="21"/>
      <c r="H1477" s="21"/>
      <c r="I1477" s="21"/>
      <c r="J1477" s="21"/>
      <c r="K1477" s="21"/>
      <c r="L1477" s="21"/>
      <c r="M1477" s="21"/>
      <c r="N1477" s="21"/>
      <c r="O1477" s="21"/>
      <c r="P1477" s="21"/>
      <c r="Q1477" s="21"/>
      <c r="R1477" s="21"/>
      <c r="S1477" s="21"/>
      <c r="T1477" s="21"/>
      <c r="U1477" s="21"/>
      <c r="V1477" s="21"/>
      <c r="W1477" s="21"/>
      <c r="X1477" s="21"/>
      <c r="Y1477" s="21"/>
      <c r="Z1477" s="21"/>
      <c r="AA1477" s="21"/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W1477" s="296"/>
      <c r="CY1477" s="296"/>
    </row>
    <row r="1478" spans="3:103" s="19" customFormat="1" ht="12">
      <c r="C1478" s="21"/>
      <c r="D1478" s="21"/>
      <c r="E1478" s="21"/>
      <c r="F1478" s="21"/>
      <c r="G1478" s="21"/>
      <c r="H1478" s="21"/>
      <c r="I1478" s="21"/>
      <c r="J1478" s="21"/>
      <c r="K1478" s="21"/>
      <c r="L1478" s="21"/>
      <c r="M1478" s="21"/>
      <c r="N1478" s="21"/>
      <c r="O1478" s="21"/>
      <c r="P1478" s="21"/>
      <c r="Q1478" s="21"/>
      <c r="R1478" s="21"/>
      <c r="S1478" s="21"/>
      <c r="T1478" s="21"/>
      <c r="U1478" s="21"/>
      <c r="V1478" s="21"/>
      <c r="W1478" s="21"/>
      <c r="X1478" s="21"/>
      <c r="Y1478" s="21"/>
      <c r="Z1478" s="21"/>
      <c r="AA1478" s="21"/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W1478" s="296"/>
      <c r="CY1478" s="296"/>
    </row>
    <row r="1479" spans="3:103" s="19" customFormat="1" ht="12">
      <c r="C1479" s="21"/>
      <c r="D1479" s="21"/>
      <c r="E1479" s="21"/>
      <c r="F1479" s="21"/>
      <c r="G1479" s="21"/>
      <c r="H1479" s="21"/>
      <c r="I1479" s="21"/>
      <c r="J1479" s="21"/>
      <c r="K1479" s="21"/>
      <c r="L1479" s="21"/>
      <c r="M1479" s="21"/>
      <c r="N1479" s="21"/>
      <c r="O1479" s="21"/>
      <c r="P1479" s="21"/>
      <c r="Q1479" s="21"/>
      <c r="R1479" s="21"/>
      <c r="S1479" s="21"/>
      <c r="T1479" s="21"/>
      <c r="U1479" s="21"/>
      <c r="V1479" s="21"/>
      <c r="W1479" s="21"/>
      <c r="X1479" s="21"/>
      <c r="Y1479" s="21"/>
      <c r="Z1479" s="21"/>
      <c r="AA1479" s="21"/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W1479" s="296"/>
      <c r="CY1479" s="296"/>
    </row>
    <row r="1480" spans="3:103" s="19" customFormat="1" ht="12">
      <c r="C1480" s="21"/>
      <c r="D1480" s="21"/>
      <c r="E1480" s="21"/>
      <c r="F1480" s="21"/>
      <c r="G1480" s="21"/>
      <c r="H1480" s="21"/>
      <c r="I1480" s="21"/>
      <c r="J1480" s="21"/>
      <c r="K1480" s="21"/>
      <c r="L1480" s="21"/>
      <c r="M1480" s="21"/>
      <c r="N1480" s="21"/>
      <c r="O1480" s="21"/>
      <c r="P1480" s="21"/>
      <c r="Q1480" s="21"/>
      <c r="R1480" s="21"/>
      <c r="S1480" s="21"/>
      <c r="T1480" s="21"/>
      <c r="U1480" s="21"/>
      <c r="V1480" s="21"/>
      <c r="W1480" s="21"/>
      <c r="X1480" s="21"/>
      <c r="Y1480" s="21"/>
      <c r="Z1480" s="21"/>
      <c r="AA1480" s="21"/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W1480" s="296"/>
      <c r="CY1480" s="296"/>
    </row>
    <row r="1481" spans="3:103" s="19" customFormat="1" ht="12">
      <c r="C1481" s="21"/>
      <c r="D1481" s="21"/>
      <c r="E1481" s="21"/>
      <c r="F1481" s="21"/>
      <c r="G1481" s="21"/>
      <c r="H1481" s="21"/>
      <c r="I1481" s="21"/>
      <c r="J1481" s="21"/>
      <c r="K1481" s="21"/>
      <c r="L1481" s="21"/>
      <c r="M1481" s="21"/>
      <c r="N1481" s="21"/>
      <c r="O1481" s="21"/>
      <c r="P1481" s="21"/>
      <c r="Q1481" s="21"/>
      <c r="R1481" s="21"/>
      <c r="S1481" s="21"/>
      <c r="T1481" s="21"/>
      <c r="U1481" s="21"/>
      <c r="V1481" s="21"/>
      <c r="W1481" s="21"/>
      <c r="X1481" s="21"/>
      <c r="Y1481" s="21"/>
      <c r="Z1481" s="21"/>
      <c r="AA1481" s="21"/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W1481" s="296"/>
      <c r="CY1481" s="296"/>
    </row>
    <row r="1482" spans="3:103" s="19" customFormat="1" ht="12">
      <c r="C1482" s="21"/>
      <c r="D1482" s="21"/>
      <c r="E1482" s="21"/>
      <c r="F1482" s="21"/>
      <c r="G1482" s="21"/>
      <c r="H1482" s="21"/>
      <c r="I1482" s="21"/>
      <c r="J1482" s="21"/>
      <c r="K1482" s="21"/>
      <c r="L1482" s="21"/>
      <c r="M1482" s="21"/>
      <c r="N1482" s="21"/>
      <c r="O1482" s="21"/>
      <c r="P1482" s="21"/>
      <c r="Q1482" s="21"/>
      <c r="R1482" s="21"/>
      <c r="S1482" s="21"/>
      <c r="T1482" s="21"/>
      <c r="U1482" s="21"/>
      <c r="V1482" s="21"/>
      <c r="W1482" s="21"/>
      <c r="X1482" s="21"/>
      <c r="Y1482" s="21"/>
      <c r="Z1482" s="21"/>
      <c r="AA1482" s="21"/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W1482" s="296"/>
      <c r="CY1482" s="296"/>
    </row>
    <row r="1483" spans="3:103" s="19" customFormat="1" ht="12">
      <c r="C1483" s="21"/>
      <c r="D1483" s="21"/>
      <c r="E1483" s="21"/>
      <c r="F1483" s="21"/>
      <c r="G1483" s="21"/>
      <c r="H1483" s="21"/>
      <c r="I1483" s="21"/>
      <c r="J1483" s="21"/>
      <c r="K1483" s="21"/>
      <c r="L1483" s="21"/>
      <c r="M1483" s="21"/>
      <c r="N1483" s="21"/>
      <c r="O1483" s="21"/>
      <c r="P1483" s="21"/>
      <c r="Q1483" s="21"/>
      <c r="R1483" s="21"/>
      <c r="S1483" s="21"/>
      <c r="T1483" s="21"/>
      <c r="U1483" s="21"/>
      <c r="V1483" s="21"/>
      <c r="W1483" s="21"/>
      <c r="X1483" s="21"/>
      <c r="Y1483" s="21"/>
      <c r="Z1483" s="21"/>
      <c r="AA1483" s="21"/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W1483" s="296"/>
      <c r="CY1483" s="296"/>
    </row>
    <row r="1484" spans="3:103" s="19" customFormat="1" ht="12">
      <c r="C1484" s="21"/>
      <c r="D1484" s="21"/>
      <c r="E1484" s="21"/>
      <c r="F1484" s="21"/>
      <c r="G1484" s="21"/>
      <c r="H1484" s="21"/>
      <c r="I1484" s="21"/>
      <c r="J1484" s="21"/>
      <c r="K1484" s="21"/>
      <c r="L1484" s="21"/>
      <c r="M1484" s="21"/>
      <c r="N1484" s="21"/>
      <c r="O1484" s="21"/>
      <c r="P1484" s="21"/>
      <c r="Q1484" s="21"/>
      <c r="R1484" s="21"/>
      <c r="S1484" s="21"/>
      <c r="T1484" s="21"/>
      <c r="U1484" s="21"/>
      <c r="V1484" s="21"/>
      <c r="W1484" s="21"/>
      <c r="X1484" s="21"/>
      <c r="Y1484" s="21"/>
      <c r="Z1484" s="21"/>
      <c r="AA1484" s="21"/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W1484" s="296"/>
      <c r="CY1484" s="296"/>
    </row>
    <row r="1485" spans="3:103" s="19" customFormat="1" ht="12">
      <c r="C1485" s="21"/>
      <c r="D1485" s="21"/>
      <c r="E1485" s="21"/>
      <c r="F1485" s="21"/>
      <c r="G1485" s="21"/>
      <c r="H1485" s="21"/>
      <c r="I1485" s="21"/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W1485" s="296"/>
      <c r="CY1485" s="296"/>
    </row>
    <row r="1486" spans="3:103" s="19" customFormat="1" ht="12">
      <c r="C1486" s="21"/>
      <c r="D1486" s="21"/>
      <c r="E1486" s="21"/>
      <c r="F1486" s="21"/>
      <c r="G1486" s="21"/>
      <c r="H1486" s="21"/>
      <c r="I1486" s="21"/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W1486" s="296"/>
      <c r="CY1486" s="296"/>
    </row>
    <row r="1487" spans="3:103" s="19" customFormat="1" ht="12">
      <c r="C1487" s="21"/>
      <c r="D1487" s="21"/>
      <c r="E1487" s="21"/>
      <c r="F1487" s="21"/>
      <c r="G1487" s="21"/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W1487" s="296"/>
      <c r="CY1487" s="296"/>
    </row>
    <row r="1488" spans="3:103" s="19" customFormat="1" ht="12">
      <c r="C1488" s="21"/>
      <c r="D1488" s="21"/>
      <c r="E1488" s="21"/>
      <c r="F1488" s="21"/>
      <c r="G1488" s="21"/>
      <c r="H1488" s="21"/>
      <c r="I1488" s="21"/>
      <c r="J1488" s="21"/>
      <c r="K1488" s="21"/>
      <c r="L1488" s="21"/>
      <c r="M1488" s="21"/>
      <c r="N1488" s="21"/>
      <c r="O1488" s="21"/>
      <c r="P1488" s="21"/>
      <c r="Q1488" s="21"/>
      <c r="R1488" s="21"/>
      <c r="S1488" s="21"/>
      <c r="T1488" s="21"/>
      <c r="U1488" s="21"/>
      <c r="V1488" s="21"/>
      <c r="W1488" s="21"/>
      <c r="X1488" s="21"/>
      <c r="Y1488" s="21"/>
      <c r="Z1488" s="21"/>
      <c r="AA1488" s="21"/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W1488" s="296"/>
      <c r="CY1488" s="296"/>
    </row>
    <row r="1489" spans="3:103" s="19" customFormat="1" ht="12">
      <c r="C1489" s="21"/>
      <c r="D1489" s="21"/>
      <c r="E1489" s="21"/>
      <c r="F1489" s="21"/>
      <c r="G1489" s="21"/>
      <c r="H1489" s="21"/>
      <c r="I1489" s="21"/>
      <c r="J1489" s="21"/>
      <c r="K1489" s="21"/>
      <c r="L1489" s="21"/>
      <c r="M1489" s="21"/>
      <c r="N1489" s="21"/>
      <c r="O1489" s="21"/>
      <c r="P1489" s="21"/>
      <c r="Q1489" s="21"/>
      <c r="R1489" s="21"/>
      <c r="S1489" s="21"/>
      <c r="T1489" s="21"/>
      <c r="U1489" s="21"/>
      <c r="V1489" s="21"/>
      <c r="W1489" s="21"/>
      <c r="X1489" s="21"/>
      <c r="Y1489" s="21"/>
      <c r="Z1489" s="21"/>
      <c r="AA1489" s="21"/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W1489" s="296"/>
      <c r="CY1489" s="296"/>
    </row>
    <row r="1490" spans="3:103" s="19" customFormat="1" ht="12">
      <c r="C1490" s="21"/>
      <c r="D1490" s="21"/>
      <c r="E1490" s="21"/>
      <c r="F1490" s="21"/>
      <c r="G1490" s="21"/>
      <c r="H1490" s="21"/>
      <c r="I1490" s="21"/>
      <c r="J1490" s="21"/>
      <c r="K1490" s="21"/>
      <c r="L1490" s="21"/>
      <c r="M1490" s="21"/>
      <c r="N1490" s="21"/>
      <c r="O1490" s="21"/>
      <c r="P1490" s="21"/>
      <c r="Q1490" s="21"/>
      <c r="R1490" s="21"/>
      <c r="S1490" s="21"/>
      <c r="T1490" s="21"/>
      <c r="U1490" s="21"/>
      <c r="V1490" s="21"/>
      <c r="W1490" s="21"/>
      <c r="X1490" s="21"/>
      <c r="Y1490" s="21"/>
      <c r="Z1490" s="21"/>
      <c r="AA1490" s="21"/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W1490" s="296"/>
      <c r="CY1490" s="296"/>
    </row>
    <row r="1491" spans="3:103" s="19" customFormat="1" ht="12">
      <c r="C1491" s="21"/>
      <c r="D1491" s="21"/>
      <c r="E1491" s="21"/>
      <c r="F1491" s="21"/>
      <c r="G1491" s="21"/>
      <c r="H1491" s="21"/>
      <c r="I1491" s="21"/>
      <c r="J1491" s="21"/>
      <c r="K1491" s="21"/>
      <c r="L1491" s="21"/>
      <c r="M1491" s="21"/>
      <c r="N1491" s="21"/>
      <c r="O1491" s="21"/>
      <c r="P1491" s="21"/>
      <c r="Q1491" s="21"/>
      <c r="R1491" s="21"/>
      <c r="S1491" s="21"/>
      <c r="T1491" s="21"/>
      <c r="U1491" s="21"/>
      <c r="V1491" s="21"/>
      <c r="W1491" s="21"/>
      <c r="X1491" s="21"/>
      <c r="Y1491" s="21"/>
      <c r="Z1491" s="21"/>
      <c r="AA1491" s="21"/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W1491" s="296"/>
      <c r="CY1491" s="296"/>
    </row>
    <row r="1492" spans="3:103" s="19" customFormat="1" ht="12">
      <c r="C1492" s="21"/>
      <c r="D1492" s="21"/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W1492" s="296"/>
      <c r="CY1492" s="296"/>
    </row>
    <row r="1493" spans="3:103" s="19" customFormat="1" ht="12">
      <c r="C1493" s="21"/>
      <c r="D1493" s="21"/>
      <c r="E1493" s="21"/>
      <c r="F1493" s="21"/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W1493" s="296"/>
      <c r="CY1493" s="296"/>
    </row>
    <row r="1494" spans="3:103" s="19" customFormat="1" ht="12">
      <c r="C1494" s="21"/>
      <c r="D1494" s="21"/>
      <c r="E1494" s="21"/>
      <c r="F1494" s="21"/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W1494" s="296"/>
      <c r="CY1494" s="296"/>
    </row>
    <row r="1495" spans="3:103" s="19" customFormat="1" ht="12">
      <c r="C1495" s="21"/>
      <c r="D1495" s="21"/>
      <c r="E1495" s="21"/>
      <c r="F1495" s="21"/>
      <c r="G1495" s="21"/>
      <c r="H1495" s="21"/>
      <c r="I1495" s="21"/>
      <c r="J1495" s="21"/>
      <c r="K1495" s="21"/>
      <c r="L1495" s="21"/>
      <c r="M1495" s="21"/>
      <c r="N1495" s="21"/>
      <c r="O1495" s="21"/>
      <c r="P1495" s="21"/>
      <c r="Q1495" s="21"/>
      <c r="R1495" s="21"/>
      <c r="S1495" s="21"/>
      <c r="T1495" s="21"/>
      <c r="U1495" s="21"/>
      <c r="V1495" s="21"/>
      <c r="W1495" s="21"/>
      <c r="X1495" s="21"/>
      <c r="Y1495" s="21"/>
      <c r="Z1495" s="21"/>
      <c r="AA1495" s="21"/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W1495" s="296"/>
      <c r="CY1495" s="296"/>
    </row>
    <row r="1496" spans="3:103" s="19" customFormat="1" ht="12">
      <c r="C1496" s="21"/>
      <c r="D1496" s="21"/>
      <c r="E1496" s="21"/>
      <c r="F1496" s="21"/>
      <c r="G1496" s="21"/>
      <c r="H1496" s="21"/>
      <c r="I1496" s="21"/>
      <c r="J1496" s="21"/>
      <c r="K1496" s="21"/>
      <c r="L1496" s="21"/>
      <c r="M1496" s="21"/>
      <c r="N1496" s="21"/>
      <c r="O1496" s="21"/>
      <c r="P1496" s="21"/>
      <c r="Q1496" s="21"/>
      <c r="R1496" s="21"/>
      <c r="S1496" s="21"/>
      <c r="T1496" s="21"/>
      <c r="U1496" s="21"/>
      <c r="V1496" s="21"/>
      <c r="W1496" s="21"/>
      <c r="X1496" s="21"/>
      <c r="Y1496" s="21"/>
      <c r="Z1496" s="21"/>
      <c r="AA1496" s="21"/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W1496" s="296"/>
      <c r="CY1496" s="296"/>
    </row>
    <row r="1497" spans="3:103" s="19" customFormat="1" ht="12">
      <c r="C1497" s="21"/>
      <c r="D1497" s="21"/>
      <c r="E1497" s="21"/>
      <c r="F1497" s="21"/>
      <c r="G1497" s="21"/>
      <c r="H1497" s="21"/>
      <c r="I1497" s="21"/>
      <c r="J1497" s="21"/>
      <c r="K1497" s="21"/>
      <c r="L1497" s="21"/>
      <c r="M1497" s="21"/>
      <c r="N1497" s="21"/>
      <c r="O1497" s="21"/>
      <c r="P1497" s="21"/>
      <c r="Q1497" s="21"/>
      <c r="R1497" s="21"/>
      <c r="S1497" s="21"/>
      <c r="T1497" s="21"/>
      <c r="U1497" s="21"/>
      <c r="V1497" s="21"/>
      <c r="W1497" s="21"/>
      <c r="X1497" s="21"/>
      <c r="Y1497" s="21"/>
      <c r="Z1497" s="21"/>
      <c r="AA1497" s="21"/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W1497" s="296"/>
      <c r="CY1497" s="296"/>
    </row>
    <row r="1498" spans="3:103" s="19" customFormat="1" ht="12">
      <c r="C1498" s="21"/>
      <c r="D1498" s="21"/>
      <c r="E1498" s="21"/>
      <c r="F1498" s="21"/>
      <c r="G1498" s="21"/>
      <c r="H1498" s="21"/>
      <c r="I1498" s="21"/>
      <c r="J1498" s="21"/>
      <c r="K1498" s="21"/>
      <c r="L1498" s="21"/>
      <c r="M1498" s="21"/>
      <c r="N1498" s="21"/>
      <c r="O1498" s="21"/>
      <c r="P1498" s="21"/>
      <c r="Q1498" s="21"/>
      <c r="R1498" s="21"/>
      <c r="S1498" s="21"/>
      <c r="T1498" s="21"/>
      <c r="U1498" s="21"/>
      <c r="V1498" s="21"/>
      <c r="W1498" s="21"/>
      <c r="X1498" s="21"/>
      <c r="Y1498" s="21"/>
      <c r="Z1498" s="21"/>
      <c r="AA1498" s="21"/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W1498" s="296"/>
      <c r="CY1498" s="296"/>
    </row>
    <row r="1499" spans="3:103" s="19" customFormat="1" ht="12">
      <c r="C1499" s="21"/>
      <c r="D1499" s="21"/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W1499" s="296"/>
      <c r="CY1499" s="296"/>
    </row>
    <row r="1500" spans="3:103" s="19" customFormat="1" ht="12">
      <c r="C1500" s="21"/>
      <c r="D1500" s="21"/>
      <c r="E1500" s="21"/>
      <c r="F1500" s="21"/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W1500" s="296"/>
      <c r="CY1500" s="296"/>
    </row>
    <row r="1501" spans="3:103" s="19" customFormat="1" ht="12">
      <c r="C1501" s="21"/>
      <c r="D1501" s="21"/>
      <c r="E1501" s="21"/>
      <c r="F1501" s="21"/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W1501" s="296"/>
      <c r="CY1501" s="296"/>
    </row>
    <row r="1502" spans="3:103" s="19" customFormat="1" ht="12">
      <c r="C1502" s="21"/>
      <c r="D1502" s="21"/>
      <c r="E1502" s="21"/>
      <c r="F1502" s="21"/>
      <c r="G1502" s="21"/>
      <c r="H1502" s="21"/>
      <c r="I1502" s="21"/>
      <c r="J1502" s="21"/>
      <c r="K1502" s="21"/>
      <c r="L1502" s="21"/>
      <c r="M1502" s="21"/>
      <c r="N1502" s="21"/>
      <c r="O1502" s="21"/>
      <c r="P1502" s="21"/>
      <c r="Q1502" s="21"/>
      <c r="R1502" s="21"/>
      <c r="S1502" s="21"/>
      <c r="T1502" s="21"/>
      <c r="U1502" s="21"/>
      <c r="V1502" s="21"/>
      <c r="W1502" s="21"/>
      <c r="X1502" s="21"/>
      <c r="Y1502" s="21"/>
      <c r="Z1502" s="21"/>
      <c r="AA1502" s="21"/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W1502" s="296"/>
      <c r="CY1502" s="296"/>
    </row>
    <row r="1503" spans="3:103" s="19" customFormat="1" ht="12">
      <c r="C1503" s="21"/>
      <c r="D1503" s="21"/>
      <c r="E1503" s="21"/>
      <c r="F1503" s="21"/>
      <c r="G1503" s="21"/>
      <c r="H1503" s="21"/>
      <c r="I1503" s="21"/>
      <c r="J1503" s="21"/>
      <c r="K1503" s="21"/>
      <c r="L1503" s="21"/>
      <c r="M1503" s="21"/>
      <c r="N1503" s="21"/>
      <c r="O1503" s="21"/>
      <c r="P1503" s="21"/>
      <c r="Q1503" s="21"/>
      <c r="R1503" s="21"/>
      <c r="S1503" s="21"/>
      <c r="T1503" s="21"/>
      <c r="U1503" s="21"/>
      <c r="V1503" s="21"/>
      <c r="W1503" s="21"/>
      <c r="X1503" s="21"/>
      <c r="Y1503" s="21"/>
      <c r="Z1503" s="21"/>
      <c r="AA1503" s="21"/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W1503" s="296"/>
      <c r="CY1503" s="296"/>
    </row>
    <row r="1504" spans="3:103" s="19" customFormat="1" ht="12">
      <c r="C1504" s="21"/>
      <c r="D1504" s="21"/>
      <c r="E1504" s="21"/>
      <c r="F1504" s="21"/>
      <c r="G1504" s="21"/>
      <c r="H1504" s="21"/>
      <c r="I1504" s="21"/>
      <c r="J1504" s="21"/>
      <c r="K1504" s="21"/>
      <c r="L1504" s="21"/>
      <c r="M1504" s="21"/>
      <c r="N1504" s="21"/>
      <c r="O1504" s="21"/>
      <c r="P1504" s="21"/>
      <c r="Q1504" s="21"/>
      <c r="R1504" s="21"/>
      <c r="S1504" s="21"/>
      <c r="T1504" s="21"/>
      <c r="U1504" s="21"/>
      <c r="V1504" s="21"/>
      <c r="W1504" s="21"/>
      <c r="X1504" s="21"/>
      <c r="Y1504" s="21"/>
      <c r="Z1504" s="21"/>
      <c r="AA1504" s="21"/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W1504" s="296"/>
      <c r="CY1504" s="296"/>
    </row>
    <row r="1505" spans="3:103" s="19" customFormat="1" ht="12">
      <c r="C1505" s="21"/>
      <c r="D1505" s="21"/>
      <c r="E1505" s="21"/>
      <c r="F1505" s="21"/>
      <c r="G1505" s="21"/>
      <c r="H1505" s="21"/>
      <c r="I1505" s="21"/>
      <c r="J1505" s="21"/>
      <c r="K1505" s="21"/>
      <c r="L1505" s="21"/>
      <c r="M1505" s="21"/>
      <c r="N1505" s="21"/>
      <c r="O1505" s="21"/>
      <c r="P1505" s="21"/>
      <c r="Q1505" s="21"/>
      <c r="R1505" s="21"/>
      <c r="S1505" s="21"/>
      <c r="T1505" s="21"/>
      <c r="U1505" s="21"/>
      <c r="V1505" s="21"/>
      <c r="W1505" s="21"/>
      <c r="X1505" s="21"/>
      <c r="Y1505" s="21"/>
      <c r="Z1505" s="21"/>
      <c r="AA1505" s="21"/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W1505" s="296"/>
      <c r="CY1505" s="296"/>
    </row>
    <row r="1506" spans="3:103" s="19" customFormat="1" ht="12">
      <c r="C1506" s="21"/>
      <c r="D1506" s="21"/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W1506" s="296"/>
      <c r="CY1506" s="296"/>
    </row>
    <row r="1507" spans="3:103" s="19" customFormat="1" ht="12">
      <c r="C1507" s="21"/>
      <c r="D1507" s="21"/>
      <c r="E1507" s="21"/>
      <c r="F1507" s="21"/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W1507" s="296"/>
      <c r="CY1507" s="296"/>
    </row>
    <row r="1508" spans="3:103" s="19" customFormat="1" ht="12">
      <c r="C1508" s="21"/>
      <c r="D1508" s="21"/>
      <c r="E1508" s="21"/>
      <c r="F1508" s="21"/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W1508" s="296"/>
      <c r="CY1508" s="296"/>
    </row>
    <row r="1509" spans="3:103" s="19" customFormat="1" ht="12">
      <c r="C1509" s="21"/>
      <c r="D1509" s="21"/>
      <c r="E1509" s="21"/>
      <c r="F1509" s="21"/>
      <c r="G1509" s="21"/>
      <c r="H1509" s="21"/>
      <c r="I1509" s="21"/>
      <c r="J1509" s="21"/>
      <c r="K1509" s="21"/>
      <c r="L1509" s="21"/>
      <c r="M1509" s="21"/>
      <c r="N1509" s="21"/>
      <c r="O1509" s="21"/>
      <c r="P1509" s="21"/>
      <c r="Q1509" s="21"/>
      <c r="R1509" s="21"/>
      <c r="S1509" s="21"/>
      <c r="T1509" s="21"/>
      <c r="U1509" s="21"/>
      <c r="V1509" s="21"/>
      <c r="W1509" s="21"/>
      <c r="X1509" s="21"/>
      <c r="Y1509" s="21"/>
      <c r="Z1509" s="21"/>
      <c r="AA1509" s="21"/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W1509" s="296"/>
      <c r="CY1509" s="296"/>
    </row>
    <row r="1510" spans="3:103" s="19" customFormat="1" ht="12">
      <c r="C1510" s="21"/>
      <c r="D1510" s="21"/>
      <c r="E1510" s="21"/>
      <c r="F1510" s="21"/>
      <c r="G1510" s="21"/>
      <c r="H1510" s="21"/>
      <c r="I1510" s="21"/>
      <c r="J1510" s="21"/>
      <c r="K1510" s="21"/>
      <c r="L1510" s="21"/>
      <c r="M1510" s="21"/>
      <c r="N1510" s="21"/>
      <c r="O1510" s="21"/>
      <c r="P1510" s="21"/>
      <c r="Q1510" s="21"/>
      <c r="R1510" s="21"/>
      <c r="S1510" s="21"/>
      <c r="T1510" s="21"/>
      <c r="U1510" s="21"/>
      <c r="V1510" s="21"/>
      <c r="W1510" s="21"/>
      <c r="X1510" s="21"/>
      <c r="Y1510" s="21"/>
      <c r="Z1510" s="21"/>
      <c r="AA1510" s="21"/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W1510" s="296"/>
      <c r="CY1510" s="296"/>
    </row>
    <row r="1511" spans="3:103" s="19" customFormat="1" ht="12">
      <c r="C1511" s="21"/>
      <c r="D1511" s="21"/>
      <c r="E1511" s="21"/>
      <c r="F1511" s="21"/>
      <c r="G1511" s="21"/>
      <c r="H1511" s="21"/>
      <c r="I1511" s="21"/>
      <c r="J1511" s="21"/>
      <c r="K1511" s="21"/>
      <c r="L1511" s="21"/>
      <c r="M1511" s="21"/>
      <c r="N1511" s="21"/>
      <c r="O1511" s="21"/>
      <c r="P1511" s="21"/>
      <c r="Q1511" s="21"/>
      <c r="R1511" s="21"/>
      <c r="S1511" s="21"/>
      <c r="T1511" s="21"/>
      <c r="U1511" s="21"/>
      <c r="V1511" s="21"/>
      <c r="W1511" s="21"/>
      <c r="X1511" s="21"/>
      <c r="Y1511" s="21"/>
      <c r="Z1511" s="21"/>
      <c r="AA1511" s="21"/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W1511" s="296"/>
      <c r="CY1511" s="296"/>
    </row>
    <row r="1512" spans="3:103" s="19" customFormat="1" ht="12">
      <c r="C1512" s="21"/>
      <c r="D1512" s="21"/>
      <c r="E1512" s="21"/>
      <c r="F1512" s="21"/>
      <c r="G1512" s="21"/>
      <c r="H1512" s="21"/>
      <c r="I1512" s="21"/>
      <c r="J1512" s="21"/>
      <c r="K1512" s="21"/>
      <c r="L1512" s="21"/>
      <c r="M1512" s="21"/>
      <c r="N1512" s="21"/>
      <c r="O1512" s="21"/>
      <c r="P1512" s="21"/>
      <c r="Q1512" s="21"/>
      <c r="R1512" s="21"/>
      <c r="S1512" s="21"/>
      <c r="T1512" s="21"/>
      <c r="U1512" s="21"/>
      <c r="V1512" s="21"/>
      <c r="W1512" s="21"/>
      <c r="X1512" s="21"/>
      <c r="Y1512" s="21"/>
      <c r="Z1512" s="21"/>
      <c r="AA1512" s="21"/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W1512" s="296"/>
      <c r="CY1512" s="296"/>
    </row>
    <row r="1513" spans="3:103" s="19" customFormat="1" ht="12">
      <c r="C1513" s="21"/>
      <c r="D1513" s="21"/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W1513" s="296"/>
      <c r="CY1513" s="296"/>
    </row>
    <row r="1514" spans="3:103" s="19" customFormat="1" ht="12">
      <c r="C1514" s="21"/>
      <c r="D1514" s="21"/>
      <c r="E1514" s="21"/>
      <c r="F1514" s="21"/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W1514" s="296"/>
      <c r="CY1514" s="296"/>
    </row>
    <row r="1515" spans="3:103" s="19" customFormat="1" ht="12">
      <c r="C1515" s="21"/>
      <c r="D1515" s="21"/>
      <c r="E1515" s="21"/>
      <c r="F1515" s="21"/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W1515" s="296"/>
      <c r="CY1515" s="296"/>
    </row>
    <row r="1516" spans="3:103" s="19" customFormat="1" ht="12">
      <c r="C1516" s="21"/>
      <c r="D1516" s="21"/>
      <c r="E1516" s="21"/>
      <c r="F1516" s="21"/>
      <c r="G1516" s="21"/>
      <c r="H1516" s="21"/>
      <c r="I1516" s="21"/>
      <c r="J1516" s="21"/>
      <c r="K1516" s="21"/>
      <c r="L1516" s="21"/>
      <c r="M1516" s="21"/>
      <c r="N1516" s="21"/>
      <c r="O1516" s="21"/>
      <c r="P1516" s="21"/>
      <c r="Q1516" s="21"/>
      <c r="R1516" s="21"/>
      <c r="S1516" s="21"/>
      <c r="T1516" s="21"/>
      <c r="U1516" s="21"/>
      <c r="V1516" s="21"/>
      <c r="W1516" s="21"/>
      <c r="X1516" s="21"/>
      <c r="Y1516" s="21"/>
      <c r="Z1516" s="21"/>
      <c r="AA1516" s="21"/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W1516" s="296"/>
      <c r="CY1516" s="296"/>
    </row>
    <row r="1517" spans="3:103" s="19" customFormat="1" ht="12">
      <c r="C1517" s="21"/>
      <c r="D1517" s="21"/>
      <c r="E1517" s="21"/>
      <c r="F1517" s="21"/>
      <c r="G1517" s="21"/>
      <c r="H1517" s="21"/>
      <c r="I1517" s="21"/>
      <c r="J1517" s="21"/>
      <c r="K1517" s="21"/>
      <c r="L1517" s="21"/>
      <c r="M1517" s="21"/>
      <c r="N1517" s="21"/>
      <c r="O1517" s="21"/>
      <c r="P1517" s="21"/>
      <c r="Q1517" s="21"/>
      <c r="R1517" s="21"/>
      <c r="S1517" s="21"/>
      <c r="T1517" s="21"/>
      <c r="U1517" s="21"/>
      <c r="V1517" s="21"/>
      <c r="W1517" s="21"/>
      <c r="X1517" s="21"/>
      <c r="Y1517" s="21"/>
      <c r="Z1517" s="21"/>
      <c r="AA1517" s="21"/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W1517" s="296"/>
      <c r="CY1517" s="296"/>
    </row>
    <row r="1518" spans="3:103" s="19" customFormat="1" ht="12">
      <c r="C1518" s="21"/>
      <c r="D1518" s="21"/>
      <c r="E1518" s="21"/>
      <c r="F1518" s="21"/>
      <c r="G1518" s="21"/>
      <c r="H1518" s="21"/>
      <c r="I1518" s="21"/>
      <c r="J1518" s="21"/>
      <c r="K1518" s="21"/>
      <c r="L1518" s="21"/>
      <c r="M1518" s="21"/>
      <c r="N1518" s="21"/>
      <c r="O1518" s="21"/>
      <c r="P1518" s="21"/>
      <c r="Q1518" s="21"/>
      <c r="R1518" s="21"/>
      <c r="S1518" s="21"/>
      <c r="T1518" s="21"/>
      <c r="U1518" s="21"/>
      <c r="V1518" s="21"/>
      <c r="W1518" s="21"/>
      <c r="X1518" s="21"/>
      <c r="Y1518" s="21"/>
      <c r="Z1518" s="21"/>
      <c r="AA1518" s="21"/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W1518" s="296"/>
      <c r="CY1518" s="296"/>
    </row>
    <row r="1519" spans="3:103" s="19" customFormat="1" ht="12">
      <c r="C1519" s="21"/>
      <c r="D1519" s="21"/>
      <c r="E1519" s="21"/>
      <c r="F1519" s="21"/>
      <c r="G1519" s="21"/>
      <c r="H1519" s="21"/>
      <c r="I1519" s="21"/>
      <c r="J1519" s="21"/>
      <c r="K1519" s="21"/>
      <c r="L1519" s="21"/>
      <c r="M1519" s="21"/>
      <c r="N1519" s="21"/>
      <c r="O1519" s="21"/>
      <c r="P1519" s="21"/>
      <c r="Q1519" s="21"/>
      <c r="R1519" s="21"/>
      <c r="S1519" s="21"/>
      <c r="T1519" s="21"/>
      <c r="U1519" s="21"/>
      <c r="V1519" s="21"/>
      <c r="W1519" s="21"/>
      <c r="X1519" s="21"/>
      <c r="Y1519" s="21"/>
      <c r="Z1519" s="21"/>
      <c r="AA1519" s="21"/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W1519" s="296"/>
      <c r="CY1519" s="296"/>
    </row>
    <row r="1520" spans="3:103" s="19" customFormat="1" ht="12">
      <c r="C1520" s="21"/>
      <c r="D1520" s="21"/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W1520" s="296"/>
      <c r="CY1520" s="296"/>
    </row>
    <row r="1521" spans="3:103" s="19" customFormat="1" ht="12">
      <c r="C1521" s="21"/>
      <c r="D1521" s="21"/>
      <c r="E1521" s="21"/>
      <c r="F1521" s="21"/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W1521" s="296"/>
      <c r="CY1521" s="296"/>
    </row>
    <row r="1522" spans="3:103" s="19" customFormat="1" ht="12">
      <c r="C1522" s="21"/>
      <c r="D1522" s="21"/>
      <c r="E1522" s="21"/>
      <c r="F1522" s="21"/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W1522" s="296"/>
      <c r="CY1522" s="296"/>
    </row>
    <row r="1523" spans="3:103" s="19" customFormat="1" ht="12">
      <c r="C1523" s="21"/>
      <c r="D1523" s="21"/>
      <c r="E1523" s="21"/>
      <c r="F1523" s="21"/>
      <c r="G1523" s="21"/>
      <c r="H1523" s="21"/>
      <c r="I1523" s="21"/>
      <c r="J1523" s="21"/>
      <c r="K1523" s="21"/>
      <c r="L1523" s="21"/>
      <c r="M1523" s="21"/>
      <c r="N1523" s="21"/>
      <c r="O1523" s="21"/>
      <c r="P1523" s="21"/>
      <c r="Q1523" s="21"/>
      <c r="R1523" s="21"/>
      <c r="S1523" s="21"/>
      <c r="T1523" s="21"/>
      <c r="U1523" s="21"/>
      <c r="V1523" s="21"/>
      <c r="W1523" s="21"/>
      <c r="X1523" s="21"/>
      <c r="Y1523" s="21"/>
      <c r="Z1523" s="21"/>
      <c r="AA1523" s="21"/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W1523" s="296"/>
      <c r="CY1523" s="296"/>
    </row>
    <row r="1524" spans="3:103" s="19" customFormat="1" ht="12">
      <c r="C1524" s="21"/>
      <c r="D1524" s="21"/>
      <c r="E1524" s="21"/>
      <c r="F1524" s="21"/>
      <c r="G1524" s="21"/>
      <c r="H1524" s="21"/>
      <c r="I1524" s="21"/>
      <c r="J1524" s="21"/>
      <c r="K1524" s="21"/>
      <c r="L1524" s="21"/>
      <c r="M1524" s="21"/>
      <c r="N1524" s="21"/>
      <c r="O1524" s="21"/>
      <c r="P1524" s="21"/>
      <c r="Q1524" s="21"/>
      <c r="R1524" s="21"/>
      <c r="S1524" s="21"/>
      <c r="T1524" s="21"/>
      <c r="U1524" s="21"/>
      <c r="V1524" s="21"/>
      <c r="W1524" s="21"/>
      <c r="X1524" s="21"/>
      <c r="Y1524" s="21"/>
      <c r="Z1524" s="21"/>
      <c r="AA1524" s="21"/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W1524" s="296"/>
      <c r="CY1524" s="296"/>
    </row>
    <row r="1525" spans="3:103" s="19" customFormat="1" ht="12">
      <c r="C1525" s="21"/>
      <c r="D1525" s="21"/>
      <c r="E1525" s="21"/>
      <c r="F1525" s="21"/>
      <c r="G1525" s="21"/>
      <c r="H1525" s="21"/>
      <c r="I1525" s="21"/>
      <c r="J1525" s="21"/>
      <c r="K1525" s="21"/>
      <c r="L1525" s="21"/>
      <c r="M1525" s="21"/>
      <c r="N1525" s="21"/>
      <c r="O1525" s="21"/>
      <c r="P1525" s="21"/>
      <c r="Q1525" s="21"/>
      <c r="R1525" s="21"/>
      <c r="S1525" s="21"/>
      <c r="T1525" s="21"/>
      <c r="U1525" s="21"/>
      <c r="V1525" s="21"/>
      <c r="W1525" s="21"/>
      <c r="X1525" s="21"/>
      <c r="Y1525" s="21"/>
      <c r="Z1525" s="21"/>
      <c r="AA1525" s="21"/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W1525" s="296"/>
      <c r="CY1525" s="296"/>
    </row>
    <row r="1526" spans="3:103" s="19" customFormat="1" ht="12">
      <c r="C1526" s="21"/>
      <c r="D1526" s="21"/>
      <c r="E1526" s="21"/>
      <c r="F1526" s="21"/>
      <c r="G1526" s="21"/>
      <c r="H1526" s="21"/>
      <c r="I1526" s="21"/>
      <c r="J1526" s="21"/>
      <c r="K1526" s="21"/>
      <c r="L1526" s="21"/>
      <c r="M1526" s="21"/>
      <c r="N1526" s="21"/>
      <c r="O1526" s="21"/>
      <c r="P1526" s="21"/>
      <c r="Q1526" s="21"/>
      <c r="R1526" s="21"/>
      <c r="S1526" s="21"/>
      <c r="T1526" s="21"/>
      <c r="U1526" s="21"/>
      <c r="V1526" s="21"/>
      <c r="W1526" s="21"/>
      <c r="X1526" s="21"/>
      <c r="Y1526" s="21"/>
      <c r="Z1526" s="21"/>
      <c r="AA1526" s="21"/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W1526" s="296"/>
      <c r="CY1526" s="296"/>
    </row>
    <row r="1527" spans="3:103" s="19" customFormat="1" ht="12">
      <c r="C1527" s="21"/>
      <c r="D1527" s="21"/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W1527" s="296"/>
      <c r="CY1527" s="296"/>
    </row>
    <row r="1528" spans="3:103" s="19" customFormat="1" ht="12">
      <c r="C1528" s="21"/>
      <c r="D1528" s="21"/>
      <c r="E1528" s="21"/>
      <c r="F1528" s="21"/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W1528" s="296"/>
      <c r="CY1528" s="296"/>
    </row>
    <row r="1529" spans="3:103" s="19" customFormat="1" ht="12">
      <c r="C1529" s="21"/>
      <c r="D1529" s="21"/>
      <c r="E1529" s="21"/>
      <c r="F1529" s="21"/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W1529" s="296"/>
      <c r="CY1529" s="296"/>
    </row>
    <row r="1530" spans="3:103" s="19" customFormat="1" ht="12">
      <c r="C1530" s="21"/>
      <c r="D1530" s="21"/>
      <c r="E1530" s="21"/>
      <c r="F1530" s="21"/>
      <c r="G1530" s="21"/>
      <c r="H1530" s="21"/>
      <c r="I1530" s="21"/>
      <c r="J1530" s="21"/>
      <c r="K1530" s="21"/>
      <c r="L1530" s="21"/>
      <c r="M1530" s="21"/>
      <c r="N1530" s="21"/>
      <c r="O1530" s="21"/>
      <c r="P1530" s="21"/>
      <c r="Q1530" s="21"/>
      <c r="R1530" s="21"/>
      <c r="S1530" s="21"/>
      <c r="T1530" s="21"/>
      <c r="U1530" s="21"/>
      <c r="V1530" s="21"/>
      <c r="W1530" s="21"/>
      <c r="X1530" s="21"/>
      <c r="Y1530" s="21"/>
      <c r="Z1530" s="21"/>
      <c r="AA1530" s="21"/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W1530" s="296"/>
      <c r="CY1530" s="296"/>
    </row>
    <row r="1531" spans="3:103" s="19" customFormat="1" ht="12">
      <c r="C1531" s="21"/>
      <c r="D1531" s="21"/>
      <c r="E1531" s="21"/>
      <c r="F1531" s="21"/>
      <c r="G1531" s="21"/>
      <c r="H1531" s="21"/>
      <c r="I1531" s="21"/>
      <c r="J1531" s="21"/>
      <c r="K1531" s="21"/>
      <c r="L1531" s="21"/>
      <c r="M1531" s="21"/>
      <c r="N1531" s="21"/>
      <c r="O1531" s="21"/>
      <c r="P1531" s="21"/>
      <c r="Q1531" s="21"/>
      <c r="R1531" s="21"/>
      <c r="S1531" s="21"/>
      <c r="T1531" s="21"/>
      <c r="U1531" s="21"/>
      <c r="V1531" s="21"/>
      <c r="W1531" s="21"/>
      <c r="X1531" s="21"/>
      <c r="Y1531" s="21"/>
      <c r="Z1531" s="21"/>
      <c r="AA1531" s="21"/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W1531" s="296"/>
      <c r="CY1531" s="296"/>
    </row>
    <row r="1532" spans="3:103" s="19" customFormat="1" ht="12">
      <c r="C1532" s="21"/>
      <c r="D1532" s="21"/>
      <c r="E1532" s="21"/>
      <c r="F1532" s="21"/>
      <c r="G1532" s="21"/>
      <c r="H1532" s="21"/>
      <c r="I1532" s="21"/>
      <c r="J1532" s="21"/>
      <c r="K1532" s="21"/>
      <c r="L1532" s="21"/>
      <c r="M1532" s="21"/>
      <c r="N1532" s="21"/>
      <c r="O1532" s="21"/>
      <c r="P1532" s="21"/>
      <c r="Q1532" s="21"/>
      <c r="R1532" s="21"/>
      <c r="S1532" s="21"/>
      <c r="T1532" s="21"/>
      <c r="U1532" s="21"/>
      <c r="V1532" s="21"/>
      <c r="W1532" s="21"/>
      <c r="X1532" s="21"/>
      <c r="Y1532" s="21"/>
      <c r="Z1532" s="21"/>
      <c r="AA1532" s="21"/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W1532" s="296"/>
      <c r="CY1532" s="296"/>
    </row>
    <row r="1533" spans="3:103" s="19" customFormat="1" ht="12">
      <c r="C1533" s="21"/>
      <c r="D1533" s="21"/>
      <c r="E1533" s="21"/>
      <c r="F1533" s="21"/>
      <c r="G1533" s="21"/>
      <c r="H1533" s="21"/>
      <c r="I1533" s="21"/>
      <c r="J1533" s="21"/>
      <c r="K1533" s="21"/>
      <c r="L1533" s="21"/>
      <c r="M1533" s="21"/>
      <c r="N1533" s="21"/>
      <c r="O1533" s="21"/>
      <c r="P1533" s="21"/>
      <c r="Q1533" s="21"/>
      <c r="R1533" s="21"/>
      <c r="S1533" s="21"/>
      <c r="T1533" s="21"/>
      <c r="U1533" s="21"/>
      <c r="V1533" s="21"/>
      <c r="W1533" s="21"/>
      <c r="X1533" s="21"/>
      <c r="Y1533" s="21"/>
      <c r="Z1533" s="21"/>
      <c r="AA1533" s="21"/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W1533" s="296"/>
      <c r="CY1533" s="296"/>
    </row>
    <row r="1534" spans="3:103" s="19" customFormat="1" ht="12">
      <c r="C1534" s="21"/>
      <c r="D1534" s="21"/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W1534" s="296"/>
      <c r="CY1534" s="296"/>
    </row>
    <row r="1535" spans="3:103" s="19" customFormat="1" ht="12">
      <c r="C1535" s="21"/>
      <c r="D1535" s="21"/>
      <c r="E1535" s="21"/>
      <c r="F1535" s="21"/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W1535" s="296"/>
      <c r="CY1535" s="296"/>
    </row>
    <row r="1536" spans="3:103" s="19" customFormat="1" ht="12">
      <c r="C1536" s="21"/>
      <c r="D1536" s="21"/>
      <c r="E1536" s="21"/>
      <c r="F1536" s="21"/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W1536" s="296"/>
      <c r="CY1536" s="296"/>
    </row>
    <row r="1537" spans="3:103" s="19" customFormat="1" ht="12">
      <c r="C1537" s="21"/>
      <c r="D1537" s="21"/>
      <c r="E1537" s="21"/>
      <c r="F1537" s="21"/>
      <c r="G1537" s="21"/>
      <c r="H1537" s="21"/>
      <c r="I1537" s="21"/>
      <c r="J1537" s="21"/>
      <c r="K1537" s="21"/>
      <c r="L1537" s="21"/>
      <c r="M1537" s="21"/>
      <c r="N1537" s="21"/>
      <c r="O1537" s="21"/>
      <c r="P1537" s="21"/>
      <c r="Q1537" s="21"/>
      <c r="R1537" s="21"/>
      <c r="S1537" s="21"/>
      <c r="T1537" s="21"/>
      <c r="U1537" s="21"/>
      <c r="V1537" s="21"/>
      <c r="W1537" s="21"/>
      <c r="X1537" s="21"/>
      <c r="Y1537" s="21"/>
      <c r="Z1537" s="21"/>
      <c r="AA1537" s="21"/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W1537" s="296"/>
      <c r="CY1537" s="296"/>
    </row>
    <row r="1538" spans="3:103" s="19" customFormat="1" ht="12">
      <c r="C1538" s="21"/>
      <c r="D1538" s="21"/>
      <c r="E1538" s="21"/>
      <c r="F1538" s="21"/>
      <c r="G1538" s="21"/>
      <c r="H1538" s="21"/>
      <c r="I1538" s="21"/>
      <c r="J1538" s="21"/>
      <c r="K1538" s="21"/>
      <c r="L1538" s="21"/>
      <c r="M1538" s="21"/>
      <c r="N1538" s="21"/>
      <c r="O1538" s="21"/>
      <c r="P1538" s="21"/>
      <c r="Q1538" s="21"/>
      <c r="R1538" s="21"/>
      <c r="S1538" s="21"/>
      <c r="T1538" s="21"/>
      <c r="U1538" s="21"/>
      <c r="V1538" s="21"/>
      <c r="W1538" s="21"/>
      <c r="X1538" s="21"/>
      <c r="Y1538" s="21"/>
      <c r="Z1538" s="21"/>
      <c r="AA1538" s="21"/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W1538" s="296"/>
      <c r="CY1538" s="296"/>
    </row>
    <row r="1539" spans="3:103" s="19" customFormat="1" ht="12">
      <c r="C1539" s="21"/>
      <c r="D1539" s="21"/>
      <c r="E1539" s="21"/>
      <c r="F1539" s="21"/>
      <c r="G1539" s="21"/>
      <c r="H1539" s="21"/>
      <c r="I1539" s="21"/>
      <c r="J1539" s="21"/>
      <c r="K1539" s="21"/>
      <c r="L1539" s="21"/>
      <c r="M1539" s="21"/>
      <c r="N1539" s="21"/>
      <c r="O1539" s="21"/>
      <c r="P1539" s="21"/>
      <c r="Q1539" s="21"/>
      <c r="R1539" s="21"/>
      <c r="S1539" s="21"/>
      <c r="T1539" s="21"/>
      <c r="U1539" s="21"/>
      <c r="V1539" s="21"/>
      <c r="W1539" s="21"/>
      <c r="X1539" s="21"/>
      <c r="Y1539" s="21"/>
      <c r="Z1539" s="21"/>
      <c r="AA1539" s="21"/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W1539" s="296"/>
      <c r="CY1539" s="296"/>
    </row>
    <row r="1540" spans="3:103" s="19" customFormat="1" ht="12">
      <c r="C1540" s="21"/>
      <c r="D1540" s="21"/>
      <c r="E1540" s="21"/>
      <c r="F1540" s="21"/>
      <c r="G1540" s="21"/>
      <c r="H1540" s="21"/>
      <c r="I1540" s="21"/>
      <c r="J1540" s="21"/>
      <c r="K1540" s="21"/>
      <c r="L1540" s="21"/>
      <c r="M1540" s="21"/>
      <c r="N1540" s="21"/>
      <c r="O1540" s="21"/>
      <c r="P1540" s="21"/>
      <c r="Q1540" s="21"/>
      <c r="R1540" s="21"/>
      <c r="S1540" s="21"/>
      <c r="T1540" s="21"/>
      <c r="U1540" s="21"/>
      <c r="V1540" s="21"/>
      <c r="W1540" s="21"/>
      <c r="X1540" s="21"/>
      <c r="Y1540" s="21"/>
      <c r="Z1540" s="21"/>
      <c r="AA1540" s="21"/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W1540" s="296"/>
      <c r="CY1540" s="296"/>
    </row>
    <row r="1541" spans="3:103" s="19" customFormat="1" ht="12">
      <c r="C1541" s="21"/>
      <c r="D1541" s="21"/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W1541" s="296"/>
      <c r="CY1541" s="296"/>
    </row>
    <row r="1542" spans="3:103" s="19" customFormat="1" ht="12">
      <c r="C1542" s="21"/>
      <c r="D1542" s="21"/>
      <c r="E1542" s="21"/>
      <c r="F1542" s="21"/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W1542" s="296"/>
      <c r="CY1542" s="296"/>
    </row>
    <row r="1543" spans="3:103" s="19" customFormat="1" ht="12">
      <c r="C1543" s="21"/>
      <c r="D1543" s="21"/>
      <c r="E1543" s="21"/>
      <c r="F1543" s="21"/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W1543" s="296"/>
      <c r="CY1543" s="296"/>
    </row>
    <row r="1544" spans="3:103" s="19" customFormat="1" ht="12">
      <c r="C1544" s="21"/>
      <c r="D1544" s="21"/>
      <c r="E1544" s="21"/>
      <c r="F1544" s="21"/>
      <c r="G1544" s="21"/>
      <c r="H1544" s="21"/>
      <c r="I1544" s="21"/>
      <c r="J1544" s="21"/>
      <c r="K1544" s="21"/>
      <c r="L1544" s="21"/>
      <c r="M1544" s="21"/>
      <c r="N1544" s="21"/>
      <c r="O1544" s="21"/>
      <c r="P1544" s="21"/>
      <c r="Q1544" s="21"/>
      <c r="R1544" s="21"/>
      <c r="S1544" s="21"/>
      <c r="T1544" s="21"/>
      <c r="U1544" s="21"/>
      <c r="V1544" s="21"/>
      <c r="W1544" s="21"/>
      <c r="X1544" s="21"/>
      <c r="Y1544" s="21"/>
      <c r="Z1544" s="21"/>
      <c r="AA1544" s="21"/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W1544" s="296"/>
      <c r="CY1544" s="296"/>
    </row>
    <row r="1545" spans="3:103" s="19" customFormat="1" ht="12">
      <c r="C1545" s="21"/>
      <c r="D1545" s="21"/>
      <c r="E1545" s="21"/>
      <c r="F1545" s="21"/>
      <c r="G1545" s="21"/>
      <c r="H1545" s="21"/>
      <c r="I1545" s="21"/>
      <c r="J1545" s="21"/>
      <c r="K1545" s="21"/>
      <c r="L1545" s="21"/>
      <c r="M1545" s="21"/>
      <c r="N1545" s="21"/>
      <c r="O1545" s="21"/>
      <c r="P1545" s="21"/>
      <c r="Q1545" s="21"/>
      <c r="R1545" s="21"/>
      <c r="S1545" s="21"/>
      <c r="T1545" s="21"/>
      <c r="U1545" s="21"/>
      <c r="V1545" s="21"/>
      <c r="W1545" s="21"/>
      <c r="X1545" s="21"/>
      <c r="Y1545" s="21"/>
      <c r="Z1545" s="21"/>
      <c r="AA1545" s="21"/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W1545" s="296"/>
      <c r="CY1545" s="296"/>
    </row>
    <row r="1546" spans="3:103" s="19" customFormat="1" ht="12">
      <c r="C1546" s="21"/>
      <c r="D1546" s="21"/>
      <c r="E1546" s="21"/>
      <c r="F1546" s="21"/>
      <c r="G1546" s="21"/>
      <c r="H1546" s="21"/>
      <c r="I1546" s="21"/>
      <c r="J1546" s="21"/>
      <c r="K1546" s="21"/>
      <c r="L1546" s="21"/>
      <c r="M1546" s="21"/>
      <c r="N1546" s="21"/>
      <c r="O1546" s="21"/>
      <c r="P1546" s="21"/>
      <c r="Q1546" s="21"/>
      <c r="R1546" s="21"/>
      <c r="S1546" s="21"/>
      <c r="T1546" s="21"/>
      <c r="U1546" s="21"/>
      <c r="V1546" s="21"/>
      <c r="W1546" s="21"/>
      <c r="X1546" s="21"/>
      <c r="Y1546" s="21"/>
      <c r="Z1546" s="21"/>
      <c r="AA1546" s="21"/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W1546" s="296"/>
      <c r="CY1546" s="296"/>
    </row>
    <row r="1547" spans="3:103" s="19" customFormat="1" ht="12">
      <c r="C1547" s="21"/>
      <c r="D1547" s="21"/>
      <c r="E1547" s="21"/>
      <c r="F1547" s="21"/>
      <c r="G1547" s="21"/>
      <c r="H1547" s="21"/>
      <c r="I1547" s="21"/>
      <c r="J1547" s="21"/>
      <c r="K1547" s="21"/>
      <c r="L1547" s="21"/>
      <c r="M1547" s="21"/>
      <c r="N1547" s="21"/>
      <c r="O1547" s="21"/>
      <c r="P1547" s="21"/>
      <c r="Q1547" s="21"/>
      <c r="R1547" s="21"/>
      <c r="S1547" s="21"/>
      <c r="T1547" s="21"/>
      <c r="U1547" s="21"/>
      <c r="V1547" s="21"/>
      <c r="W1547" s="21"/>
      <c r="X1547" s="21"/>
      <c r="Y1547" s="21"/>
      <c r="Z1547" s="21"/>
      <c r="AA1547" s="21"/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W1547" s="296"/>
      <c r="CY1547" s="296"/>
    </row>
    <row r="1548" spans="3:103" s="19" customFormat="1" ht="12">
      <c r="C1548" s="21"/>
      <c r="D1548" s="21"/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W1548" s="296"/>
      <c r="CY1548" s="296"/>
    </row>
    <row r="1549" spans="3:103" s="19" customFormat="1" ht="12">
      <c r="C1549" s="21"/>
      <c r="D1549" s="21"/>
      <c r="E1549" s="21"/>
      <c r="F1549" s="21"/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W1549" s="296"/>
      <c r="CY1549" s="296"/>
    </row>
    <row r="1550" spans="3:103" s="19" customFormat="1" ht="12">
      <c r="C1550" s="21"/>
      <c r="D1550" s="21"/>
      <c r="E1550" s="21"/>
      <c r="F1550" s="21"/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W1550" s="296"/>
      <c r="CY1550" s="296"/>
    </row>
    <row r="1551" spans="3:103" s="19" customFormat="1" ht="12">
      <c r="C1551" s="21"/>
      <c r="D1551" s="21"/>
      <c r="E1551" s="21"/>
      <c r="F1551" s="21"/>
      <c r="G1551" s="21"/>
      <c r="H1551" s="21"/>
      <c r="I1551" s="21"/>
      <c r="J1551" s="21"/>
      <c r="K1551" s="21"/>
      <c r="L1551" s="21"/>
      <c r="M1551" s="21"/>
      <c r="N1551" s="21"/>
      <c r="O1551" s="21"/>
      <c r="P1551" s="21"/>
      <c r="Q1551" s="21"/>
      <c r="R1551" s="21"/>
      <c r="S1551" s="21"/>
      <c r="T1551" s="21"/>
      <c r="U1551" s="21"/>
      <c r="V1551" s="21"/>
      <c r="W1551" s="21"/>
      <c r="X1551" s="21"/>
      <c r="Y1551" s="21"/>
      <c r="Z1551" s="21"/>
      <c r="AA1551" s="21"/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W1551" s="296"/>
      <c r="CY1551" s="296"/>
    </row>
    <row r="1552" spans="3:103" s="19" customFormat="1" ht="12">
      <c r="C1552" s="21"/>
      <c r="D1552" s="21"/>
      <c r="E1552" s="21"/>
      <c r="F1552" s="21"/>
      <c r="G1552" s="21"/>
      <c r="H1552" s="21"/>
      <c r="I1552" s="21"/>
      <c r="J1552" s="21"/>
      <c r="K1552" s="21"/>
      <c r="L1552" s="21"/>
      <c r="M1552" s="21"/>
      <c r="N1552" s="21"/>
      <c r="O1552" s="21"/>
      <c r="P1552" s="21"/>
      <c r="Q1552" s="21"/>
      <c r="R1552" s="21"/>
      <c r="S1552" s="21"/>
      <c r="T1552" s="21"/>
      <c r="U1552" s="21"/>
      <c r="V1552" s="21"/>
      <c r="W1552" s="21"/>
      <c r="X1552" s="21"/>
      <c r="Y1552" s="21"/>
      <c r="Z1552" s="21"/>
      <c r="AA1552" s="21"/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W1552" s="296"/>
      <c r="CY1552" s="296"/>
    </row>
    <row r="1553" spans="3:103" s="19" customFormat="1" ht="12">
      <c r="C1553" s="21"/>
      <c r="D1553" s="21"/>
      <c r="E1553" s="21"/>
      <c r="F1553" s="21"/>
      <c r="G1553" s="21"/>
      <c r="H1553" s="21"/>
      <c r="I1553" s="21"/>
      <c r="J1553" s="21"/>
      <c r="K1553" s="21"/>
      <c r="L1553" s="21"/>
      <c r="M1553" s="21"/>
      <c r="N1553" s="21"/>
      <c r="O1553" s="21"/>
      <c r="P1553" s="21"/>
      <c r="Q1553" s="21"/>
      <c r="R1553" s="21"/>
      <c r="S1553" s="21"/>
      <c r="T1553" s="21"/>
      <c r="U1553" s="21"/>
      <c r="V1553" s="21"/>
      <c r="W1553" s="21"/>
      <c r="X1553" s="21"/>
      <c r="Y1553" s="21"/>
      <c r="Z1553" s="21"/>
      <c r="AA1553" s="21"/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W1553" s="296"/>
      <c r="CY1553" s="296"/>
    </row>
    <row r="1554" spans="3:103" s="19" customFormat="1" ht="12">
      <c r="C1554" s="21"/>
      <c r="D1554" s="21"/>
      <c r="E1554" s="21"/>
      <c r="F1554" s="21"/>
      <c r="G1554" s="21"/>
      <c r="H1554" s="21"/>
      <c r="I1554" s="21"/>
      <c r="J1554" s="21"/>
      <c r="K1554" s="21"/>
      <c r="L1554" s="21"/>
      <c r="M1554" s="21"/>
      <c r="N1554" s="21"/>
      <c r="O1554" s="21"/>
      <c r="P1554" s="21"/>
      <c r="Q1554" s="21"/>
      <c r="R1554" s="21"/>
      <c r="S1554" s="21"/>
      <c r="T1554" s="21"/>
      <c r="U1554" s="21"/>
      <c r="V1554" s="21"/>
      <c r="W1554" s="21"/>
      <c r="X1554" s="21"/>
      <c r="Y1554" s="21"/>
      <c r="Z1554" s="21"/>
      <c r="AA1554" s="21"/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W1554" s="296"/>
      <c r="CY1554" s="296"/>
    </row>
    <row r="1555" spans="3:103" s="19" customFormat="1" ht="12">
      <c r="C1555" s="21"/>
      <c r="D1555" s="21"/>
      <c r="E1555" s="21"/>
      <c r="F1555" s="21"/>
      <c r="G1555" s="21"/>
      <c r="H1555" s="21"/>
      <c r="I1555" s="21"/>
      <c r="J1555" s="21"/>
      <c r="K1555" s="21"/>
      <c r="L1555" s="21"/>
      <c r="M1555" s="21"/>
      <c r="N1555" s="21"/>
      <c r="O1555" s="21"/>
      <c r="P1555" s="21"/>
      <c r="Q1555" s="21"/>
      <c r="R1555" s="21"/>
      <c r="S1555" s="21"/>
      <c r="T1555" s="21"/>
      <c r="U1555" s="21"/>
      <c r="V1555" s="21"/>
      <c r="W1555" s="21"/>
      <c r="X1555" s="21"/>
      <c r="Y1555" s="21"/>
      <c r="Z1555" s="21"/>
      <c r="AA1555" s="21"/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W1555" s="296"/>
      <c r="CY1555" s="296"/>
    </row>
    <row r="1556" spans="3:103" s="19" customFormat="1" ht="12">
      <c r="C1556" s="21"/>
      <c r="D1556" s="21"/>
      <c r="E1556" s="21"/>
      <c r="F1556" s="21"/>
      <c r="G1556" s="21"/>
      <c r="H1556" s="21"/>
      <c r="I1556" s="21"/>
      <c r="J1556" s="21"/>
      <c r="K1556" s="21"/>
      <c r="L1556" s="21"/>
      <c r="M1556" s="21"/>
      <c r="N1556" s="21"/>
      <c r="O1556" s="21"/>
      <c r="P1556" s="21"/>
      <c r="Q1556" s="21"/>
      <c r="R1556" s="21"/>
      <c r="S1556" s="21"/>
      <c r="T1556" s="21"/>
      <c r="U1556" s="21"/>
      <c r="V1556" s="21"/>
      <c r="W1556" s="21"/>
      <c r="X1556" s="21"/>
      <c r="Y1556" s="21"/>
      <c r="Z1556" s="21"/>
      <c r="AA1556" s="21"/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W1556" s="296"/>
      <c r="CY1556" s="296"/>
    </row>
    <row r="1557" spans="3:103" s="19" customFormat="1" ht="12">
      <c r="C1557" s="21"/>
      <c r="D1557" s="21"/>
      <c r="E1557" s="21"/>
      <c r="F1557" s="21"/>
      <c r="G1557" s="21"/>
      <c r="H1557" s="21"/>
      <c r="I1557" s="21"/>
      <c r="J1557" s="21"/>
      <c r="K1557" s="21"/>
      <c r="L1557" s="21"/>
      <c r="M1557" s="21"/>
      <c r="N1557" s="21"/>
      <c r="O1557" s="21"/>
      <c r="P1557" s="21"/>
      <c r="Q1557" s="21"/>
      <c r="R1557" s="21"/>
      <c r="S1557" s="21"/>
      <c r="T1557" s="21"/>
      <c r="U1557" s="21"/>
      <c r="V1557" s="21"/>
      <c r="W1557" s="21"/>
      <c r="X1557" s="21"/>
      <c r="Y1557" s="21"/>
      <c r="Z1557" s="21"/>
      <c r="AA1557" s="21"/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W1557" s="296"/>
      <c r="CY1557" s="296"/>
    </row>
    <row r="1558" spans="3:103" s="19" customFormat="1" ht="12">
      <c r="C1558" s="21"/>
      <c r="D1558" s="21"/>
      <c r="E1558" s="21"/>
      <c r="F1558" s="21"/>
      <c r="G1558" s="21"/>
      <c r="H1558" s="21"/>
      <c r="I1558" s="21"/>
      <c r="J1558" s="21"/>
      <c r="K1558" s="21"/>
      <c r="L1558" s="21"/>
      <c r="M1558" s="21"/>
      <c r="N1558" s="21"/>
      <c r="O1558" s="21"/>
      <c r="P1558" s="21"/>
      <c r="Q1558" s="21"/>
      <c r="R1558" s="21"/>
      <c r="S1558" s="21"/>
      <c r="T1558" s="21"/>
      <c r="U1558" s="21"/>
      <c r="V1558" s="21"/>
      <c r="W1558" s="21"/>
      <c r="X1558" s="21"/>
      <c r="Y1558" s="21"/>
      <c r="Z1558" s="21"/>
      <c r="AA1558" s="21"/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W1558" s="296"/>
      <c r="CY1558" s="296"/>
    </row>
    <row r="1559" spans="3:103" s="19" customFormat="1" ht="12">
      <c r="C1559" s="21"/>
      <c r="D1559" s="21"/>
      <c r="E1559" s="21"/>
      <c r="F1559" s="21"/>
      <c r="G1559" s="21"/>
      <c r="H1559" s="21"/>
      <c r="I1559" s="21"/>
      <c r="J1559" s="21"/>
      <c r="K1559" s="21"/>
      <c r="L1559" s="21"/>
      <c r="M1559" s="21"/>
      <c r="N1559" s="21"/>
      <c r="O1559" s="21"/>
      <c r="P1559" s="21"/>
      <c r="Q1559" s="21"/>
      <c r="R1559" s="21"/>
      <c r="S1559" s="21"/>
      <c r="T1559" s="21"/>
      <c r="U1559" s="21"/>
      <c r="V1559" s="21"/>
      <c r="W1559" s="21"/>
      <c r="X1559" s="21"/>
      <c r="Y1559" s="21"/>
      <c r="Z1559" s="21"/>
      <c r="AA1559" s="21"/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W1559" s="296"/>
      <c r="CY1559" s="296"/>
    </row>
    <row r="1560" spans="3:103" s="19" customFormat="1" ht="12">
      <c r="C1560" s="21"/>
      <c r="D1560" s="21"/>
      <c r="E1560" s="21"/>
      <c r="F1560" s="21"/>
      <c r="G1560" s="21"/>
      <c r="H1560" s="21"/>
      <c r="I1560" s="21"/>
      <c r="J1560" s="21"/>
      <c r="K1560" s="21"/>
      <c r="L1560" s="21"/>
      <c r="M1560" s="21"/>
      <c r="N1560" s="21"/>
      <c r="O1560" s="21"/>
      <c r="P1560" s="21"/>
      <c r="Q1560" s="21"/>
      <c r="R1560" s="21"/>
      <c r="S1560" s="21"/>
      <c r="T1560" s="21"/>
      <c r="U1560" s="21"/>
      <c r="V1560" s="21"/>
      <c r="W1560" s="21"/>
      <c r="X1560" s="21"/>
      <c r="Y1560" s="21"/>
      <c r="Z1560" s="21"/>
      <c r="AA1560" s="21"/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W1560" s="296"/>
      <c r="CY1560" s="296"/>
    </row>
    <row r="1561" spans="3:103" s="19" customFormat="1" ht="12">
      <c r="C1561" s="21"/>
      <c r="D1561" s="21"/>
      <c r="E1561" s="21"/>
      <c r="F1561" s="21"/>
      <c r="G1561" s="21"/>
      <c r="H1561" s="21"/>
      <c r="I1561" s="21"/>
      <c r="J1561" s="21"/>
      <c r="K1561" s="21"/>
      <c r="L1561" s="21"/>
      <c r="M1561" s="21"/>
      <c r="N1561" s="21"/>
      <c r="O1561" s="21"/>
      <c r="P1561" s="21"/>
      <c r="Q1561" s="21"/>
      <c r="R1561" s="21"/>
      <c r="S1561" s="21"/>
      <c r="T1561" s="21"/>
      <c r="U1561" s="21"/>
      <c r="V1561" s="21"/>
      <c r="W1561" s="21"/>
      <c r="X1561" s="21"/>
      <c r="Y1561" s="21"/>
      <c r="Z1561" s="21"/>
      <c r="AA1561" s="21"/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W1561" s="296"/>
      <c r="CY1561" s="296"/>
    </row>
    <row r="1562" spans="3:103" s="19" customFormat="1" ht="12">
      <c r="C1562" s="21"/>
      <c r="D1562" s="21"/>
      <c r="E1562" s="21"/>
      <c r="F1562" s="21"/>
      <c r="G1562" s="21"/>
      <c r="H1562" s="21"/>
      <c r="I1562" s="21"/>
      <c r="J1562" s="21"/>
      <c r="K1562" s="21"/>
      <c r="L1562" s="21"/>
      <c r="M1562" s="21"/>
      <c r="N1562" s="21"/>
      <c r="O1562" s="21"/>
      <c r="P1562" s="21"/>
      <c r="Q1562" s="21"/>
      <c r="R1562" s="21"/>
      <c r="S1562" s="21"/>
      <c r="T1562" s="21"/>
      <c r="U1562" s="21"/>
      <c r="V1562" s="21"/>
      <c r="W1562" s="21"/>
      <c r="X1562" s="21"/>
      <c r="Y1562" s="21"/>
      <c r="Z1562" s="21"/>
      <c r="AA1562" s="21"/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W1562" s="296"/>
      <c r="CY1562" s="296"/>
    </row>
    <row r="1563" spans="3:103" s="19" customFormat="1" ht="12">
      <c r="C1563" s="21"/>
      <c r="D1563" s="21"/>
      <c r="E1563" s="21"/>
      <c r="F1563" s="21"/>
      <c r="G1563" s="21"/>
      <c r="H1563" s="21"/>
      <c r="I1563" s="21"/>
      <c r="J1563" s="21"/>
      <c r="K1563" s="21"/>
      <c r="L1563" s="21"/>
      <c r="M1563" s="21"/>
      <c r="N1563" s="21"/>
      <c r="O1563" s="21"/>
      <c r="P1563" s="21"/>
      <c r="Q1563" s="21"/>
      <c r="R1563" s="21"/>
      <c r="S1563" s="21"/>
      <c r="T1563" s="21"/>
      <c r="U1563" s="21"/>
      <c r="V1563" s="21"/>
      <c r="W1563" s="21"/>
      <c r="X1563" s="21"/>
      <c r="Y1563" s="21"/>
      <c r="Z1563" s="21"/>
      <c r="AA1563" s="21"/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W1563" s="296"/>
      <c r="CY1563" s="296"/>
    </row>
    <row r="1564" spans="3:103" s="19" customFormat="1" ht="12">
      <c r="C1564" s="21"/>
      <c r="D1564" s="21"/>
      <c r="E1564" s="21"/>
      <c r="F1564" s="21"/>
      <c r="G1564" s="21"/>
      <c r="H1564" s="21"/>
      <c r="I1564" s="21"/>
      <c r="J1564" s="21"/>
      <c r="K1564" s="21"/>
      <c r="L1564" s="21"/>
      <c r="M1564" s="21"/>
      <c r="N1564" s="21"/>
      <c r="O1564" s="21"/>
      <c r="P1564" s="21"/>
      <c r="Q1564" s="21"/>
      <c r="R1564" s="21"/>
      <c r="S1564" s="21"/>
      <c r="T1564" s="21"/>
      <c r="U1564" s="21"/>
      <c r="V1564" s="21"/>
      <c r="W1564" s="21"/>
      <c r="X1564" s="21"/>
      <c r="Y1564" s="21"/>
      <c r="Z1564" s="21"/>
      <c r="AA1564" s="21"/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W1564" s="296"/>
      <c r="CY1564" s="296"/>
    </row>
    <row r="1565" spans="3:103" s="19" customFormat="1" ht="12">
      <c r="C1565" s="21"/>
      <c r="D1565" s="21"/>
      <c r="E1565" s="21"/>
      <c r="F1565" s="21"/>
      <c r="G1565" s="21"/>
      <c r="H1565" s="21"/>
      <c r="I1565" s="21"/>
      <c r="J1565" s="21"/>
      <c r="K1565" s="21"/>
      <c r="L1565" s="21"/>
      <c r="M1565" s="21"/>
      <c r="N1565" s="21"/>
      <c r="O1565" s="21"/>
      <c r="P1565" s="21"/>
      <c r="Q1565" s="21"/>
      <c r="R1565" s="21"/>
      <c r="S1565" s="21"/>
      <c r="T1565" s="21"/>
      <c r="U1565" s="21"/>
      <c r="V1565" s="21"/>
      <c r="W1565" s="21"/>
      <c r="X1565" s="21"/>
      <c r="Y1565" s="21"/>
      <c r="Z1565" s="21"/>
      <c r="AA1565" s="21"/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W1565" s="296"/>
      <c r="CY1565" s="296"/>
    </row>
    <row r="1566" spans="3:103" s="19" customFormat="1" ht="12">
      <c r="C1566" s="21"/>
      <c r="D1566" s="21"/>
      <c r="E1566" s="21"/>
      <c r="F1566" s="21"/>
      <c r="G1566" s="21"/>
      <c r="H1566" s="21"/>
      <c r="I1566" s="21"/>
      <c r="J1566" s="21"/>
      <c r="K1566" s="21"/>
      <c r="L1566" s="21"/>
      <c r="M1566" s="21"/>
      <c r="N1566" s="21"/>
      <c r="O1566" s="21"/>
      <c r="P1566" s="21"/>
      <c r="Q1566" s="21"/>
      <c r="R1566" s="21"/>
      <c r="S1566" s="21"/>
      <c r="T1566" s="21"/>
      <c r="U1566" s="21"/>
      <c r="V1566" s="21"/>
      <c r="W1566" s="21"/>
      <c r="X1566" s="21"/>
      <c r="Y1566" s="21"/>
      <c r="Z1566" s="21"/>
      <c r="AA1566" s="21"/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W1566" s="296"/>
      <c r="CY1566" s="296"/>
    </row>
    <row r="1567" spans="3:103" s="19" customFormat="1" ht="12">
      <c r="C1567" s="21"/>
      <c r="D1567" s="21"/>
      <c r="E1567" s="21"/>
      <c r="F1567" s="21"/>
      <c r="G1567" s="21"/>
      <c r="H1567" s="21"/>
      <c r="I1567" s="21"/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W1567" s="296"/>
      <c r="CY1567" s="296"/>
    </row>
    <row r="1568" spans="3:103" s="19" customFormat="1" ht="12">
      <c r="C1568" s="21"/>
      <c r="D1568" s="21"/>
      <c r="E1568" s="21"/>
      <c r="F1568" s="21"/>
      <c r="G1568" s="21"/>
      <c r="H1568" s="21"/>
      <c r="I1568" s="21"/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W1568" s="296"/>
      <c r="CY1568" s="296"/>
    </row>
    <row r="1569" spans="3:103" s="19" customFormat="1" ht="12">
      <c r="C1569" s="21"/>
      <c r="D1569" s="21"/>
      <c r="E1569" s="21"/>
      <c r="F1569" s="21"/>
      <c r="G1569" s="21"/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W1569" s="296"/>
      <c r="CY1569" s="296"/>
    </row>
    <row r="1570" spans="3:103" s="19" customFormat="1" ht="12">
      <c r="C1570" s="21"/>
      <c r="D1570" s="21"/>
      <c r="E1570" s="21"/>
      <c r="F1570" s="21"/>
      <c r="G1570" s="21"/>
      <c r="H1570" s="21"/>
      <c r="I1570" s="21"/>
      <c r="J1570" s="21"/>
      <c r="K1570" s="21"/>
      <c r="L1570" s="21"/>
      <c r="M1570" s="21"/>
      <c r="N1570" s="21"/>
      <c r="O1570" s="21"/>
      <c r="P1570" s="21"/>
      <c r="Q1570" s="21"/>
      <c r="R1570" s="21"/>
      <c r="S1570" s="21"/>
      <c r="T1570" s="21"/>
      <c r="U1570" s="21"/>
      <c r="V1570" s="21"/>
      <c r="W1570" s="21"/>
      <c r="X1570" s="21"/>
      <c r="Y1570" s="21"/>
      <c r="Z1570" s="21"/>
      <c r="AA1570" s="21"/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W1570" s="296"/>
      <c r="CY1570" s="296"/>
    </row>
    <row r="1571" spans="3:103" s="19" customFormat="1" ht="12">
      <c r="C1571" s="21"/>
      <c r="D1571" s="21"/>
      <c r="E1571" s="21"/>
      <c r="F1571" s="21"/>
      <c r="G1571" s="21"/>
      <c r="H1571" s="21"/>
      <c r="I1571" s="21"/>
      <c r="J1571" s="21"/>
      <c r="K1571" s="21"/>
      <c r="L1571" s="21"/>
      <c r="M1571" s="21"/>
      <c r="N1571" s="21"/>
      <c r="O1571" s="21"/>
      <c r="P1571" s="21"/>
      <c r="Q1571" s="21"/>
      <c r="R1571" s="21"/>
      <c r="S1571" s="21"/>
      <c r="T1571" s="21"/>
      <c r="U1571" s="21"/>
      <c r="V1571" s="21"/>
      <c r="W1571" s="21"/>
      <c r="X1571" s="21"/>
      <c r="Y1571" s="21"/>
      <c r="Z1571" s="21"/>
      <c r="AA1571" s="21"/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W1571" s="296"/>
      <c r="CY1571" s="296"/>
    </row>
    <row r="1572" spans="3:103" s="19" customFormat="1" ht="12">
      <c r="C1572" s="21"/>
      <c r="D1572" s="21"/>
      <c r="E1572" s="21"/>
      <c r="F1572" s="21"/>
      <c r="G1572" s="21"/>
      <c r="H1572" s="21"/>
      <c r="I1572" s="21"/>
      <c r="J1572" s="21"/>
      <c r="K1572" s="21"/>
      <c r="L1572" s="21"/>
      <c r="M1572" s="21"/>
      <c r="N1572" s="21"/>
      <c r="O1572" s="21"/>
      <c r="P1572" s="21"/>
      <c r="Q1572" s="21"/>
      <c r="R1572" s="21"/>
      <c r="S1572" s="21"/>
      <c r="T1572" s="21"/>
      <c r="U1572" s="21"/>
      <c r="V1572" s="21"/>
      <c r="W1572" s="21"/>
      <c r="X1572" s="21"/>
      <c r="Y1572" s="21"/>
      <c r="Z1572" s="21"/>
      <c r="AA1572" s="21"/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W1572" s="296"/>
      <c r="CY1572" s="296"/>
    </row>
    <row r="1573" spans="3:103" s="19" customFormat="1" ht="12">
      <c r="C1573" s="21"/>
      <c r="D1573" s="21"/>
      <c r="E1573" s="21"/>
      <c r="F1573" s="21"/>
      <c r="G1573" s="21"/>
      <c r="H1573" s="21"/>
      <c r="I1573" s="21"/>
      <c r="J1573" s="21"/>
      <c r="K1573" s="21"/>
      <c r="L1573" s="21"/>
      <c r="M1573" s="21"/>
      <c r="N1573" s="21"/>
      <c r="O1573" s="21"/>
      <c r="P1573" s="21"/>
      <c r="Q1573" s="21"/>
      <c r="R1573" s="21"/>
      <c r="S1573" s="21"/>
      <c r="T1573" s="21"/>
      <c r="U1573" s="21"/>
      <c r="V1573" s="21"/>
      <c r="W1573" s="21"/>
      <c r="X1573" s="21"/>
      <c r="Y1573" s="21"/>
      <c r="Z1573" s="21"/>
      <c r="AA1573" s="21"/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W1573" s="296"/>
      <c r="CY1573" s="296"/>
    </row>
    <row r="1574" spans="3:103" s="19" customFormat="1" ht="12">
      <c r="C1574" s="21"/>
      <c r="D1574" s="21"/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W1574" s="296"/>
      <c r="CY1574" s="296"/>
    </row>
    <row r="1575" spans="3:103" s="19" customFormat="1" ht="12">
      <c r="C1575" s="21"/>
      <c r="D1575" s="21"/>
      <c r="E1575" s="21"/>
      <c r="F1575" s="21"/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W1575" s="296"/>
      <c r="CY1575" s="296"/>
    </row>
    <row r="1576" spans="3:103" s="19" customFormat="1" ht="12">
      <c r="C1576" s="21"/>
      <c r="D1576" s="21"/>
      <c r="E1576" s="21"/>
      <c r="F1576" s="21"/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W1576" s="296"/>
      <c r="CY1576" s="296"/>
    </row>
    <row r="1577" spans="3:103" s="19" customFormat="1" ht="12">
      <c r="C1577" s="21"/>
      <c r="D1577" s="21"/>
      <c r="E1577" s="21"/>
      <c r="F1577" s="21"/>
      <c r="G1577" s="21"/>
      <c r="H1577" s="21"/>
      <c r="I1577" s="21"/>
      <c r="J1577" s="21"/>
      <c r="K1577" s="21"/>
      <c r="L1577" s="21"/>
      <c r="M1577" s="21"/>
      <c r="N1577" s="21"/>
      <c r="O1577" s="21"/>
      <c r="P1577" s="21"/>
      <c r="Q1577" s="21"/>
      <c r="R1577" s="21"/>
      <c r="S1577" s="21"/>
      <c r="T1577" s="21"/>
      <c r="U1577" s="21"/>
      <c r="V1577" s="21"/>
      <c r="W1577" s="21"/>
      <c r="X1577" s="21"/>
      <c r="Y1577" s="21"/>
      <c r="Z1577" s="21"/>
      <c r="AA1577" s="21"/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W1577" s="296"/>
      <c r="CY1577" s="296"/>
    </row>
    <row r="1578" spans="3:103" s="19" customFormat="1" ht="12">
      <c r="C1578" s="21"/>
      <c r="D1578" s="21"/>
      <c r="E1578" s="21"/>
      <c r="F1578" s="21"/>
      <c r="G1578" s="21"/>
      <c r="H1578" s="21"/>
      <c r="I1578" s="21"/>
      <c r="J1578" s="21"/>
      <c r="K1578" s="21"/>
      <c r="L1578" s="21"/>
      <c r="M1578" s="21"/>
      <c r="N1578" s="21"/>
      <c r="O1578" s="21"/>
      <c r="P1578" s="21"/>
      <c r="Q1578" s="21"/>
      <c r="R1578" s="21"/>
      <c r="S1578" s="21"/>
      <c r="T1578" s="21"/>
      <c r="U1578" s="21"/>
      <c r="V1578" s="21"/>
      <c r="W1578" s="21"/>
      <c r="X1578" s="21"/>
      <c r="Y1578" s="21"/>
      <c r="Z1578" s="21"/>
      <c r="AA1578" s="21"/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W1578" s="296"/>
      <c r="CY1578" s="296"/>
    </row>
    <row r="1579" spans="3:103" s="19" customFormat="1" ht="12">
      <c r="C1579" s="21"/>
      <c r="D1579" s="21"/>
      <c r="E1579" s="21"/>
      <c r="F1579" s="21"/>
      <c r="G1579" s="21"/>
      <c r="H1579" s="21"/>
      <c r="I1579" s="21"/>
      <c r="J1579" s="21"/>
      <c r="K1579" s="21"/>
      <c r="L1579" s="21"/>
      <c r="M1579" s="21"/>
      <c r="N1579" s="21"/>
      <c r="O1579" s="21"/>
      <c r="P1579" s="21"/>
      <c r="Q1579" s="21"/>
      <c r="R1579" s="21"/>
      <c r="S1579" s="21"/>
      <c r="T1579" s="21"/>
      <c r="U1579" s="21"/>
      <c r="V1579" s="21"/>
      <c r="W1579" s="21"/>
      <c r="X1579" s="21"/>
      <c r="Y1579" s="21"/>
      <c r="Z1579" s="21"/>
      <c r="AA1579" s="21"/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W1579" s="296"/>
      <c r="CY1579" s="296"/>
    </row>
    <row r="1580" spans="3:103" s="19" customFormat="1" ht="12">
      <c r="C1580" s="21"/>
      <c r="D1580" s="21"/>
      <c r="E1580" s="21"/>
      <c r="F1580" s="21"/>
      <c r="G1580" s="21"/>
      <c r="H1580" s="21"/>
      <c r="I1580" s="21"/>
      <c r="J1580" s="21"/>
      <c r="K1580" s="21"/>
      <c r="L1580" s="21"/>
      <c r="M1580" s="21"/>
      <c r="N1580" s="21"/>
      <c r="O1580" s="21"/>
      <c r="P1580" s="21"/>
      <c r="Q1580" s="21"/>
      <c r="R1580" s="21"/>
      <c r="S1580" s="21"/>
      <c r="T1580" s="21"/>
      <c r="U1580" s="21"/>
      <c r="V1580" s="21"/>
      <c r="W1580" s="21"/>
      <c r="X1580" s="21"/>
      <c r="Y1580" s="21"/>
      <c r="Z1580" s="21"/>
      <c r="AA1580" s="21"/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W1580" s="296"/>
      <c r="CY1580" s="296"/>
    </row>
    <row r="1581" spans="3:103" s="19" customFormat="1" ht="12">
      <c r="C1581" s="21"/>
      <c r="D1581" s="21"/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W1581" s="296"/>
      <c r="CY1581" s="296"/>
    </row>
    <row r="1582" spans="3:103" s="19" customFormat="1" ht="12">
      <c r="C1582" s="21"/>
      <c r="D1582" s="21"/>
      <c r="E1582" s="21"/>
      <c r="F1582" s="21"/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W1582" s="296"/>
      <c r="CY1582" s="296"/>
    </row>
    <row r="1583" spans="3:103" s="19" customFormat="1" ht="12">
      <c r="C1583" s="21"/>
      <c r="D1583" s="21"/>
      <c r="E1583" s="21"/>
      <c r="F1583" s="21"/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W1583" s="296"/>
      <c r="CY1583" s="296"/>
    </row>
    <row r="1584" spans="3:103" s="19" customFormat="1" ht="12">
      <c r="C1584" s="21"/>
      <c r="D1584" s="21"/>
      <c r="E1584" s="21"/>
      <c r="F1584" s="21"/>
      <c r="G1584" s="21"/>
      <c r="H1584" s="21"/>
      <c r="I1584" s="21"/>
      <c r="J1584" s="21"/>
      <c r="K1584" s="21"/>
      <c r="L1584" s="21"/>
      <c r="M1584" s="21"/>
      <c r="N1584" s="21"/>
      <c r="O1584" s="21"/>
      <c r="P1584" s="21"/>
      <c r="Q1584" s="21"/>
      <c r="R1584" s="21"/>
      <c r="S1584" s="21"/>
      <c r="T1584" s="21"/>
      <c r="U1584" s="21"/>
      <c r="V1584" s="21"/>
      <c r="W1584" s="21"/>
      <c r="X1584" s="21"/>
      <c r="Y1584" s="21"/>
      <c r="Z1584" s="21"/>
      <c r="AA1584" s="21"/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W1584" s="296"/>
      <c r="CY1584" s="296"/>
    </row>
    <row r="1585" spans="3:103" s="19" customFormat="1" ht="12">
      <c r="C1585" s="21"/>
      <c r="D1585" s="21"/>
      <c r="E1585" s="21"/>
      <c r="F1585" s="21"/>
      <c r="G1585" s="21"/>
      <c r="H1585" s="21"/>
      <c r="I1585" s="21"/>
      <c r="J1585" s="21"/>
      <c r="K1585" s="21"/>
      <c r="L1585" s="21"/>
      <c r="M1585" s="21"/>
      <c r="N1585" s="21"/>
      <c r="O1585" s="21"/>
      <c r="P1585" s="21"/>
      <c r="Q1585" s="21"/>
      <c r="R1585" s="21"/>
      <c r="S1585" s="21"/>
      <c r="T1585" s="21"/>
      <c r="U1585" s="21"/>
      <c r="V1585" s="21"/>
      <c r="W1585" s="21"/>
      <c r="X1585" s="21"/>
      <c r="Y1585" s="21"/>
      <c r="Z1585" s="21"/>
      <c r="AA1585" s="21"/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W1585" s="296"/>
      <c r="CY1585" s="296"/>
    </row>
    <row r="1586" spans="3:103" s="19" customFormat="1" ht="12">
      <c r="C1586" s="21"/>
      <c r="D1586" s="21"/>
      <c r="E1586" s="21"/>
      <c r="F1586" s="21"/>
      <c r="G1586" s="21"/>
      <c r="H1586" s="21"/>
      <c r="I1586" s="21"/>
      <c r="J1586" s="21"/>
      <c r="K1586" s="21"/>
      <c r="L1586" s="21"/>
      <c r="M1586" s="21"/>
      <c r="N1586" s="21"/>
      <c r="O1586" s="21"/>
      <c r="P1586" s="21"/>
      <c r="Q1586" s="21"/>
      <c r="R1586" s="21"/>
      <c r="S1586" s="21"/>
      <c r="T1586" s="21"/>
      <c r="U1586" s="21"/>
      <c r="V1586" s="21"/>
      <c r="W1586" s="21"/>
      <c r="X1586" s="21"/>
      <c r="Y1586" s="21"/>
      <c r="Z1586" s="21"/>
      <c r="AA1586" s="21"/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W1586" s="296"/>
      <c r="CY1586" s="296"/>
    </row>
    <row r="1587" spans="3:103" s="19" customFormat="1" ht="12">
      <c r="C1587" s="21"/>
      <c r="D1587" s="21"/>
      <c r="E1587" s="21"/>
      <c r="F1587" s="21"/>
      <c r="G1587" s="21"/>
      <c r="H1587" s="21"/>
      <c r="I1587" s="21"/>
      <c r="J1587" s="21"/>
      <c r="K1587" s="21"/>
      <c r="L1587" s="21"/>
      <c r="M1587" s="21"/>
      <c r="N1587" s="21"/>
      <c r="O1587" s="21"/>
      <c r="P1587" s="21"/>
      <c r="Q1587" s="21"/>
      <c r="R1587" s="21"/>
      <c r="S1587" s="21"/>
      <c r="T1587" s="21"/>
      <c r="U1587" s="21"/>
      <c r="V1587" s="21"/>
      <c r="W1587" s="21"/>
      <c r="X1587" s="21"/>
      <c r="Y1587" s="21"/>
      <c r="Z1587" s="21"/>
      <c r="AA1587" s="21"/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W1587" s="296"/>
      <c r="CY1587" s="296"/>
    </row>
    <row r="1588" spans="3:103" s="19" customFormat="1" ht="12">
      <c r="C1588" s="21"/>
      <c r="D1588" s="21"/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W1588" s="296"/>
      <c r="CY1588" s="296"/>
    </row>
    <row r="1589" spans="3:103" s="19" customFormat="1" ht="12">
      <c r="C1589" s="21"/>
      <c r="D1589" s="21"/>
      <c r="E1589" s="21"/>
      <c r="F1589" s="21"/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W1589" s="296"/>
      <c r="CY1589" s="296"/>
    </row>
    <row r="1590" spans="3:103" s="19" customFormat="1" ht="12">
      <c r="C1590" s="21"/>
      <c r="D1590" s="21"/>
      <c r="E1590" s="21"/>
      <c r="F1590" s="21"/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W1590" s="296"/>
      <c r="CY1590" s="296"/>
    </row>
    <row r="1591" spans="3:103" s="19" customFormat="1" ht="12">
      <c r="C1591" s="21"/>
      <c r="D1591" s="21"/>
      <c r="E1591" s="21"/>
      <c r="F1591" s="21"/>
      <c r="G1591" s="21"/>
      <c r="H1591" s="21"/>
      <c r="I1591" s="21"/>
      <c r="J1591" s="21"/>
      <c r="K1591" s="21"/>
      <c r="L1591" s="21"/>
      <c r="M1591" s="21"/>
      <c r="N1591" s="21"/>
      <c r="O1591" s="21"/>
      <c r="P1591" s="21"/>
      <c r="Q1591" s="21"/>
      <c r="R1591" s="21"/>
      <c r="S1591" s="21"/>
      <c r="T1591" s="21"/>
      <c r="U1591" s="21"/>
      <c r="V1591" s="21"/>
      <c r="W1591" s="21"/>
      <c r="X1591" s="21"/>
      <c r="Y1591" s="21"/>
      <c r="Z1591" s="21"/>
      <c r="AA1591" s="21"/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W1591" s="296"/>
      <c r="CY1591" s="296"/>
    </row>
    <row r="1592" spans="3:103" s="19" customFormat="1" ht="12">
      <c r="C1592" s="21"/>
      <c r="D1592" s="21"/>
      <c r="E1592" s="21"/>
      <c r="F1592" s="21"/>
      <c r="G1592" s="21"/>
      <c r="H1592" s="21"/>
      <c r="I1592" s="21"/>
      <c r="J1592" s="21"/>
      <c r="K1592" s="21"/>
      <c r="L1592" s="21"/>
      <c r="M1592" s="21"/>
      <c r="N1592" s="21"/>
      <c r="O1592" s="21"/>
      <c r="P1592" s="21"/>
      <c r="Q1592" s="21"/>
      <c r="R1592" s="21"/>
      <c r="S1592" s="21"/>
      <c r="T1592" s="21"/>
      <c r="U1592" s="21"/>
      <c r="V1592" s="21"/>
      <c r="W1592" s="21"/>
      <c r="X1592" s="21"/>
      <c r="Y1592" s="21"/>
      <c r="Z1592" s="21"/>
      <c r="AA1592" s="21"/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W1592" s="296"/>
      <c r="CY1592" s="296"/>
    </row>
    <row r="1593" spans="3:103" s="19" customFormat="1" ht="12">
      <c r="C1593" s="21"/>
      <c r="D1593" s="21"/>
      <c r="E1593" s="21"/>
      <c r="F1593" s="21"/>
      <c r="G1593" s="21"/>
      <c r="H1593" s="21"/>
      <c r="I1593" s="21"/>
      <c r="J1593" s="21"/>
      <c r="K1593" s="21"/>
      <c r="L1593" s="21"/>
      <c r="M1593" s="21"/>
      <c r="N1593" s="21"/>
      <c r="O1593" s="21"/>
      <c r="P1593" s="21"/>
      <c r="Q1593" s="21"/>
      <c r="R1593" s="21"/>
      <c r="S1593" s="21"/>
      <c r="T1593" s="21"/>
      <c r="U1593" s="21"/>
      <c r="V1593" s="21"/>
      <c r="W1593" s="21"/>
      <c r="X1593" s="21"/>
      <c r="Y1593" s="21"/>
      <c r="Z1593" s="21"/>
      <c r="AA1593" s="21"/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W1593" s="296"/>
      <c r="CY1593" s="296"/>
    </row>
    <row r="1594" spans="3:103" s="19" customFormat="1" ht="12">
      <c r="C1594" s="21"/>
      <c r="D1594" s="21"/>
      <c r="E1594" s="21"/>
      <c r="F1594" s="21"/>
      <c r="G1594" s="21"/>
      <c r="H1594" s="21"/>
      <c r="I1594" s="21"/>
      <c r="J1594" s="21"/>
      <c r="K1594" s="21"/>
      <c r="L1594" s="21"/>
      <c r="M1594" s="21"/>
      <c r="N1594" s="21"/>
      <c r="O1594" s="21"/>
      <c r="P1594" s="21"/>
      <c r="Q1594" s="21"/>
      <c r="R1594" s="21"/>
      <c r="S1594" s="21"/>
      <c r="T1594" s="21"/>
      <c r="U1594" s="21"/>
      <c r="V1594" s="21"/>
      <c r="W1594" s="21"/>
      <c r="X1594" s="21"/>
      <c r="Y1594" s="21"/>
      <c r="Z1594" s="21"/>
      <c r="AA1594" s="21"/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W1594" s="296"/>
      <c r="CY1594" s="296"/>
    </row>
    <row r="1595" spans="3:103" s="19" customFormat="1" ht="12">
      <c r="C1595" s="21"/>
      <c r="D1595" s="21"/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W1595" s="296"/>
      <c r="CY1595" s="296"/>
    </row>
    <row r="1596" spans="3:103" s="19" customFormat="1" ht="12">
      <c r="C1596" s="21"/>
      <c r="D1596" s="21"/>
      <c r="E1596" s="21"/>
      <c r="F1596" s="21"/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W1596" s="296"/>
      <c r="CY1596" s="296"/>
    </row>
    <row r="1597" spans="3:103" s="19" customFormat="1" ht="12">
      <c r="C1597" s="21"/>
      <c r="D1597" s="21"/>
      <c r="E1597" s="21"/>
      <c r="F1597" s="21"/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W1597" s="296"/>
      <c r="CY1597" s="296"/>
    </row>
    <row r="1598" spans="3:103" s="19" customFormat="1" ht="12">
      <c r="C1598" s="21"/>
      <c r="D1598" s="21"/>
      <c r="E1598" s="21"/>
      <c r="F1598" s="21"/>
      <c r="G1598" s="21"/>
      <c r="H1598" s="21"/>
      <c r="I1598" s="21"/>
      <c r="J1598" s="21"/>
      <c r="K1598" s="21"/>
      <c r="L1598" s="21"/>
      <c r="M1598" s="21"/>
      <c r="N1598" s="21"/>
      <c r="O1598" s="21"/>
      <c r="P1598" s="21"/>
      <c r="Q1598" s="21"/>
      <c r="R1598" s="21"/>
      <c r="S1598" s="21"/>
      <c r="T1598" s="21"/>
      <c r="U1598" s="21"/>
      <c r="V1598" s="21"/>
      <c r="W1598" s="21"/>
      <c r="X1598" s="21"/>
      <c r="Y1598" s="21"/>
      <c r="Z1598" s="21"/>
      <c r="AA1598" s="21"/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W1598" s="296"/>
      <c r="CY1598" s="296"/>
    </row>
    <row r="1599" spans="3:103" s="19" customFormat="1" ht="12">
      <c r="C1599" s="21"/>
      <c r="D1599" s="21"/>
      <c r="E1599" s="21"/>
      <c r="F1599" s="21"/>
      <c r="G1599" s="21"/>
      <c r="H1599" s="21"/>
      <c r="I1599" s="21"/>
      <c r="J1599" s="21"/>
      <c r="K1599" s="21"/>
      <c r="L1599" s="21"/>
      <c r="M1599" s="21"/>
      <c r="N1599" s="21"/>
      <c r="O1599" s="21"/>
      <c r="P1599" s="21"/>
      <c r="Q1599" s="21"/>
      <c r="R1599" s="21"/>
      <c r="S1599" s="21"/>
      <c r="T1599" s="21"/>
      <c r="U1599" s="21"/>
      <c r="V1599" s="21"/>
      <c r="W1599" s="21"/>
      <c r="X1599" s="21"/>
      <c r="Y1599" s="21"/>
      <c r="Z1599" s="21"/>
      <c r="AA1599" s="21"/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W1599" s="296"/>
      <c r="CY1599" s="296"/>
    </row>
    <row r="1600" spans="3:103" s="19" customFormat="1" ht="12">
      <c r="C1600" s="21"/>
      <c r="D1600" s="21"/>
      <c r="E1600" s="21"/>
      <c r="F1600" s="21"/>
      <c r="G1600" s="21"/>
      <c r="H1600" s="21"/>
      <c r="I1600" s="21"/>
      <c r="J1600" s="21"/>
      <c r="K1600" s="21"/>
      <c r="L1600" s="21"/>
      <c r="M1600" s="21"/>
      <c r="N1600" s="21"/>
      <c r="O1600" s="21"/>
      <c r="P1600" s="21"/>
      <c r="Q1600" s="21"/>
      <c r="R1600" s="21"/>
      <c r="S1600" s="21"/>
      <c r="T1600" s="21"/>
      <c r="U1600" s="21"/>
      <c r="V1600" s="21"/>
      <c r="W1600" s="21"/>
      <c r="X1600" s="21"/>
      <c r="Y1600" s="21"/>
      <c r="Z1600" s="21"/>
      <c r="AA1600" s="21"/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W1600" s="296"/>
      <c r="CY1600" s="296"/>
    </row>
    <row r="1601" spans="3:103" s="19" customFormat="1" ht="12">
      <c r="C1601" s="21"/>
      <c r="D1601" s="21"/>
      <c r="E1601" s="21"/>
      <c r="F1601" s="21"/>
      <c r="G1601" s="21"/>
      <c r="H1601" s="21"/>
      <c r="I1601" s="21"/>
      <c r="J1601" s="21"/>
      <c r="K1601" s="21"/>
      <c r="L1601" s="21"/>
      <c r="M1601" s="21"/>
      <c r="N1601" s="21"/>
      <c r="O1601" s="21"/>
      <c r="P1601" s="21"/>
      <c r="Q1601" s="21"/>
      <c r="R1601" s="21"/>
      <c r="S1601" s="21"/>
      <c r="T1601" s="21"/>
      <c r="U1601" s="21"/>
      <c r="V1601" s="21"/>
      <c r="W1601" s="21"/>
      <c r="X1601" s="21"/>
      <c r="Y1601" s="21"/>
      <c r="Z1601" s="21"/>
      <c r="AA1601" s="21"/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W1601" s="296"/>
      <c r="CY1601" s="296"/>
    </row>
    <row r="1602" spans="3:103" s="19" customFormat="1" ht="12">
      <c r="C1602" s="21"/>
      <c r="D1602" s="21"/>
      <c r="E1602" s="21"/>
      <c r="F1602" s="21"/>
      <c r="G1602" s="21"/>
      <c r="H1602" s="21"/>
      <c r="I1602" s="21"/>
      <c r="J1602" s="21"/>
      <c r="K1602" s="21"/>
      <c r="L1602" s="21"/>
      <c r="M1602" s="21"/>
      <c r="N1602" s="21"/>
      <c r="O1602" s="21"/>
      <c r="P1602" s="21"/>
      <c r="Q1602" s="21"/>
      <c r="R1602" s="21"/>
      <c r="S1602" s="21"/>
      <c r="T1602" s="21"/>
      <c r="U1602" s="21"/>
      <c r="V1602" s="21"/>
      <c r="W1602" s="21"/>
      <c r="X1602" s="21"/>
      <c r="Y1602" s="21"/>
      <c r="Z1602" s="21"/>
      <c r="AA1602" s="21"/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W1602" s="296"/>
      <c r="CY1602" s="296"/>
    </row>
    <row r="1603" spans="3:103" s="19" customFormat="1" ht="12">
      <c r="C1603" s="21"/>
      <c r="D1603" s="21"/>
      <c r="E1603" s="21"/>
      <c r="F1603" s="21"/>
      <c r="G1603" s="21"/>
      <c r="H1603" s="21"/>
      <c r="I1603" s="21"/>
      <c r="J1603" s="21"/>
      <c r="K1603" s="21"/>
      <c r="L1603" s="21"/>
      <c r="M1603" s="21"/>
      <c r="N1603" s="21"/>
      <c r="O1603" s="21"/>
      <c r="P1603" s="21"/>
      <c r="Q1603" s="21"/>
      <c r="R1603" s="21"/>
      <c r="S1603" s="21"/>
      <c r="T1603" s="21"/>
      <c r="U1603" s="21"/>
      <c r="V1603" s="21"/>
      <c r="W1603" s="21"/>
      <c r="X1603" s="21"/>
      <c r="Y1603" s="21"/>
      <c r="Z1603" s="21"/>
      <c r="AA1603" s="21"/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W1603" s="296"/>
      <c r="CY1603" s="296"/>
    </row>
    <row r="1604" spans="3:103" s="19" customFormat="1" ht="12">
      <c r="C1604" s="21"/>
      <c r="D1604" s="21"/>
      <c r="E1604" s="21"/>
      <c r="F1604" s="21"/>
      <c r="G1604" s="21"/>
      <c r="H1604" s="21"/>
      <c r="I1604" s="21"/>
      <c r="J1604" s="21"/>
      <c r="K1604" s="21"/>
      <c r="L1604" s="21"/>
      <c r="M1604" s="21"/>
      <c r="N1604" s="21"/>
      <c r="O1604" s="21"/>
      <c r="P1604" s="21"/>
      <c r="Q1604" s="21"/>
      <c r="R1604" s="21"/>
      <c r="S1604" s="21"/>
      <c r="T1604" s="21"/>
      <c r="U1604" s="21"/>
      <c r="V1604" s="21"/>
      <c r="W1604" s="21"/>
      <c r="X1604" s="21"/>
      <c r="Y1604" s="21"/>
      <c r="Z1604" s="21"/>
      <c r="AA1604" s="21"/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W1604" s="296"/>
      <c r="CY1604" s="296"/>
    </row>
    <row r="1605" spans="3:103" s="19" customFormat="1" ht="12">
      <c r="C1605" s="21"/>
      <c r="D1605" s="21"/>
      <c r="E1605" s="21"/>
      <c r="F1605" s="21"/>
      <c r="G1605" s="21"/>
      <c r="H1605" s="21"/>
      <c r="I1605" s="21"/>
      <c r="J1605" s="21"/>
      <c r="K1605" s="21"/>
      <c r="L1605" s="21"/>
      <c r="M1605" s="21"/>
      <c r="N1605" s="21"/>
      <c r="O1605" s="21"/>
      <c r="P1605" s="21"/>
      <c r="Q1605" s="21"/>
      <c r="R1605" s="21"/>
      <c r="S1605" s="21"/>
      <c r="T1605" s="21"/>
      <c r="U1605" s="21"/>
      <c r="V1605" s="21"/>
      <c r="W1605" s="21"/>
      <c r="X1605" s="21"/>
      <c r="Y1605" s="21"/>
      <c r="Z1605" s="21"/>
      <c r="AA1605" s="21"/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W1605" s="296"/>
      <c r="CY1605" s="296"/>
    </row>
    <row r="1606" spans="3:103" s="19" customFormat="1" ht="12">
      <c r="C1606" s="21"/>
      <c r="D1606" s="21"/>
      <c r="E1606" s="21"/>
      <c r="F1606" s="21"/>
      <c r="G1606" s="21"/>
      <c r="H1606" s="21"/>
      <c r="I1606" s="21"/>
      <c r="J1606" s="21"/>
      <c r="K1606" s="21"/>
      <c r="L1606" s="21"/>
      <c r="M1606" s="21"/>
      <c r="N1606" s="21"/>
      <c r="O1606" s="21"/>
      <c r="P1606" s="21"/>
      <c r="Q1606" s="21"/>
      <c r="R1606" s="21"/>
      <c r="S1606" s="21"/>
      <c r="T1606" s="21"/>
      <c r="U1606" s="21"/>
      <c r="V1606" s="21"/>
      <c r="W1606" s="21"/>
      <c r="X1606" s="21"/>
      <c r="Y1606" s="21"/>
      <c r="Z1606" s="21"/>
      <c r="AA1606" s="21"/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W1606" s="296"/>
      <c r="CY1606" s="296"/>
    </row>
    <row r="1607" spans="3:103" s="19" customFormat="1" ht="12">
      <c r="C1607" s="21"/>
      <c r="D1607" s="21"/>
      <c r="E1607" s="21"/>
      <c r="F1607" s="21"/>
      <c r="G1607" s="21"/>
      <c r="H1607" s="21"/>
      <c r="I1607" s="21"/>
      <c r="J1607" s="21"/>
      <c r="K1607" s="21"/>
      <c r="L1607" s="21"/>
      <c r="M1607" s="21"/>
      <c r="N1607" s="21"/>
      <c r="O1607" s="21"/>
      <c r="P1607" s="21"/>
      <c r="Q1607" s="21"/>
      <c r="R1607" s="21"/>
      <c r="S1607" s="21"/>
      <c r="T1607" s="21"/>
      <c r="U1607" s="21"/>
      <c r="V1607" s="21"/>
      <c r="W1607" s="21"/>
      <c r="X1607" s="21"/>
      <c r="Y1607" s="21"/>
      <c r="Z1607" s="21"/>
      <c r="AA1607" s="21"/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W1607" s="296"/>
      <c r="CY1607" s="296"/>
    </row>
    <row r="1608" spans="3:103" s="19" customFormat="1" ht="12">
      <c r="C1608" s="21"/>
      <c r="D1608" s="21"/>
      <c r="E1608" s="21"/>
      <c r="F1608" s="21"/>
      <c r="G1608" s="21"/>
      <c r="H1608" s="21"/>
      <c r="I1608" s="21"/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W1608" s="296"/>
      <c r="CY1608" s="296"/>
    </row>
    <row r="1609" spans="3:103" s="19" customFormat="1" ht="12">
      <c r="C1609" s="21"/>
      <c r="D1609" s="21"/>
      <c r="E1609" s="21"/>
      <c r="F1609" s="21"/>
      <c r="G1609" s="21"/>
      <c r="H1609" s="21"/>
      <c r="I1609" s="21"/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W1609" s="296"/>
      <c r="CY1609" s="296"/>
    </row>
    <row r="1610" spans="3:103" s="19" customFormat="1" ht="12">
      <c r="C1610" s="21"/>
      <c r="D1610" s="21"/>
      <c r="E1610" s="21"/>
      <c r="F1610" s="21"/>
      <c r="G1610" s="21"/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W1610" s="296"/>
      <c r="CY1610" s="296"/>
    </row>
    <row r="1611" spans="3:103" s="19" customFormat="1" ht="12">
      <c r="C1611" s="21"/>
      <c r="D1611" s="21"/>
      <c r="E1611" s="21"/>
      <c r="F1611" s="21"/>
      <c r="G1611" s="21"/>
      <c r="H1611" s="21"/>
      <c r="I1611" s="21"/>
      <c r="J1611" s="21"/>
      <c r="K1611" s="21"/>
      <c r="L1611" s="21"/>
      <c r="M1611" s="21"/>
      <c r="N1611" s="21"/>
      <c r="O1611" s="21"/>
      <c r="P1611" s="21"/>
      <c r="Q1611" s="21"/>
      <c r="R1611" s="21"/>
      <c r="S1611" s="21"/>
      <c r="T1611" s="21"/>
      <c r="U1611" s="21"/>
      <c r="V1611" s="21"/>
      <c r="W1611" s="21"/>
      <c r="X1611" s="21"/>
      <c r="Y1611" s="21"/>
      <c r="Z1611" s="21"/>
      <c r="AA1611" s="21"/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W1611" s="296"/>
      <c r="CY1611" s="296"/>
    </row>
    <row r="1612" spans="3:103" s="19" customFormat="1" ht="12">
      <c r="C1612" s="21"/>
      <c r="D1612" s="21"/>
      <c r="E1612" s="21"/>
      <c r="F1612" s="21"/>
      <c r="G1612" s="21"/>
      <c r="H1612" s="21"/>
      <c r="I1612" s="21"/>
      <c r="J1612" s="21"/>
      <c r="K1612" s="21"/>
      <c r="L1612" s="21"/>
      <c r="M1612" s="21"/>
      <c r="N1612" s="21"/>
      <c r="O1612" s="21"/>
      <c r="P1612" s="21"/>
      <c r="Q1612" s="21"/>
      <c r="R1612" s="21"/>
      <c r="S1612" s="21"/>
      <c r="T1612" s="21"/>
      <c r="U1612" s="21"/>
      <c r="V1612" s="21"/>
      <c r="W1612" s="21"/>
      <c r="X1612" s="21"/>
      <c r="Y1612" s="21"/>
      <c r="Z1612" s="21"/>
      <c r="AA1612" s="21"/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W1612" s="296"/>
      <c r="CY1612" s="296"/>
    </row>
    <row r="1613" spans="3:103" s="19" customFormat="1" ht="12">
      <c r="C1613" s="21"/>
      <c r="D1613" s="21"/>
      <c r="E1613" s="21"/>
      <c r="F1613" s="21"/>
      <c r="G1613" s="21"/>
      <c r="H1613" s="21"/>
      <c r="I1613" s="21"/>
      <c r="J1613" s="21"/>
      <c r="K1613" s="21"/>
      <c r="L1613" s="21"/>
      <c r="M1613" s="21"/>
      <c r="N1613" s="21"/>
      <c r="O1613" s="21"/>
      <c r="P1613" s="21"/>
      <c r="Q1613" s="21"/>
      <c r="R1613" s="21"/>
      <c r="S1613" s="21"/>
      <c r="T1613" s="21"/>
      <c r="U1613" s="21"/>
      <c r="V1613" s="21"/>
      <c r="W1613" s="21"/>
      <c r="X1613" s="21"/>
      <c r="Y1613" s="21"/>
      <c r="Z1613" s="21"/>
      <c r="AA1613" s="21"/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W1613" s="296"/>
      <c r="CY1613" s="296"/>
    </row>
    <row r="1614" spans="3:103" s="19" customFormat="1" ht="12">
      <c r="C1614" s="21"/>
      <c r="D1614" s="21"/>
      <c r="E1614" s="21"/>
      <c r="F1614" s="21"/>
      <c r="G1614" s="21"/>
      <c r="H1614" s="21"/>
      <c r="I1614" s="21"/>
      <c r="J1614" s="21"/>
      <c r="K1614" s="21"/>
      <c r="L1614" s="21"/>
      <c r="M1614" s="21"/>
      <c r="N1614" s="21"/>
      <c r="O1614" s="21"/>
      <c r="P1614" s="21"/>
      <c r="Q1614" s="21"/>
      <c r="R1614" s="21"/>
      <c r="S1614" s="21"/>
      <c r="T1614" s="21"/>
      <c r="U1614" s="21"/>
      <c r="V1614" s="21"/>
      <c r="W1614" s="21"/>
      <c r="X1614" s="21"/>
      <c r="Y1614" s="21"/>
      <c r="Z1614" s="21"/>
      <c r="AA1614" s="21"/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W1614" s="296"/>
      <c r="CY1614" s="296"/>
    </row>
    <row r="1615" spans="3:103" s="19" customFormat="1" ht="12">
      <c r="C1615" s="21"/>
      <c r="D1615" s="21"/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W1615" s="296"/>
      <c r="CY1615" s="296"/>
    </row>
    <row r="1616" spans="3:103" s="19" customFormat="1" ht="12">
      <c r="C1616" s="21"/>
      <c r="D1616" s="21"/>
      <c r="E1616" s="21"/>
      <c r="F1616" s="21"/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W1616" s="296"/>
      <c r="CY1616" s="296"/>
    </row>
    <row r="1617" spans="3:103" s="19" customFormat="1" ht="12">
      <c r="C1617" s="21"/>
      <c r="D1617" s="21"/>
      <c r="E1617" s="21"/>
      <c r="F1617" s="21"/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W1617" s="296"/>
      <c r="CY1617" s="296"/>
    </row>
    <row r="1618" spans="3:103" s="19" customFormat="1" ht="12">
      <c r="C1618" s="21"/>
      <c r="D1618" s="21"/>
      <c r="E1618" s="21"/>
      <c r="F1618" s="21"/>
      <c r="G1618" s="21"/>
      <c r="H1618" s="21"/>
      <c r="I1618" s="21"/>
      <c r="J1618" s="21"/>
      <c r="K1618" s="21"/>
      <c r="L1618" s="21"/>
      <c r="M1618" s="21"/>
      <c r="N1618" s="21"/>
      <c r="O1618" s="21"/>
      <c r="P1618" s="21"/>
      <c r="Q1618" s="21"/>
      <c r="R1618" s="21"/>
      <c r="S1618" s="21"/>
      <c r="T1618" s="21"/>
      <c r="U1618" s="21"/>
      <c r="V1618" s="21"/>
      <c r="W1618" s="21"/>
      <c r="X1618" s="21"/>
      <c r="Y1618" s="21"/>
      <c r="Z1618" s="21"/>
      <c r="AA1618" s="21"/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W1618" s="296"/>
      <c r="CY1618" s="296"/>
    </row>
    <row r="1619" spans="3:103" s="19" customFormat="1" ht="12">
      <c r="C1619" s="21"/>
      <c r="D1619" s="21"/>
      <c r="E1619" s="21"/>
      <c r="F1619" s="21"/>
      <c r="G1619" s="21"/>
      <c r="H1619" s="21"/>
      <c r="I1619" s="21"/>
      <c r="J1619" s="21"/>
      <c r="K1619" s="21"/>
      <c r="L1619" s="21"/>
      <c r="M1619" s="21"/>
      <c r="N1619" s="21"/>
      <c r="O1619" s="21"/>
      <c r="P1619" s="21"/>
      <c r="Q1619" s="21"/>
      <c r="R1619" s="21"/>
      <c r="S1619" s="21"/>
      <c r="T1619" s="21"/>
      <c r="U1619" s="21"/>
      <c r="V1619" s="21"/>
      <c r="W1619" s="21"/>
      <c r="X1619" s="21"/>
      <c r="Y1619" s="21"/>
      <c r="Z1619" s="21"/>
      <c r="AA1619" s="21"/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W1619" s="296"/>
      <c r="CY1619" s="296"/>
    </row>
    <row r="1620" spans="3:103" s="19" customFormat="1" ht="12">
      <c r="C1620" s="21"/>
      <c r="D1620" s="21"/>
      <c r="E1620" s="21"/>
      <c r="F1620" s="21"/>
      <c r="G1620" s="21"/>
      <c r="H1620" s="21"/>
      <c r="I1620" s="21"/>
      <c r="J1620" s="21"/>
      <c r="K1620" s="21"/>
      <c r="L1620" s="21"/>
      <c r="M1620" s="21"/>
      <c r="N1620" s="21"/>
      <c r="O1620" s="21"/>
      <c r="P1620" s="21"/>
      <c r="Q1620" s="21"/>
      <c r="R1620" s="21"/>
      <c r="S1620" s="21"/>
      <c r="T1620" s="21"/>
      <c r="U1620" s="21"/>
      <c r="V1620" s="21"/>
      <c r="W1620" s="21"/>
      <c r="X1620" s="21"/>
      <c r="Y1620" s="21"/>
      <c r="Z1620" s="21"/>
      <c r="AA1620" s="21"/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W1620" s="296"/>
      <c r="CY1620" s="296"/>
    </row>
    <row r="1621" spans="3:103" s="19" customFormat="1" ht="12">
      <c r="C1621" s="21"/>
      <c r="D1621" s="21"/>
      <c r="E1621" s="21"/>
      <c r="F1621" s="21"/>
      <c r="G1621" s="21"/>
      <c r="H1621" s="21"/>
      <c r="I1621" s="21"/>
      <c r="J1621" s="21"/>
      <c r="K1621" s="21"/>
      <c r="L1621" s="21"/>
      <c r="M1621" s="21"/>
      <c r="N1621" s="21"/>
      <c r="O1621" s="21"/>
      <c r="P1621" s="21"/>
      <c r="Q1621" s="21"/>
      <c r="R1621" s="21"/>
      <c r="S1621" s="21"/>
      <c r="T1621" s="21"/>
      <c r="U1621" s="21"/>
      <c r="V1621" s="21"/>
      <c r="W1621" s="21"/>
      <c r="X1621" s="21"/>
      <c r="Y1621" s="21"/>
      <c r="Z1621" s="21"/>
      <c r="AA1621" s="21"/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W1621" s="296"/>
      <c r="CY1621" s="296"/>
    </row>
    <row r="1622" spans="3:103" s="19" customFormat="1" ht="12">
      <c r="C1622" s="21"/>
      <c r="D1622" s="21"/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W1622" s="296"/>
      <c r="CY1622" s="296"/>
    </row>
    <row r="1623" spans="3:103" s="19" customFormat="1" ht="12">
      <c r="C1623" s="21"/>
      <c r="D1623" s="21"/>
      <c r="E1623" s="21"/>
      <c r="F1623" s="21"/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W1623" s="296"/>
      <c r="CY1623" s="296"/>
    </row>
    <row r="1624" spans="3:103" s="19" customFormat="1" ht="12">
      <c r="C1624" s="21"/>
      <c r="D1624" s="21"/>
      <c r="E1624" s="21"/>
      <c r="F1624" s="21"/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W1624" s="296"/>
      <c r="CY1624" s="296"/>
    </row>
    <row r="1625" spans="3:103" s="19" customFormat="1" ht="12">
      <c r="C1625" s="21"/>
      <c r="D1625" s="21"/>
      <c r="E1625" s="21"/>
      <c r="F1625" s="21"/>
      <c r="G1625" s="21"/>
      <c r="H1625" s="21"/>
      <c r="I1625" s="21"/>
      <c r="J1625" s="21"/>
      <c r="K1625" s="21"/>
      <c r="L1625" s="21"/>
      <c r="M1625" s="21"/>
      <c r="N1625" s="21"/>
      <c r="O1625" s="21"/>
      <c r="P1625" s="21"/>
      <c r="Q1625" s="21"/>
      <c r="R1625" s="21"/>
      <c r="S1625" s="21"/>
      <c r="T1625" s="21"/>
      <c r="U1625" s="21"/>
      <c r="V1625" s="21"/>
      <c r="W1625" s="21"/>
      <c r="X1625" s="21"/>
      <c r="Y1625" s="21"/>
      <c r="Z1625" s="21"/>
      <c r="AA1625" s="21"/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W1625" s="296"/>
      <c r="CY1625" s="296"/>
    </row>
    <row r="1626" spans="3:103" s="19" customFormat="1" ht="12">
      <c r="C1626" s="21"/>
      <c r="D1626" s="21"/>
      <c r="E1626" s="21"/>
      <c r="F1626" s="21"/>
      <c r="G1626" s="21"/>
      <c r="H1626" s="21"/>
      <c r="I1626" s="21"/>
      <c r="J1626" s="21"/>
      <c r="K1626" s="21"/>
      <c r="L1626" s="21"/>
      <c r="M1626" s="21"/>
      <c r="N1626" s="21"/>
      <c r="O1626" s="21"/>
      <c r="P1626" s="21"/>
      <c r="Q1626" s="21"/>
      <c r="R1626" s="21"/>
      <c r="S1626" s="21"/>
      <c r="T1626" s="21"/>
      <c r="U1626" s="21"/>
      <c r="V1626" s="21"/>
      <c r="W1626" s="21"/>
      <c r="X1626" s="21"/>
      <c r="Y1626" s="21"/>
      <c r="Z1626" s="21"/>
      <c r="AA1626" s="21"/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W1626" s="296"/>
      <c r="CY1626" s="296"/>
    </row>
    <row r="1627" spans="3:103" s="19" customFormat="1" ht="12">
      <c r="C1627" s="21"/>
      <c r="D1627" s="21"/>
      <c r="E1627" s="21"/>
      <c r="F1627" s="21"/>
      <c r="G1627" s="21"/>
      <c r="H1627" s="21"/>
      <c r="I1627" s="21"/>
      <c r="J1627" s="21"/>
      <c r="K1627" s="21"/>
      <c r="L1627" s="21"/>
      <c r="M1627" s="21"/>
      <c r="N1627" s="21"/>
      <c r="O1627" s="21"/>
      <c r="P1627" s="21"/>
      <c r="Q1627" s="21"/>
      <c r="R1627" s="21"/>
      <c r="S1627" s="21"/>
      <c r="T1627" s="21"/>
      <c r="U1627" s="21"/>
      <c r="V1627" s="21"/>
      <c r="W1627" s="21"/>
      <c r="X1627" s="21"/>
      <c r="Y1627" s="21"/>
      <c r="Z1627" s="21"/>
      <c r="AA1627" s="21"/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W1627" s="296"/>
      <c r="CY1627" s="296"/>
    </row>
    <row r="1628" spans="3:103" s="19" customFormat="1" ht="12">
      <c r="C1628" s="21"/>
      <c r="D1628" s="21"/>
      <c r="E1628" s="21"/>
      <c r="F1628" s="21"/>
      <c r="G1628" s="21"/>
      <c r="H1628" s="21"/>
      <c r="I1628" s="21"/>
      <c r="J1628" s="21"/>
      <c r="K1628" s="21"/>
      <c r="L1628" s="21"/>
      <c r="M1628" s="21"/>
      <c r="N1628" s="21"/>
      <c r="O1628" s="21"/>
      <c r="P1628" s="21"/>
      <c r="Q1628" s="21"/>
      <c r="R1628" s="21"/>
      <c r="S1628" s="21"/>
      <c r="T1628" s="21"/>
      <c r="U1628" s="21"/>
      <c r="V1628" s="21"/>
      <c r="W1628" s="21"/>
      <c r="X1628" s="21"/>
      <c r="Y1628" s="21"/>
      <c r="Z1628" s="21"/>
      <c r="AA1628" s="21"/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W1628" s="296"/>
      <c r="CY1628" s="296"/>
    </row>
    <row r="1629" spans="3:103" s="19" customFormat="1" ht="12">
      <c r="C1629" s="21"/>
      <c r="D1629" s="21"/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W1629" s="296"/>
      <c r="CY1629" s="296"/>
    </row>
    <row r="1630" spans="3:103" s="19" customFormat="1" ht="12">
      <c r="C1630" s="21"/>
      <c r="D1630" s="21"/>
      <c r="E1630" s="21"/>
      <c r="F1630" s="21"/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W1630" s="296"/>
      <c r="CY1630" s="296"/>
    </row>
    <row r="1631" spans="3:103" s="19" customFormat="1" ht="12">
      <c r="C1631" s="21"/>
      <c r="D1631" s="21"/>
      <c r="E1631" s="21"/>
      <c r="F1631" s="21"/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W1631" s="296"/>
      <c r="CY1631" s="296"/>
    </row>
    <row r="1632" spans="3:103" s="19" customFormat="1" ht="12">
      <c r="C1632" s="21"/>
      <c r="D1632" s="21"/>
      <c r="E1632" s="21"/>
      <c r="F1632" s="21"/>
      <c r="G1632" s="21"/>
      <c r="H1632" s="21"/>
      <c r="I1632" s="21"/>
      <c r="J1632" s="21"/>
      <c r="K1632" s="21"/>
      <c r="L1632" s="21"/>
      <c r="M1632" s="21"/>
      <c r="N1632" s="21"/>
      <c r="O1632" s="21"/>
      <c r="P1632" s="21"/>
      <c r="Q1632" s="21"/>
      <c r="R1632" s="21"/>
      <c r="S1632" s="21"/>
      <c r="T1632" s="21"/>
      <c r="U1632" s="21"/>
      <c r="V1632" s="21"/>
      <c r="W1632" s="21"/>
      <c r="X1632" s="21"/>
      <c r="Y1632" s="21"/>
      <c r="Z1632" s="21"/>
      <c r="AA1632" s="21"/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W1632" s="296"/>
      <c r="CY1632" s="296"/>
    </row>
    <row r="1633" spans="3:103" s="19" customFormat="1" ht="12">
      <c r="C1633" s="21"/>
      <c r="D1633" s="21"/>
      <c r="E1633" s="21"/>
      <c r="F1633" s="21"/>
      <c r="G1633" s="21"/>
      <c r="H1633" s="21"/>
      <c r="I1633" s="21"/>
      <c r="J1633" s="21"/>
      <c r="K1633" s="21"/>
      <c r="L1633" s="21"/>
      <c r="M1633" s="21"/>
      <c r="N1633" s="21"/>
      <c r="O1633" s="21"/>
      <c r="P1633" s="21"/>
      <c r="Q1633" s="21"/>
      <c r="R1633" s="21"/>
      <c r="S1633" s="21"/>
      <c r="T1633" s="21"/>
      <c r="U1633" s="21"/>
      <c r="V1633" s="21"/>
      <c r="W1633" s="21"/>
      <c r="X1633" s="21"/>
      <c r="Y1633" s="21"/>
      <c r="Z1633" s="21"/>
      <c r="AA1633" s="21"/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W1633" s="296"/>
      <c r="CY1633" s="296"/>
    </row>
    <row r="1634" spans="3:103" s="19" customFormat="1" ht="12">
      <c r="C1634" s="21"/>
      <c r="D1634" s="21"/>
      <c r="E1634" s="21"/>
      <c r="F1634" s="21"/>
      <c r="G1634" s="21"/>
      <c r="H1634" s="21"/>
      <c r="I1634" s="21"/>
      <c r="J1634" s="21"/>
      <c r="K1634" s="21"/>
      <c r="L1634" s="21"/>
      <c r="M1634" s="21"/>
      <c r="N1634" s="21"/>
      <c r="O1634" s="21"/>
      <c r="P1634" s="21"/>
      <c r="Q1634" s="21"/>
      <c r="R1634" s="21"/>
      <c r="S1634" s="21"/>
      <c r="T1634" s="21"/>
      <c r="U1634" s="21"/>
      <c r="V1634" s="21"/>
      <c r="W1634" s="21"/>
      <c r="X1634" s="21"/>
      <c r="Y1634" s="21"/>
      <c r="Z1634" s="21"/>
      <c r="AA1634" s="21"/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W1634" s="296"/>
      <c r="CY1634" s="296"/>
    </row>
    <row r="1635" spans="3:103" s="19" customFormat="1" ht="12">
      <c r="C1635" s="21"/>
      <c r="D1635" s="21"/>
      <c r="E1635" s="21"/>
      <c r="F1635" s="21"/>
      <c r="G1635" s="21"/>
      <c r="H1635" s="21"/>
      <c r="I1635" s="21"/>
      <c r="J1635" s="21"/>
      <c r="K1635" s="21"/>
      <c r="L1635" s="21"/>
      <c r="M1635" s="21"/>
      <c r="N1635" s="21"/>
      <c r="O1635" s="21"/>
      <c r="P1635" s="21"/>
      <c r="Q1635" s="21"/>
      <c r="R1635" s="21"/>
      <c r="S1635" s="21"/>
      <c r="T1635" s="21"/>
      <c r="U1635" s="21"/>
      <c r="V1635" s="21"/>
      <c r="W1635" s="21"/>
      <c r="X1635" s="21"/>
      <c r="Y1635" s="21"/>
      <c r="Z1635" s="21"/>
      <c r="AA1635" s="21"/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W1635" s="296"/>
      <c r="CY1635" s="296"/>
    </row>
    <row r="1636" spans="3:103" s="19" customFormat="1" ht="12">
      <c r="C1636" s="21"/>
      <c r="D1636" s="21"/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W1636" s="296"/>
      <c r="CY1636" s="296"/>
    </row>
    <row r="1637" spans="3:103" s="19" customFormat="1" ht="12"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W1637" s="296"/>
      <c r="CY1637" s="296"/>
    </row>
    <row r="1638" spans="3:103" s="19" customFormat="1" ht="12">
      <c r="C1638" s="21"/>
      <c r="D1638" s="21"/>
      <c r="E1638" s="21"/>
      <c r="F1638" s="21"/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W1638" s="296"/>
      <c r="CY1638" s="296"/>
    </row>
    <row r="1639" spans="3:103" s="19" customFormat="1" ht="12">
      <c r="C1639" s="21"/>
      <c r="D1639" s="21"/>
      <c r="E1639" s="21"/>
      <c r="F1639" s="21"/>
      <c r="G1639" s="21"/>
      <c r="H1639" s="21"/>
      <c r="I1639" s="21"/>
      <c r="J1639" s="21"/>
      <c r="K1639" s="21"/>
      <c r="L1639" s="21"/>
      <c r="M1639" s="21"/>
      <c r="N1639" s="21"/>
      <c r="O1639" s="21"/>
      <c r="P1639" s="21"/>
      <c r="Q1639" s="21"/>
      <c r="R1639" s="21"/>
      <c r="S1639" s="21"/>
      <c r="T1639" s="21"/>
      <c r="U1639" s="21"/>
      <c r="V1639" s="21"/>
      <c r="W1639" s="21"/>
      <c r="X1639" s="21"/>
      <c r="Y1639" s="21"/>
      <c r="Z1639" s="21"/>
      <c r="AA1639" s="21"/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W1639" s="296"/>
      <c r="CY1639" s="296"/>
    </row>
    <row r="1640" spans="3:103" s="19" customFormat="1" ht="12">
      <c r="C1640" s="21"/>
      <c r="D1640" s="21"/>
      <c r="E1640" s="21"/>
      <c r="F1640" s="21"/>
      <c r="G1640" s="21"/>
      <c r="H1640" s="21"/>
      <c r="I1640" s="21"/>
      <c r="J1640" s="21"/>
      <c r="K1640" s="21"/>
      <c r="L1640" s="21"/>
      <c r="M1640" s="21"/>
      <c r="N1640" s="21"/>
      <c r="O1640" s="21"/>
      <c r="P1640" s="21"/>
      <c r="Q1640" s="21"/>
      <c r="R1640" s="21"/>
      <c r="S1640" s="21"/>
      <c r="T1640" s="21"/>
      <c r="U1640" s="21"/>
      <c r="V1640" s="21"/>
      <c r="W1640" s="21"/>
      <c r="X1640" s="21"/>
      <c r="Y1640" s="21"/>
      <c r="Z1640" s="21"/>
      <c r="AA1640" s="21"/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W1640" s="296"/>
      <c r="CY1640" s="296"/>
    </row>
    <row r="1641" spans="3:103" s="19" customFormat="1" ht="12">
      <c r="C1641" s="21"/>
      <c r="D1641" s="21"/>
      <c r="E1641" s="21"/>
      <c r="F1641" s="21"/>
      <c r="G1641" s="21"/>
      <c r="H1641" s="21"/>
      <c r="I1641" s="21"/>
      <c r="J1641" s="21"/>
      <c r="K1641" s="21"/>
      <c r="L1641" s="21"/>
      <c r="M1641" s="21"/>
      <c r="N1641" s="21"/>
      <c r="O1641" s="21"/>
      <c r="P1641" s="21"/>
      <c r="Q1641" s="21"/>
      <c r="R1641" s="21"/>
      <c r="S1641" s="21"/>
      <c r="T1641" s="21"/>
      <c r="U1641" s="21"/>
      <c r="V1641" s="21"/>
      <c r="W1641" s="21"/>
      <c r="X1641" s="21"/>
      <c r="Y1641" s="21"/>
      <c r="Z1641" s="21"/>
      <c r="AA1641" s="21"/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W1641" s="296"/>
      <c r="CY1641" s="296"/>
    </row>
    <row r="1642" spans="3:103" s="19" customFormat="1" ht="12">
      <c r="C1642" s="21"/>
      <c r="D1642" s="21"/>
      <c r="E1642" s="21"/>
      <c r="F1642" s="21"/>
      <c r="G1642" s="21"/>
      <c r="H1642" s="21"/>
      <c r="I1642" s="21"/>
      <c r="J1642" s="21"/>
      <c r="K1642" s="21"/>
      <c r="L1642" s="21"/>
      <c r="M1642" s="21"/>
      <c r="N1642" s="21"/>
      <c r="O1642" s="21"/>
      <c r="P1642" s="21"/>
      <c r="Q1642" s="21"/>
      <c r="R1642" s="21"/>
      <c r="S1642" s="21"/>
      <c r="T1642" s="21"/>
      <c r="U1642" s="21"/>
      <c r="V1642" s="21"/>
      <c r="W1642" s="21"/>
      <c r="X1642" s="21"/>
      <c r="Y1642" s="21"/>
      <c r="Z1642" s="21"/>
      <c r="AA1642" s="21"/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W1642" s="296"/>
      <c r="CY1642" s="296"/>
    </row>
    <row r="1643" spans="3:103" s="19" customFormat="1" ht="12">
      <c r="C1643" s="21"/>
      <c r="D1643" s="21"/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W1643" s="296"/>
      <c r="CY1643" s="296"/>
    </row>
    <row r="1644" spans="3:103" s="19" customFormat="1" ht="12">
      <c r="C1644" s="21"/>
      <c r="D1644" s="21"/>
      <c r="E1644" s="21"/>
      <c r="F1644" s="21"/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W1644" s="296"/>
      <c r="CY1644" s="296"/>
    </row>
    <row r="1645" spans="3:103" s="19" customFormat="1" ht="12">
      <c r="C1645" s="21"/>
      <c r="D1645" s="21"/>
      <c r="E1645" s="21"/>
      <c r="F1645" s="21"/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W1645" s="296"/>
      <c r="CY1645" s="296"/>
    </row>
    <row r="1646" spans="3:103" s="19" customFormat="1" ht="12">
      <c r="C1646" s="21"/>
      <c r="D1646" s="21"/>
      <c r="E1646" s="21"/>
      <c r="F1646" s="21"/>
      <c r="G1646" s="21"/>
      <c r="H1646" s="21"/>
      <c r="I1646" s="21"/>
      <c r="J1646" s="21"/>
      <c r="K1646" s="21"/>
      <c r="L1646" s="21"/>
      <c r="M1646" s="21"/>
      <c r="N1646" s="21"/>
      <c r="O1646" s="21"/>
      <c r="P1646" s="21"/>
      <c r="Q1646" s="21"/>
      <c r="R1646" s="21"/>
      <c r="S1646" s="21"/>
      <c r="T1646" s="21"/>
      <c r="U1646" s="21"/>
      <c r="V1646" s="21"/>
      <c r="W1646" s="21"/>
      <c r="X1646" s="21"/>
      <c r="Y1646" s="21"/>
      <c r="Z1646" s="21"/>
      <c r="AA1646" s="21"/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W1646" s="296"/>
      <c r="CY1646" s="296"/>
    </row>
    <row r="1647" spans="3:103" s="19" customFormat="1" ht="12">
      <c r="C1647" s="21"/>
      <c r="D1647" s="21"/>
      <c r="E1647" s="21"/>
      <c r="F1647" s="21"/>
      <c r="G1647" s="21"/>
      <c r="H1647" s="21"/>
      <c r="I1647" s="21"/>
      <c r="J1647" s="21"/>
      <c r="K1647" s="21"/>
      <c r="L1647" s="21"/>
      <c r="M1647" s="21"/>
      <c r="N1647" s="21"/>
      <c r="O1647" s="21"/>
      <c r="P1647" s="21"/>
      <c r="Q1647" s="21"/>
      <c r="R1647" s="21"/>
      <c r="S1647" s="21"/>
      <c r="T1647" s="21"/>
      <c r="U1647" s="21"/>
      <c r="V1647" s="21"/>
      <c r="W1647" s="21"/>
      <c r="X1647" s="21"/>
      <c r="Y1647" s="21"/>
      <c r="Z1647" s="21"/>
      <c r="AA1647" s="21"/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W1647" s="296"/>
      <c r="CY1647" s="296"/>
    </row>
    <row r="1648" spans="3:103" s="19" customFormat="1" ht="12">
      <c r="C1648" s="21"/>
      <c r="D1648" s="21"/>
      <c r="E1648" s="21"/>
      <c r="F1648" s="21"/>
      <c r="G1648" s="21"/>
      <c r="H1648" s="21"/>
      <c r="I1648" s="21"/>
      <c r="J1648" s="21"/>
      <c r="K1648" s="21"/>
      <c r="L1648" s="21"/>
      <c r="M1648" s="21"/>
      <c r="N1648" s="21"/>
      <c r="O1648" s="21"/>
      <c r="P1648" s="21"/>
      <c r="Q1648" s="21"/>
      <c r="R1648" s="21"/>
      <c r="S1648" s="21"/>
      <c r="T1648" s="21"/>
      <c r="U1648" s="21"/>
      <c r="V1648" s="21"/>
      <c r="W1648" s="21"/>
      <c r="X1648" s="21"/>
      <c r="Y1648" s="21"/>
      <c r="Z1648" s="21"/>
      <c r="AA1648" s="21"/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W1648" s="296"/>
      <c r="CY1648" s="296"/>
    </row>
    <row r="1649" spans="3:103" s="19" customFormat="1" ht="12">
      <c r="C1649" s="21"/>
      <c r="D1649" s="21"/>
      <c r="E1649" s="21"/>
      <c r="F1649" s="21"/>
      <c r="G1649" s="21"/>
      <c r="H1649" s="21"/>
      <c r="I1649" s="21"/>
      <c r="J1649" s="21"/>
      <c r="K1649" s="21"/>
      <c r="L1649" s="21"/>
      <c r="M1649" s="21"/>
      <c r="N1649" s="21"/>
      <c r="O1649" s="21"/>
      <c r="P1649" s="21"/>
      <c r="Q1649" s="21"/>
      <c r="R1649" s="21"/>
      <c r="S1649" s="21"/>
      <c r="T1649" s="21"/>
      <c r="U1649" s="21"/>
      <c r="V1649" s="21"/>
      <c r="W1649" s="21"/>
      <c r="X1649" s="21"/>
      <c r="Y1649" s="21"/>
      <c r="Z1649" s="21"/>
      <c r="AA1649" s="21"/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W1649" s="296"/>
      <c r="CY1649" s="296"/>
    </row>
    <row r="1650" spans="3:103" s="19" customFormat="1" ht="12">
      <c r="C1650" s="21"/>
      <c r="D1650" s="21"/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W1650" s="296"/>
      <c r="CY1650" s="296"/>
    </row>
    <row r="1651" spans="3:103" s="19" customFormat="1" ht="12">
      <c r="C1651" s="21"/>
      <c r="D1651" s="21"/>
      <c r="E1651" s="21"/>
      <c r="F1651" s="21"/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W1651" s="296"/>
      <c r="CY1651" s="296"/>
    </row>
    <row r="1652" spans="3:103" s="19" customFormat="1" ht="12">
      <c r="C1652" s="21"/>
      <c r="D1652" s="21"/>
      <c r="E1652" s="21"/>
      <c r="F1652" s="21"/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W1652" s="296"/>
      <c r="CY1652" s="296"/>
    </row>
    <row r="1653" spans="3:103" s="19" customFormat="1" ht="12">
      <c r="C1653" s="21"/>
      <c r="D1653" s="21"/>
      <c r="E1653" s="21"/>
      <c r="F1653" s="21"/>
      <c r="G1653" s="21"/>
      <c r="H1653" s="21"/>
      <c r="I1653" s="21"/>
      <c r="J1653" s="21"/>
      <c r="K1653" s="21"/>
      <c r="L1653" s="21"/>
      <c r="M1653" s="21"/>
      <c r="N1653" s="21"/>
      <c r="O1653" s="21"/>
      <c r="P1653" s="21"/>
      <c r="Q1653" s="21"/>
      <c r="R1653" s="21"/>
      <c r="S1653" s="21"/>
      <c r="T1653" s="21"/>
      <c r="U1653" s="21"/>
      <c r="V1653" s="21"/>
      <c r="W1653" s="21"/>
      <c r="X1653" s="21"/>
      <c r="Y1653" s="21"/>
      <c r="Z1653" s="21"/>
      <c r="AA1653" s="21"/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W1653" s="296"/>
      <c r="CY1653" s="296"/>
    </row>
    <row r="1654" spans="3:103" s="19" customFormat="1" ht="12">
      <c r="C1654" s="21"/>
      <c r="D1654" s="21"/>
      <c r="E1654" s="21"/>
      <c r="F1654" s="21"/>
      <c r="G1654" s="21"/>
      <c r="H1654" s="21"/>
      <c r="I1654" s="21"/>
      <c r="J1654" s="21"/>
      <c r="K1654" s="21"/>
      <c r="L1654" s="21"/>
      <c r="M1654" s="21"/>
      <c r="N1654" s="21"/>
      <c r="O1654" s="21"/>
      <c r="P1654" s="21"/>
      <c r="Q1654" s="21"/>
      <c r="R1654" s="21"/>
      <c r="S1654" s="21"/>
      <c r="T1654" s="21"/>
      <c r="U1654" s="21"/>
      <c r="V1654" s="21"/>
      <c r="W1654" s="21"/>
      <c r="X1654" s="21"/>
      <c r="Y1654" s="21"/>
      <c r="Z1654" s="21"/>
      <c r="AA1654" s="21"/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W1654" s="296"/>
      <c r="CY1654" s="296"/>
    </row>
    <row r="1655" spans="3:103" s="19" customFormat="1" ht="12">
      <c r="C1655" s="21"/>
      <c r="D1655" s="21"/>
      <c r="E1655" s="21"/>
      <c r="F1655" s="21"/>
      <c r="G1655" s="21"/>
      <c r="H1655" s="21"/>
      <c r="I1655" s="21"/>
      <c r="J1655" s="21"/>
      <c r="K1655" s="21"/>
      <c r="L1655" s="21"/>
      <c r="M1655" s="21"/>
      <c r="N1655" s="21"/>
      <c r="O1655" s="21"/>
      <c r="P1655" s="21"/>
      <c r="Q1655" s="21"/>
      <c r="R1655" s="21"/>
      <c r="S1655" s="21"/>
      <c r="T1655" s="21"/>
      <c r="U1655" s="21"/>
      <c r="V1655" s="21"/>
      <c r="W1655" s="21"/>
      <c r="X1655" s="21"/>
      <c r="Y1655" s="21"/>
      <c r="Z1655" s="21"/>
      <c r="AA1655" s="21"/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W1655" s="296"/>
      <c r="CY1655" s="296"/>
    </row>
    <row r="1656" spans="3:103" s="19" customFormat="1" ht="12">
      <c r="C1656" s="21"/>
      <c r="D1656" s="21"/>
      <c r="E1656" s="21"/>
      <c r="F1656" s="21"/>
      <c r="G1656" s="21"/>
      <c r="H1656" s="21"/>
      <c r="I1656" s="21"/>
      <c r="J1656" s="21"/>
      <c r="K1656" s="21"/>
      <c r="L1656" s="21"/>
      <c r="M1656" s="21"/>
      <c r="N1656" s="21"/>
      <c r="O1656" s="21"/>
      <c r="P1656" s="21"/>
      <c r="Q1656" s="21"/>
      <c r="R1656" s="21"/>
      <c r="S1656" s="21"/>
      <c r="T1656" s="21"/>
      <c r="U1656" s="21"/>
      <c r="V1656" s="21"/>
      <c r="W1656" s="21"/>
      <c r="X1656" s="21"/>
      <c r="Y1656" s="21"/>
      <c r="Z1656" s="21"/>
      <c r="AA1656" s="21"/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W1656" s="296"/>
      <c r="CY1656" s="296"/>
    </row>
    <row r="1657" spans="3:103" s="19" customFormat="1" ht="12">
      <c r="C1657" s="21"/>
      <c r="D1657" s="21"/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W1657" s="296"/>
      <c r="CY1657" s="296"/>
    </row>
    <row r="1658" spans="3:103" s="19" customFormat="1" ht="12">
      <c r="C1658" s="21"/>
      <c r="D1658" s="21"/>
      <c r="E1658" s="21"/>
      <c r="F1658" s="21"/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W1658" s="296"/>
      <c r="CY1658" s="296"/>
    </row>
    <row r="1659" spans="3:103" s="19" customFormat="1" ht="12">
      <c r="C1659" s="21"/>
      <c r="D1659" s="21"/>
      <c r="E1659" s="21"/>
      <c r="F1659" s="21"/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W1659" s="296"/>
      <c r="CY1659" s="296"/>
    </row>
    <row r="1660" spans="3:103" s="19" customFormat="1" ht="12">
      <c r="C1660" s="21"/>
      <c r="D1660" s="21"/>
      <c r="E1660" s="21"/>
      <c r="F1660" s="21"/>
      <c r="G1660" s="21"/>
      <c r="H1660" s="21"/>
      <c r="I1660" s="21"/>
      <c r="J1660" s="21"/>
      <c r="K1660" s="21"/>
      <c r="L1660" s="21"/>
      <c r="M1660" s="21"/>
      <c r="N1660" s="21"/>
      <c r="O1660" s="21"/>
      <c r="P1660" s="21"/>
      <c r="Q1660" s="21"/>
      <c r="R1660" s="21"/>
      <c r="S1660" s="21"/>
      <c r="T1660" s="21"/>
      <c r="U1660" s="21"/>
      <c r="V1660" s="21"/>
      <c r="W1660" s="21"/>
      <c r="X1660" s="21"/>
      <c r="Y1660" s="21"/>
      <c r="Z1660" s="21"/>
      <c r="AA1660" s="21"/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W1660" s="296"/>
      <c r="CY1660" s="296"/>
    </row>
    <row r="1661" spans="3:103" s="19" customFormat="1" ht="12">
      <c r="C1661" s="21"/>
      <c r="D1661" s="21"/>
      <c r="E1661" s="21"/>
      <c r="F1661" s="21"/>
      <c r="G1661" s="21"/>
      <c r="H1661" s="21"/>
      <c r="I1661" s="21"/>
      <c r="J1661" s="21"/>
      <c r="K1661" s="21"/>
      <c r="L1661" s="21"/>
      <c r="M1661" s="21"/>
      <c r="N1661" s="21"/>
      <c r="O1661" s="21"/>
      <c r="P1661" s="21"/>
      <c r="Q1661" s="21"/>
      <c r="R1661" s="21"/>
      <c r="S1661" s="21"/>
      <c r="T1661" s="21"/>
      <c r="U1661" s="21"/>
      <c r="V1661" s="21"/>
      <c r="W1661" s="21"/>
      <c r="X1661" s="21"/>
      <c r="Y1661" s="21"/>
      <c r="Z1661" s="21"/>
      <c r="AA1661" s="21"/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W1661" s="296"/>
      <c r="CY1661" s="296"/>
    </row>
    <row r="1662" spans="3:103" s="19" customFormat="1" ht="12">
      <c r="C1662" s="21"/>
      <c r="D1662" s="21"/>
      <c r="E1662" s="21"/>
      <c r="F1662" s="21"/>
      <c r="G1662" s="21"/>
      <c r="H1662" s="21"/>
      <c r="I1662" s="21"/>
      <c r="J1662" s="21"/>
      <c r="K1662" s="21"/>
      <c r="L1662" s="21"/>
      <c r="M1662" s="21"/>
      <c r="N1662" s="21"/>
      <c r="O1662" s="21"/>
      <c r="P1662" s="21"/>
      <c r="Q1662" s="21"/>
      <c r="R1662" s="21"/>
      <c r="S1662" s="21"/>
      <c r="T1662" s="21"/>
      <c r="U1662" s="21"/>
      <c r="V1662" s="21"/>
      <c r="W1662" s="21"/>
      <c r="X1662" s="21"/>
      <c r="Y1662" s="21"/>
      <c r="Z1662" s="21"/>
      <c r="AA1662" s="21"/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W1662" s="296"/>
      <c r="CY1662" s="296"/>
    </row>
    <row r="1663" spans="3:103" s="19" customFormat="1" ht="12">
      <c r="C1663" s="21"/>
      <c r="D1663" s="21"/>
      <c r="E1663" s="21"/>
      <c r="F1663" s="21"/>
      <c r="G1663" s="21"/>
      <c r="H1663" s="21"/>
      <c r="I1663" s="21"/>
      <c r="J1663" s="21"/>
      <c r="K1663" s="21"/>
      <c r="L1663" s="21"/>
      <c r="M1663" s="21"/>
      <c r="N1663" s="21"/>
      <c r="O1663" s="21"/>
      <c r="P1663" s="21"/>
      <c r="Q1663" s="21"/>
      <c r="R1663" s="21"/>
      <c r="S1663" s="21"/>
      <c r="T1663" s="21"/>
      <c r="U1663" s="21"/>
      <c r="V1663" s="21"/>
      <c r="W1663" s="21"/>
      <c r="X1663" s="21"/>
      <c r="Y1663" s="21"/>
      <c r="Z1663" s="21"/>
      <c r="AA1663" s="21"/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W1663" s="296"/>
      <c r="CY1663" s="296"/>
    </row>
    <row r="1664" spans="3:103" s="19" customFormat="1" ht="12">
      <c r="C1664" s="21"/>
      <c r="D1664" s="21"/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W1664" s="296"/>
      <c r="CY1664" s="296"/>
    </row>
    <row r="1665" spans="3:103" s="19" customFormat="1" ht="12">
      <c r="C1665" s="21"/>
      <c r="D1665" s="21"/>
      <c r="E1665" s="21"/>
      <c r="F1665" s="21"/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W1665" s="296"/>
      <c r="CY1665" s="296"/>
    </row>
    <row r="1666" spans="3:103" s="19" customFormat="1" ht="12">
      <c r="C1666" s="21"/>
      <c r="D1666" s="21"/>
      <c r="E1666" s="21"/>
      <c r="F1666" s="21"/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W1666" s="296"/>
      <c r="CY1666" s="296"/>
    </row>
    <row r="1667" spans="3:103" s="19" customFormat="1" ht="12">
      <c r="C1667" s="21"/>
      <c r="D1667" s="21"/>
      <c r="E1667" s="21"/>
      <c r="F1667" s="21"/>
      <c r="G1667" s="21"/>
      <c r="H1667" s="21"/>
      <c r="I1667" s="21"/>
      <c r="J1667" s="21"/>
      <c r="K1667" s="21"/>
      <c r="L1667" s="21"/>
      <c r="M1667" s="21"/>
      <c r="N1667" s="21"/>
      <c r="O1667" s="21"/>
      <c r="P1667" s="21"/>
      <c r="Q1667" s="21"/>
      <c r="R1667" s="21"/>
      <c r="S1667" s="21"/>
      <c r="T1667" s="21"/>
      <c r="U1667" s="21"/>
      <c r="V1667" s="21"/>
      <c r="W1667" s="21"/>
      <c r="X1667" s="21"/>
      <c r="Y1667" s="21"/>
      <c r="Z1667" s="21"/>
      <c r="AA1667" s="21"/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W1667" s="296"/>
      <c r="CY1667" s="296"/>
    </row>
    <row r="1668" spans="3:103" s="19" customFormat="1" ht="12">
      <c r="C1668" s="21"/>
      <c r="D1668" s="21"/>
      <c r="E1668" s="21"/>
      <c r="F1668" s="21"/>
      <c r="G1668" s="21"/>
      <c r="H1668" s="21"/>
      <c r="I1668" s="21"/>
      <c r="J1668" s="21"/>
      <c r="K1668" s="21"/>
      <c r="L1668" s="21"/>
      <c r="M1668" s="21"/>
      <c r="N1668" s="21"/>
      <c r="O1668" s="21"/>
      <c r="P1668" s="21"/>
      <c r="Q1668" s="21"/>
      <c r="R1668" s="21"/>
      <c r="S1668" s="21"/>
      <c r="T1668" s="21"/>
      <c r="U1668" s="21"/>
      <c r="V1668" s="21"/>
      <c r="W1668" s="21"/>
      <c r="X1668" s="21"/>
      <c r="Y1668" s="21"/>
      <c r="Z1668" s="21"/>
      <c r="AA1668" s="21"/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W1668" s="296"/>
      <c r="CY1668" s="296"/>
    </row>
    <row r="1669" spans="3:103" s="19" customFormat="1" ht="12">
      <c r="C1669" s="21"/>
      <c r="D1669" s="21"/>
      <c r="E1669" s="21"/>
      <c r="F1669" s="21"/>
      <c r="G1669" s="21"/>
      <c r="H1669" s="21"/>
      <c r="I1669" s="21"/>
      <c r="J1669" s="21"/>
      <c r="K1669" s="21"/>
      <c r="L1669" s="21"/>
      <c r="M1669" s="21"/>
      <c r="N1669" s="21"/>
      <c r="O1669" s="21"/>
      <c r="P1669" s="21"/>
      <c r="Q1669" s="21"/>
      <c r="R1669" s="21"/>
      <c r="S1669" s="21"/>
      <c r="T1669" s="21"/>
      <c r="U1669" s="21"/>
      <c r="V1669" s="21"/>
      <c r="W1669" s="21"/>
      <c r="X1669" s="21"/>
      <c r="Y1669" s="21"/>
      <c r="Z1669" s="21"/>
      <c r="AA1669" s="21"/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W1669" s="296"/>
      <c r="CY1669" s="296"/>
    </row>
    <row r="1670" spans="3:103" s="19" customFormat="1" ht="12">
      <c r="C1670" s="21"/>
      <c r="D1670" s="21"/>
      <c r="E1670" s="21"/>
      <c r="F1670" s="21"/>
      <c r="G1670" s="21"/>
      <c r="H1670" s="21"/>
      <c r="I1670" s="21"/>
      <c r="J1670" s="21"/>
      <c r="K1670" s="21"/>
      <c r="L1670" s="21"/>
      <c r="M1670" s="21"/>
      <c r="N1670" s="21"/>
      <c r="O1670" s="21"/>
      <c r="P1670" s="21"/>
      <c r="Q1670" s="21"/>
      <c r="R1670" s="21"/>
      <c r="S1670" s="21"/>
      <c r="T1670" s="21"/>
      <c r="U1670" s="21"/>
      <c r="V1670" s="21"/>
      <c r="W1670" s="21"/>
      <c r="X1670" s="21"/>
      <c r="Y1670" s="21"/>
      <c r="Z1670" s="21"/>
      <c r="AA1670" s="21"/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W1670" s="296"/>
      <c r="CY1670" s="296"/>
    </row>
    <row r="1671" spans="3:103" s="19" customFormat="1" ht="12">
      <c r="C1671" s="21"/>
      <c r="D1671" s="21"/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W1671" s="296"/>
      <c r="CY1671" s="296"/>
    </row>
    <row r="1672" spans="3:103" s="19" customFormat="1" ht="12">
      <c r="C1672" s="21"/>
      <c r="D1672" s="21"/>
      <c r="E1672" s="21"/>
      <c r="F1672" s="21"/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W1672" s="296"/>
      <c r="CY1672" s="296"/>
    </row>
    <row r="1673" spans="3:103" s="19" customFormat="1" ht="12">
      <c r="C1673" s="21"/>
      <c r="D1673" s="21"/>
      <c r="E1673" s="21"/>
      <c r="F1673" s="21"/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W1673" s="296"/>
      <c r="CY1673" s="296"/>
    </row>
    <row r="1674" spans="3:103" s="19" customFormat="1" ht="12">
      <c r="C1674" s="21"/>
      <c r="D1674" s="21"/>
      <c r="E1674" s="21"/>
      <c r="F1674" s="21"/>
      <c r="G1674" s="21"/>
      <c r="H1674" s="21"/>
      <c r="I1674" s="21"/>
      <c r="J1674" s="21"/>
      <c r="K1674" s="21"/>
      <c r="L1674" s="21"/>
      <c r="M1674" s="21"/>
      <c r="N1674" s="21"/>
      <c r="O1674" s="21"/>
      <c r="P1674" s="21"/>
      <c r="Q1674" s="21"/>
      <c r="R1674" s="21"/>
      <c r="S1674" s="21"/>
      <c r="T1674" s="21"/>
      <c r="U1674" s="21"/>
      <c r="V1674" s="21"/>
      <c r="W1674" s="21"/>
      <c r="X1674" s="21"/>
      <c r="Y1674" s="21"/>
      <c r="Z1674" s="21"/>
      <c r="AA1674" s="21"/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W1674" s="296"/>
      <c r="CY1674" s="296"/>
    </row>
    <row r="1675" spans="3:103" s="19" customFormat="1" ht="12">
      <c r="C1675" s="21"/>
      <c r="D1675" s="21"/>
      <c r="E1675" s="21"/>
      <c r="F1675" s="21"/>
      <c r="G1675" s="21"/>
      <c r="H1675" s="21"/>
      <c r="I1675" s="21"/>
      <c r="J1675" s="21"/>
      <c r="K1675" s="21"/>
      <c r="L1675" s="21"/>
      <c r="M1675" s="21"/>
      <c r="N1675" s="21"/>
      <c r="O1675" s="21"/>
      <c r="P1675" s="21"/>
      <c r="Q1675" s="21"/>
      <c r="R1675" s="21"/>
      <c r="S1675" s="21"/>
      <c r="T1675" s="21"/>
      <c r="U1675" s="21"/>
      <c r="V1675" s="21"/>
      <c r="W1675" s="21"/>
      <c r="X1675" s="21"/>
      <c r="Y1675" s="21"/>
      <c r="Z1675" s="21"/>
      <c r="AA1675" s="21"/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W1675" s="296"/>
      <c r="CY1675" s="296"/>
    </row>
    <row r="1676" spans="3:103" s="19" customFormat="1" ht="12">
      <c r="C1676" s="21"/>
      <c r="D1676" s="21"/>
      <c r="E1676" s="21"/>
      <c r="F1676" s="21"/>
      <c r="G1676" s="21"/>
      <c r="H1676" s="21"/>
      <c r="I1676" s="21"/>
      <c r="J1676" s="21"/>
      <c r="K1676" s="21"/>
      <c r="L1676" s="21"/>
      <c r="M1676" s="21"/>
      <c r="N1676" s="21"/>
      <c r="O1676" s="21"/>
      <c r="P1676" s="21"/>
      <c r="Q1676" s="21"/>
      <c r="R1676" s="21"/>
      <c r="S1676" s="21"/>
      <c r="T1676" s="21"/>
      <c r="U1676" s="21"/>
      <c r="V1676" s="21"/>
      <c r="W1676" s="21"/>
      <c r="X1676" s="21"/>
      <c r="Y1676" s="21"/>
      <c r="Z1676" s="21"/>
      <c r="AA1676" s="21"/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W1676" s="296"/>
      <c r="CY1676" s="296"/>
    </row>
    <row r="1677" spans="3:103" s="19" customFormat="1" ht="12">
      <c r="C1677" s="21"/>
      <c r="D1677" s="21"/>
      <c r="E1677" s="21"/>
      <c r="F1677" s="21"/>
      <c r="G1677" s="21"/>
      <c r="H1677" s="21"/>
      <c r="I1677" s="21"/>
      <c r="J1677" s="21"/>
      <c r="K1677" s="21"/>
      <c r="L1677" s="21"/>
      <c r="M1677" s="21"/>
      <c r="N1677" s="21"/>
      <c r="O1677" s="21"/>
      <c r="P1677" s="21"/>
      <c r="Q1677" s="21"/>
      <c r="R1677" s="21"/>
      <c r="S1677" s="21"/>
      <c r="T1677" s="21"/>
      <c r="U1677" s="21"/>
      <c r="V1677" s="21"/>
      <c r="W1677" s="21"/>
      <c r="X1677" s="21"/>
      <c r="Y1677" s="21"/>
      <c r="Z1677" s="21"/>
      <c r="AA1677" s="21"/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W1677" s="296"/>
      <c r="CY1677" s="296"/>
    </row>
    <row r="1678" spans="3:103" s="19" customFormat="1" ht="12">
      <c r="C1678" s="21"/>
      <c r="D1678" s="21"/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W1678" s="296"/>
      <c r="CY1678" s="296"/>
    </row>
    <row r="1679" spans="3:103" s="19" customFormat="1" ht="12">
      <c r="C1679" s="21"/>
      <c r="D1679" s="21"/>
      <c r="E1679" s="21"/>
      <c r="F1679" s="21"/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W1679" s="296"/>
      <c r="CY1679" s="296"/>
    </row>
    <row r="1680" spans="3:103" s="19" customFormat="1" ht="12">
      <c r="C1680" s="21"/>
      <c r="D1680" s="21"/>
      <c r="E1680" s="21"/>
      <c r="F1680" s="21"/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W1680" s="296"/>
      <c r="CY1680" s="296"/>
    </row>
    <row r="1681" spans="3:103" s="19" customFormat="1" ht="12">
      <c r="C1681" s="21"/>
      <c r="D1681" s="21"/>
      <c r="E1681" s="21"/>
      <c r="F1681" s="21"/>
      <c r="G1681" s="21"/>
      <c r="H1681" s="21"/>
      <c r="I1681" s="21"/>
      <c r="J1681" s="21"/>
      <c r="K1681" s="21"/>
      <c r="L1681" s="21"/>
      <c r="M1681" s="21"/>
      <c r="N1681" s="21"/>
      <c r="O1681" s="21"/>
      <c r="P1681" s="21"/>
      <c r="Q1681" s="21"/>
      <c r="R1681" s="21"/>
      <c r="S1681" s="21"/>
      <c r="T1681" s="21"/>
      <c r="U1681" s="21"/>
      <c r="V1681" s="21"/>
      <c r="W1681" s="21"/>
      <c r="X1681" s="21"/>
      <c r="Y1681" s="21"/>
      <c r="Z1681" s="21"/>
      <c r="AA1681" s="21"/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W1681" s="296"/>
      <c r="CY1681" s="296"/>
    </row>
    <row r="1682" spans="3:103" s="19" customFormat="1" ht="12">
      <c r="C1682" s="21"/>
      <c r="D1682" s="21"/>
      <c r="E1682" s="21"/>
      <c r="F1682" s="21"/>
      <c r="G1682" s="21"/>
      <c r="H1682" s="21"/>
      <c r="I1682" s="21"/>
      <c r="J1682" s="21"/>
      <c r="K1682" s="21"/>
      <c r="L1682" s="21"/>
      <c r="M1682" s="21"/>
      <c r="N1682" s="21"/>
      <c r="O1682" s="21"/>
      <c r="P1682" s="21"/>
      <c r="Q1682" s="21"/>
      <c r="R1682" s="21"/>
      <c r="S1682" s="21"/>
      <c r="T1682" s="21"/>
      <c r="U1682" s="21"/>
      <c r="V1682" s="21"/>
      <c r="W1682" s="21"/>
      <c r="X1682" s="21"/>
      <c r="Y1682" s="21"/>
      <c r="Z1682" s="21"/>
      <c r="AA1682" s="21"/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W1682" s="296"/>
      <c r="CY1682" s="296"/>
    </row>
    <row r="1683" spans="3:103" s="19" customFormat="1" ht="12">
      <c r="C1683" s="21"/>
      <c r="D1683" s="21"/>
      <c r="E1683" s="21"/>
      <c r="F1683" s="21"/>
      <c r="G1683" s="21"/>
      <c r="H1683" s="21"/>
      <c r="I1683" s="21"/>
      <c r="J1683" s="21"/>
      <c r="K1683" s="21"/>
      <c r="L1683" s="21"/>
      <c r="M1683" s="21"/>
      <c r="N1683" s="21"/>
      <c r="O1683" s="21"/>
      <c r="P1683" s="21"/>
      <c r="Q1683" s="21"/>
      <c r="R1683" s="21"/>
      <c r="S1683" s="21"/>
      <c r="T1683" s="21"/>
      <c r="U1683" s="21"/>
      <c r="V1683" s="21"/>
      <c r="W1683" s="21"/>
      <c r="X1683" s="21"/>
      <c r="Y1683" s="21"/>
      <c r="Z1683" s="21"/>
      <c r="AA1683" s="21"/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W1683" s="296"/>
      <c r="CY1683" s="296"/>
    </row>
    <row r="1684" spans="3:103" s="19" customFormat="1" ht="12">
      <c r="C1684" s="21"/>
      <c r="D1684" s="21"/>
      <c r="E1684" s="21"/>
      <c r="F1684" s="21"/>
      <c r="G1684" s="21"/>
      <c r="H1684" s="21"/>
      <c r="I1684" s="21"/>
      <c r="J1684" s="21"/>
      <c r="K1684" s="21"/>
      <c r="L1684" s="21"/>
      <c r="M1684" s="21"/>
      <c r="N1684" s="21"/>
      <c r="O1684" s="21"/>
      <c r="P1684" s="21"/>
      <c r="Q1684" s="21"/>
      <c r="R1684" s="21"/>
      <c r="S1684" s="21"/>
      <c r="T1684" s="21"/>
      <c r="U1684" s="21"/>
      <c r="V1684" s="21"/>
      <c r="W1684" s="21"/>
      <c r="X1684" s="21"/>
      <c r="Y1684" s="21"/>
      <c r="Z1684" s="21"/>
      <c r="AA1684" s="21"/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W1684" s="296"/>
      <c r="CY1684" s="296"/>
    </row>
    <row r="1685" spans="3:103" s="19" customFormat="1" ht="12">
      <c r="C1685" s="21"/>
      <c r="D1685" s="21"/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W1685" s="296"/>
      <c r="CY1685" s="296"/>
    </row>
    <row r="1686" spans="3:103" s="19" customFormat="1" ht="12">
      <c r="C1686" s="21"/>
      <c r="D1686" s="21"/>
      <c r="E1686" s="21"/>
      <c r="F1686" s="21"/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W1686" s="296"/>
      <c r="CY1686" s="296"/>
    </row>
    <row r="1687" spans="3:103" s="19" customFormat="1" ht="12">
      <c r="C1687" s="21"/>
      <c r="D1687" s="21"/>
      <c r="E1687" s="21"/>
      <c r="F1687" s="21"/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W1687" s="296"/>
      <c r="CY1687" s="296"/>
    </row>
    <row r="1688" spans="3:103" s="19" customFormat="1" ht="12">
      <c r="C1688" s="21"/>
      <c r="D1688" s="21"/>
      <c r="E1688" s="21"/>
      <c r="F1688" s="21"/>
      <c r="G1688" s="21"/>
      <c r="H1688" s="21"/>
      <c r="I1688" s="21"/>
      <c r="J1688" s="21"/>
      <c r="K1688" s="21"/>
      <c r="L1688" s="21"/>
      <c r="M1688" s="21"/>
      <c r="N1688" s="21"/>
      <c r="O1688" s="21"/>
      <c r="P1688" s="21"/>
      <c r="Q1688" s="21"/>
      <c r="R1688" s="21"/>
      <c r="S1688" s="21"/>
      <c r="T1688" s="21"/>
      <c r="U1688" s="21"/>
      <c r="V1688" s="21"/>
      <c r="W1688" s="21"/>
      <c r="X1688" s="21"/>
      <c r="Y1688" s="21"/>
      <c r="Z1688" s="21"/>
      <c r="AA1688" s="21"/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W1688" s="296"/>
      <c r="CY1688" s="296"/>
    </row>
    <row r="1689" spans="3:103" s="19" customFormat="1" ht="12">
      <c r="C1689" s="21"/>
      <c r="D1689" s="21"/>
      <c r="E1689" s="21"/>
      <c r="F1689" s="21"/>
      <c r="G1689" s="21"/>
      <c r="H1689" s="21"/>
      <c r="I1689" s="21"/>
      <c r="J1689" s="21"/>
      <c r="K1689" s="21"/>
      <c r="L1689" s="21"/>
      <c r="M1689" s="21"/>
      <c r="N1689" s="21"/>
      <c r="O1689" s="21"/>
      <c r="P1689" s="21"/>
      <c r="Q1689" s="21"/>
      <c r="R1689" s="21"/>
      <c r="S1689" s="21"/>
      <c r="T1689" s="21"/>
      <c r="U1689" s="21"/>
      <c r="V1689" s="21"/>
      <c r="W1689" s="21"/>
      <c r="X1689" s="21"/>
      <c r="Y1689" s="21"/>
      <c r="Z1689" s="21"/>
      <c r="AA1689" s="21"/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W1689" s="296"/>
      <c r="CY1689" s="296"/>
    </row>
    <row r="1690" spans="3:103" s="19" customFormat="1" ht="12">
      <c r="C1690" s="21"/>
      <c r="D1690" s="21"/>
      <c r="E1690" s="21"/>
      <c r="F1690" s="21"/>
      <c r="G1690" s="21"/>
      <c r="H1690" s="21"/>
      <c r="I1690" s="21"/>
      <c r="J1690" s="21"/>
      <c r="K1690" s="21"/>
      <c r="L1690" s="21"/>
      <c r="M1690" s="21"/>
      <c r="N1690" s="21"/>
      <c r="O1690" s="21"/>
      <c r="P1690" s="21"/>
      <c r="Q1690" s="21"/>
      <c r="R1690" s="21"/>
      <c r="S1690" s="21"/>
      <c r="T1690" s="21"/>
      <c r="U1690" s="21"/>
      <c r="V1690" s="21"/>
      <c r="W1690" s="21"/>
      <c r="X1690" s="21"/>
      <c r="Y1690" s="21"/>
      <c r="Z1690" s="21"/>
      <c r="AA1690" s="21"/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W1690" s="296"/>
      <c r="CY1690" s="296"/>
    </row>
    <row r="1691" spans="3:103" s="19" customFormat="1" ht="12">
      <c r="C1691" s="21"/>
      <c r="D1691" s="21"/>
      <c r="E1691" s="21"/>
      <c r="F1691" s="21"/>
      <c r="G1691" s="21"/>
      <c r="H1691" s="21"/>
      <c r="I1691" s="21"/>
      <c r="J1691" s="21"/>
      <c r="K1691" s="21"/>
      <c r="L1691" s="21"/>
      <c r="M1691" s="21"/>
      <c r="N1691" s="21"/>
      <c r="O1691" s="21"/>
      <c r="P1691" s="21"/>
      <c r="Q1691" s="21"/>
      <c r="R1691" s="21"/>
      <c r="S1691" s="21"/>
      <c r="T1691" s="21"/>
      <c r="U1691" s="21"/>
      <c r="V1691" s="21"/>
      <c r="W1691" s="21"/>
      <c r="X1691" s="21"/>
      <c r="Y1691" s="21"/>
      <c r="Z1691" s="21"/>
      <c r="AA1691" s="21"/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W1691" s="296"/>
      <c r="CY1691" s="296"/>
    </row>
    <row r="1692" spans="3:103" s="19" customFormat="1" ht="12">
      <c r="C1692" s="21"/>
      <c r="D1692" s="21"/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W1692" s="296"/>
      <c r="CY1692" s="296"/>
    </row>
    <row r="1693" spans="3:103" s="19" customFormat="1" ht="12">
      <c r="C1693" s="21"/>
      <c r="D1693" s="21"/>
      <c r="E1693" s="21"/>
      <c r="F1693" s="21"/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W1693" s="296"/>
      <c r="CY1693" s="296"/>
    </row>
    <row r="1694" spans="3:103" s="19" customFormat="1" ht="12">
      <c r="C1694" s="21"/>
      <c r="D1694" s="21"/>
      <c r="E1694" s="21"/>
      <c r="F1694" s="21"/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W1694" s="296"/>
      <c r="CY1694" s="296"/>
    </row>
    <row r="1695" spans="3:103" s="19" customFormat="1" ht="12">
      <c r="C1695" s="21"/>
      <c r="D1695" s="21"/>
      <c r="E1695" s="21"/>
      <c r="F1695" s="21"/>
      <c r="G1695" s="21"/>
      <c r="H1695" s="21"/>
      <c r="I1695" s="21"/>
      <c r="J1695" s="21"/>
      <c r="K1695" s="21"/>
      <c r="L1695" s="21"/>
      <c r="M1695" s="21"/>
      <c r="N1695" s="21"/>
      <c r="O1695" s="21"/>
      <c r="P1695" s="21"/>
      <c r="Q1695" s="21"/>
      <c r="R1695" s="21"/>
      <c r="S1695" s="21"/>
      <c r="T1695" s="21"/>
      <c r="U1695" s="21"/>
      <c r="V1695" s="21"/>
      <c r="W1695" s="21"/>
      <c r="X1695" s="21"/>
      <c r="Y1695" s="21"/>
      <c r="Z1695" s="21"/>
      <c r="AA1695" s="21"/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W1695" s="296"/>
      <c r="CY1695" s="296"/>
    </row>
    <row r="1696" spans="3:103" s="19" customFormat="1" ht="12">
      <c r="C1696" s="21"/>
      <c r="D1696" s="21"/>
      <c r="E1696" s="21"/>
      <c r="F1696" s="21"/>
      <c r="G1696" s="21"/>
      <c r="H1696" s="21"/>
      <c r="I1696" s="21"/>
      <c r="J1696" s="21"/>
      <c r="K1696" s="21"/>
      <c r="L1696" s="21"/>
      <c r="M1696" s="21"/>
      <c r="N1696" s="21"/>
      <c r="O1696" s="21"/>
      <c r="P1696" s="21"/>
      <c r="Q1696" s="21"/>
      <c r="R1696" s="21"/>
      <c r="S1696" s="21"/>
      <c r="T1696" s="21"/>
      <c r="U1696" s="21"/>
      <c r="V1696" s="21"/>
      <c r="W1696" s="21"/>
      <c r="X1696" s="21"/>
      <c r="Y1696" s="21"/>
      <c r="Z1696" s="21"/>
      <c r="AA1696" s="21"/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W1696" s="296"/>
      <c r="CY1696" s="296"/>
    </row>
    <row r="1697" spans="3:103" s="19" customFormat="1" ht="12">
      <c r="C1697" s="21"/>
      <c r="D1697" s="21"/>
      <c r="E1697" s="21"/>
      <c r="F1697" s="21"/>
      <c r="G1697" s="21"/>
      <c r="H1697" s="21"/>
      <c r="I1697" s="21"/>
      <c r="J1697" s="21"/>
      <c r="K1697" s="21"/>
      <c r="L1697" s="21"/>
      <c r="M1697" s="21"/>
      <c r="N1697" s="21"/>
      <c r="O1697" s="21"/>
      <c r="P1697" s="21"/>
      <c r="Q1697" s="21"/>
      <c r="R1697" s="21"/>
      <c r="S1697" s="21"/>
      <c r="T1697" s="21"/>
      <c r="U1697" s="21"/>
      <c r="V1697" s="21"/>
      <c r="W1697" s="21"/>
      <c r="X1697" s="21"/>
      <c r="Y1697" s="21"/>
      <c r="Z1697" s="21"/>
      <c r="AA1697" s="21"/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W1697" s="296"/>
      <c r="CY1697" s="296"/>
    </row>
    <row r="1698" spans="3:103" s="19" customFormat="1" ht="12">
      <c r="C1698" s="21"/>
      <c r="D1698" s="21"/>
      <c r="E1698" s="21"/>
      <c r="F1698" s="21"/>
      <c r="G1698" s="21"/>
      <c r="H1698" s="21"/>
      <c r="I1698" s="21"/>
      <c r="J1698" s="21"/>
      <c r="K1698" s="21"/>
      <c r="L1698" s="21"/>
      <c r="M1698" s="21"/>
      <c r="N1698" s="21"/>
      <c r="O1698" s="21"/>
      <c r="P1698" s="21"/>
      <c r="Q1698" s="21"/>
      <c r="R1698" s="21"/>
      <c r="S1698" s="21"/>
      <c r="T1698" s="21"/>
      <c r="U1698" s="21"/>
      <c r="V1698" s="21"/>
      <c r="W1698" s="21"/>
      <c r="X1698" s="21"/>
      <c r="Y1698" s="21"/>
      <c r="Z1698" s="21"/>
      <c r="AA1698" s="21"/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W1698" s="296"/>
      <c r="CY1698" s="296"/>
    </row>
    <row r="1699" spans="3:103" s="19" customFormat="1" ht="12">
      <c r="C1699" s="21"/>
      <c r="D1699" s="21"/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W1699" s="296"/>
      <c r="CY1699" s="296"/>
    </row>
    <row r="1700" spans="3:103" s="19" customFormat="1" ht="12">
      <c r="C1700" s="21"/>
      <c r="D1700" s="21"/>
      <c r="E1700" s="21"/>
      <c r="F1700" s="21"/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W1700" s="296"/>
      <c r="CY1700" s="296"/>
    </row>
    <row r="1701" spans="3:103" s="19" customFormat="1" ht="12">
      <c r="C1701" s="21"/>
      <c r="D1701" s="21"/>
      <c r="E1701" s="21"/>
      <c r="F1701" s="21"/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W1701" s="296"/>
      <c r="CY1701" s="296"/>
    </row>
    <row r="1702" spans="3:103" s="19" customFormat="1" ht="12">
      <c r="C1702" s="21"/>
      <c r="D1702" s="21"/>
      <c r="E1702" s="21"/>
      <c r="F1702" s="21"/>
      <c r="G1702" s="21"/>
      <c r="H1702" s="21"/>
      <c r="I1702" s="21"/>
      <c r="J1702" s="21"/>
      <c r="K1702" s="21"/>
      <c r="L1702" s="21"/>
      <c r="M1702" s="21"/>
      <c r="N1702" s="21"/>
      <c r="O1702" s="21"/>
      <c r="P1702" s="21"/>
      <c r="Q1702" s="21"/>
      <c r="R1702" s="21"/>
      <c r="S1702" s="21"/>
      <c r="T1702" s="21"/>
      <c r="U1702" s="21"/>
      <c r="V1702" s="21"/>
      <c r="W1702" s="21"/>
      <c r="X1702" s="21"/>
      <c r="Y1702" s="21"/>
      <c r="Z1702" s="21"/>
      <c r="AA1702" s="21"/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W1702" s="296"/>
      <c r="CY1702" s="296"/>
    </row>
    <row r="1703" spans="3:103" s="19" customFormat="1" ht="12">
      <c r="C1703" s="21"/>
      <c r="D1703" s="21"/>
      <c r="E1703" s="21"/>
      <c r="F1703" s="21"/>
      <c r="G1703" s="21"/>
      <c r="H1703" s="21"/>
      <c r="I1703" s="21"/>
      <c r="J1703" s="21"/>
      <c r="K1703" s="21"/>
      <c r="L1703" s="21"/>
      <c r="M1703" s="21"/>
      <c r="N1703" s="21"/>
      <c r="O1703" s="21"/>
      <c r="P1703" s="21"/>
      <c r="Q1703" s="21"/>
      <c r="R1703" s="21"/>
      <c r="S1703" s="21"/>
      <c r="T1703" s="21"/>
      <c r="U1703" s="21"/>
      <c r="V1703" s="21"/>
      <c r="W1703" s="21"/>
      <c r="X1703" s="21"/>
      <c r="Y1703" s="21"/>
      <c r="Z1703" s="21"/>
      <c r="AA1703" s="21"/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W1703" s="296"/>
      <c r="CY1703" s="296"/>
    </row>
    <row r="1704" spans="3:103" s="19" customFormat="1" ht="12">
      <c r="C1704" s="21"/>
      <c r="D1704" s="21"/>
      <c r="E1704" s="21"/>
      <c r="F1704" s="21"/>
      <c r="G1704" s="21"/>
      <c r="H1704" s="21"/>
      <c r="I1704" s="21"/>
      <c r="J1704" s="21"/>
      <c r="K1704" s="21"/>
      <c r="L1704" s="21"/>
      <c r="M1704" s="21"/>
      <c r="N1704" s="21"/>
      <c r="O1704" s="21"/>
      <c r="P1704" s="21"/>
      <c r="Q1704" s="21"/>
      <c r="R1704" s="21"/>
      <c r="S1704" s="21"/>
      <c r="T1704" s="21"/>
      <c r="U1704" s="21"/>
      <c r="V1704" s="21"/>
      <c r="W1704" s="21"/>
      <c r="X1704" s="21"/>
      <c r="Y1704" s="21"/>
      <c r="Z1704" s="21"/>
      <c r="AA1704" s="21"/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W1704" s="296"/>
      <c r="CY1704" s="296"/>
    </row>
    <row r="1705" spans="3:103" s="19" customFormat="1" ht="12">
      <c r="C1705" s="21"/>
      <c r="D1705" s="21"/>
      <c r="E1705" s="21"/>
      <c r="F1705" s="21"/>
      <c r="G1705" s="21"/>
      <c r="H1705" s="21"/>
      <c r="I1705" s="21"/>
      <c r="J1705" s="21"/>
      <c r="K1705" s="21"/>
      <c r="L1705" s="21"/>
      <c r="M1705" s="21"/>
      <c r="N1705" s="21"/>
      <c r="O1705" s="21"/>
      <c r="P1705" s="21"/>
      <c r="Q1705" s="21"/>
      <c r="R1705" s="21"/>
      <c r="S1705" s="21"/>
      <c r="T1705" s="21"/>
      <c r="U1705" s="21"/>
      <c r="V1705" s="21"/>
      <c r="W1705" s="21"/>
      <c r="X1705" s="21"/>
      <c r="Y1705" s="21"/>
      <c r="Z1705" s="21"/>
      <c r="AA1705" s="21"/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W1705" s="296"/>
      <c r="CY1705" s="296"/>
    </row>
    <row r="1706" spans="3:103" s="19" customFormat="1" ht="12">
      <c r="C1706" s="21"/>
      <c r="D1706" s="21"/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W1706" s="296"/>
      <c r="CY1706" s="296"/>
    </row>
    <row r="1707" spans="3:103" s="19" customFormat="1" ht="12">
      <c r="C1707" s="21"/>
      <c r="D1707" s="21"/>
      <c r="E1707" s="21"/>
      <c r="F1707" s="21"/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W1707" s="296"/>
      <c r="CY1707" s="296"/>
    </row>
    <row r="1708" spans="3:103" s="19" customFormat="1" ht="12">
      <c r="C1708" s="21"/>
      <c r="D1708" s="21"/>
      <c r="E1708" s="21"/>
      <c r="F1708" s="21"/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W1708" s="296"/>
      <c r="CY1708" s="296"/>
    </row>
    <row r="1709" spans="3:103" s="19" customFormat="1" ht="12">
      <c r="C1709" s="21"/>
      <c r="D1709" s="21"/>
      <c r="E1709" s="21"/>
      <c r="F1709" s="21"/>
      <c r="G1709" s="21"/>
      <c r="H1709" s="21"/>
      <c r="I1709" s="21"/>
      <c r="J1709" s="21"/>
      <c r="K1709" s="21"/>
      <c r="L1709" s="21"/>
      <c r="M1709" s="21"/>
      <c r="N1709" s="21"/>
      <c r="O1709" s="21"/>
      <c r="P1709" s="21"/>
      <c r="Q1709" s="21"/>
      <c r="R1709" s="21"/>
      <c r="S1709" s="21"/>
      <c r="T1709" s="21"/>
      <c r="U1709" s="21"/>
      <c r="V1709" s="21"/>
      <c r="W1709" s="21"/>
      <c r="X1709" s="21"/>
      <c r="Y1709" s="21"/>
      <c r="Z1709" s="21"/>
      <c r="AA1709" s="21"/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W1709" s="296"/>
      <c r="CY1709" s="296"/>
    </row>
    <row r="1710" spans="3:103" s="19" customFormat="1" ht="12">
      <c r="C1710" s="21"/>
      <c r="D1710" s="21"/>
      <c r="E1710" s="21"/>
      <c r="F1710" s="21"/>
      <c r="G1710" s="21"/>
      <c r="H1710" s="21"/>
      <c r="I1710" s="21"/>
      <c r="J1710" s="21"/>
      <c r="K1710" s="21"/>
      <c r="L1710" s="21"/>
      <c r="M1710" s="21"/>
      <c r="N1710" s="21"/>
      <c r="O1710" s="21"/>
      <c r="P1710" s="21"/>
      <c r="Q1710" s="21"/>
      <c r="R1710" s="21"/>
      <c r="S1710" s="21"/>
      <c r="T1710" s="21"/>
      <c r="U1710" s="21"/>
      <c r="V1710" s="21"/>
      <c r="W1710" s="21"/>
      <c r="X1710" s="21"/>
      <c r="Y1710" s="21"/>
      <c r="Z1710" s="21"/>
      <c r="AA1710" s="21"/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W1710" s="296"/>
      <c r="CY1710" s="296"/>
    </row>
    <row r="1711" spans="3:103" s="19" customFormat="1" ht="12">
      <c r="C1711" s="21"/>
      <c r="D1711" s="21"/>
      <c r="E1711" s="21"/>
      <c r="F1711" s="21"/>
      <c r="G1711" s="21"/>
      <c r="H1711" s="21"/>
      <c r="I1711" s="21"/>
      <c r="J1711" s="21"/>
      <c r="K1711" s="21"/>
      <c r="L1711" s="21"/>
      <c r="M1711" s="21"/>
      <c r="N1711" s="21"/>
      <c r="O1711" s="21"/>
      <c r="P1711" s="21"/>
      <c r="Q1711" s="21"/>
      <c r="R1711" s="21"/>
      <c r="S1711" s="21"/>
      <c r="T1711" s="21"/>
      <c r="U1711" s="21"/>
      <c r="V1711" s="21"/>
      <c r="W1711" s="21"/>
      <c r="X1711" s="21"/>
      <c r="Y1711" s="21"/>
      <c r="Z1711" s="21"/>
      <c r="AA1711" s="21"/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W1711" s="296"/>
      <c r="CY1711" s="296"/>
    </row>
    <row r="1712" spans="3:103" s="19" customFormat="1" ht="12">
      <c r="C1712" s="21"/>
      <c r="D1712" s="21"/>
      <c r="E1712" s="21"/>
      <c r="F1712" s="21"/>
      <c r="G1712" s="21"/>
      <c r="H1712" s="21"/>
      <c r="I1712" s="21"/>
      <c r="J1712" s="21"/>
      <c r="K1712" s="21"/>
      <c r="L1712" s="21"/>
      <c r="M1712" s="21"/>
      <c r="N1712" s="21"/>
      <c r="O1712" s="21"/>
      <c r="P1712" s="21"/>
      <c r="Q1712" s="21"/>
      <c r="R1712" s="21"/>
      <c r="S1712" s="21"/>
      <c r="T1712" s="21"/>
      <c r="U1712" s="21"/>
      <c r="V1712" s="21"/>
      <c r="W1712" s="21"/>
      <c r="X1712" s="21"/>
      <c r="Y1712" s="21"/>
      <c r="Z1712" s="21"/>
      <c r="AA1712" s="21"/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W1712" s="296"/>
      <c r="CY1712" s="296"/>
    </row>
    <row r="1713" spans="3:103" s="19" customFormat="1" ht="12">
      <c r="C1713" s="21"/>
      <c r="D1713" s="21"/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W1713" s="296"/>
      <c r="CY1713" s="296"/>
    </row>
    <row r="1714" spans="3:103" s="19" customFormat="1" ht="12">
      <c r="C1714" s="21"/>
      <c r="D1714" s="21"/>
      <c r="E1714" s="21"/>
      <c r="F1714" s="21"/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W1714" s="296"/>
      <c r="CY1714" s="296"/>
    </row>
    <row r="1715" spans="3:103" s="19" customFormat="1" ht="12">
      <c r="C1715" s="21"/>
      <c r="D1715" s="21"/>
      <c r="E1715" s="21"/>
      <c r="F1715" s="21"/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W1715" s="296"/>
      <c r="CY1715" s="296"/>
    </row>
    <row r="1716" spans="3:103" s="19" customFormat="1" ht="12">
      <c r="C1716" s="21"/>
      <c r="D1716" s="21"/>
      <c r="E1716" s="21"/>
      <c r="F1716" s="21"/>
      <c r="G1716" s="21"/>
      <c r="H1716" s="21"/>
      <c r="I1716" s="21"/>
      <c r="J1716" s="21"/>
      <c r="K1716" s="21"/>
      <c r="L1716" s="21"/>
      <c r="M1716" s="21"/>
      <c r="N1716" s="21"/>
      <c r="O1716" s="21"/>
      <c r="P1716" s="21"/>
      <c r="Q1716" s="21"/>
      <c r="R1716" s="21"/>
      <c r="S1716" s="21"/>
      <c r="T1716" s="21"/>
      <c r="U1716" s="21"/>
      <c r="V1716" s="21"/>
      <c r="W1716" s="21"/>
      <c r="X1716" s="21"/>
      <c r="Y1716" s="21"/>
      <c r="Z1716" s="21"/>
      <c r="AA1716" s="21"/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W1716" s="296"/>
      <c r="CY1716" s="296"/>
    </row>
    <row r="1717" spans="3:103" s="19" customFormat="1" ht="12">
      <c r="C1717" s="21"/>
      <c r="D1717" s="21"/>
      <c r="E1717" s="21"/>
      <c r="F1717" s="21"/>
      <c r="G1717" s="21"/>
      <c r="H1717" s="21"/>
      <c r="I1717" s="21"/>
      <c r="J1717" s="21"/>
      <c r="K1717" s="21"/>
      <c r="L1717" s="21"/>
      <c r="M1717" s="21"/>
      <c r="N1717" s="21"/>
      <c r="O1717" s="21"/>
      <c r="P1717" s="21"/>
      <c r="Q1717" s="21"/>
      <c r="R1717" s="21"/>
      <c r="S1717" s="21"/>
      <c r="T1717" s="21"/>
      <c r="U1717" s="21"/>
      <c r="V1717" s="21"/>
      <c r="W1717" s="21"/>
      <c r="X1717" s="21"/>
      <c r="Y1717" s="21"/>
      <c r="Z1717" s="21"/>
      <c r="AA1717" s="21"/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W1717" s="296"/>
      <c r="CY1717" s="296"/>
    </row>
    <row r="1718" spans="3:103" s="19" customFormat="1" ht="12">
      <c r="C1718" s="21"/>
      <c r="D1718" s="21"/>
      <c r="E1718" s="21"/>
      <c r="F1718" s="21"/>
      <c r="G1718" s="21"/>
      <c r="H1718" s="21"/>
      <c r="I1718" s="21"/>
      <c r="J1718" s="21"/>
      <c r="K1718" s="21"/>
      <c r="L1718" s="21"/>
      <c r="M1718" s="21"/>
      <c r="N1718" s="21"/>
      <c r="O1718" s="21"/>
      <c r="P1718" s="21"/>
      <c r="Q1718" s="21"/>
      <c r="R1718" s="21"/>
      <c r="S1718" s="21"/>
      <c r="T1718" s="21"/>
      <c r="U1718" s="21"/>
      <c r="V1718" s="21"/>
      <c r="W1718" s="21"/>
      <c r="X1718" s="21"/>
      <c r="Y1718" s="21"/>
      <c r="Z1718" s="21"/>
      <c r="AA1718" s="21"/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W1718" s="296"/>
      <c r="CY1718" s="296"/>
    </row>
    <row r="1719" spans="3:103" s="19" customFormat="1" ht="12">
      <c r="C1719" s="21"/>
      <c r="D1719" s="21"/>
      <c r="E1719" s="21"/>
      <c r="F1719" s="21"/>
      <c r="G1719" s="21"/>
      <c r="H1719" s="21"/>
      <c r="I1719" s="21"/>
      <c r="J1719" s="21"/>
      <c r="K1719" s="21"/>
      <c r="L1719" s="21"/>
      <c r="M1719" s="21"/>
      <c r="N1719" s="21"/>
      <c r="O1719" s="21"/>
      <c r="P1719" s="21"/>
      <c r="Q1719" s="21"/>
      <c r="R1719" s="21"/>
      <c r="S1719" s="21"/>
      <c r="T1719" s="21"/>
      <c r="U1719" s="21"/>
      <c r="V1719" s="21"/>
      <c r="W1719" s="21"/>
      <c r="X1719" s="21"/>
      <c r="Y1719" s="21"/>
      <c r="Z1719" s="21"/>
      <c r="AA1719" s="21"/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W1719" s="296"/>
      <c r="CY1719" s="296"/>
    </row>
    <row r="1720" spans="3:103" s="19" customFormat="1" ht="12">
      <c r="C1720" s="21"/>
      <c r="D1720" s="21"/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W1720" s="296"/>
      <c r="CY1720" s="296"/>
    </row>
    <row r="1721" spans="3:103" s="19" customFormat="1" ht="12">
      <c r="C1721" s="21"/>
      <c r="D1721" s="21"/>
      <c r="E1721" s="21"/>
      <c r="F1721" s="21"/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W1721" s="296"/>
      <c r="CY1721" s="296"/>
    </row>
    <row r="1722" spans="3:103" s="19" customFormat="1" ht="12">
      <c r="C1722" s="21"/>
      <c r="D1722" s="21"/>
      <c r="E1722" s="21"/>
      <c r="F1722" s="21"/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W1722" s="296"/>
      <c r="CY1722" s="296"/>
    </row>
    <row r="1723" spans="3:103" s="19" customFormat="1" ht="12">
      <c r="C1723" s="21"/>
      <c r="D1723" s="21"/>
      <c r="E1723" s="21"/>
      <c r="F1723" s="21"/>
      <c r="G1723" s="21"/>
      <c r="H1723" s="21"/>
      <c r="I1723" s="21"/>
      <c r="J1723" s="21"/>
      <c r="K1723" s="21"/>
      <c r="L1723" s="21"/>
      <c r="M1723" s="21"/>
      <c r="N1723" s="21"/>
      <c r="O1723" s="21"/>
      <c r="P1723" s="21"/>
      <c r="Q1723" s="21"/>
      <c r="R1723" s="21"/>
      <c r="S1723" s="21"/>
      <c r="T1723" s="21"/>
      <c r="U1723" s="21"/>
      <c r="V1723" s="21"/>
      <c r="W1723" s="21"/>
      <c r="X1723" s="21"/>
      <c r="Y1723" s="21"/>
      <c r="Z1723" s="21"/>
      <c r="AA1723" s="21"/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W1723" s="296"/>
      <c r="CY1723" s="296"/>
    </row>
    <row r="1724" spans="3:103" s="19" customFormat="1" ht="12">
      <c r="C1724" s="21"/>
      <c r="D1724" s="21"/>
      <c r="E1724" s="21"/>
      <c r="F1724" s="21"/>
      <c r="G1724" s="21"/>
      <c r="H1724" s="21"/>
      <c r="I1724" s="21"/>
      <c r="J1724" s="21"/>
      <c r="K1724" s="21"/>
      <c r="L1724" s="21"/>
      <c r="M1724" s="21"/>
      <c r="N1724" s="21"/>
      <c r="O1724" s="21"/>
      <c r="P1724" s="21"/>
      <c r="Q1724" s="21"/>
      <c r="R1724" s="21"/>
      <c r="S1724" s="21"/>
      <c r="T1724" s="21"/>
      <c r="U1724" s="21"/>
      <c r="V1724" s="21"/>
      <c r="W1724" s="21"/>
      <c r="X1724" s="21"/>
      <c r="Y1724" s="21"/>
      <c r="Z1724" s="21"/>
      <c r="AA1724" s="21"/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W1724" s="296"/>
      <c r="CY1724" s="296"/>
    </row>
    <row r="1725" spans="3:103" s="19" customFormat="1" ht="12">
      <c r="C1725" s="21"/>
      <c r="D1725" s="21"/>
      <c r="E1725" s="21"/>
      <c r="F1725" s="21"/>
      <c r="G1725" s="21"/>
      <c r="H1725" s="21"/>
      <c r="I1725" s="21"/>
      <c r="J1725" s="21"/>
      <c r="K1725" s="21"/>
      <c r="L1725" s="21"/>
      <c r="M1725" s="21"/>
      <c r="N1725" s="21"/>
      <c r="O1725" s="21"/>
      <c r="P1725" s="21"/>
      <c r="Q1725" s="21"/>
      <c r="R1725" s="21"/>
      <c r="S1725" s="21"/>
      <c r="T1725" s="21"/>
      <c r="U1725" s="21"/>
      <c r="V1725" s="21"/>
      <c r="W1725" s="21"/>
      <c r="X1725" s="21"/>
      <c r="Y1725" s="21"/>
      <c r="Z1725" s="21"/>
      <c r="AA1725" s="21"/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W1725" s="296"/>
      <c r="CY1725" s="296"/>
    </row>
    <row r="1726" spans="3:103" s="19" customFormat="1" ht="12">
      <c r="C1726" s="21"/>
      <c r="D1726" s="21"/>
      <c r="E1726" s="21"/>
      <c r="F1726" s="21"/>
      <c r="G1726" s="21"/>
      <c r="H1726" s="21"/>
      <c r="I1726" s="21"/>
      <c r="J1726" s="21"/>
      <c r="K1726" s="21"/>
      <c r="L1726" s="21"/>
      <c r="M1726" s="21"/>
      <c r="N1726" s="21"/>
      <c r="O1726" s="21"/>
      <c r="P1726" s="21"/>
      <c r="Q1726" s="21"/>
      <c r="R1726" s="21"/>
      <c r="S1726" s="21"/>
      <c r="T1726" s="21"/>
      <c r="U1726" s="21"/>
      <c r="V1726" s="21"/>
      <c r="W1726" s="21"/>
      <c r="X1726" s="21"/>
      <c r="Y1726" s="21"/>
      <c r="Z1726" s="21"/>
      <c r="AA1726" s="21"/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W1726" s="296"/>
      <c r="CY1726" s="296"/>
    </row>
    <row r="1727" spans="3:103" s="19" customFormat="1" ht="12">
      <c r="C1727" s="21"/>
      <c r="D1727" s="21"/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W1727" s="296"/>
      <c r="CY1727" s="296"/>
    </row>
    <row r="1728" spans="3:103" s="19" customFormat="1" ht="12">
      <c r="C1728" s="21"/>
      <c r="D1728" s="21"/>
      <c r="E1728" s="21"/>
      <c r="F1728" s="21"/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W1728" s="296"/>
      <c r="CY1728" s="296"/>
    </row>
    <row r="1729" spans="3:103" s="19" customFormat="1" ht="12">
      <c r="C1729" s="21"/>
      <c r="D1729" s="21"/>
      <c r="E1729" s="21"/>
      <c r="F1729" s="21"/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W1729" s="296"/>
      <c r="CY1729" s="296"/>
    </row>
    <row r="1730" spans="3:103" s="19" customFormat="1" ht="12">
      <c r="C1730" s="21"/>
      <c r="D1730" s="21"/>
      <c r="E1730" s="21"/>
      <c r="F1730" s="21"/>
      <c r="G1730" s="21"/>
      <c r="H1730" s="21"/>
      <c r="I1730" s="21"/>
      <c r="J1730" s="21"/>
      <c r="K1730" s="21"/>
      <c r="L1730" s="21"/>
      <c r="M1730" s="21"/>
      <c r="N1730" s="21"/>
      <c r="O1730" s="21"/>
      <c r="P1730" s="21"/>
      <c r="Q1730" s="21"/>
      <c r="R1730" s="21"/>
      <c r="S1730" s="21"/>
      <c r="T1730" s="21"/>
      <c r="U1730" s="21"/>
      <c r="V1730" s="21"/>
      <c r="W1730" s="21"/>
      <c r="X1730" s="21"/>
      <c r="Y1730" s="21"/>
      <c r="Z1730" s="21"/>
      <c r="AA1730" s="21"/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W1730" s="296"/>
      <c r="CY1730" s="296"/>
    </row>
    <row r="1731" spans="3:103" s="19" customFormat="1" ht="12">
      <c r="C1731" s="21"/>
      <c r="D1731" s="21"/>
      <c r="E1731" s="21"/>
      <c r="F1731" s="21"/>
      <c r="G1731" s="21"/>
      <c r="H1731" s="21"/>
      <c r="I1731" s="21"/>
      <c r="J1731" s="21"/>
      <c r="K1731" s="21"/>
      <c r="L1731" s="21"/>
      <c r="M1731" s="21"/>
      <c r="N1731" s="21"/>
      <c r="O1731" s="21"/>
      <c r="P1731" s="21"/>
      <c r="Q1731" s="21"/>
      <c r="R1731" s="21"/>
      <c r="S1731" s="21"/>
      <c r="T1731" s="21"/>
      <c r="U1731" s="21"/>
      <c r="V1731" s="21"/>
      <c r="W1731" s="21"/>
      <c r="X1731" s="21"/>
      <c r="Y1731" s="21"/>
      <c r="Z1731" s="21"/>
      <c r="AA1731" s="21"/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W1731" s="296"/>
      <c r="CY1731" s="296"/>
    </row>
    <row r="1732" spans="3:103" s="19" customFormat="1" ht="12">
      <c r="C1732" s="21"/>
      <c r="D1732" s="21"/>
      <c r="E1732" s="21"/>
      <c r="F1732" s="21"/>
      <c r="G1732" s="21"/>
      <c r="H1732" s="21"/>
      <c r="I1732" s="21"/>
      <c r="J1732" s="21"/>
      <c r="K1732" s="21"/>
      <c r="L1732" s="21"/>
      <c r="M1732" s="21"/>
      <c r="N1732" s="21"/>
      <c r="O1732" s="21"/>
      <c r="P1732" s="21"/>
      <c r="Q1732" s="21"/>
      <c r="R1732" s="21"/>
      <c r="S1732" s="21"/>
      <c r="T1732" s="21"/>
      <c r="U1732" s="21"/>
      <c r="V1732" s="21"/>
      <c r="W1732" s="21"/>
      <c r="X1732" s="21"/>
      <c r="Y1732" s="21"/>
      <c r="Z1732" s="21"/>
      <c r="AA1732" s="21"/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W1732" s="296"/>
      <c r="CY1732" s="296"/>
    </row>
    <row r="1733" spans="3:103" s="19" customFormat="1" ht="12">
      <c r="C1733" s="21"/>
      <c r="D1733" s="21"/>
      <c r="E1733" s="21"/>
      <c r="F1733" s="21"/>
      <c r="G1733" s="21"/>
      <c r="H1733" s="21"/>
      <c r="I1733" s="21"/>
      <c r="J1733" s="21"/>
      <c r="K1733" s="21"/>
      <c r="L1733" s="21"/>
      <c r="M1733" s="21"/>
      <c r="N1733" s="21"/>
      <c r="O1733" s="21"/>
      <c r="P1733" s="21"/>
      <c r="Q1733" s="21"/>
      <c r="R1733" s="21"/>
      <c r="S1733" s="21"/>
      <c r="T1733" s="21"/>
      <c r="U1733" s="21"/>
      <c r="V1733" s="21"/>
      <c r="W1733" s="21"/>
      <c r="X1733" s="21"/>
      <c r="Y1733" s="21"/>
      <c r="Z1733" s="21"/>
      <c r="AA1733" s="21"/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W1733" s="296"/>
      <c r="CY1733" s="296"/>
    </row>
    <row r="1734" spans="3:103" s="19" customFormat="1" ht="12">
      <c r="C1734" s="21"/>
      <c r="D1734" s="21"/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W1734" s="296"/>
      <c r="CY1734" s="296"/>
    </row>
    <row r="1735" spans="3:103" s="19" customFormat="1" ht="12">
      <c r="C1735" s="21"/>
      <c r="D1735" s="21"/>
      <c r="E1735" s="21"/>
      <c r="F1735" s="21"/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W1735" s="296"/>
      <c r="CY1735" s="296"/>
    </row>
    <row r="1736" spans="3:103" s="19" customFormat="1" ht="12">
      <c r="C1736" s="21"/>
      <c r="D1736" s="21"/>
      <c r="E1736" s="21"/>
      <c r="F1736" s="21"/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W1736" s="296"/>
      <c r="CY1736" s="296"/>
    </row>
    <row r="1737" spans="3:103" s="19" customFormat="1" ht="12">
      <c r="C1737" s="21"/>
      <c r="D1737" s="21"/>
      <c r="E1737" s="21"/>
      <c r="F1737" s="21"/>
      <c r="G1737" s="21"/>
      <c r="H1737" s="21"/>
      <c r="I1737" s="21"/>
      <c r="J1737" s="21"/>
      <c r="K1737" s="21"/>
      <c r="L1737" s="21"/>
      <c r="M1737" s="21"/>
      <c r="N1737" s="21"/>
      <c r="O1737" s="21"/>
      <c r="P1737" s="21"/>
      <c r="Q1737" s="21"/>
      <c r="R1737" s="21"/>
      <c r="S1737" s="21"/>
      <c r="T1737" s="21"/>
      <c r="U1737" s="21"/>
      <c r="V1737" s="21"/>
      <c r="W1737" s="21"/>
      <c r="X1737" s="21"/>
      <c r="Y1737" s="21"/>
      <c r="Z1737" s="21"/>
      <c r="AA1737" s="21"/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W1737" s="296"/>
      <c r="CY1737" s="296"/>
    </row>
    <row r="1738" spans="3:103" s="19" customFormat="1" ht="12">
      <c r="C1738" s="21"/>
      <c r="D1738" s="21"/>
      <c r="E1738" s="21"/>
      <c r="F1738" s="21"/>
      <c r="G1738" s="21"/>
      <c r="H1738" s="21"/>
      <c r="I1738" s="21"/>
      <c r="J1738" s="21"/>
      <c r="K1738" s="21"/>
      <c r="L1738" s="21"/>
      <c r="M1738" s="21"/>
      <c r="N1738" s="21"/>
      <c r="O1738" s="21"/>
      <c r="P1738" s="21"/>
      <c r="Q1738" s="21"/>
      <c r="R1738" s="21"/>
      <c r="S1738" s="21"/>
      <c r="T1738" s="21"/>
      <c r="U1738" s="21"/>
      <c r="V1738" s="21"/>
      <c r="W1738" s="21"/>
      <c r="X1738" s="21"/>
      <c r="Y1738" s="21"/>
      <c r="Z1738" s="21"/>
      <c r="AA1738" s="21"/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W1738" s="296"/>
      <c r="CY1738" s="296"/>
    </row>
    <row r="1739" spans="3:103" s="19" customFormat="1" ht="12">
      <c r="C1739" s="21"/>
      <c r="D1739" s="21"/>
      <c r="E1739" s="21"/>
      <c r="F1739" s="21"/>
      <c r="G1739" s="21"/>
      <c r="H1739" s="21"/>
      <c r="I1739" s="21"/>
      <c r="J1739" s="21"/>
      <c r="K1739" s="21"/>
      <c r="L1739" s="21"/>
      <c r="M1739" s="21"/>
      <c r="N1739" s="21"/>
      <c r="O1739" s="21"/>
      <c r="P1739" s="21"/>
      <c r="Q1739" s="21"/>
      <c r="R1739" s="21"/>
      <c r="S1739" s="21"/>
      <c r="T1739" s="21"/>
      <c r="U1739" s="21"/>
      <c r="V1739" s="21"/>
      <c r="W1739" s="21"/>
      <c r="X1739" s="21"/>
      <c r="Y1739" s="21"/>
      <c r="Z1739" s="21"/>
      <c r="AA1739" s="21"/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W1739" s="296"/>
      <c r="CY1739" s="296"/>
    </row>
    <row r="1740" spans="3:103" s="19" customFormat="1" ht="12">
      <c r="C1740" s="21"/>
      <c r="D1740" s="21"/>
      <c r="E1740" s="21"/>
      <c r="F1740" s="21"/>
      <c r="G1740" s="21"/>
      <c r="H1740" s="21"/>
      <c r="I1740" s="21"/>
      <c r="J1740" s="21"/>
      <c r="K1740" s="21"/>
      <c r="L1740" s="21"/>
      <c r="M1740" s="21"/>
      <c r="N1740" s="21"/>
      <c r="O1740" s="21"/>
      <c r="P1740" s="21"/>
      <c r="Q1740" s="21"/>
      <c r="R1740" s="21"/>
      <c r="S1740" s="21"/>
      <c r="T1740" s="21"/>
      <c r="U1740" s="21"/>
      <c r="V1740" s="21"/>
      <c r="W1740" s="21"/>
      <c r="X1740" s="21"/>
      <c r="Y1740" s="21"/>
      <c r="Z1740" s="21"/>
      <c r="AA1740" s="21"/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W1740" s="296"/>
      <c r="CY1740" s="296"/>
    </row>
    <row r="1741" spans="3:103" s="19" customFormat="1" ht="12">
      <c r="C1741" s="21"/>
      <c r="D1741" s="21"/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W1741" s="296"/>
      <c r="CY1741" s="296"/>
    </row>
    <row r="1742" spans="3:103" s="19" customFormat="1" ht="12">
      <c r="C1742" s="21"/>
      <c r="D1742" s="21"/>
      <c r="E1742" s="21"/>
      <c r="F1742" s="21"/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W1742" s="296"/>
      <c r="CY1742" s="296"/>
    </row>
    <row r="1743" spans="3:103" s="19" customFormat="1" ht="12">
      <c r="C1743" s="21"/>
      <c r="D1743" s="21"/>
      <c r="E1743" s="21"/>
      <c r="F1743" s="21"/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W1743" s="296"/>
      <c r="CY1743" s="296"/>
    </row>
    <row r="1744" spans="3:103" s="19" customFormat="1" ht="12">
      <c r="C1744" s="21"/>
      <c r="D1744" s="21"/>
      <c r="E1744" s="21"/>
      <c r="F1744" s="21"/>
      <c r="G1744" s="21"/>
      <c r="H1744" s="21"/>
      <c r="I1744" s="21"/>
      <c r="J1744" s="21"/>
      <c r="K1744" s="21"/>
      <c r="L1744" s="21"/>
      <c r="M1744" s="21"/>
      <c r="N1744" s="21"/>
      <c r="O1744" s="21"/>
      <c r="P1744" s="21"/>
      <c r="Q1744" s="21"/>
      <c r="R1744" s="21"/>
      <c r="S1744" s="21"/>
      <c r="T1744" s="21"/>
      <c r="U1744" s="21"/>
      <c r="V1744" s="21"/>
      <c r="W1744" s="21"/>
      <c r="X1744" s="21"/>
      <c r="Y1744" s="21"/>
      <c r="Z1744" s="21"/>
      <c r="AA1744" s="21"/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W1744" s="296"/>
      <c r="CY1744" s="296"/>
    </row>
    <row r="1745" spans="3:103" s="19" customFormat="1" ht="12">
      <c r="C1745" s="21"/>
      <c r="D1745" s="21"/>
      <c r="E1745" s="21"/>
      <c r="F1745" s="21"/>
      <c r="G1745" s="21"/>
      <c r="H1745" s="21"/>
      <c r="I1745" s="21"/>
      <c r="J1745" s="21"/>
      <c r="K1745" s="21"/>
      <c r="L1745" s="21"/>
      <c r="M1745" s="21"/>
      <c r="N1745" s="21"/>
      <c r="O1745" s="21"/>
      <c r="P1745" s="21"/>
      <c r="Q1745" s="21"/>
      <c r="R1745" s="21"/>
      <c r="S1745" s="21"/>
      <c r="T1745" s="21"/>
      <c r="U1745" s="21"/>
      <c r="V1745" s="21"/>
      <c r="W1745" s="21"/>
      <c r="X1745" s="21"/>
      <c r="Y1745" s="21"/>
      <c r="Z1745" s="21"/>
      <c r="AA1745" s="21"/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W1745" s="296"/>
      <c r="CY1745" s="296"/>
    </row>
    <row r="1746" spans="3:103" s="19" customFormat="1" ht="12">
      <c r="C1746" s="21"/>
      <c r="D1746" s="21"/>
      <c r="E1746" s="21"/>
      <c r="F1746" s="21"/>
      <c r="G1746" s="21"/>
      <c r="H1746" s="21"/>
      <c r="I1746" s="21"/>
      <c r="J1746" s="21"/>
      <c r="K1746" s="21"/>
      <c r="L1746" s="21"/>
      <c r="M1746" s="21"/>
      <c r="N1746" s="21"/>
      <c r="O1746" s="21"/>
      <c r="P1746" s="21"/>
      <c r="Q1746" s="21"/>
      <c r="R1746" s="21"/>
      <c r="S1746" s="21"/>
      <c r="T1746" s="21"/>
      <c r="U1746" s="21"/>
      <c r="V1746" s="21"/>
      <c r="W1746" s="21"/>
      <c r="X1746" s="21"/>
      <c r="Y1746" s="21"/>
      <c r="Z1746" s="21"/>
      <c r="AA1746" s="21"/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W1746" s="296"/>
      <c r="CY1746" s="296"/>
    </row>
    <row r="1747" spans="3:103" s="19" customFormat="1" ht="12">
      <c r="C1747" s="21"/>
      <c r="D1747" s="21"/>
      <c r="E1747" s="21"/>
      <c r="F1747" s="21"/>
      <c r="G1747" s="21"/>
      <c r="H1747" s="21"/>
      <c r="I1747" s="21"/>
      <c r="J1747" s="21"/>
      <c r="K1747" s="21"/>
      <c r="L1747" s="21"/>
      <c r="M1747" s="21"/>
      <c r="N1747" s="21"/>
      <c r="O1747" s="21"/>
      <c r="P1747" s="21"/>
      <c r="Q1747" s="21"/>
      <c r="R1747" s="21"/>
      <c r="S1747" s="21"/>
      <c r="T1747" s="21"/>
      <c r="U1747" s="21"/>
      <c r="V1747" s="21"/>
      <c r="W1747" s="21"/>
      <c r="X1747" s="21"/>
      <c r="Y1747" s="21"/>
      <c r="Z1747" s="21"/>
      <c r="AA1747" s="21"/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W1747" s="296"/>
      <c r="CY1747" s="296"/>
    </row>
    <row r="1748" spans="3:103" s="19" customFormat="1" ht="12">
      <c r="C1748" s="21"/>
      <c r="D1748" s="21"/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W1748" s="296"/>
      <c r="CY1748" s="296"/>
    </row>
    <row r="1749" spans="3:103" s="19" customFormat="1" ht="12">
      <c r="C1749" s="21"/>
      <c r="D1749" s="21"/>
      <c r="E1749" s="21"/>
      <c r="F1749" s="21"/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W1749" s="296"/>
      <c r="CY1749" s="296"/>
    </row>
    <row r="1750" spans="3:103" s="19" customFormat="1" ht="12">
      <c r="C1750" s="21"/>
      <c r="D1750" s="21"/>
      <c r="E1750" s="21"/>
      <c r="F1750" s="21"/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W1750" s="296"/>
      <c r="CY1750" s="296"/>
    </row>
    <row r="1751" spans="3:103" s="19" customFormat="1" ht="12">
      <c r="C1751" s="21"/>
      <c r="D1751" s="21"/>
      <c r="E1751" s="21"/>
      <c r="F1751" s="21"/>
      <c r="G1751" s="21"/>
      <c r="H1751" s="21"/>
      <c r="I1751" s="21"/>
      <c r="J1751" s="21"/>
      <c r="K1751" s="21"/>
      <c r="L1751" s="21"/>
      <c r="M1751" s="21"/>
      <c r="N1751" s="21"/>
      <c r="O1751" s="21"/>
      <c r="P1751" s="21"/>
      <c r="Q1751" s="21"/>
      <c r="R1751" s="21"/>
      <c r="S1751" s="21"/>
      <c r="T1751" s="21"/>
      <c r="U1751" s="21"/>
      <c r="V1751" s="21"/>
      <c r="W1751" s="21"/>
      <c r="X1751" s="21"/>
      <c r="Y1751" s="21"/>
      <c r="Z1751" s="21"/>
      <c r="AA1751" s="21"/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W1751" s="296"/>
      <c r="CY1751" s="296"/>
    </row>
    <row r="1752" spans="3:103" s="19" customFormat="1" ht="12">
      <c r="C1752" s="21"/>
      <c r="D1752" s="21"/>
      <c r="E1752" s="21"/>
      <c r="F1752" s="21"/>
      <c r="G1752" s="21"/>
      <c r="H1752" s="21"/>
      <c r="I1752" s="21"/>
      <c r="J1752" s="21"/>
      <c r="K1752" s="21"/>
      <c r="L1752" s="21"/>
      <c r="M1752" s="21"/>
      <c r="N1752" s="21"/>
      <c r="O1752" s="21"/>
      <c r="P1752" s="21"/>
      <c r="Q1752" s="21"/>
      <c r="R1752" s="21"/>
      <c r="S1752" s="21"/>
      <c r="T1752" s="21"/>
      <c r="U1752" s="21"/>
      <c r="V1752" s="21"/>
      <c r="W1752" s="21"/>
      <c r="X1752" s="21"/>
      <c r="Y1752" s="21"/>
      <c r="Z1752" s="21"/>
      <c r="AA1752" s="21"/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W1752" s="296"/>
      <c r="CY1752" s="296"/>
    </row>
    <row r="1753" spans="3:103" s="19" customFormat="1" ht="12">
      <c r="C1753" s="21"/>
      <c r="D1753" s="21"/>
      <c r="E1753" s="21"/>
      <c r="F1753" s="21"/>
      <c r="G1753" s="21"/>
      <c r="H1753" s="21"/>
      <c r="I1753" s="21"/>
      <c r="J1753" s="21"/>
      <c r="K1753" s="21"/>
      <c r="L1753" s="21"/>
      <c r="M1753" s="21"/>
      <c r="N1753" s="21"/>
      <c r="O1753" s="21"/>
      <c r="P1753" s="21"/>
      <c r="Q1753" s="21"/>
      <c r="R1753" s="21"/>
      <c r="S1753" s="21"/>
      <c r="T1753" s="21"/>
      <c r="U1753" s="21"/>
      <c r="V1753" s="21"/>
      <c r="W1753" s="21"/>
      <c r="X1753" s="21"/>
      <c r="Y1753" s="21"/>
      <c r="Z1753" s="21"/>
      <c r="AA1753" s="21"/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W1753" s="296"/>
      <c r="CY1753" s="296"/>
    </row>
    <row r="1754" spans="3:103" s="19" customFormat="1" ht="12">
      <c r="C1754" s="21"/>
      <c r="D1754" s="21"/>
      <c r="E1754" s="21"/>
      <c r="F1754" s="21"/>
      <c r="G1754" s="21"/>
      <c r="H1754" s="21"/>
      <c r="I1754" s="21"/>
      <c r="J1754" s="21"/>
      <c r="K1754" s="21"/>
      <c r="L1754" s="21"/>
      <c r="M1754" s="21"/>
      <c r="N1754" s="21"/>
      <c r="O1754" s="21"/>
      <c r="P1754" s="21"/>
      <c r="Q1754" s="21"/>
      <c r="R1754" s="21"/>
      <c r="S1754" s="21"/>
      <c r="T1754" s="21"/>
      <c r="U1754" s="21"/>
      <c r="V1754" s="21"/>
      <c r="W1754" s="21"/>
      <c r="X1754" s="21"/>
      <c r="Y1754" s="21"/>
      <c r="Z1754" s="21"/>
      <c r="AA1754" s="21"/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W1754" s="296"/>
      <c r="CY1754" s="296"/>
    </row>
    <row r="1755" spans="3:103" s="19" customFormat="1" ht="12">
      <c r="C1755" s="21"/>
      <c r="D1755" s="21"/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W1755" s="296"/>
      <c r="CY1755" s="296"/>
    </row>
    <row r="1756" spans="3:103" s="19" customFormat="1" ht="12">
      <c r="C1756" s="21"/>
      <c r="D1756" s="21"/>
      <c r="E1756" s="21"/>
      <c r="F1756" s="21"/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W1756" s="296"/>
      <c r="CY1756" s="296"/>
    </row>
    <row r="1757" spans="3:103" s="19" customFormat="1" ht="12">
      <c r="C1757" s="21"/>
      <c r="D1757" s="21"/>
      <c r="E1757" s="21"/>
      <c r="F1757" s="21"/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W1757" s="296"/>
      <c r="CY1757" s="296"/>
    </row>
    <row r="1758" spans="3:103" s="19" customFormat="1" ht="12">
      <c r="C1758" s="21"/>
      <c r="D1758" s="21"/>
      <c r="E1758" s="21"/>
      <c r="F1758" s="21"/>
      <c r="G1758" s="21"/>
      <c r="H1758" s="21"/>
      <c r="I1758" s="21"/>
      <c r="J1758" s="21"/>
      <c r="K1758" s="21"/>
      <c r="L1758" s="21"/>
      <c r="M1758" s="21"/>
      <c r="N1758" s="21"/>
      <c r="O1758" s="21"/>
      <c r="P1758" s="21"/>
      <c r="Q1758" s="21"/>
      <c r="R1758" s="21"/>
      <c r="S1758" s="21"/>
      <c r="T1758" s="21"/>
      <c r="U1758" s="21"/>
      <c r="V1758" s="21"/>
      <c r="W1758" s="21"/>
      <c r="X1758" s="21"/>
      <c r="Y1758" s="21"/>
      <c r="Z1758" s="21"/>
      <c r="AA1758" s="21"/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W1758" s="296"/>
      <c r="CY1758" s="296"/>
    </row>
    <row r="1759" spans="3:103" s="19" customFormat="1" ht="12">
      <c r="C1759" s="21"/>
      <c r="D1759" s="21"/>
      <c r="E1759" s="21"/>
      <c r="F1759" s="21"/>
      <c r="G1759" s="21"/>
      <c r="H1759" s="21"/>
      <c r="I1759" s="21"/>
      <c r="J1759" s="21"/>
      <c r="K1759" s="21"/>
      <c r="L1759" s="21"/>
      <c r="M1759" s="21"/>
      <c r="N1759" s="21"/>
      <c r="O1759" s="21"/>
      <c r="P1759" s="21"/>
      <c r="Q1759" s="21"/>
      <c r="R1759" s="21"/>
      <c r="S1759" s="21"/>
      <c r="T1759" s="21"/>
      <c r="U1759" s="21"/>
      <c r="V1759" s="21"/>
      <c r="W1759" s="21"/>
      <c r="X1759" s="21"/>
      <c r="Y1759" s="21"/>
      <c r="Z1759" s="21"/>
      <c r="AA1759" s="21"/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W1759" s="296"/>
      <c r="CY1759" s="296"/>
    </row>
    <row r="1760" spans="3:103" s="19" customFormat="1" ht="12">
      <c r="C1760" s="21"/>
      <c r="D1760" s="21"/>
      <c r="E1760" s="21"/>
      <c r="F1760" s="21"/>
      <c r="G1760" s="21"/>
      <c r="H1760" s="21"/>
      <c r="I1760" s="21"/>
      <c r="J1760" s="21"/>
      <c r="K1760" s="21"/>
      <c r="L1760" s="21"/>
      <c r="M1760" s="21"/>
      <c r="N1760" s="21"/>
      <c r="O1760" s="21"/>
      <c r="P1760" s="21"/>
      <c r="Q1760" s="21"/>
      <c r="R1760" s="21"/>
      <c r="S1760" s="21"/>
      <c r="T1760" s="21"/>
      <c r="U1760" s="21"/>
      <c r="V1760" s="21"/>
      <c r="W1760" s="21"/>
      <c r="X1760" s="21"/>
      <c r="Y1760" s="21"/>
      <c r="Z1760" s="21"/>
      <c r="AA1760" s="21"/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W1760" s="296"/>
      <c r="CY1760" s="296"/>
    </row>
    <row r="1761" spans="3:103" s="19" customFormat="1" ht="12">
      <c r="C1761" s="21"/>
      <c r="D1761" s="21"/>
      <c r="E1761" s="21"/>
      <c r="F1761" s="21"/>
      <c r="G1761" s="21"/>
      <c r="H1761" s="21"/>
      <c r="I1761" s="21"/>
      <c r="J1761" s="21"/>
      <c r="K1761" s="21"/>
      <c r="L1761" s="21"/>
      <c r="M1761" s="21"/>
      <c r="N1761" s="21"/>
      <c r="O1761" s="21"/>
      <c r="P1761" s="21"/>
      <c r="Q1761" s="21"/>
      <c r="R1761" s="21"/>
      <c r="S1761" s="21"/>
      <c r="T1761" s="21"/>
      <c r="U1761" s="21"/>
      <c r="V1761" s="21"/>
      <c r="W1761" s="21"/>
      <c r="X1761" s="21"/>
      <c r="Y1761" s="21"/>
      <c r="Z1761" s="21"/>
      <c r="AA1761" s="21"/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W1761" s="296"/>
      <c r="CY1761" s="296"/>
    </row>
    <row r="1762" spans="3:103" s="19" customFormat="1" ht="12">
      <c r="C1762" s="21"/>
      <c r="D1762" s="21"/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W1762" s="296"/>
      <c r="CY1762" s="296"/>
    </row>
    <row r="1763" spans="3:103" s="19" customFormat="1" ht="12">
      <c r="C1763" s="21"/>
      <c r="D1763" s="21"/>
      <c r="E1763" s="21"/>
      <c r="F1763" s="21"/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W1763" s="296"/>
      <c r="CY1763" s="296"/>
    </row>
    <row r="1764" spans="3:103" s="19" customFormat="1" ht="12">
      <c r="C1764" s="21"/>
      <c r="D1764" s="21"/>
      <c r="E1764" s="21"/>
      <c r="F1764" s="21"/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W1764" s="296"/>
      <c r="CY1764" s="296"/>
    </row>
    <row r="1765" spans="3:103" s="19" customFormat="1" ht="12">
      <c r="C1765" s="21"/>
      <c r="D1765" s="21"/>
      <c r="E1765" s="21"/>
      <c r="F1765" s="21"/>
      <c r="G1765" s="21"/>
      <c r="H1765" s="21"/>
      <c r="I1765" s="21"/>
      <c r="J1765" s="21"/>
      <c r="K1765" s="21"/>
      <c r="L1765" s="21"/>
      <c r="M1765" s="21"/>
      <c r="N1765" s="21"/>
      <c r="O1765" s="21"/>
      <c r="P1765" s="21"/>
      <c r="Q1765" s="21"/>
      <c r="R1765" s="21"/>
      <c r="S1765" s="21"/>
      <c r="T1765" s="21"/>
      <c r="U1765" s="21"/>
      <c r="V1765" s="21"/>
      <c r="W1765" s="21"/>
      <c r="X1765" s="21"/>
      <c r="Y1765" s="21"/>
      <c r="Z1765" s="21"/>
      <c r="AA1765" s="21"/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W1765" s="296"/>
      <c r="CY1765" s="296"/>
    </row>
    <row r="1766" spans="3:103" s="19" customFormat="1" ht="12">
      <c r="C1766" s="21"/>
      <c r="D1766" s="21"/>
      <c r="E1766" s="21"/>
      <c r="F1766" s="21"/>
      <c r="G1766" s="21"/>
      <c r="H1766" s="21"/>
      <c r="I1766" s="21"/>
      <c r="J1766" s="21"/>
      <c r="K1766" s="21"/>
      <c r="L1766" s="21"/>
      <c r="M1766" s="21"/>
      <c r="N1766" s="21"/>
      <c r="O1766" s="21"/>
      <c r="P1766" s="21"/>
      <c r="Q1766" s="21"/>
      <c r="R1766" s="21"/>
      <c r="S1766" s="21"/>
      <c r="T1766" s="21"/>
      <c r="U1766" s="21"/>
      <c r="V1766" s="21"/>
      <c r="W1766" s="21"/>
      <c r="X1766" s="21"/>
      <c r="Y1766" s="21"/>
      <c r="Z1766" s="21"/>
      <c r="AA1766" s="21"/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W1766" s="296"/>
      <c r="CY1766" s="296"/>
    </row>
    <row r="1767" spans="3:103" s="19" customFormat="1" ht="12">
      <c r="C1767" s="21"/>
      <c r="D1767" s="21"/>
      <c r="E1767" s="21"/>
      <c r="F1767" s="21"/>
      <c r="G1767" s="21"/>
      <c r="H1767" s="21"/>
      <c r="I1767" s="21"/>
      <c r="J1767" s="21"/>
      <c r="K1767" s="21"/>
      <c r="L1767" s="21"/>
      <c r="M1767" s="21"/>
      <c r="N1767" s="21"/>
      <c r="O1767" s="21"/>
      <c r="P1767" s="21"/>
      <c r="Q1767" s="21"/>
      <c r="R1767" s="21"/>
      <c r="S1767" s="21"/>
      <c r="T1767" s="21"/>
      <c r="U1767" s="21"/>
      <c r="V1767" s="21"/>
      <c r="W1767" s="21"/>
      <c r="X1767" s="21"/>
      <c r="Y1767" s="21"/>
      <c r="Z1767" s="21"/>
      <c r="AA1767" s="21"/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W1767" s="296"/>
      <c r="CY1767" s="296"/>
    </row>
    <row r="1768" spans="3:103" s="19" customFormat="1" ht="12">
      <c r="C1768" s="21"/>
      <c r="D1768" s="21"/>
      <c r="E1768" s="21"/>
      <c r="F1768" s="21"/>
      <c r="G1768" s="21"/>
      <c r="H1768" s="21"/>
      <c r="I1768" s="21"/>
      <c r="J1768" s="21"/>
      <c r="K1768" s="21"/>
      <c r="L1768" s="21"/>
      <c r="M1768" s="21"/>
      <c r="N1768" s="21"/>
      <c r="O1768" s="21"/>
      <c r="P1768" s="21"/>
      <c r="Q1768" s="21"/>
      <c r="R1768" s="21"/>
      <c r="S1768" s="21"/>
      <c r="T1768" s="21"/>
      <c r="U1768" s="21"/>
      <c r="V1768" s="21"/>
      <c r="W1768" s="21"/>
      <c r="X1768" s="21"/>
      <c r="Y1768" s="21"/>
      <c r="Z1768" s="21"/>
      <c r="AA1768" s="21"/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W1768" s="296"/>
      <c r="CY1768" s="296"/>
    </row>
    <row r="1769" spans="3:103" s="19" customFormat="1" ht="12">
      <c r="C1769" s="21"/>
      <c r="D1769" s="21"/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W1769" s="296"/>
      <c r="CY1769" s="296"/>
    </row>
    <row r="1770" spans="3:103" s="19" customFormat="1" ht="12">
      <c r="C1770" s="21"/>
      <c r="D1770" s="21"/>
      <c r="E1770" s="21"/>
      <c r="F1770" s="21"/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W1770" s="296"/>
      <c r="CY1770" s="296"/>
    </row>
    <row r="1771" spans="3:103" s="19" customFormat="1" ht="12">
      <c r="C1771" s="21"/>
      <c r="D1771" s="21"/>
      <c r="E1771" s="21"/>
      <c r="F1771" s="21"/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W1771" s="296"/>
      <c r="CY1771" s="296"/>
    </row>
    <row r="1772" spans="3:103" s="19" customFormat="1" ht="12">
      <c r="C1772" s="21"/>
      <c r="D1772" s="21"/>
      <c r="E1772" s="21"/>
      <c r="F1772" s="21"/>
      <c r="G1772" s="21"/>
      <c r="H1772" s="21"/>
      <c r="I1772" s="21"/>
      <c r="J1772" s="21"/>
      <c r="K1772" s="21"/>
      <c r="L1772" s="21"/>
      <c r="M1772" s="21"/>
      <c r="N1772" s="21"/>
      <c r="O1772" s="21"/>
      <c r="P1772" s="21"/>
      <c r="Q1772" s="21"/>
      <c r="R1772" s="21"/>
      <c r="S1772" s="21"/>
      <c r="T1772" s="21"/>
      <c r="U1772" s="21"/>
      <c r="V1772" s="21"/>
      <c r="W1772" s="21"/>
      <c r="X1772" s="21"/>
      <c r="Y1772" s="21"/>
      <c r="Z1772" s="21"/>
      <c r="AA1772" s="21"/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W1772" s="296"/>
      <c r="CY1772" s="296"/>
    </row>
    <row r="1773" spans="3:103" s="19" customFormat="1" ht="12">
      <c r="C1773" s="21"/>
      <c r="D1773" s="21"/>
      <c r="E1773" s="21"/>
      <c r="F1773" s="21"/>
      <c r="G1773" s="21"/>
      <c r="H1773" s="21"/>
      <c r="I1773" s="21"/>
      <c r="J1773" s="21"/>
      <c r="K1773" s="21"/>
      <c r="L1773" s="21"/>
      <c r="M1773" s="21"/>
      <c r="N1773" s="21"/>
      <c r="O1773" s="21"/>
      <c r="P1773" s="21"/>
      <c r="Q1773" s="21"/>
      <c r="R1773" s="21"/>
      <c r="S1773" s="21"/>
      <c r="T1773" s="21"/>
      <c r="U1773" s="21"/>
      <c r="V1773" s="21"/>
      <c r="W1773" s="21"/>
      <c r="X1773" s="21"/>
      <c r="Y1773" s="21"/>
      <c r="Z1773" s="21"/>
      <c r="AA1773" s="21"/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W1773" s="296"/>
      <c r="CY1773" s="296"/>
    </row>
    <row r="1774" spans="3:103" s="19" customFormat="1" ht="12">
      <c r="C1774" s="21"/>
      <c r="D1774" s="21"/>
      <c r="E1774" s="21"/>
      <c r="F1774" s="21"/>
      <c r="G1774" s="21"/>
      <c r="H1774" s="21"/>
      <c r="I1774" s="21"/>
      <c r="J1774" s="21"/>
      <c r="K1774" s="21"/>
      <c r="L1774" s="21"/>
      <c r="M1774" s="21"/>
      <c r="N1774" s="21"/>
      <c r="O1774" s="21"/>
      <c r="P1774" s="21"/>
      <c r="Q1774" s="21"/>
      <c r="R1774" s="21"/>
      <c r="S1774" s="21"/>
      <c r="T1774" s="21"/>
      <c r="U1774" s="21"/>
      <c r="V1774" s="21"/>
      <c r="W1774" s="21"/>
      <c r="X1774" s="21"/>
      <c r="Y1774" s="21"/>
      <c r="Z1774" s="21"/>
      <c r="AA1774" s="21"/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W1774" s="296"/>
      <c r="CY1774" s="296"/>
    </row>
    <row r="1775" spans="3:103" s="19" customFormat="1" ht="12">
      <c r="C1775" s="21"/>
      <c r="D1775" s="21"/>
      <c r="E1775" s="21"/>
      <c r="F1775" s="21"/>
      <c r="G1775" s="21"/>
      <c r="H1775" s="21"/>
      <c r="I1775" s="21"/>
      <c r="J1775" s="21"/>
      <c r="K1775" s="21"/>
      <c r="L1775" s="21"/>
      <c r="M1775" s="21"/>
      <c r="N1775" s="21"/>
      <c r="O1775" s="21"/>
      <c r="P1775" s="21"/>
      <c r="Q1775" s="21"/>
      <c r="R1775" s="21"/>
      <c r="S1775" s="21"/>
      <c r="T1775" s="21"/>
      <c r="U1775" s="21"/>
      <c r="V1775" s="21"/>
      <c r="W1775" s="21"/>
      <c r="X1775" s="21"/>
      <c r="Y1775" s="21"/>
      <c r="Z1775" s="21"/>
      <c r="AA1775" s="21"/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W1775" s="296"/>
      <c r="CY1775" s="296"/>
    </row>
    <row r="1776" spans="3:103" s="19" customFormat="1" ht="12">
      <c r="C1776" s="21"/>
      <c r="D1776" s="21"/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W1776" s="296"/>
      <c r="CY1776" s="296"/>
    </row>
    <row r="1777" spans="3:103" s="19" customFormat="1" ht="12">
      <c r="C1777" s="21"/>
      <c r="D1777" s="21"/>
      <c r="E1777" s="21"/>
      <c r="F1777" s="21"/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W1777" s="296"/>
      <c r="CY1777" s="296"/>
    </row>
    <row r="1778" spans="3:103" s="19" customFormat="1" ht="12">
      <c r="C1778" s="21"/>
      <c r="D1778" s="21"/>
      <c r="E1778" s="21"/>
      <c r="F1778" s="21"/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W1778" s="296"/>
      <c r="CY1778" s="296"/>
    </row>
    <row r="1779" spans="3:103" s="19" customFormat="1" ht="12">
      <c r="C1779" s="21"/>
      <c r="D1779" s="21"/>
      <c r="E1779" s="21"/>
      <c r="F1779" s="21"/>
      <c r="G1779" s="21"/>
      <c r="H1779" s="21"/>
      <c r="I1779" s="21"/>
      <c r="J1779" s="21"/>
      <c r="K1779" s="21"/>
      <c r="L1779" s="21"/>
      <c r="M1779" s="21"/>
      <c r="N1779" s="21"/>
      <c r="O1779" s="21"/>
      <c r="P1779" s="21"/>
      <c r="Q1779" s="21"/>
      <c r="R1779" s="21"/>
      <c r="S1779" s="21"/>
      <c r="T1779" s="21"/>
      <c r="U1779" s="21"/>
      <c r="V1779" s="21"/>
      <c r="W1779" s="21"/>
      <c r="X1779" s="21"/>
      <c r="Y1779" s="21"/>
      <c r="Z1779" s="21"/>
      <c r="AA1779" s="21"/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W1779" s="296"/>
      <c r="CY1779" s="296"/>
    </row>
    <row r="1780" spans="3:103" s="19" customFormat="1" ht="12">
      <c r="C1780" s="21"/>
      <c r="D1780" s="21"/>
      <c r="E1780" s="21"/>
      <c r="F1780" s="21"/>
      <c r="G1780" s="21"/>
      <c r="H1780" s="21"/>
      <c r="I1780" s="21"/>
      <c r="J1780" s="21"/>
      <c r="K1780" s="21"/>
      <c r="L1780" s="21"/>
      <c r="M1780" s="21"/>
      <c r="N1780" s="21"/>
      <c r="O1780" s="21"/>
      <c r="P1780" s="21"/>
      <c r="Q1780" s="21"/>
      <c r="R1780" s="21"/>
      <c r="S1780" s="21"/>
      <c r="T1780" s="21"/>
      <c r="U1780" s="21"/>
      <c r="V1780" s="21"/>
      <c r="W1780" s="21"/>
      <c r="X1780" s="21"/>
      <c r="Y1780" s="21"/>
      <c r="Z1780" s="21"/>
      <c r="AA1780" s="21"/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W1780" s="296"/>
      <c r="CY1780" s="296"/>
    </row>
    <row r="1781" spans="3:103" s="19" customFormat="1" ht="12">
      <c r="C1781" s="21"/>
      <c r="D1781" s="21"/>
      <c r="E1781" s="21"/>
      <c r="F1781" s="21"/>
      <c r="G1781" s="21"/>
      <c r="H1781" s="21"/>
      <c r="I1781" s="21"/>
      <c r="J1781" s="21"/>
      <c r="K1781" s="21"/>
      <c r="L1781" s="21"/>
      <c r="M1781" s="21"/>
      <c r="N1781" s="21"/>
      <c r="O1781" s="21"/>
      <c r="P1781" s="21"/>
      <c r="Q1781" s="21"/>
      <c r="R1781" s="21"/>
      <c r="S1781" s="21"/>
      <c r="T1781" s="21"/>
      <c r="U1781" s="21"/>
      <c r="V1781" s="21"/>
      <c r="W1781" s="21"/>
      <c r="X1781" s="21"/>
      <c r="Y1781" s="21"/>
      <c r="Z1781" s="21"/>
      <c r="AA1781" s="21"/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W1781" s="296"/>
      <c r="CY1781" s="296"/>
    </row>
    <row r="1782" spans="3:103" s="19" customFormat="1" ht="12">
      <c r="C1782" s="21"/>
      <c r="D1782" s="21"/>
      <c r="E1782" s="21"/>
      <c r="F1782" s="21"/>
      <c r="G1782" s="21"/>
      <c r="H1782" s="21"/>
      <c r="I1782" s="21"/>
      <c r="J1782" s="21"/>
      <c r="K1782" s="21"/>
      <c r="L1782" s="21"/>
      <c r="M1782" s="21"/>
      <c r="N1782" s="21"/>
      <c r="O1782" s="21"/>
      <c r="P1782" s="21"/>
      <c r="Q1782" s="21"/>
      <c r="R1782" s="21"/>
      <c r="S1782" s="21"/>
      <c r="T1782" s="21"/>
      <c r="U1782" s="21"/>
      <c r="V1782" s="21"/>
      <c r="W1782" s="21"/>
      <c r="X1782" s="21"/>
      <c r="Y1782" s="21"/>
      <c r="Z1782" s="21"/>
      <c r="AA1782" s="21"/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W1782" s="296"/>
      <c r="CY1782" s="296"/>
    </row>
    <row r="1783" spans="3:103" s="19" customFormat="1" ht="12">
      <c r="C1783" s="21"/>
      <c r="D1783" s="21"/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W1783" s="296"/>
      <c r="CY1783" s="296"/>
    </row>
    <row r="1784" spans="3:103" s="19" customFormat="1" ht="12">
      <c r="C1784" s="21"/>
      <c r="D1784" s="21"/>
      <c r="E1784" s="21"/>
      <c r="F1784" s="21"/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W1784" s="296"/>
      <c r="CY1784" s="296"/>
    </row>
    <row r="1785" spans="3:103" s="19" customFormat="1" ht="12">
      <c r="C1785" s="21"/>
      <c r="D1785" s="21"/>
      <c r="E1785" s="21"/>
      <c r="F1785" s="21"/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W1785" s="296"/>
      <c r="CY1785" s="296"/>
    </row>
    <row r="1786" spans="3:103" s="19" customFormat="1" ht="12">
      <c r="C1786" s="21"/>
      <c r="D1786" s="21"/>
      <c r="E1786" s="21"/>
      <c r="F1786" s="21"/>
      <c r="G1786" s="21"/>
      <c r="H1786" s="21"/>
      <c r="I1786" s="21"/>
      <c r="J1786" s="21"/>
      <c r="K1786" s="21"/>
      <c r="L1786" s="21"/>
      <c r="M1786" s="21"/>
      <c r="N1786" s="21"/>
      <c r="O1786" s="21"/>
      <c r="P1786" s="21"/>
      <c r="Q1786" s="21"/>
      <c r="R1786" s="21"/>
      <c r="S1786" s="21"/>
      <c r="T1786" s="21"/>
      <c r="U1786" s="21"/>
      <c r="V1786" s="21"/>
      <c r="W1786" s="21"/>
      <c r="X1786" s="21"/>
      <c r="Y1786" s="21"/>
      <c r="Z1786" s="21"/>
      <c r="AA1786" s="21"/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W1786" s="296"/>
      <c r="CY1786" s="296"/>
    </row>
    <row r="1787" spans="3:103" s="19" customFormat="1" ht="12">
      <c r="C1787" s="21"/>
      <c r="D1787" s="21"/>
      <c r="E1787" s="21"/>
      <c r="F1787" s="21"/>
      <c r="G1787" s="21"/>
      <c r="H1787" s="21"/>
      <c r="I1787" s="21"/>
      <c r="J1787" s="21"/>
      <c r="K1787" s="21"/>
      <c r="L1787" s="21"/>
      <c r="M1787" s="21"/>
      <c r="N1787" s="21"/>
      <c r="O1787" s="21"/>
      <c r="P1787" s="21"/>
      <c r="Q1787" s="21"/>
      <c r="R1787" s="21"/>
      <c r="S1787" s="21"/>
      <c r="T1787" s="21"/>
      <c r="U1787" s="21"/>
      <c r="V1787" s="21"/>
      <c r="W1787" s="21"/>
      <c r="X1787" s="21"/>
      <c r="Y1787" s="21"/>
      <c r="Z1787" s="21"/>
      <c r="AA1787" s="21"/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W1787" s="296"/>
      <c r="CY1787" s="296"/>
    </row>
    <row r="1788" spans="3:103" s="19" customFormat="1" ht="12">
      <c r="C1788" s="21"/>
      <c r="D1788" s="21"/>
      <c r="E1788" s="21"/>
      <c r="F1788" s="21"/>
      <c r="G1788" s="21"/>
      <c r="H1788" s="21"/>
      <c r="I1788" s="21"/>
      <c r="J1788" s="21"/>
      <c r="K1788" s="21"/>
      <c r="L1788" s="21"/>
      <c r="M1788" s="21"/>
      <c r="N1788" s="21"/>
      <c r="O1788" s="21"/>
      <c r="P1788" s="21"/>
      <c r="Q1788" s="21"/>
      <c r="R1788" s="21"/>
      <c r="S1788" s="21"/>
      <c r="T1788" s="21"/>
      <c r="U1788" s="21"/>
      <c r="V1788" s="21"/>
      <c r="W1788" s="21"/>
      <c r="X1788" s="21"/>
      <c r="Y1788" s="21"/>
      <c r="Z1788" s="21"/>
      <c r="AA1788" s="21"/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W1788" s="296"/>
      <c r="CY1788" s="296"/>
    </row>
    <row r="1789" spans="3:103" s="19" customFormat="1" ht="12">
      <c r="C1789" s="21"/>
      <c r="D1789" s="21"/>
      <c r="E1789" s="21"/>
      <c r="F1789" s="21"/>
      <c r="G1789" s="21"/>
      <c r="H1789" s="21"/>
      <c r="I1789" s="21"/>
      <c r="J1789" s="21"/>
      <c r="K1789" s="21"/>
      <c r="L1789" s="21"/>
      <c r="M1789" s="21"/>
      <c r="N1789" s="21"/>
      <c r="O1789" s="21"/>
      <c r="P1789" s="21"/>
      <c r="Q1789" s="21"/>
      <c r="R1789" s="21"/>
      <c r="S1789" s="21"/>
      <c r="T1789" s="21"/>
      <c r="U1789" s="21"/>
      <c r="V1789" s="21"/>
      <c r="W1789" s="21"/>
      <c r="X1789" s="21"/>
      <c r="Y1789" s="21"/>
      <c r="Z1789" s="21"/>
      <c r="AA1789" s="21"/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W1789" s="296"/>
      <c r="CY1789" s="296"/>
    </row>
    <row r="1790" spans="3:103" s="19" customFormat="1" ht="12">
      <c r="C1790" s="21"/>
      <c r="D1790" s="21"/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W1790" s="296"/>
      <c r="CY1790" s="296"/>
    </row>
    <row r="1791" spans="3:103" s="19" customFormat="1" ht="12">
      <c r="C1791" s="21"/>
      <c r="D1791" s="21"/>
      <c r="E1791" s="21"/>
      <c r="F1791" s="21"/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W1791" s="296"/>
      <c r="CY1791" s="296"/>
    </row>
    <row r="1792" spans="3:103" s="19" customFormat="1" ht="12">
      <c r="C1792" s="21"/>
      <c r="D1792" s="21"/>
      <c r="E1792" s="21"/>
      <c r="F1792" s="21"/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W1792" s="296"/>
      <c r="CY1792" s="296"/>
    </row>
    <row r="1793" spans="3:103" s="19" customFormat="1" ht="12">
      <c r="C1793" s="21"/>
      <c r="D1793" s="21"/>
      <c r="E1793" s="21"/>
      <c r="F1793" s="21"/>
      <c r="G1793" s="21"/>
      <c r="H1793" s="21"/>
      <c r="I1793" s="21"/>
      <c r="J1793" s="21"/>
      <c r="K1793" s="21"/>
      <c r="L1793" s="21"/>
      <c r="M1793" s="21"/>
      <c r="N1793" s="21"/>
      <c r="O1793" s="21"/>
      <c r="P1793" s="21"/>
      <c r="Q1793" s="21"/>
      <c r="R1793" s="21"/>
      <c r="S1793" s="21"/>
      <c r="T1793" s="21"/>
      <c r="U1793" s="21"/>
      <c r="V1793" s="21"/>
      <c r="W1793" s="21"/>
      <c r="X1793" s="21"/>
      <c r="Y1793" s="21"/>
      <c r="Z1793" s="21"/>
      <c r="AA1793" s="21"/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W1793" s="296"/>
      <c r="CY1793" s="296"/>
    </row>
    <row r="1794" spans="3:103" s="19" customFormat="1" ht="12">
      <c r="C1794" s="21"/>
      <c r="D1794" s="21"/>
      <c r="E1794" s="21"/>
      <c r="F1794" s="21"/>
      <c r="G1794" s="21"/>
      <c r="H1794" s="21"/>
      <c r="I1794" s="21"/>
      <c r="J1794" s="21"/>
      <c r="K1794" s="21"/>
      <c r="L1794" s="21"/>
      <c r="M1794" s="21"/>
      <c r="N1794" s="21"/>
      <c r="O1794" s="21"/>
      <c r="P1794" s="21"/>
      <c r="Q1794" s="21"/>
      <c r="R1794" s="21"/>
      <c r="S1794" s="21"/>
      <c r="T1794" s="21"/>
      <c r="U1794" s="21"/>
      <c r="V1794" s="21"/>
      <c r="W1794" s="21"/>
      <c r="X1794" s="21"/>
      <c r="Y1794" s="21"/>
      <c r="Z1794" s="21"/>
      <c r="AA1794" s="21"/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W1794" s="296"/>
      <c r="CY1794" s="296"/>
    </row>
    <row r="1795" spans="3:103" s="19" customFormat="1" ht="12">
      <c r="C1795" s="21"/>
      <c r="D1795" s="21"/>
      <c r="E1795" s="21"/>
      <c r="F1795" s="21"/>
      <c r="G1795" s="21"/>
      <c r="H1795" s="21"/>
      <c r="I1795" s="21"/>
      <c r="J1795" s="21"/>
      <c r="K1795" s="21"/>
      <c r="L1795" s="21"/>
      <c r="M1795" s="21"/>
      <c r="N1795" s="21"/>
      <c r="O1795" s="21"/>
      <c r="P1795" s="21"/>
      <c r="Q1795" s="21"/>
      <c r="R1795" s="21"/>
      <c r="S1795" s="21"/>
      <c r="T1795" s="21"/>
      <c r="U1795" s="21"/>
      <c r="V1795" s="21"/>
      <c r="W1795" s="21"/>
      <c r="X1795" s="21"/>
      <c r="Y1795" s="21"/>
      <c r="Z1795" s="21"/>
      <c r="AA1795" s="21"/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W1795" s="296"/>
      <c r="CY1795" s="296"/>
    </row>
    <row r="1796" spans="3:103" s="19" customFormat="1" ht="12">
      <c r="C1796" s="21"/>
      <c r="D1796" s="21"/>
      <c r="E1796" s="21"/>
      <c r="F1796" s="21"/>
      <c r="G1796" s="21"/>
      <c r="H1796" s="21"/>
      <c r="I1796" s="21"/>
      <c r="J1796" s="21"/>
      <c r="K1796" s="21"/>
      <c r="L1796" s="21"/>
      <c r="M1796" s="21"/>
      <c r="N1796" s="21"/>
      <c r="O1796" s="21"/>
      <c r="P1796" s="21"/>
      <c r="Q1796" s="21"/>
      <c r="R1796" s="21"/>
      <c r="S1796" s="21"/>
      <c r="T1796" s="21"/>
      <c r="U1796" s="21"/>
      <c r="V1796" s="21"/>
      <c r="W1796" s="21"/>
      <c r="X1796" s="21"/>
      <c r="Y1796" s="21"/>
      <c r="Z1796" s="21"/>
      <c r="AA1796" s="21"/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W1796" s="296"/>
      <c r="CY1796" s="296"/>
    </row>
    <row r="1797" spans="3:103" s="19" customFormat="1" ht="12">
      <c r="C1797" s="21"/>
      <c r="D1797" s="21"/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W1797" s="296"/>
      <c r="CY1797" s="296"/>
    </row>
    <row r="1798" spans="3:103" s="19" customFormat="1" ht="12">
      <c r="C1798" s="21"/>
      <c r="D1798" s="21"/>
      <c r="E1798" s="21"/>
      <c r="F1798" s="21"/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W1798" s="296"/>
      <c r="CY1798" s="296"/>
    </row>
    <row r="1799" spans="3:103" s="19" customFormat="1" ht="12">
      <c r="C1799" s="21"/>
      <c r="D1799" s="21"/>
      <c r="E1799" s="21"/>
      <c r="F1799" s="21"/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W1799" s="296"/>
      <c r="CY1799" s="296"/>
    </row>
    <row r="1800" spans="3:103" s="19" customFormat="1" ht="12">
      <c r="C1800" s="21"/>
      <c r="D1800" s="21"/>
      <c r="E1800" s="21"/>
      <c r="F1800" s="21"/>
      <c r="G1800" s="21"/>
      <c r="H1800" s="21"/>
      <c r="I1800" s="21"/>
      <c r="J1800" s="21"/>
      <c r="K1800" s="21"/>
      <c r="L1800" s="21"/>
      <c r="M1800" s="21"/>
      <c r="N1800" s="21"/>
      <c r="O1800" s="21"/>
      <c r="P1800" s="21"/>
      <c r="Q1800" s="21"/>
      <c r="R1800" s="21"/>
      <c r="S1800" s="21"/>
      <c r="T1800" s="21"/>
      <c r="U1800" s="21"/>
      <c r="V1800" s="21"/>
      <c r="W1800" s="21"/>
      <c r="X1800" s="21"/>
      <c r="Y1800" s="21"/>
      <c r="Z1800" s="21"/>
      <c r="AA1800" s="21"/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W1800" s="296"/>
      <c r="CY1800" s="296"/>
    </row>
    <row r="1801" spans="3:103" s="19" customFormat="1" ht="12">
      <c r="C1801" s="21"/>
      <c r="D1801" s="21"/>
      <c r="E1801" s="21"/>
      <c r="F1801" s="21"/>
      <c r="G1801" s="21"/>
      <c r="H1801" s="21"/>
      <c r="I1801" s="21"/>
      <c r="J1801" s="21"/>
      <c r="K1801" s="21"/>
      <c r="L1801" s="21"/>
      <c r="M1801" s="21"/>
      <c r="N1801" s="21"/>
      <c r="O1801" s="21"/>
      <c r="P1801" s="21"/>
      <c r="Q1801" s="21"/>
      <c r="R1801" s="21"/>
      <c r="S1801" s="21"/>
      <c r="T1801" s="21"/>
      <c r="U1801" s="21"/>
      <c r="V1801" s="21"/>
      <c r="W1801" s="21"/>
      <c r="X1801" s="21"/>
      <c r="Y1801" s="21"/>
      <c r="Z1801" s="21"/>
      <c r="AA1801" s="21"/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W1801" s="296"/>
      <c r="CY1801" s="296"/>
    </row>
    <row r="1802" spans="3:103" s="19" customFormat="1" ht="12">
      <c r="C1802" s="21"/>
      <c r="D1802" s="21"/>
      <c r="E1802" s="21"/>
      <c r="F1802" s="21"/>
      <c r="G1802" s="21"/>
      <c r="H1802" s="21"/>
      <c r="I1802" s="21"/>
      <c r="J1802" s="21"/>
      <c r="K1802" s="21"/>
      <c r="L1802" s="21"/>
      <c r="M1802" s="21"/>
      <c r="N1802" s="21"/>
      <c r="O1802" s="21"/>
      <c r="P1802" s="21"/>
      <c r="Q1802" s="21"/>
      <c r="R1802" s="21"/>
      <c r="S1802" s="21"/>
      <c r="T1802" s="21"/>
      <c r="U1802" s="21"/>
      <c r="V1802" s="21"/>
      <c r="W1802" s="21"/>
      <c r="X1802" s="21"/>
      <c r="Y1802" s="21"/>
      <c r="Z1802" s="21"/>
      <c r="AA1802" s="21"/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W1802" s="296"/>
      <c r="CY1802" s="296"/>
    </row>
    <row r="1803" spans="3:103" s="19" customFormat="1" ht="12">
      <c r="C1803" s="21"/>
      <c r="D1803" s="21"/>
      <c r="E1803" s="21"/>
      <c r="F1803" s="21"/>
      <c r="G1803" s="21"/>
      <c r="H1803" s="21"/>
      <c r="I1803" s="21"/>
      <c r="J1803" s="21"/>
      <c r="K1803" s="21"/>
      <c r="L1803" s="21"/>
      <c r="M1803" s="21"/>
      <c r="N1803" s="21"/>
      <c r="O1803" s="21"/>
      <c r="P1803" s="21"/>
      <c r="Q1803" s="21"/>
      <c r="R1803" s="21"/>
      <c r="S1803" s="21"/>
      <c r="T1803" s="21"/>
      <c r="U1803" s="21"/>
      <c r="V1803" s="21"/>
      <c r="W1803" s="21"/>
      <c r="X1803" s="21"/>
      <c r="Y1803" s="21"/>
      <c r="Z1803" s="21"/>
      <c r="AA1803" s="21"/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W1803" s="296"/>
      <c r="CY1803" s="296"/>
    </row>
    <row r="1804" spans="3:103" s="19" customFormat="1" ht="12">
      <c r="C1804" s="21"/>
      <c r="D1804" s="21"/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W1804" s="296"/>
      <c r="CY1804" s="296"/>
    </row>
    <row r="1805" spans="3:103" s="19" customFormat="1" ht="12">
      <c r="C1805" s="21"/>
      <c r="D1805" s="21"/>
      <c r="E1805" s="21"/>
      <c r="F1805" s="21"/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W1805" s="296"/>
      <c r="CY1805" s="296"/>
    </row>
    <row r="1806" spans="3:103" s="19" customFormat="1" ht="12">
      <c r="C1806" s="21"/>
      <c r="D1806" s="21"/>
      <c r="E1806" s="21"/>
      <c r="F1806" s="21"/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W1806" s="296"/>
      <c r="CY1806" s="296"/>
    </row>
    <row r="1807" spans="3:103" s="19" customFormat="1" ht="12">
      <c r="C1807" s="21"/>
      <c r="D1807" s="21"/>
      <c r="E1807" s="21"/>
      <c r="F1807" s="21"/>
      <c r="G1807" s="21"/>
      <c r="H1807" s="21"/>
      <c r="I1807" s="21"/>
      <c r="J1807" s="21"/>
      <c r="K1807" s="21"/>
      <c r="L1807" s="21"/>
      <c r="M1807" s="21"/>
      <c r="N1807" s="21"/>
      <c r="O1807" s="21"/>
      <c r="P1807" s="21"/>
      <c r="Q1807" s="21"/>
      <c r="R1807" s="21"/>
      <c r="S1807" s="21"/>
      <c r="T1807" s="21"/>
      <c r="U1807" s="21"/>
      <c r="V1807" s="21"/>
      <c r="W1807" s="21"/>
      <c r="X1807" s="21"/>
      <c r="Y1807" s="21"/>
      <c r="Z1807" s="21"/>
      <c r="AA1807" s="21"/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W1807" s="296"/>
      <c r="CY1807" s="296"/>
    </row>
    <row r="1808" spans="3:103" s="19" customFormat="1" ht="12">
      <c r="C1808" s="21"/>
      <c r="D1808" s="21"/>
      <c r="E1808" s="21"/>
      <c r="F1808" s="21"/>
      <c r="G1808" s="21"/>
      <c r="H1808" s="21"/>
      <c r="I1808" s="21"/>
      <c r="J1808" s="21"/>
      <c r="K1808" s="21"/>
      <c r="L1808" s="21"/>
      <c r="M1808" s="21"/>
      <c r="N1808" s="21"/>
      <c r="O1808" s="21"/>
      <c r="P1808" s="21"/>
      <c r="Q1808" s="21"/>
      <c r="R1808" s="21"/>
      <c r="S1808" s="21"/>
      <c r="T1808" s="21"/>
      <c r="U1808" s="21"/>
      <c r="V1808" s="21"/>
      <c r="W1808" s="21"/>
      <c r="X1808" s="21"/>
      <c r="Y1808" s="21"/>
      <c r="Z1808" s="21"/>
      <c r="AA1808" s="21"/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W1808" s="296"/>
      <c r="CY1808" s="296"/>
    </row>
    <row r="1809" spans="3:103" s="19" customFormat="1" ht="12">
      <c r="C1809" s="21"/>
      <c r="D1809" s="21"/>
      <c r="E1809" s="21"/>
      <c r="F1809" s="21"/>
      <c r="G1809" s="21"/>
      <c r="H1809" s="21"/>
      <c r="I1809" s="21"/>
      <c r="J1809" s="21"/>
      <c r="K1809" s="21"/>
      <c r="L1809" s="21"/>
      <c r="M1809" s="21"/>
      <c r="N1809" s="21"/>
      <c r="O1809" s="21"/>
      <c r="P1809" s="21"/>
      <c r="Q1809" s="21"/>
      <c r="R1809" s="21"/>
      <c r="S1809" s="21"/>
      <c r="T1809" s="21"/>
      <c r="U1809" s="21"/>
      <c r="V1809" s="21"/>
      <c r="W1809" s="21"/>
      <c r="X1809" s="21"/>
      <c r="Y1809" s="21"/>
      <c r="Z1809" s="21"/>
      <c r="AA1809" s="21"/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W1809" s="296"/>
      <c r="CY1809" s="296"/>
    </row>
    <row r="1810" spans="3:103" s="19" customFormat="1" ht="12">
      <c r="C1810" s="21"/>
      <c r="D1810" s="21"/>
      <c r="E1810" s="21"/>
      <c r="F1810" s="21"/>
      <c r="G1810" s="21"/>
      <c r="H1810" s="21"/>
      <c r="I1810" s="21"/>
      <c r="J1810" s="21"/>
      <c r="K1810" s="21"/>
      <c r="L1810" s="21"/>
      <c r="M1810" s="21"/>
      <c r="N1810" s="21"/>
      <c r="O1810" s="21"/>
      <c r="P1810" s="21"/>
      <c r="Q1810" s="21"/>
      <c r="R1810" s="21"/>
      <c r="S1810" s="21"/>
      <c r="T1810" s="21"/>
      <c r="U1810" s="21"/>
      <c r="V1810" s="21"/>
      <c r="W1810" s="21"/>
      <c r="X1810" s="21"/>
      <c r="Y1810" s="21"/>
      <c r="Z1810" s="21"/>
      <c r="AA1810" s="21"/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W1810" s="296"/>
      <c r="CY1810" s="296"/>
    </row>
    <row r="1811" spans="3:103" s="19" customFormat="1" ht="12">
      <c r="C1811" s="21"/>
      <c r="D1811" s="21"/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W1811" s="296"/>
      <c r="CY1811" s="296"/>
    </row>
    <row r="1812" spans="3:103" s="19" customFormat="1" ht="12">
      <c r="C1812" s="21"/>
      <c r="D1812" s="21"/>
      <c r="E1812" s="21"/>
      <c r="F1812" s="21"/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W1812" s="296"/>
      <c r="CY1812" s="296"/>
    </row>
    <row r="1813" spans="3:103" s="19" customFormat="1" ht="12">
      <c r="C1813" s="21"/>
      <c r="D1813" s="21"/>
      <c r="E1813" s="21"/>
      <c r="F1813" s="21"/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W1813" s="296"/>
      <c r="CY1813" s="296"/>
    </row>
    <row r="1814" spans="3:103" s="19" customFormat="1" ht="12">
      <c r="C1814" s="21"/>
      <c r="D1814" s="21"/>
      <c r="E1814" s="21"/>
      <c r="F1814" s="21"/>
      <c r="G1814" s="21"/>
      <c r="H1814" s="21"/>
      <c r="I1814" s="21"/>
      <c r="J1814" s="21"/>
      <c r="K1814" s="21"/>
      <c r="L1814" s="21"/>
      <c r="M1814" s="21"/>
      <c r="N1814" s="21"/>
      <c r="O1814" s="21"/>
      <c r="P1814" s="21"/>
      <c r="Q1814" s="21"/>
      <c r="R1814" s="21"/>
      <c r="S1814" s="21"/>
      <c r="T1814" s="21"/>
      <c r="U1814" s="21"/>
      <c r="V1814" s="21"/>
      <c r="W1814" s="21"/>
      <c r="X1814" s="21"/>
      <c r="Y1814" s="21"/>
      <c r="Z1814" s="21"/>
      <c r="AA1814" s="21"/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W1814" s="296"/>
      <c r="CY1814" s="296"/>
    </row>
    <row r="1815" spans="3:103" s="19" customFormat="1" ht="12">
      <c r="C1815" s="21"/>
      <c r="D1815" s="21"/>
      <c r="E1815" s="21"/>
      <c r="F1815" s="21"/>
      <c r="G1815" s="21"/>
      <c r="H1815" s="21"/>
      <c r="I1815" s="21"/>
      <c r="J1815" s="21"/>
      <c r="K1815" s="21"/>
      <c r="L1815" s="21"/>
      <c r="M1815" s="21"/>
      <c r="N1815" s="21"/>
      <c r="O1815" s="21"/>
      <c r="P1815" s="21"/>
      <c r="Q1815" s="21"/>
      <c r="R1815" s="21"/>
      <c r="S1815" s="21"/>
      <c r="T1815" s="21"/>
      <c r="U1815" s="21"/>
      <c r="V1815" s="21"/>
      <c r="W1815" s="21"/>
      <c r="X1815" s="21"/>
      <c r="Y1815" s="21"/>
      <c r="Z1815" s="21"/>
      <c r="AA1815" s="21"/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W1815" s="296"/>
      <c r="CY1815" s="296"/>
    </row>
    <row r="1816" spans="3:103" s="19" customFormat="1" ht="12">
      <c r="C1816" s="21"/>
      <c r="D1816" s="21"/>
      <c r="E1816" s="21"/>
      <c r="F1816" s="21"/>
      <c r="G1816" s="21"/>
      <c r="H1816" s="21"/>
      <c r="I1816" s="21"/>
      <c r="J1816" s="21"/>
      <c r="K1816" s="21"/>
      <c r="L1816" s="21"/>
      <c r="M1816" s="21"/>
      <c r="N1816" s="21"/>
      <c r="O1816" s="21"/>
      <c r="P1816" s="21"/>
      <c r="Q1816" s="21"/>
      <c r="R1816" s="21"/>
      <c r="S1816" s="21"/>
      <c r="T1816" s="21"/>
      <c r="U1816" s="21"/>
      <c r="V1816" s="21"/>
      <c r="W1816" s="21"/>
      <c r="X1816" s="21"/>
      <c r="Y1816" s="21"/>
      <c r="Z1816" s="21"/>
      <c r="AA1816" s="21"/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W1816" s="296"/>
      <c r="CY1816" s="296"/>
    </row>
    <row r="1817" spans="3:103" s="19" customFormat="1" ht="12">
      <c r="C1817" s="21"/>
      <c r="D1817" s="21"/>
      <c r="E1817" s="21"/>
      <c r="F1817" s="21"/>
      <c r="G1817" s="21"/>
      <c r="H1817" s="21"/>
      <c r="I1817" s="21"/>
      <c r="J1817" s="21"/>
      <c r="K1817" s="21"/>
      <c r="L1817" s="21"/>
      <c r="M1817" s="21"/>
      <c r="N1817" s="21"/>
      <c r="O1817" s="21"/>
      <c r="P1817" s="21"/>
      <c r="Q1817" s="21"/>
      <c r="R1817" s="21"/>
      <c r="S1817" s="21"/>
      <c r="T1817" s="21"/>
      <c r="U1817" s="21"/>
      <c r="V1817" s="21"/>
      <c r="W1817" s="21"/>
      <c r="X1817" s="21"/>
      <c r="Y1817" s="21"/>
      <c r="Z1817" s="21"/>
      <c r="AA1817" s="21"/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W1817" s="296"/>
      <c r="CY1817" s="296"/>
    </row>
    <row r="1818" spans="3:103" s="19" customFormat="1" ht="12">
      <c r="C1818" s="21"/>
      <c r="D1818" s="21"/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W1818" s="296"/>
      <c r="CY1818" s="296"/>
    </row>
    <row r="1819" spans="3:103" s="19" customFormat="1" ht="12">
      <c r="C1819" s="21"/>
      <c r="D1819" s="21"/>
      <c r="E1819" s="21"/>
      <c r="F1819" s="21"/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W1819" s="296"/>
      <c r="CY1819" s="296"/>
    </row>
    <row r="1820" spans="3:103" s="19" customFormat="1" ht="12">
      <c r="C1820" s="21"/>
      <c r="D1820" s="21"/>
      <c r="E1820" s="21"/>
      <c r="F1820" s="21"/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W1820" s="296"/>
      <c r="CY1820" s="296"/>
    </row>
    <row r="1821" spans="3:103" s="19" customFormat="1" ht="12">
      <c r="C1821" s="21"/>
      <c r="D1821" s="21"/>
      <c r="E1821" s="21"/>
      <c r="F1821" s="21"/>
      <c r="G1821" s="21"/>
      <c r="H1821" s="21"/>
      <c r="I1821" s="21"/>
      <c r="J1821" s="21"/>
      <c r="K1821" s="21"/>
      <c r="L1821" s="21"/>
      <c r="M1821" s="21"/>
      <c r="N1821" s="21"/>
      <c r="O1821" s="21"/>
      <c r="P1821" s="21"/>
      <c r="Q1821" s="21"/>
      <c r="R1821" s="21"/>
      <c r="S1821" s="21"/>
      <c r="T1821" s="21"/>
      <c r="U1821" s="21"/>
      <c r="V1821" s="21"/>
      <c r="W1821" s="21"/>
      <c r="X1821" s="21"/>
      <c r="Y1821" s="21"/>
      <c r="Z1821" s="21"/>
      <c r="AA1821" s="21"/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W1821" s="296"/>
      <c r="CY1821" s="296"/>
    </row>
    <row r="1822" spans="3:103" s="19" customFormat="1" ht="12">
      <c r="C1822" s="21"/>
      <c r="D1822" s="21"/>
      <c r="E1822" s="21"/>
      <c r="F1822" s="21"/>
      <c r="G1822" s="21"/>
      <c r="H1822" s="21"/>
      <c r="I1822" s="21"/>
      <c r="J1822" s="21"/>
      <c r="K1822" s="21"/>
      <c r="L1822" s="21"/>
      <c r="M1822" s="21"/>
      <c r="N1822" s="21"/>
      <c r="O1822" s="21"/>
      <c r="P1822" s="21"/>
      <c r="Q1822" s="21"/>
      <c r="R1822" s="21"/>
      <c r="S1822" s="21"/>
      <c r="T1822" s="21"/>
      <c r="U1822" s="21"/>
      <c r="V1822" s="21"/>
      <c r="W1822" s="21"/>
      <c r="X1822" s="21"/>
      <c r="Y1822" s="21"/>
      <c r="Z1822" s="21"/>
      <c r="AA1822" s="21"/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W1822" s="296"/>
      <c r="CY1822" s="296"/>
    </row>
    <row r="1823" spans="3:103" s="19" customFormat="1" ht="12">
      <c r="C1823" s="21"/>
      <c r="D1823" s="21"/>
      <c r="E1823" s="21"/>
      <c r="F1823" s="21"/>
      <c r="G1823" s="21"/>
      <c r="H1823" s="21"/>
      <c r="I1823" s="21"/>
      <c r="J1823" s="21"/>
      <c r="K1823" s="21"/>
      <c r="L1823" s="21"/>
      <c r="M1823" s="21"/>
      <c r="N1823" s="21"/>
      <c r="O1823" s="21"/>
      <c r="P1823" s="21"/>
      <c r="Q1823" s="21"/>
      <c r="R1823" s="21"/>
      <c r="S1823" s="21"/>
      <c r="T1823" s="21"/>
      <c r="U1823" s="21"/>
      <c r="V1823" s="21"/>
      <c r="W1823" s="21"/>
      <c r="X1823" s="21"/>
      <c r="Y1823" s="21"/>
      <c r="Z1823" s="21"/>
      <c r="AA1823" s="21"/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W1823" s="296"/>
      <c r="CY1823" s="296"/>
    </row>
    <row r="1824" spans="3:103" s="19" customFormat="1" ht="12">
      <c r="C1824" s="21"/>
      <c r="D1824" s="21"/>
      <c r="E1824" s="21"/>
      <c r="F1824" s="21"/>
      <c r="G1824" s="21"/>
      <c r="H1824" s="21"/>
      <c r="I1824" s="21"/>
      <c r="J1824" s="21"/>
      <c r="K1824" s="21"/>
      <c r="L1824" s="21"/>
      <c r="M1824" s="21"/>
      <c r="N1824" s="21"/>
      <c r="O1824" s="21"/>
      <c r="P1824" s="21"/>
      <c r="Q1824" s="21"/>
      <c r="R1824" s="21"/>
      <c r="S1824" s="21"/>
      <c r="T1824" s="21"/>
      <c r="U1824" s="21"/>
      <c r="V1824" s="21"/>
      <c r="W1824" s="21"/>
      <c r="X1824" s="21"/>
      <c r="Y1824" s="21"/>
      <c r="Z1824" s="21"/>
      <c r="AA1824" s="21"/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W1824" s="296"/>
      <c r="CY1824" s="296"/>
    </row>
    <row r="1825" spans="3:103" s="19" customFormat="1" ht="12">
      <c r="C1825" s="21"/>
      <c r="D1825" s="21"/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W1825" s="296"/>
      <c r="CY1825" s="296"/>
    </row>
    <row r="1826" spans="3:103" s="19" customFormat="1" ht="12">
      <c r="C1826" s="21"/>
      <c r="D1826" s="21"/>
      <c r="E1826" s="21"/>
      <c r="F1826" s="21"/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W1826" s="296"/>
      <c r="CY1826" s="296"/>
    </row>
    <row r="1827" spans="3:103" s="19" customFormat="1" ht="12">
      <c r="C1827" s="21"/>
      <c r="D1827" s="21"/>
      <c r="E1827" s="21"/>
      <c r="F1827" s="21"/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W1827" s="296"/>
      <c r="CY1827" s="296"/>
    </row>
    <row r="1828" spans="3:103" s="19" customFormat="1" ht="12">
      <c r="C1828" s="21"/>
      <c r="D1828" s="21"/>
      <c r="E1828" s="21"/>
      <c r="F1828" s="21"/>
      <c r="G1828" s="21"/>
      <c r="H1828" s="21"/>
      <c r="I1828" s="21"/>
      <c r="J1828" s="21"/>
      <c r="K1828" s="21"/>
      <c r="L1828" s="21"/>
      <c r="M1828" s="21"/>
      <c r="N1828" s="21"/>
      <c r="O1828" s="21"/>
      <c r="P1828" s="21"/>
      <c r="Q1828" s="21"/>
      <c r="R1828" s="21"/>
      <c r="S1828" s="21"/>
      <c r="T1828" s="21"/>
      <c r="U1828" s="21"/>
      <c r="V1828" s="21"/>
      <c r="W1828" s="21"/>
      <c r="X1828" s="21"/>
      <c r="Y1828" s="21"/>
      <c r="Z1828" s="21"/>
      <c r="AA1828" s="21"/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W1828" s="296"/>
      <c r="CY1828" s="296"/>
    </row>
    <row r="1829" spans="3:103" s="19" customFormat="1" ht="12">
      <c r="C1829" s="21"/>
      <c r="D1829" s="21"/>
      <c r="E1829" s="21"/>
      <c r="F1829" s="21"/>
      <c r="G1829" s="21"/>
      <c r="H1829" s="21"/>
      <c r="I1829" s="21"/>
      <c r="J1829" s="21"/>
      <c r="K1829" s="21"/>
      <c r="L1829" s="21"/>
      <c r="M1829" s="21"/>
      <c r="N1829" s="21"/>
      <c r="O1829" s="21"/>
      <c r="P1829" s="21"/>
      <c r="Q1829" s="21"/>
      <c r="R1829" s="21"/>
      <c r="S1829" s="21"/>
      <c r="T1829" s="21"/>
      <c r="U1829" s="21"/>
      <c r="V1829" s="21"/>
      <c r="W1829" s="21"/>
      <c r="X1829" s="21"/>
      <c r="Y1829" s="21"/>
      <c r="Z1829" s="21"/>
      <c r="AA1829" s="21"/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W1829" s="296"/>
      <c r="CY1829" s="296"/>
    </row>
    <row r="1830" spans="3:103" s="19" customFormat="1" ht="12">
      <c r="C1830" s="21"/>
      <c r="D1830" s="21"/>
      <c r="E1830" s="21"/>
      <c r="F1830" s="21"/>
      <c r="G1830" s="21"/>
      <c r="H1830" s="21"/>
      <c r="I1830" s="21"/>
      <c r="J1830" s="21"/>
      <c r="K1830" s="21"/>
      <c r="L1830" s="21"/>
      <c r="M1830" s="21"/>
      <c r="N1830" s="21"/>
      <c r="O1830" s="21"/>
      <c r="P1830" s="21"/>
      <c r="Q1830" s="21"/>
      <c r="R1830" s="21"/>
      <c r="S1830" s="21"/>
      <c r="T1830" s="21"/>
      <c r="U1830" s="21"/>
      <c r="V1830" s="21"/>
      <c r="W1830" s="21"/>
      <c r="X1830" s="21"/>
      <c r="Y1830" s="21"/>
      <c r="Z1830" s="21"/>
      <c r="AA1830" s="21"/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W1830" s="296"/>
      <c r="CY1830" s="296"/>
    </row>
    <row r="1831" spans="3:103" s="19" customFormat="1" ht="12">
      <c r="C1831" s="21"/>
      <c r="D1831" s="21"/>
      <c r="E1831" s="21"/>
      <c r="F1831" s="21"/>
      <c r="G1831" s="21"/>
      <c r="H1831" s="21"/>
      <c r="I1831" s="21"/>
      <c r="J1831" s="21"/>
      <c r="K1831" s="21"/>
      <c r="L1831" s="21"/>
      <c r="M1831" s="21"/>
      <c r="N1831" s="21"/>
      <c r="O1831" s="21"/>
      <c r="P1831" s="21"/>
      <c r="Q1831" s="21"/>
      <c r="R1831" s="21"/>
      <c r="S1831" s="21"/>
      <c r="T1831" s="21"/>
      <c r="U1831" s="21"/>
      <c r="V1831" s="21"/>
      <c r="W1831" s="21"/>
      <c r="X1831" s="21"/>
      <c r="Y1831" s="21"/>
      <c r="Z1831" s="21"/>
      <c r="AA1831" s="21"/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W1831" s="296"/>
      <c r="CY1831" s="296"/>
    </row>
    <row r="1832" spans="3:103" s="19" customFormat="1" ht="12">
      <c r="C1832" s="21"/>
      <c r="D1832" s="21"/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W1832" s="296"/>
      <c r="CY1832" s="296"/>
    </row>
    <row r="1833" spans="3:103" s="19" customFormat="1" ht="12">
      <c r="C1833" s="21"/>
      <c r="D1833" s="21"/>
      <c r="E1833" s="21"/>
      <c r="F1833" s="21"/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W1833" s="296"/>
      <c r="CY1833" s="296"/>
    </row>
    <row r="1834" spans="3:103" s="19" customFormat="1" ht="12">
      <c r="C1834" s="21"/>
      <c r="D1834" s="21"/>
      <c r="E1834" s="21"/>
      <c r="F1834" s="21"/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W1834" s="296"/>
      <c r="CY1834" s="296"/>
    </row>
    <row r="1835" spans="3:103" s="19" customFormat="1" ht="12">
      <c r="C1835" s="21"/>
      <c r="D1835" s="21"/>
      <c r="E1835" s="21"/>
      <c r="F1835" s="21"/>
      <c r="G1835" s="21"/>
      <c r="H1835" s="21"/>
      <c r="I1835" s="21"/>
      <c r="J1835" s="21"/>
      <c r="K1835" s="21"/>
      <c r="L1835" s="21"/>
      <c r="M1835" s="21"/>
      <c r="N1835" s="21"/>
      <c r="O1835" s="21"/>
      <c r="P1835" s="21"/>
      <c r="Q1835" s="21"/>
      <c r="R1835" s="21"/>
      <c r="S1835" s="21"/>
      <c r="T1835" s="21"/>
      <c r="U1835" s="21"/>
      <c r="V1835" s="21"/>
      <c r="W1835" s="21"/>
      <c r="X1835" s="21"/>
      <c r="Y1835" s="21"/>
      <c r="Z1835" s="21"/>
      <c r="AA1835" s="21"/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W1835" s="296"/>
      <c r="CY1835" s="296"/>
    </row>
    <row r="1836" spans="3:103" s="19" customFormat="1" ht="12">
      <c r="C1836" s="21"/>
      <c r="D1836" s="21"/>
      <c r="E1836" s="21"/>
      <c r="F1836" s="21"/>
      <c r="G1836" s="21"/>
      <c r="H1836" s="21"/>
      <c r="I1836" s="21"/>
      <c r="J1836" s="21"/>
      <c r="K1836" s="21"/>
      <c r="L1836" s="21"/>
      <c r="M1836" s="21"/>
      <c r="N1836" s="21"/>
      <c r="O1836" s="21"/>
      <c r="P1836" s="21"/>
      <c r="Q1836" s="21"/>
      <c r="R1836" s="21"/>
      <c r="S1836" s="21"/>
      <c r="T1836" s="21"/>
      <c r="U1836" s="21"/>
      <c r="V1836" s="21"/>
      <c r="W1836" s="21"/>
      <c r="X1836" s="21"/>
      <c r="Y1836" s="21"/>
      <c r="Z1836" s="21"/>
      <c r="AA1836" s="21"/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W1836" s="296"/>
      <c r="CY1836" s="296"/>
    </row>
    <row r="1837" spans="3:103" s="19" customFormat="1" ht="12">
      <c r="C1837" s="21"/>
      <c r="D1837" s="21"/>
      <c r="E1837" s="21"/>
      <c r="F1837" s="21"/>
      <c r="G1837" s="21"/>
      <c r="H1837" s="21"/>
      <c r="I1837" s="21"/>
      <c r="J1837" s="21"/>
      <c r="K1837" s="21"/>
      <c r="L1837" s="21"/>
      <c r="M1837" s="21"/>
      <c r="N1837" s="21"/>
      <c r="O1837" s="21"/>
      <c r="P1837" s="21"/>
      <c r="Q1837" s="21"/>
      <c r="R1837" s="21"/>
      <c r="S1837" s="21"/>
      <c r="T1837" s="21"/>
      <c r="U1837" s="21"/>
      <c r="V1837" s="21"/>
      <c r="W1837" s="21"/>
      <c r="X1837" s="21"/>
      <c r="Y1837" s="21"/>
      <c r="Z1837" s="21"/>
      <c r="AA1837" s="21"/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W1837" s="296"/>
      <c r="CY1837" s="296"/>
    </row>
    <row r="1838" spans="3:103" s="19" customFormat="1" ht="12">
      <c r="C1838" s="21"/>
      <c r="D1838" s="21"/>
      <c r="E1838" s="21"/>
      <c r="F1838" s="21"/>
      <c r="G1838" s="21"/>
      <c r="H1838" s="21"/>
      <c r="I1838" s="21"/>
      <c r="J1838" s="21"/>
      <c r="K1838" s="21"/>
      <c r="L1838" s="21"/>
      <c r="M1838" s="21"/>
      <c r="N1838" s="21"/>
      <c r="O1838" s="21"/>
      <c r="P1838" s="21"/>
      <c r="Q1838" s="21"/>
      <c r="R1838" s="21"/>
      <c r="S1838" s="21"/>
      <c r="T1838" s="21"/>
      <c r="U1838" s="21"/>
      <c r="V1838" s="21"/>
      <c r="W1838" s="21"/>
      <c r="X1838" s="21"/>
      <c r="Y1838" s="21"/>
      <c r="Z1838" s="21"/>
      <c r="AA1838" s="21"/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W1838" s="296"/>
      <c r="CY1838" s="296"/>
    </row>
    <row r="1839" spans="3:103" s="19" customFormat="1" ht="12">
      <c r="C1839" s="21"/>
      <c r="D1839" s="21"/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W1839" s="296"/>
      <c r="CY1839" s="296"/>
    </row>
    <row r="1840" spans="3:103" s="19" customFormat="1" ht="12">
      <c r="C1840" s="21"/>
      <c r="D1840" s="21"/>
      <c r="E1840" s="21"/>
      <c r="F1840" s="21"/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W1840" s="296"/>
      <c r="CY1840" s="296"/>
    </row>
    <row r="1841" spans="3:103" s="19" customFormat="1" ht="12">
      <c r="C1841" s="21"/>
      <c r="D1841" s="21"/>
      <c r="E1841" s="21"/>
      <c r="F1841" s="21"/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W1841" s="296"/>
      <c r="CY1841" s="296"/>
    </row>
    <row r="1842" spans="3:103" s="19" customFormat="1" ht="12">
      <c r="C1842" s="21"/>
      <c r="D1842" s="21"/>
      <c r="E1842" s="21"/>
      <c r="F1842" s="21"/>
      <c r="G1842" s="21"/>
      <c r="H1842" s="21"/>
      <c r="I1842" s="21"/>
      <c r="J1842" s="21"/>
      <c r="K1842" s="21"/>
      <c r="L1842" s="21"/>
      <c r="M1842" s="21"/>
      <c r="N1842" s="21"/>
      <c r="O1842" s="21"/>
      <c r="P1842" s="21"/>
      <c r="Q1842" s="21"/>
      <c r="R1842" s="21"/>
      <c r="S1842" s="21"/>
      <c r="T1842" s="21"/>
      <c r="U1842" s="21"/>
      <c r="V1842" s="21"/>
      <c r="W1842" s="21"/>
      <c r="X1842" s="21"/>
      <c r="Y1842" s="21"/>
      <c r="Z1842" s="21"/>
      <c r="AA1842" s="21"/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W1842" s="296"/>
      <c r="CY1842" s="296"/>
    </row>
    <row r="1843" spans="3:103" s="19" customFormat="1" ht="12">
      <c r="C1843" s="21"/>
      <c r="D1843" s="21"/>
      <c r="E1843" s="21"/>
      <c r="F1843" s="21"/>
      <c r="G1843" s="21"/>
      <c r="H1843" s="21"/>
      <c r="I1843" s="21"/>
      <c r="J1843" s="21"/>
      <c r="K1843" s="21"/>
      <c r="L1843" s="21"/>
      <c r="M1843" s="21"/>
      <c r="N1843" s="21"/>
      <c r="O1843" s="21"/>
      <c r="P1843" s="21"/>
      <c r="Q1843" s="21"/>
      <c r="R1843" s="21"/>
      <c r="S1843" s="21"/>
      <c r="T1843" s="21"/>
      <c r="U1843" s="21"/>
      <c r="V1843" s="21"/>
      <c r="W1843" s="21"/>
      <c r="X1843" s="21"/>
      <c r="Y1843" s="21"/>
      <c r="Z1843" s="21"/>
      <c r="AA1843" s="21"/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W1843" s="296"/>
      <c r="CY1843" s="296"/>
    </row>
    <row r="1844" spans="3:103" s="19" customFormat="1" ht="12">
      <c r="C1844" s="21"/>
      <c r="D1844" s="21"/>
      <c r="E1844" s="21"/>
      <c r="F1844" s="21"/>
      <c r="G1844" s="21"/>
      <c r="H1844" s="21"/>
      <c r="I1844" s="21"/>
      <c r="J1844" s="21"/>
      <c r="K1844" s="21"/>
      <c r="L1844" s="21"/>
      <c r="M1844" s="21"/>
      <c r="N1844" s="21"/>
      <c r="O1844" s="21"/>
      <c r="P1844" s="21"/>
      <c r="Q1844" s="21"/>
      <c r="R1844" s="21"/>
      <c r="S1844" s="21"/>
      <c r="T1844" s="21"/>
      <c r="U1844" s="21"/>
      <c r="V1844" s="21"/>
      <c r="W1844" s="21"/>
      <c r="X1844" s="21"/>
      <c r="Y1844" s="21"/>
      <c r="Z1844" s="21"/>
      <c r="AA1844" s="21"/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W1844" s="296"/>
      <c r="CY1844" s="296"/>
    </row>
    <row r="1845" spans="3:103" s="19" customFormat="1" ht="12">
      <c r="C1845" s="21"/>
      <c r="D1845" s="21"/>
      <c r="E1845" s="21"/>
      <c r="F1845" s="21"/>
      <c r="G1845" s="21"/>
      <c r="H1845" s="21"/>
      <c r="I1845" s="21"/>
      <c r="J1845" s="21"/>
      <c r="K1845" s="21"/>
      <c r="L1845" s="21"/>
      <c r="M1845" s="21"/>
      <c r="N1845" s="21"/>
      <c r="O1845" s="21"/>
      <c r="P1845" s="21"/>
      <c r="Q1845" s="21"/>
      <c r="R1845" s="21"/>
      <c r="S1845" s="21"/>
      <c r="T1845" s="21"/>
      <c r="U1845" s="21"/>
      <c r="V1845" s="21"/>
      <c r="W1845" s="21"/>
      <c r="X1845" s="21"/>
      <c r="Y1845" s="21"/>
      <c r="Z1845" s="21"/>
      <c r="AA1845" s="21"/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W1845" s="296"/>
      <c r="CY1845" s="296"/>
    </row>
    <row r="1846" spans="3:103" s="19" customFormat="1" ht="12">
      <c r="C1846" s="21"/>
      <c r="D1846" s="21"/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W1846" s="296"/>
      <c r="CY1846" s="296"/>
    </row>
    <row r="1847" spans="3:103" s="19" customFormat="1" ht="12">
      <c r="C1847" s="21"/>
      <c r="D1847" s="21"/>
      <c r="E1847" s="21"/>
      <c r="F1847" s="21"/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W1847" s="296"/>
      <c r="CY1847" s="296"/>
    </row>
    <row r="1848" spans="3:103" s="19" customFormat="1" ht="12">
      <c r="C1848" s="21"/>
      <c r="D1848" s="21"/>
      <c r="E1848" s="21"/>
      <c r="F1848" s="21"/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W1848" s="296"/>
      <c r="CY1848" s="296"/>
    </row>
    <row r="1849" spans="3:103" s="19" customFormat="1" ht="12">
      <c r="C1849" s="21"/>
      <c r="D1849" s="21"/>
      <c r="E1849" s="21"/>
      <c r="F1849" s="21"/>
      <c r="G1849" s="21"/>
      <c r="H1849" s="21"/>
      <c r="I1849" s="21"/>
      <c r="J1849" s="21"/>
      <c r="K1849" s="21"/>
      <c r="L1849" s="21"/>
      <c r="M1849" s="21"/>
      <c r="N1849" s="21"/>
      <c r="O1849" s="21"/>
      <c r="P1849" s="21"/>
      <c r="Q1849" s="21"/>
      <c r="R1849" s="21"/>
      <c r="S1849" s="21"/>
      <c r="T1849" s="21"/>
      <c r="U1849" s="21"/>
      <c r="V1849" s="21"/>
      <c r="W1849" s="21"/>
      <c r="X1849" s="21"/>
      <c r="Y1849" s="21"/>
      <c r="Z1849" s="21"/>
      <c r="AA1849" s="21"/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W1849" s="296"/>
      <c r="CY1849" s="296"/>
    </row>
    <row r="1850" spans="3:103" s="19" customFormat="1" ht="12">
      <c r="C1850" s="21"/>
      <c r="D1850" s="21"/>
      <c r="E1850" s="21"/>
      <c r="F1850" s="21"/>
      <c r="G1850" s="21"/>
      <c r="H1850" s="21"/>
      <c r="I1850" s="21"/>
      <c r="J1850" s="21"/>
      <c r="K1850" s="21"/>
      <c r="L1850" s="21"/>
      <c r="M1850" s="21"/>
      <c r="N1850" s="21"/>
      <c r="O1850" s="21"/>
      <c r="P1850" s="21"/>
      <c r="Q1850" s="21"/>
      <c r="R1850" s="21"/>
      <c r="S1850" s="21"/>
      <c r="T1850" s="21"/>
      <c r="U1850" s="21"/>
      <c r="V1850" s="21"/>
      <c r="W1850" s="21"/>
      <c r="X1850" s="21"/>
      <c r="Y1850" s="21"/>
      <c r="Z1850" s="21"/>
      <c r="AA1850" s="21"/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W1850" s="296"/>
      <c r="CY1850" s="296"/>
    </row>
    <row r="1851" spans="3:103" s="19" customFormat="1" ht="12">
      <c r="C1851" s="21"/>
      <c r="D1851" s="21"/>
      <c r="E1851" s="21"/>
      <c r="F1851" s="21"/>
      <c r="G1851" s="21"/>
      <c r="H1851" s="21"/>
      <c r="I1851" s="21"/>
      <c r="J1851" s="21"/>
      <c r="K1851" s="21"/>
      <c r="L1851" s="21"/>
      <c r="M1851" s="21"/>
      <c r="N1851" s="21"/>
      <c r="O1851" s="21"/>
      <c r="P1851" s="21"/>
      <c r="Q1851" s="21"/>
      <c r="R1851" s="21"/>
      <c r="S1851" s="21"/>
      <c r="T1851" s="21"/>
      <c r="U1851" s="21"/>
      <c r="V1851" s="21"/>
      <c r="W1851" s="21"/>
      <c r="X1851" s="21"/>
      <c r="Y1851" s="21"/>
      <c r="Z1851" s="21"/>
      <c r="AA1851" s="21"/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W1851" s="296"/>
      <c r="CY1851" s="296"/>
    </row>
    <row r="1852" spans="3:103" s="19" customFormat="1" ht="12">
      <c r="C1852" s="21"/>
      <c r="D1852" s="21"/>
      <c r="E1852" s="21"/>
      <c r="F1852" s="21"/>
      <c r="G1852" s="21"/>
      <c r="H1852" s="21"/>
      <c r="I1852" s="21"/>
      <c r="J1852" s="21"/>
      <c r="K1852" s="21"/>
      <c r="L1852" s="21"/>
      <c r="M1852" s="21"/>
      <c r="N1852" s="21"/>
      <c r="O1852" s="21"/>
      <c r="P1852" s="21"/>
      <c r="Q1852" s="21"/>
      <c r="R1852" s="21"/>
      <c r="S1852" s="21"/>
      <c r="T1852" s="21"/>
      <c r="U1852" s="21"/>
      <c r="V1852" s="21"/>
      <c r="W1852" s="21"/>
      <c r="X1852" s="21"/>
      <c r="Y1852" s="21"/>
      <c r="Z1852" s="21"/>
      <c r="AA1852" s="21"/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W1852" s="296"/>
      <c r="CY1852" s="296"/>
    </row>
    <row r="1853" spans="3:103" s="19" customFormat="1" ht="12">
      <c r="C1853" s="21"/>
      <c r="D1853" s="21"/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W1853" s="296"/>
      <c r="CY1853" s="296"/>
    </row>
    <row r="1854" spans="3:103" s="19" customFormat="1" ht="12">
      <c r="C1854" s="21"/>
      <c r="D1854" s="21"/>
      <c r="E1854" s="21"/>
      <c r="F1854" s="21"/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W1854" s="296"/>
      <c r="CY1854" s="296"/>
    </row>
    <row r="1855" spans="3:103" s="19" customFormat="1" ht="12">
      <c r="C1855" s="21"/>
      <c r="D1855" s="21"/>
      <c r="E1855" s="21"/>
      <c r="F1855" s="21"/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W1855" s="296"/>
      <c r="CY1855" s="296"/>
    </row>
    <row r="1856" spans="3:103" s="19" customFormat="1" ht="12">
      <c r="C1856" s="21"/>
      <c r="D1856" s="21"/>
      <c r="E1856" s="21"/>
      <c r="F1856" s="21"/>
      <c r="G1856" s="21"/>
      <c r="H1856" s="21"/>
      <c r="I1856" s="21"/>
      <c r="J1856" s="21"/>
      <c r="K1856" s="21"/>
      <c r="L1856" s="21"/>
      <c r="M1856" s="21"/>
      <c r="N1856" s="21"/>
      <c r="O1856" s="21"/>
      <c r="P1856" s="21"/>
      <c r="Q1856" s="21"/>
      <c r="R1856" s="21"/>
      <c r="S1856" s="21"/>
      <c r="T1856" s="21"/>
      <c r="U1856" s="21"/>
      <c r="V1856" s="21"/>
      <c r="W1856" s="21"/>
      <c r="X1856" s="21"/>
      <c r="Y1856" s="21"/>
      <c r="Z1856" s="21"/>
      <c r="AA1856" s="21"/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W1856" s="296"/>
      <c r="CY1856" s="296"/>
    </row>
    <row r="1857" spans="3:103" s="19" customFormat="1" ht="12">
      <c r="C1857" s="21"/>
      <c r="D1857" s="21"/>
      <c r="E1857" s="21"/>
      <c r="F1857" s="21"/>
      <c r="G1857" s="21"/>
      <c r="H1857" s="21"/>
      <c r="I1857" s="21"/>
      <c r="J1857" s="21"/>
      <c r="K1857" s="21"/>
      <c r="L1857" s="21"/>
      <c r="M1857" s="21"/>
      <c r="N1857" s="21"/>
      <c r="O1857" s="21"/>
      <c r="P1857" s="21"/>
      <c r="Q1857" s="21"/>
      <c r="R1857" s="21"/>
      <c r="S1857" s="21"/>
      <c r="T1857" s="21"/>
      <c r="U1857" s="21"/>
      <c r="V1857" s="21"/>
      <c r="W1857" s="21"/>
      <c r="X1857" s="21"/>
      <c r="Y1857" s="21"/>
      <c r="Z1857" s="21"/>
      <c r="AA1857" s="21"/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W1857" s="296"/>
      <c r="CY1857" s="296"/>
    </row>
    <row r="1858" spans="3:103" s="19" customFormat="1" ht="12">
      <c r="C1858" s="21"/>
      <c r="D1858" s="21"/>
      <c r="E1858" s="21"/>
      <c r="F1858" s="21"/>
      <c r="G1858" s="21"/>
      <c r="H1858" s="21"/>
      <c r="I1858" s="21"/>
      <c r="J1858" s="21"/>
      <c r="K1858" s="21"/>
      <c r="L1858" s="21"/>
      <c r="M1858" s="21"/>
      <c r="N1858" s="21"/>
      <c r="O1858" s="21"/>
      <c r="P1858" s="21"/>
      <c r="Q1858" s="21"/>
      <c r="R1858" s="21"/>
      <c r="S1858" s="21"/>
      <c r="T1858" s="21"/>
      <c r="U1858" s="21"/>
      <c r="V1858" s="21"/>
      <c r="W1858" s="21"/>
      <c r="X1858" s="21"/>
      <c r="Y1858" s="21"/>
      <c r="Z1858" s="21"/>
      <c r="AA1858" s="21"/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W1858" s="296"/>
      <c r="CY1858" s="296"/>
    </row>
    <row r="1859" spans="3:103" s="19" customFormat="1" ht="12">
      <c r="C1859" s="21"/>
      <c r="D1859" s="21"/>
      <c r="E1859" s="21"/>
      <c r="F1859" s="21"/>
      <c r="G1859" s="21"/>
      <c r="H1859" s="21"/>
      <c r="I1859" s="21"/>
      <c r="J1859" s="21"/>
      <c r="K1859" s="21"/>
      <c r="L1859" s="21"/>
      <c r="M1859" s="21"/>
      <c r="N1859" s="21"/>
      <c r="O1859" s="21"/>
      <c r="P1859" s="21"/>
      <c r="Q1859" s="21"/>
      <c r="R1859" s="21"/>
      <c r="S1859" s="21"/>
      <c r="T1859" s="21"/>
      <c r="U1859" s="21"/>
      <c r="V1859" s="21"/>
      <c r="W1859" s="21"/>
      <c r="X1859" s="21"/>
      <c r="Y1859" s="21"/>
      <c r="Z1859" s="21"/>
      <c r="AA1859" s="21"/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W1859" s="296"/>
      <c r="CY1859" s="296"/>
    </row>
    <row r="1860" spans="3:103" s="19" customFormat="1" ht="12">
      <c r="C1860" s="21"/>
      <c r="D1860" s="21"/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W1860" s="296"/>
      <c r="CY1860" s="296"/>
    </row>
    <row r="1861" spans="3:103" s="19" customFormat="1" ht="12">
      <c r="C1861" s="21"/>
      <c r="D1861" s="21"/>
      <c r="E1861" s="21"/>
      <c r="F1861" s="21"/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W1861" s="296"/>
      <c r="CY1861" s="296"/>
    </row>
    <row r="1862" spans="3:103" s="19" customFormat="1" ht="12">
      <c r="C1862" s="21"/>
      <c r="D1862" s="21"/>
      <c r="E1862" s="21"/>
      <c r="F1862" s="21"/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W1862" s="296"/>
      <c r="CY1862" s="296"/>
    </row>
    <row r="1863" spans="3:103" s="19" customFormat="1" ht="12">
      <c r="C1863" s="21"/>
      <c r="D1863" s="21"/>
      <c r="E1863" s="21"/>
      <c r="F1863" s="21"/>
      <c r="G1863" s="21"/>
      <c r="H1863" s="21"/>
      <c r="I1863" s="21"/>
      <c r="J1863" s="21"/>
      <c r="K1863" s="21"/>
      <c r="L1863" s="21"/>
      <c r="M1863" s="21"/>
      <c r="N1863" s="21"/>
      <c r="O1863" s="21"/>
      <c r="P1863" s="21"/>
      <c r="Q1863" s="21"/>
      <c r="R1863" s="21"/>
      <c r="S1863" s="21"/>
      <c r="T1863" s="21"/>
      <c r="U1863" s="21"/>
      <c r="V1863" s="21"/>
      <c r="W1863" s="21"/>
      <c r="X1863" s="21"/>
      <c r="Y1863" s="21"/>
      <c r="Z1863" s="21"/>
      <c r="AA1863" s="21"/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W1863" s="296"/>
      <c r="CY1863" s="296"/>
    </row>
    <row r="1864" spans="3:103" s="19" customFormat="1" ht="12">
      <c r="C1864" s="21"/>
      <c r="D1864" s="21"/>
      <c r="E1864" s="21"/>
      <c r="F1864" s="21"/>
      <c r="G1864" s="21"/>
      <c r="H1864" s="21"/>
      <c r="I1864" s="21"/>
      <c r="J1864" s="21"/>
      <c r="K1864" s="21"/>
      <c r="L1864" s="21"/>
      <c r="M1864" s="21"/>
      <c r="N1864" s="21"/>
      <c r="O1864" s="21"/>
      <c r="P1864" s="21"/>
      <c r="Q1864" s="21"/>
      <c r="R1864" s="21"/>
      <c r="S1864" s="21"/>
      <c r="T1864" s="21"/>
      <c r="U1864" s="21"/>
      <c r="V1864" s="21"/>
      <c r="W1864" s="21"/>
      <c r="X1864" s="21"/>
      <c r="Y1864" s="21"/>
      <c r="Z1864" s="21"/>
      <c r="AA1864" s="21"/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W1864" s="296"/>
      <c r="CY1864" s="296"/>
    </row>
    <row r="1865" spans="3:103" s="19" customFormat="1" ht="12">
      <c r="C1865" s="21"/>
      <c r="D1865" s="21"/>
      <c r="E1865" s="21"/>
      <c r="F1865" s="21"/>
      <c r="G1865" s="21"/>
      <c r="H1865" s="21"/>
      <c r="I1865" s="21"/>
      <c r="J1865" s="21"/>
      <c r="K1865" s="21"/>
      <c r="L1865" s="21"/>
      <c r="M1865" s="21"/>
      <c r="N1865" s="21"/>
      <c r="O1865" s="21"/>
      <c r="P1865" s="21"/>
      <c r="Q1865" s="21"/>
      <c r="R1865" s="21"/>
      <c r="S1865" s="21"/>
      <c r="T1865" s="21"/>
      <c r="U1865" s="21"/>
      <c r="V1865" s="21"/>
      <c r="W1865" s="21"/>
      <c r="X1865" s="21"/>
      <c r="Y1865" s="21"/>
      <c r="Z1865" s="21"/>
      <c r="AA1865" s="21"/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W1865" s="296"/>
      <c r="CY1865" s="296"/>
    </row>
    <row r="1866" spans="3:103" s="19" customFormat="1" ht="12">
      <c r="C1866" s="21"/>
      <c r="D1866" s="21"/>
      <c r="E1866" s="21"/>
      <c r="F1866" s="21"/>
      <c r="G1866" s="21"/>
      <c r="H1866" s="21"/>
      <c r="I1866" s="21"/>
      <c r="J1866" s="21"/>
      <c r="K1866" s="21"/>
      <c r="L1866" s="21"/>
      <c r="M1866" s="21"/>
      <c r="N1866" s="21"/>
      <c r="O1866" s="21"/>
      <c r="P1866" s="21"/>
      <c r="Q1866" s="21"/>
      <c r="R1866" s="21"/>
      <c r="S1866" s="21"/>
      <c r="T1866" s="21"/>
      <c r="U1866" s="21"/>
      <c r="V1866" s="21"/>
      <c r="W1866" s="21"/>
      <c r="X1866" s="21"/>
      <c r="Y1866" s="21"/>
      <c r="Z1866" s="21"/>
      <c r="AA1866" s="21"/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W1866" s="296"/>
      <c r="CY1866" s="296"/>
    </row>
    <row r="1867" spans="3:103" s="19" customFormat="1" ht="12">
      <c r="C1867" s="21"/>
      <c r="D1867" s="21"/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W1867" s="296"/>
      <c r="CY1867" s="296"/>
    </row>
    <row r="1868" spans="3:103" s="19" customFormat="1" ht="12">
      <c r="C1868" s="21"/>
      <c r="D1868" s="21"/>
      <c r="E1868" s="21"/>
      <c r="F1868" s="21"/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W1868" s="296"/>
      <c r="CY1868" s="296"/>
    </row>
    <row r="1869" spans="3:103" s="19" customFormat="1" ht="12">
      <c r="C1869" s="21"/>
      <c r="D1869" s="21"/>
      <c r="E1869" s="21"/>
      <c r="F1869" s="21"/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W1869" s="296"/>
      <c r="CY1869" s="296"/>
    </row>
    <row r="1870" spans="3:103" s="19" customFormat="1" ht="12">
      <c r="C1870" s="21"/>
      <c r="D1870" s="21"/>
      <c r="E1870" s="21"/>
      <c r="F1870" s="21"/>
      <c r="G1870" s="21"/>
      <c r="H1870" s="21"/>
      <c r="I1870" s="21"/>
      <c r="J1870" s="21"/>
      <c r="K1870" s="21"/>
      <c r="L1870" s="21"/>
      <c r="M1870" s="21"/>
      <c r="N1870" s="21"/>
      <c r="O1870" s="21"/>
      <c r="P1870" s="21"/>
      <c r="Q1870" s="21"/>
      <c r="R1870" s="21"/>
      <c r="S1870" s="21"/>
      <c r="T1870" s="21"/>
      <c r="U1870" s="21"/>
      <c r="V1870" s="21"/>
      <c r="W1870" s="21"/>
      <c r="X1870" s="21"/>
      <c r="Y1870" s="21"/>
      <c r="Z1870" s="21"/>
      <c r="AA1870" s="21"/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W1870" s="296"/>
      <c r="CY1870" s="296"/>
    </row>
    <row r="1871" spans="3:103" s="19" customFormat="1" ht="12">
      <c r="C1871" s="21"/>
      <c r="D1871" s="21"/>
      <c r="E1871" s="21"/>
      <c r="F1871" s="21"/>
      <c r="G1871" s="21"/>
      <c r="H1871" s="21"/>
      <c r="I1871" s="21"/>
      <c r="J1871" s="21"/>
      <c r="K1871" s="21"/>
      <c r="L1871" s="21"/>
      <c r="M1871" s="21"/>
      <c r="N1871" s="21"/>
      <c r="O1871" s="21"/>
      <c r="P1871" s="21"/>
      <c r="Q1871" s="21"/>
      <c r="R1871" s="21"/>
      <c r="S1871" s="21"/>
      <c r="T1871" s="21"/>
      <c r="U1871" s="21"/>
      <c r="V1871" s="21"/>
      <c r="W1871" s="21"/>
      <c r="X1871" s="21"/>
      <c r="Y1871" s="21"/>
      <c r="Z1871" s="21"/>
      <c r="AA1871" s="21"/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W1871" s="296"/>
      <c r="CY1871" s="296"/>
    </row>
    <row r="1872" spans="3:103" s="19" customFormat="1" ht="12">
      <c r="C1872" s="21"/>
      <c r="D1872" s="21"/>
      <c r="E1872" s="21"/>
      <c r="F1872" s="21"/>
      <c r="G1872" s="21"/>
      <c r="H1872" s="21"/>
      <c r="I1872" s="21"/>
      <c r="J1872" s="21"/>
      <c r="K1872" s="21"/>
      <c r="L1872" s="21"/>
      <c r="M1872" s="21"/>
      <c r="N1872" s="21"/>
      <c r="O1872" s="21"/>
      <c r="P1872" s="21"/>
      <c r="Q1872" s="21"/>
      <c r="R1872" s="21"/>
      <c r="S1872" s="21"/>
      <c r="T1872" s="21"/>
      <c r="U1872" s="21"/>
      <c r="V1872" s="21"/>
      <c r="W1872" s="21"/>
      <c r="X1872" s="21"/>
      <c r="Y1872" s="21"/>
      <c r="Z1872" s="21"/>
      <c r="AA1872" s="21"/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W1872" s="296"/>
      <c r="CY1872" s="296"/>
    </row>
    <row r="1873" spans="3:103" s="19" customFormat="1" ht="12">
      <c r="C1873" s="21"/>
      <c r="D1873" s="21"/>
      <c r="E1873" s="21"/>
      <c r="F1873" s="21"/>
      <c r="G1873" s="21"/>
      <c r="H1873" s="21"/>
      <c r="I1873" s="21"/>
      <c r="J1873" s="21"/>
      <c r="K1873" s="21"/>
      <c r="L1873" s="21"/>
      <c r="M1873" s="21"/>
      <c r="N1873" s="21"/>
      <c r="O1873" s="21"/>
      <c r="P1873" s="21"/>
      <c r="Q1873" s="21"/>
      <c r="R1873" s="21"/>
      <c r="S1873" s="21"/>
      <c r="T1873" s="21"/>
      <c r="U1873" s="21"/>
      <c r="V1873" s="21"/>
      <c r="W1873" s="21"/>
      <c r="X1873" s="21"/>
      <c r="Y1873" s="21"/>
      <c r="Z1873" s="21"/>
      <c r="AA1873" s="21"/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W1873" s="296"/>
      <c r="CY1873" s="296"/>
    </row>
    <row r="1874" spans="3:103" s="19" customFormat="1" ht="12">
      <c r="C1874" s="21"/>
      <c r="D1874" s="21"/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W1874" s="296"/>
      <c r="CY1874" s="296"/>
    </row>
    <row r="1875" spans="3:103" s="19" customFormat="1" ht="12">
      <c r="C1875" s="21"/>
      <c r="D1875" s="21"/>
      <c r="E1875" s="21"/>
      <c r="F1875" s="21"/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W1875" s="296"/>
      <c r="CY1875" s="296"/>
    </row>
    <row r="1876" spans="3:103" s="19" customFormat="1" ht="12">
      <c r="C1876" s="21"/>
      <c r="D1876" s="21"/>
      <c r="E1876" s="21"/>
      <c r="F1876" s="21"/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W1876" s="296"/>
      <c r="CY1876" s="296"/>
    </row>
    <row r="1877" spans="3:103" s="19" customFormat="1" ht="12">
      <c r="C1877" s="21"/>
      <c r="D1877" s="21"/>
      <c r="E1877" s="21"/>
      <c r="F1877" s="21"/>
      <c r="G1877" s="21"/>
      <c r="H1877" s="21"/>
      <c r="I1877" s="21"/>
      <c r="J1877" s="21"/>
      <c r="K1877" s="21"/>
      <c r="L1877" s="21"/>
      <c r="M1877" s="21"/>
      <c r="N1877" s="21"/>
      <c r="O1877" s="21"/>
      <c r="P1877" s="21"/>
      <c r="Q1877" s="21"/>
      <c r="R1877" s="21"/>
      <c r="S1877" s="21"/>
      <c r="T1877" s="21"/>
      <c r="U1877" s="21"/>
      <c r="V1877" s="21"/>
      <c r="W1877" s="21"/>
      <c r="X1877" s="21"/>
      <c r="Y1877" s="21"/>
      <c r="Z1877" s="21"/>
      <c r="AA1877" s="21"/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W1877" s="296"/>
      <c r="CY1877" s="296"/>
    </row>
    <row r="1878" spans="3:103" s="19" customFormat="1" ht="12">
      <c r="C1878" s="21"/>
      <c r="D1878" s="21"/>
      <c r="E1878" s="21"/>
      <c r="F1878" s="21"/>
      <c r="G1878" s="21"/>
      <c r="H1878" s="21"/>
      <c r="I1878" s="21"/>
      <c r="J1878" s="21"/>
      <c r="K1878" s="21"/>
      <c r="L1878" s="21"/>
      <c r="M1878" s="21"/>
      <c r="N1878" s="21"/>
      <c r="O1878" s="21"/>
      <c r="P1878" s="21"/>
      <c r="Q1878" s="21"/>
      <c r="R1878" s="21"/>
      <c r="S1878" s="21"/>
      <c r="T1878" s="21"/>
      <c r="U1878" s="21"/>
      <c r="V1878" s="21"/>
      <c r="W1878" s="21"/>
      <c r="X1878" s="21"/>
      <c r="Y1878" s="21"/>
      <c r="Z1878" s="21"/>
      <c r="AA1878" s="21"/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W1878" s="296"/>
      <c r="CY1878" s="296"/>
    </row>
    <row r="1879" spans="3:103" s="19" customFormat="1" ht="12">
      <c r="C1879" s="21"/>
      <c r="D1879" s="21"/>
      <c r="E1879" s="21"/>
      <c r="F1879" s="21"/>
      <c r="G1879" s="21"/>
      <c r="H1879" s="21"/>
      <c r="I1879" s="21"/>
      <c r="J1879" s="21"/>
      <c r="K1879" s="21"/>
      <c r="L1879" s="21"/>
      <c r="M1879" s="21"/>
      <c r="N1879" s="21"/>
      <c r="O1879" s="21"/>
      <c r="P1879" s="21"/>
      <c r="Q1879" s="21"/>
      <c r="R1879" s="21"/>
      <c r="S1879" s="21"/>
      <c r="T1879" s="21"/>
      <c r="U1879" s="21"/>
      <c r="V1879" s="21"/>
      <c r="W1879" s="21"/>
      <c r="X1879" s="21"/>
      <c r="Y1879" s="21"/>
      <c r="Z1879" s="21"/>
      <c r="AA1879" s="21"/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W1879" s="296"/>
      <c r="CY1879" s="296"/>
    </row>
    <row r="1880" spans="3:103" s="19" customFormat="1" ht="12">
      <c r="C1880" s="21"/>
      <c r="D1880" s="21"/>
      <c r="E1880" s="21"/>
      <c r="F1880" s="21"/>
      <c r="G1880" s="21"/>
      <c r="H1880" s="21"/>
      <c r="I1880" s="21"/>
      <c r="J1880" s="21"/>
      <c r="K1880" s="21"/>
      <c r="L1880" s="21"/>
      <c r="M1880" s="21"/>
      <c r="N1880" s="21"/>
      <c r="O1880" s="21"/>
      <c r="P1880" s="21"/>
      <c r="Q1880" s="21"/>
      <c r="R1880" s="21"/>
      <c r="S1880" s="21"/>
      <c r="T1880" s="21"/>
      <c r="U1880" s="21"/>
      <c r="V1880" s="21"/>
      <c r="W1880" s="21"/>
      <c r="X1880" s="21"/>
      <c r="Y1880" s="21"/>
      <c r="Z1880" s="21"/>
      <c r="AA1880" s="21"/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W1880" s="296"/>
      <c r="CY1880" s="296"/>
    </row>
    <row r="1881" spans="3:103" s="19" customFormat="1" ht="12">
      <c r="C1881" s="21"/>
      <c r="D1881" s="21"/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W1881" s="296"/>
      <c r="CY1881" s="296"/>
    </row>
    <row r="1882" spans="3:103" s="19" customFormat="1" ht="12">
      <c r="C1882" s="21"/>
      <c r="D1882" s="21"/>
      <c r="E1882" s="21"/>
      <c r="F1882" s="21"/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W1882" s="296"/>
      <c r="CY1882" s="296"/>
    </row>
    <row r="1883" spans="3:103" s="19" customFormat="1" ht="12">
      <c r="C1883" s="21"/>
      <c r="D1883" s="21"/>
      <c r="E1883" s="21"/>
      <c r="F1883" s="21"/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W1883" s="296"/>
      <c r="CY1883" s="296"/>
    </row>
    <row r="1884" spans="3:103" s="19" customFormat="1" ht="12">
      <c r="C1884" s="21"/>
      <c r="D1884" s="21"/>
      <c r="E1884" s="21"/>
      <c r="F1884" s="21"/>
      <c r="G1884" s="21"/>
      <c r="H1884" s="21"/>
      <c r="I1884" s="21"/>
      <c r="J1884" s="21"/>
      <c r="K1884" s="21"/>
      <c r="L1884" s="21"/>
      <c r="M1884" s="21"/>
      <c r="N1884" s="21"/>
      <c r="O1884" s="21"/>
      <c r="P1884" s="21"/>
      <c r="Q1884" s="21"/>
      <c r="R1884" s="21"/>
      <c r="S1884" s="21"/>
      <c r="T1884" s="21"/>
      <c r="U1884" s="21"/>
      <c r="V1884" s="21"/>
      <c r="W1884" s="21"/>
      <c r="X1884" s="21"/>
      <c r="Y1884" s="21"/>
      <c r="Z1884" s="21"/>
      <c r="AA1884" s="21"/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W1884" s="296"/>
      <c r="CY1884" s="296"/>
    </row>
    <row r="1885" spans="3:103" s="19" customFormat="1" ht="12">
      <c r="C1885" s="21"/>
      <c r="D1885" s="21"/>
      <c r="E1885" s="21"/>
      <c r="F1885" s="21"/>
      <c r="G1885" s="21"/>
      <c r="H1885" s="21"/>
      <c r="I1885" s="21"/>
      <c r="J1885" s="21"/>
      <c r="K1885" s="21"/>
      <c r="L1885" s="21"/>
      <c r="M1885" s="21"/>
      <c r="N1885" s="21"/>
      <c r="O1885" s="21"/>
      <c r="P1885" s="21"/>
      <c r="Q1885" s="21"/>
      <c r="R1885" s="21"/>
      <c r="S1885" s="21"/>
      <c r="T1885" s="21"/>
      <c r="U1885" s="21"/>
      <c r="V1885" s="21"/>
      <c r="W1885" s="21"/>
      <c r="X1885" s="21"/>
      <c r="Y1885" s="21"/>
      <c r="Z1885" s="21"/>
      <c r="AA1885" s="21"/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W1885" s="296"/>
      <c r="CY1885" s="296"/>
    </row>
    <row r="1886" spans="3:103" s="19" customFormat="1" ht="12">
      <c r="C1886" s="21"/>
      <c r="D1886" s="21"/>
      <c r="E1886" s="21"/>
      <c r="F1886" s="21"/>
      <c r="G1886" s="21"/>
      <c r="H1886" s="21"/>
      <c r="I1886" s="21"/>
      <c r="J1886" s="21"/>
      <c r="K1886" s="21"/>
      <c r="L1886" s="21"/>
      <c r="M1886" s="21"/>
      <c r="N1886" s="21"/>
      <c r="O1886" s="21"/>
      <c r="P1886" s="21"/>
      <c r="Q1886" s="21"/>
      <c r="R1886" s="21"/>
      <c r="S1886" s="21"/>
      <c r="T1886" s="21"/>
      <c r="U1886" s="21"/>
      <c r="V1886" s="21"/>
      <c r="W1886" s="21"/>
      <c r="X1886" s="21"/>
      <c r="Y1886" s="21"/>
      <c r="Z1886" s="21"/>
      <c r="AA1886" s="21"/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W1886" s="296"/>
      <c r="CY1886" s="296"/>
    </row>
    <row r="1887" spans="3:103" s="19" customFormat="1" ht="12">
      <c r="C1887" s="21"/>
      <c r="D1887" s="21"/>
      <c r="E1887" s="21"/>
      <c r="F1887" s="21"/>
      <c r="G1887" s="21"/>
      <c r="H1887" s="21"/>
      <c r="I1887" s="21"/>
      <c r="J1887" s="21"/>
      <c r="K1887" s="21"/>
      <c r="L1887" s="21"/>
      <c r="M1887" s="21"/>
      <c r="N1887" s="21"/>
      <c r="O1887" s="21"/>
      <c r="P1887" s="21"/>
      <c r="Q1887" s="21"/>
      <c r="R1887" s="21"/>
      <c r="S1887" s="21"/>
      <c r="T1887" s="21"/>
      <c r="U1887" s="21"/>
      <c r="V1887" s="21"/>
      <c r="W1887" s="21"/>
      <c r="X1887" s="21"/>
      <c r="Y1887" s="21"/>
      <c r="Z1887" s="21"/>
      <c r="AA1887" s="21"/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W1887" s="296"/>
      <c r="CY1887" s="296"/>
    </row>
    <row r="1888" spans="3:103" s="19" customFormat="1" ht="12">
      <c r="C1888" s="21"/>
      <c r="D1888" s="21"/>
      <c r="E1888" s="21"/>
      <c r="F1888" s="21"/>
      <c r="G1888" s="21"/>
      <c r="H1888" s="21"/>
      <c r="I1888" s="21"/>
      <c r="J1888" s="21"/>
      <c r="K1888" s="21"/>
      <c r="L1888" s="21"/>
      <c r="M1888" s="21"/>
      <c r="N1888" s="21"/>
      <c r="O1888" s="21"/>
      <c r="P1888" s="21"/>
      <c r="Q1888" s="21"/>
      <c r="R1888" s="21"/>
      <c r="S1888" s="21"/>
      <c r="T1888" s="21"/>
      <c r="U1888" s="21"/>
      <c r="V1888" s="21"/>
      <c r="W1888" s="21"/>
      <c r="X1888" s="21"/>
      <c r="Y1888" s="21"/>
      <c r="Z1888" s="21"/>
      <c r="AA1888" s="21"/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W1888" s="296"/>
      <c r="CY1888" s="296"/>
    </row>
    <row r="1889" spans="3:103" s="19" customFormat="1" ht="12">
      <c r="C1889" s="21"/>
      <c r="D1889" s="21"/>
      <c r="E1889" s="21"/>
      <c r="F1889" s="21"/>
      <c r="G1889" s="21"/>
      <c r="H1889" s="21"/>
      <c r="I1889" s="21"/>
      <c r="J1889" s="21"/>
      <c r="K1889" s="21"/>
      <c r="L1889" s="21"/>
      <c r="M1889" s="21"/>
      <c r="N1889" s="21"/>
      <c r="O1889" s="21"/>
      <c r="P1889" s="21"/>
      <c r="Q1889" s="21"/>
      <c r="R1889" s="21"/>
      <c r="S1889" s="21"/>
      <c r="T1889" s="21"/>
      <c r="U1889" s="21"/>
      <c r="V1889" s="21"/>
      <c r="W1889" s="21"/>
      <c r="X1889" s="21"/>
      <c r="Y1889" s="21"/>
      <c r="Z1889" s="21"/>
      <c r="AA1889" s="21"/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W1889" s="296"/>
      <c r="CY1889" s="296"/>
    </row>
    <row r="1890" spans="3:103" s="19" customFormat="1" ht="12">
      <c r="C1890" s="21"/>
      <c r="D1890" s="21"/>
      <c r="E1890" s="21"/>
      <c r="F1890" s="21"/>
      <c r="G1890" s="21"/>
      <c r="H1890" s="21"/>
      <c r="I1890" s="21"/>
      <c r="J1890" s="21"/>
      <c r="K1890" s="21"/>
      <c r="L1890" s="21"/>
      <c r="M1890" s="21"/>
      <c r="N1890" s="21"/>
      <c r="O1890" s="21"/>
      <c r="P1890" s="21"/>
      <c r="Q1890" s="21"/>
      <c r="R1890" s="21"/>
      <c r="S1890" s="21"/>
      <c r="T1890" s="21"/>
      <c r="U1890" s="21"/>
      <c r="V1890" s="21"/>
      <c r="W1890" s="21"/>
      <c r="X1890" s="21"/>
      <c r="Y1890" s="21"/>
      <c r="Z1890" s="21"/>
      <c r="AA1890" s="21"/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W1890" s="296"/>
      <c r="CY1890" s="296"/>
    </row>
    <row r="1891" spans="3:103" s="19" customFormat="1" ht="12">
      <c r="C1891" s="21"/>
      <c r="D1891" s="21"/>
      <c r="E1891" s="21"/>
      <c r="F1891" s="21"/>
      <c r="G1891" s="21"/>
      <c r="H1891" s="21"/>
      <c r="I1891" s="21"/>
      <c r="J1891" s="21"/>
      <c r="K1891" s="21"/>
      <c r="L1891" s="21"/>
      <c r="M1891" s="21"/>
      <c r="N1891" s="21"/>
      <c r="O1891" s="21"/>
      <c r="P1891" s="21"/>
      <c r="Q1891" s="21"/>
      <c r="R1891" s="21"/>
      <c r="S1891" s="21"/>
      <c r="T1891" s="21"/>
      <c r="U1891" s="21"/>
      <c r="V1891" s="21"/>
      <c r="W1891" s="21"/>
      <c r="X1891" s="21"/>
      <c r="Y1891" s="21"/>
      <c r="Z1891" s="21"/>
      <c r="AA1891" s="21"/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W1891" s="296"/>
      <c r="CY1891" s="296"/>
    </row>
    <row r="1892" spans="3:103" s="19" customFormat="1" ht="12">
      <c r="C1892" s="21"/>
      <c r="D1892" s="21"/>
      <c r="E1892" s="21"/>
      <c r="F1892" s="21"/>
      <c r="G1892" s="21"/>
      <c r="H1892" s="21"/>
      <c r="I1892" s="21"/>
      <c r="J1892" s="21"/>
      <c r="K1892" s="21"/>
      <c r="L1892" s="21"/>
      <c r="M1892" s="21"/>
      <c r="N1892" s="21"/>
      <c r="O1892" s="21"/>
      <c r="P1892" s="21"/>
      <c r="Q1892" s="21"/>
      <c r="R1892" s="21"/>
      <c r="S1892" s="21"/>
      <c r="T1892" s="21"/>
      <c r="U1892" s="21"/>
      <c r="V1892" s="21"/>
      <c r="W1892" s="21"/>
      <c r="X1892" s="21"/>
      <c r="Y1892" s="21"/>
      <c r="Z1892" s="21"/>
      <c r="AA1892" s="21"/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W1892" s="296"/>
      <c r="CY1892" s="296"/>
    </row>
    <row r="1893" spans="3:103" s="19" customFormat="1" ht="12">
      <c r="C1893" s="21"/>
      <c r="D1893" s="21"/>
      <c r="E1893" s="21"/>
      <c r="F1893" s="21"/>
      <c r="G1893" s="21"/>
      <c r="H1893" s="21"/>
      <c r="I1893" s="21"/>
      <c r="J1893" s="21"/>
      <c r="K1893" s="21"/>
      <c r="L1893" s="21"/>
      <c r="M1893" s="21"/>
      <c r="N1893" s="21"/>
      <c r="O1893" s="21"/>
      <c r="P1893" s="21"/>
      <c r="Q1893" s="21"/>
      <c r="R1893" s="21"/>
      <c r="S1893" s="21"/>
      <c r="T1893" s="21"/>
      <c r="U1893" s="21"/>
      <c r="V1893" s="21"/>
      <c r="W1893" s="21"/>
      <c r="X1893" s="21"/>
      <c r="Y1893" s="21"/>
      <c r="Z1893" s="21"/>
      <c r="AA1893" s="21"/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W1893" s="296"/>
      <c r="CY1893" s="296"/>
    </row>
    <row r="1894" spans="3:103" s="19" customFormat="1" ht="12">
      <c r="C1894" s="21"/>
      <c r="D1894" s="21"/>
      <c r="E1894" s="21"/>
      <c r="F1894" s="21"/>
      <c r="G1894" s="21"/>
      <c r="H1894" s="21"/>
      <c r="I1894" s="21"/>
      <c r="J1894" s="21"/>
      <c r="K1894" s="21"/>
      <c r="L1894" s="21"/>
      <c r="M1894" s="21"/>
      <c r="N1894" s="21"/>
      <c r="O1894" s="21"/>
      <c r="P1894" s="21"/>
      <c r="Q1894" s="21"/>
      <c r="R1894" s="21"/>
      <c r="S1894" s="21"/>
      <c r="T1894" s="21"/>
      <c r="U1894" s="21"/>
      <c r="V1894" s="21"/>
      <c r="W1894" s="21"/>
      <c r="X1894" s="21"/>
      <c r="Y1894" s="21"/>
      <c r="Z1894" s="21"/>
      <c r="AA1894" s="21"/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W1894" s="296"/>
      <c r="CY1894" s="296"/>
    </row>
    <row r="1895" spans="3:103" s="19" customFormat="1" ht="12">
      <c r="C1895" s="21"/>
      <c r="D1895" s="21"/>
      <c r="E1895" s="21"/>
      <c r="F1895" s="21"/>
      <c r="G1895" s="21"/>
      <c r="H1895" s="21"/>
      <c r="I1895" s="21"/>
      <c r="J1895" s="21"/>
      <c r="K1895" s="21"/>
      <c r="L1895" s="21"/>
      <c r="M1895" s="21"/>
      <c r="N1895" s="21"/>
      <c r="O1895" s="21"/>
      <c r="P1895" s="21"/>
      <c r="Q1895" s="21"/>
      <c r="R1895" s="21"/>
      <c r="S1895" s="21"/>
      <c r="T1895" s="21"/>
      <c r="U1895" s="21"/>
      <c r="V1895" s="21"/>
      <c r="W1895" s="21"/>
      <c r="X1895" s="21"/>
      <c r="Y1895" s="21"/>
      <c r="Z1895" s="21"/>
      <c r="AA1895" s="21"/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W1895" s="296"/>
      <c r="CY1895" s="296"/>
    </row>
    <row r="1896" spans="3:103" s="19" customFormat="1" ht="12">
      <c r="C1896" s="21"/>
      <c r="D1896" s="21"/>
      <c r="E1896" s="21"/>
      <c r="F1896" s="21"/>
      <c r="G1896" s="21"/>
      <c r="H1896" s="21"/>
      <c r="I1896" s="21"/>
      <c r="J1896" s="21"/>
      <c r="K1896" s="21"/>
      <c r="L1896" s="21"/>
      <c r="M1896" s="21"/>
      <c r="N1896" s="21"/>
      <c r="O1896" s="21"/>
      <c r="P1896" s="21"/>
      <c r="Q1896" s="21"/>
      <c r="R1896" s="21"/>
      <c r="S1896" s="21"/>
      <c r="T1896" s="21"/>
      <c r="U1896" s="21"/>
      <c r="V1896" s="21"/>
      <c r="W1896" s="21"/>
      <c r="X1896" s="21"/>
      <c r="Y1896" s="21"/>
      <c r="Z1896" s="21"/>
      <c r="AA1896" s="21"/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W1896" s="296"/>
      <c r="CY1896" s="296"/>
    </row>
    <row r="1897" spans="3:103" s="19" customFormat="1" ht="12">
      <c r="C1897" s="21"/>
      <c r="D1897" s="21"/>
      <c r="E1897" s="21"/>
      <c r="F1897" s="21"/>
      <c r="G1897" s="21"/>
      <c r="H1897" s="21"/>
      <c r="I1897" s="21"/>
      <c r="J1897" s="21"/>
      <c r="K1897" s="21"/>
      <c r="L1897" s="21"/>
      <c r="M1897" s="21"/>
      <c r="N1897" s="21"/>
      <c r="O1897" s="21"/>
      <c r="P1897" s="21"/>
      <c r="Q1897" s="21"/>
      <c r="R1897" s="21"/>
      <c r="S1897" s="21"/>
      <c r="T1897" s="21"/>
      <c r="U1897" s="21"/>
      <c r="V1897" s="21"/>
      <c r="W1897" s="21"/>
      <c r="X1897" s="21"/>
      <c r="Y1897" s="21"/>
      <c r="Z1897" s="21"/>
      <c r="AA1897" s="21"/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W1897" s="296"/>
      <c r="CY1897" s="296"/>
    </row>
    <row r="1898" spans="3:103" s="19" customFormat="1" ht="12">
      <c r="C1898" s="21"/>
      <c r="D1898" s="21"/>
      <c r="E1898" s="21"/>
      <c r="F1898" s="21"/>
      <c r="G1898" s="21"/>
      <c r="H1898" s="21"/>
      <c r="I1898" s="21"/>
      <c r="J1898" s="21"/>
      <c r="K1898" s="21"/>
      <c r="L1898" s="21"/>
      <c r="M1898" s="21"/>
      <c r="N1898" s="21"/>
      <c r="O1898" s="21"/>
      <c r="P1898" s="21"/>
      <c r="Q1898" s="21"/>
      <c r="R1898" s="21"/>
      <c r="S1898" s="21"/>
      <c r="T1898" s="21"/>
      <c r="U1898" s="21"/>
      <c r="V1898" s="21"/>
      <c r="W1898" s="21"/>
      <c r="X1898" s="21"/>
      <c r="Y1898" s="21"/>
      <c r="Z1898" s="21"/>
      <c r="AA1898" s="21"/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W1898" s="296"/>
      <c r="CY1898" s="296"/>
    </row>
    <row r="1899" spans="3:103" s="19" customFormat="1" ht="12">
      <c r="C1899" s="21"/>
      <c r="D1899" s="21"/>
      <c r="E1899" s="21"/>
      <c r="F1899" s="21"/>
      <c r="G1899" s="21"/>
      <c r="H1899" s="21"/>
      <c r="I1899" s="21"/>
      <c r="J1899" s="21"/>
      <c r="K1899" s="21"/>
      <c r="L1899" s="21"/>
      <c r="M1899" s="21"/>
      <c r="N1899" s="21"/>
      <c r="O1899" s="21"/>
      <c r="P1899" s="21"/>
      <c r="Q1899" s="21"/>
      <c r="R1899" s="21"/>
      <c r="S1899" s="21"/>
      <c r="T1899" s="21"/>
      <c r="U1899" s="21"/>
      <c r="V1899" s="21"/>
      <c r="W1899" s="21"/>
      <c r="X1899" s="21"/>
      <c r="Y1899" s="21"/>
      <c r="Z1899" s="21"/>
      <c r="AA1899" s="21"/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W1899" s="296"/>
      <c r="CY1899" s="296"/>
    </row>
    <row r="1900" spans="3:103" s="19" customFormat="1" ht="12">
      <c r="C1900" s="21"/>
      <c r="D1900" s="21"/>
      <c r="E1900" s="21"/>
      <c r="F1900" s="21"/>
      <c r="G1900" s="21"/>
      <c r="H1900" s="21"/>
      <c r="I1900" s="21"/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W1900" s="296"/>
      <c r="CY1900" s="296"/>
    </row>
    <row r="1901" spans="3:103" s="19" customFormat="1" ht="12">
      <c r="C1901" s="21"/>
      <c r="D1901" s="21"/>
      <c r="E1901" s="21"/>
      <c r="F1901" s="21"/>
      <c r="G1901" s="21"/>
      <c r="H1901" s="21"/>
      <c r="I1901" s="21"/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W1901" s="296"/>
      <c r="CY1901" s="296"/>
    </row>
    <row r="1902" spans="3:103" s="19" customFormat="1" ht="12">
      <c r="C1902" s="21"/>
      <c r="D1902" s="21"/>
      <c r="E1902" s="21"/>
      <c r="F1902" s="21"/>
      <c r="G1902" s="21"/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W1902" s="296"/>
      <c r="CY1902" s="296"/>
    </row>
    <row r="1903" spans="3:103" s="19" customFormat="1" ht="12">
      <c r="C1903" s="21"/>
      <c r="D1903" s="21"/>
      <c r="E1903" s="21"/>
      <c r="F1903" s="21"/>
      <c r="G1903" s="21"/>
      <c r="H1903" s="21"/>
      <c r="I1903" s="21"/>
      <c r="J1903" s="21"/>
      <c r="K1903" s="21"/>
      <c r="L1903" s="21"/>
      <c r="M1903" s="21"/>
      <c r="N1903" s="21"/>
      <c r="O1903" s="21"/>
      <c r="P1903" s="21"/>
      <c r="Q1903" s="21"/>
      <c r="R1903" s="21"/>
      <c r="S1903" s="21"/>
      <c r="T1903" s="21"/>
      <c r="U1903" s="21"/>
      <c r="V1903" s="21"/>
      <c r="W1903" s="21"/>
      <c r="X1903" s="21"/>
      <c r="Y1903" s="21"/>
      <c r="Z1903" s="21"/>
      <c r="AA1903" s="21"/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W1903" s="296"/>
      <c r="CY1903" s="296"/>
    </row>
    <row r="1904" spans="3:103" s="19" customFormat="1" ht="12">
      <c r="C1904" s="21"/>
      <c r="D1904" s="21"/>
      <c r="E1904" s="21"/>
      <c r="F1904" s="21"/>
      <c r="G1904" s="21"/>
      <c r="H1904" s="21"/>
      <c r="I1904" s="21"/>
      <c r="J1904" s="21"/>
      <c r="K1904" s="21"/>
      <c r="L1904" s="21"/>
      <c r="M1904" s="21"/>
      <c r="N1904" s="21"/>
      <c r="O1904" s="21"/>
      <c r="P1904" s="21"/>
      <c r="Q1904" s="21"/>
      <c r="R1904" s="21"/>
      <c r="S1904" s="21"/>
      <c r="T1904" s="21"/>
      <c r="U1904" s="21"/>
      <c r="V1904" s="21"/>
      <c r="W1904" s="21"/>
      <c r="X1904" s="21"/>
      <c r="Y1904" s="21"/>
      <c r="Z1904" s="21"/>
      <c r="AA1904" s="21"/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W1904" s="296"/>
      <c r="CY1904" s="296"/>
    </row>
    <row r="1905" spans="3:103" s="19" customFormat="1" ht="12">
      <c r="C1905" s="21"/>
      <c r="D1905" s="21"/>
      <c r="E1905" s="21"/>
      <c r="F1905" s="21"/>
      <c r="G1905" s="21"/>
      <c r="H1905" s="21"/>
      <c r="I1905" s="21"/>
      <c r="J1905" s="21"/>
      <c r="K1905" s="21"/>
      <c r="L1905" s="21"/>
      <c r="M1905" s="21"/>
      <c r="N1905" s="21"/>
      <c r="O1905" s="21"/>
      <c r="P1905" s="21"/>
      <c r="Q1905" s="21"/>
      <c r="R1905" s="21"/>
      <c r="S1905" s="21"/>
      <c r="T1905" s="21"/>
      <c r="U1905" s="21"/>
      <c r="V1905" s="21"/>
      <c r="W1905" s="21"/>
      <c r="X1905" s="21"/>
      <c r="Y1905" s="21"/>
      <c r="Z1905" s="21"/>
      <c r="AA1905" s="21"/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W1905" s="296"/>
      <c r="CY1905" s="296"/>
    </row>
    <row r="1906" spans="3:103" s="19" customFormat="1" ht="12">
      <c r="C1906" s="21"/>
      <c r="D1906" s="21"/>
      <c r="E1906" s="21"/>
      <c r="F1906" s="21"/>
      <c r="G1906" s="21"/>
      <c r="H1906" s="21"/>
      <c r="I1906" s="21"/>
      <c r="J1906" s="21"/>
      <c r="K1906" s="21"/>
      <c r="L1906" s="21"/>
      <c r="M1906" s="21"/>
      <c r="N1906" s="21"/>
      <c r="O1906" s="21"/>
      <c r="P1906" s="21"/>
      <c r="Q1906" s="21"/>
      <c r="R1906" s="21"/>
      <c r="S1906" s="21"/>
      <c r="T1906" s="21"/>
      <c r="U1906" s="21"/>
      <c r="V1906" s="21"/>
      <c r="W1906" s="21"/>
      <c r="X1906" s="21"/>
      <c r="Y1906" s="21"/>
      <c r="Z1906" s="21"/>
      <c r="AA1906" s="21"/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W1906" s="296"/>
      <c r="CY1906" s="296"/>
    </row>
    <row r="1907" spans="3:103" s="19" customFormat="1" ht="12">
      <c r="C1907" s="21"/>
      <c r="D1907" s="21"/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W1907" s="296"/>
      <c r="CY1907" s="296"/>
    </row>
    <row r="1908" spans="3:103" s="19" customFormat="1" ht="12">
      <c r="C1908" s="21"/>
      <c r="D1908" s="21"/>
      <c r="E1908" s="21"/>
      <c r="F1908" s="21"/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W1908" s="296"/>
      <c r="CY1908" s="296"/>
    </row>
    <row r="1909" spans="3:103" s="19" customFormat="1" ht="12">
      <c r="C1909" s="21"/>
      <c r="D1909" s="21"/>
      <c r="E1909" s="21"/>
      <c r="F1909" s="21"/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W1909" s="296"/>
      <c r="CY1909" s="296"/>
    </row>
    <row r="1910" spans="3:103" s="19" customFormat="1" ht="12">
      <c r="C1910" s="21"/>
      <c r="D1910" s="21"/>
      <c r="E1910" s="21"/>
      <c r="F1910" s="21"/>
      <c r="G1910" s="21"/>
      <c r="H1910" s="21"/>
      <c r="I1910" s="21"/>
      <c r="J1910" s="21"/>
      <c r="K1910" s="21"/>
      <c r="L1910" s="21"/>
      <c r="M1910" s="21"/>
      <c r="N1910" s="21"/>
      <c r="O1910" s="21"/>
      <c r="P1910" s="21"/>
      <c r="Q1910" s="21"/>
      <c r="R1910" s="21"/>
      <c r="S1910" s="21"/>
      <c r="T1910" s="21"/>
      <c r="U1910" s="21"/>
      <c r="V1910" s="21"/>
      <c r="W1910" s="21"/>
      <c r="X1910" s="21"/>
      <c r="Y1910" s="21"/>
      <c r="Z1910" s="21"/>
      <c r="AA1910" s="21"/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W1910" s="296"/>
      <c r="CY1910" s="296"/>
    </row>
    <row r="1911" spans="3:103" s="19" customFormat="1" ht="12">
      <c r="C1911" s="21"/>
      <c r="D1911" s="21"/>
      <c r="E1911" s="21"/>
      <c r="F1911" s="21"/>
      <c r="G1911" s="21"/>
      <c r="H1911" s="21"/>
      <c r="I1911" s="21"/>
      <c r="J1911" s="21"/>
      <c r="K1911" s="21"/>
      <c r="L1911" s="21"/>
      <c r="M1911" s="21"/>
      <c r="N1911" s="21"/>
      <c r="O1911" s="21"/>
      <c r="P1911" s="21"/>
      <c r="Q1911" s="21"/>
      <c r="R1911" s="21"/>
      <c r="S1911" s="21"/>
      <c r="T1911" s="21"/>
      <c r="U1911" s="21"/>
      <c r="V1911" s="21"/>
      <c r="W1911" s="21"/>
      <c r="X1911" s="21"/>
      <c r="Y1911" s="21"/>
      <c r="Z1911" s="21"/>
      <c r="AA1911" s="21"/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W1911" s="296"/>
      <c r="CY1911" s="296"/>
    </row>
    <row r="1912" spans="3:103" s="19" customFormat="1" ht="12">
      <c r="C1912" s="21"/>
      <c r="D1912" s="21"/>
      <c r="E1912" s="21"/>
      <c r="F1912" s="21"/>
      <c r="G1912" s="21"/>
      <c r="H1912" s="21"/>
      <c r="I1912" s="21"/>
      <c r="J1912" s="21"/>
      <c r="K1912" s="21"/>
      <c r="L1912" s="21"/>
      <c r="M1912" s="21"/>
      <c r="N1912" s="21"/>
      <c r="O1912" s="21"/>
      <c r="P1912" s="21"/>
      <c r="Q1912" s="21"/>
      <c r="R1912" s="21"/>
      <c r="S1912" s="21"/>
      <c r="T1912" s="21"/>
      <c r="U1912" s="21"/>
      <c r="V1912" s="21"/>
      <c r="W1912" s="21"/>
      <c r="X1912" s="21"/>
      <c r="Y1912" s="21"/>
      <c r="Z1912" s="21"/>
      <c r="AA1912" s="21"/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W1912" s="296"/>
      <c r="CY1912" s="296"/>
    </row>
    <row r="1913" spans="3:103" s="19" customFormat="1" ht="12">
      <c r="C1913" s="21"/>
      <c r="D1913" s="21"/>
      <c r="E1913" s="21"/>
      <c r="F1913" s="21"/>
      <c r="G1913" s="21"/>
      <c r="H1913" s="21"/>
      <c r="I1913" s="21"/>
      <c r="J1913" s="21"/>
      <c r="K1913" s="21"/>
      <c r="L1913" s="21"/>
      <c r="M1913" s="21"/>
      <c r="N1913" s="21"/>
      <c r="O1913" s="21"/>
      <c r="P1913" s="21"/>
      <c r="Q1913" s="21"/>
      <c r="R1913" s="21"/>
      <c r="S1913" s="21"/>
      <c r="T1913" s="21"/>
      <c r="U1913" s="21"/>
      <c r="V1913" s="21"/>
      <c r="W1913" s="21"/>
      <c r="X1913" s="21"/>
      <c r="Y1913" s="21"/>
      <c r="Z1913" s="21"/>
      <c r="AA1913" s="21"/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W1913" s="296"/>
      <c r="CY1913" s="296"/>
    </row>
    <row r="1914" spans="3:103" s="19" customFormat="1" ht="12">
      <c r="C1914" s="21"/>
      <c r="D1914" s="21"/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W1914" s="296"/>
      <c r="CY1914" s="296"/>
    </row>
    <row r="1915" spans="3:103" s="19" customFormat="1" ht="12">
      <c r="C1915" s="21"/>
      <c r="D1915" s="21"/>
      <c r="E1915" s="21"/>
      <c r="F1915" s="21"/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W1915" s="296"/>
      <c r="CY1915" s="296"/>
    </row>
    <row r="1916" spans="3:103" s="19" customFormat="1" ht="12">
      <c r="C1916" s="21"/>
      <c r="D1916" s="21"/>
      <c r="E1916" s="21"/>
      <c r="F1916" s="21"/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W1916" s="296"/>
      <c r="CY1916" s="296"/>
    </row>
    <row r="1917" spans="3:103" s="19" customFormat="1" ht="12">
      <c r="C1917" s="21"/>
      <c r="D1917" s="21"/>
      <c r="E1917" s="21"/>
      <c r="F1917" s="21"/>
      <c r="G1917" s="21"/>
      <c r="H1917" s="21"/>
      <c r="I1917" s="21"/>
      <c r="J1917" s="21"/>
      <c r="K1917" s="21"/>
      <c r="L1917" s="21"/>
      <c r="M1917" s="21"/>
      <c r="N1917" s="21"/>
      <c r="O1917" s="21"/>
      <c r="P1917" s="21"/>
      <c r="Q1917" s="21"/>
      <c r="R1917" s="21"/>
      <c r="S1917" s="21"/>
      <c r="T1917" s="21"/>
      <c r="U1917" s="21"/>
      <c r="V1917" s="21"/>
      <c r="W1917" s="21"/>
      <c r="X1917" s="21"/>
      <c r="Y1917" s="21"/>
      <c r="Z1917" s="21"/>
      <c r="AA1917" s="21"/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W1917" s="296"/>
      <c r="CY1917" s="296"/>
    </row>
    <row r="1918" spans="3:103" s="19" customFormat="1" ht="12">
      <c r="C1918" s="21"/>
      <c r="D1918" s="21"/>
      <c r="E1918" s="21"/>
      <c r="F1918" s="21"/>
      <c r="G1918" s="21"/>
      <c r="H1918" s="21"/>
      <c r="I1918" s="21"/>
      <c r="J1918" s="21"/>
      <c r="K1918" s="21"/>
      <c r="L1918" s="21"/>
      <c r="M1918" s="21"/>
      <c r="N1918" s="21"/>
      <c r="O1918" s="21"/>
      <c r="P1918" s="21"/>
      <c r="Q1918" s="21"/>
      <c r="R1918" s="21"/>
      <c r="S1918" s="21"/>
      <c r="T1918" s="21"/>
      <c r="U1918" s="21"/>
      <c r="V1918" s="21"/>
      <c r="W1918" s="21"/>
      <c r="X1918" s="21"/>
      <c r="Y1918" s="21"/>
      <c r="Z1918" s="21"/>
      <c r="AA1918" s="21"/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W1918" s="296"/>
      <c r="CY1918" s="296"/>
    </row>
    <row r="1919" spans="3:103" s="19" customFormat="1" ht="12">
      <c r="C1919" s="21"/>
      <c r="D1919" s="21"/>
      <c r="E1919" s="21"/>
      <c r="F1919" s="21"/>
      <c r="G1919" s="21"/>
      <c r="H1919" s="21"/>
      <c r="I1919" s="21"/>
      <c r="J1919" s="21"/>
      <c r="K1919" s="21"/>
      <c r="L1919" s="21"/>
      <c r="M1919" s="21"/>
      <c r="N1919" s="21"/>
      <c r="O1919" s="21"/>
      <c r="P1919" s="21"/>
      <c r="Q1919" s="21"/>
      <c r="R1919" s="21"/>
      <c r="S1919" s="21"/>
      <c r="T1919" s="21"/>
      <c r="U1919" s="21"/>
      <c r="V1919" s="21"/>
      <c r="W1919" s="21"/>
      <c r="X1919" s="21"/>
      <c r="Y1919" s="21"/>
      <c r="Z1919" s="21"/>
      <c r="AA1919" s="21"/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W1919" s="296"/>
      <c r="CY1919" s="296"/>
    </row>
    <row r="1920" spans="3:103" s="19" customFormat="1" ht="12">
      <c r="C1920" s="21"/>
      <c r="D1920" s="21"/>
      <c r="E1920" s="21"/>
      <c r="F1920" s="21"/>
      <c r="G1920" s="21"/>
      <c r="H1920" s="21"/>
      <c r="I1920" s="21"/>
      <c r="J1920" s="21"/>
      <c r="K1920" s="21"/>
      <c r="L1920" s="21"/>
      <c r="M1920" s="21"/>
      <c r="N1920" s="21"/>
      <c r="O1920" s="21"/>
      <c r="P1920" s="21"/>
      <c r="Q1920" s="21"/>
      <c r="R1920" s="21"/>
      <c r="S1920" s="21"/>
      <c r="T1920" s="21"/>
      <c r="U1920" s="21"/>
      <c r="V1920" s="21"/>
      <c r="W1920" s="21"/>
      <c r="X1920" s="21"/>
      <c r="Y1920" s="21"/>
      <c r="Z1920" s="21"/>
      <c r="AA1920" s="21"/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W1920" s="296"/>
      <c r="CY1920" s="296"/>
    </row>
    <row r="1921" spans="3:103" s="19" customFormat="1" ht="12">
      <c r="C1921" s="21"/>
      <c r="D1921" s="21"/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W1921" s="296"/>
      <c r="CY1921" s="296"/>
    </row>
    <row r="1922" spans="3:103" s="19" customFormat="1" ht="12">
      <c r="C1922" s="21"/>
      <c r="D1922" s="21"/>
      <c r="E1922" s="21"/>
      <c r="F1922" s="21"/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W1922" s="296"/>
      <c r="CY1922" s="296"/>
    </row>
    <row r="1923" spans="3:103" s="19" customFormat="1" ht="12">
      <c r="C1923" s="21"/>
      <c r="D1923" s="21"/>
      <c r="E1923" s="21"/>
      <c r="F1923" s="21"/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W1923" s="296"/>
      <c r="CY1923" s="296"/>
    </row>
    <row r="1924" spans="3:103" s="19" customFormat="1" ht="12">
      <c r="C1924" s="21"/>
      <c r="D1924" s="21"/>
      <c r="E1924" s="21"/>
      <c r="F1924" s="21"/>
      <c r="G1924" s="21"/>
      <c r="H1924" s="21"/>
      <c r="I1924" s="21"/>
      <c r="J1924" s="21"/>
      <c r="K1924" s="21"/>
      <c r="L1924" s="21"/>
      <c r="M1924" s="21"/>
      <c r="N1924" s="21"/>
      <c r="O1924" s="21"/>
      <c r="P1924" s="21"/>
      <c r="Q1924" s="21"/>
      <c r="R1924" s="21"/>
      <c r="S1924" s="21"/>
      <c r="T1924" s="21"/>
      <c r="U1924" s="21"/>
      <c r="V1924" s="21"/>
      <c r="W1924" s="21"/>
      <c r="X1924" s="21"/>
      <c r="Y1924" s="21"/>
      <c r="Z1924" s="21"/>
      <c r="AA1924" s="21"/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W1924" s="296"/>
      <c r="CY1924" s="296"/>
    </row>
    <row r="1925" spans="3:103" s="19" customFormat="1" ht="12">
      <c r="C1925" s="21"/>
      <c r="D1925" s="21"/>
      <c r="E1925" s="21"/>
      <c r="F1925" s="21"/>
      <c r="G1925" s="21"/>
      <c r="H1925" s="21"/>
      <c r="I1925" s="21"/>
      <c r="J1925" s="21"/>
      <c r="K1925" s="21"/>
      <c r="L1925" s="21"/>
      <c r="M1925" s="21"/>
      <c r="N1925" s="21"/>
      <c r="O1925" s="21"/>
      <c r="P1925" s="21"/>
      <c r="Q1925" s="21"/>
      <c r="R1925" s="21"/>
      <c r="S1925" s="21"/>
      <c r="T1925" s="21"/>
      <c r="U1925" s="21"/>
      <c r="V1925" s="21"/>
      <c r="W1925" s="21"/>
      <c r="X1925" s="21"/>
      <c r="Y1925" s="21"/>
      <c r="Z1925" s="21"/>
      <c r="AA1925" s="21"/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W1925" s="296"/>
      <c r="CY1925" s="296"/>
    </row>
    <row r="1926" spans="3:103" s="19" customFormat="1" ht="12">
      <c r="C1926" s="21"/>
      <c r="D1926" s="21"/>
      <c r="E1926" s="21"/>
      <c r="F1926" s="21"/>
      <c r="G1926" s="21"/>
      <c r="H1926" s="21"/>
      <c r="I1926" s="21"/>
      <c r="J1926" s="21"/>
      <c r="K1926" s="21"/>
      <c r="L1926" s="21"/>
      <c r="M1926" s="21"/>
      <c r="N1926" s="21"/>
      <c r="O1926" s="21"/>
      <c r="P1926" s="21"/>
      <c r="Q1926" s="21"/>
      <c r="R1926" s="21"/>
      <c r="S1926" s="21"/>
      <c r="T1926" s="21"/>
      <c r="U1926" s="21"/>
      <c r="V1926" s="21"/>
      <c r="W1926" s="21"/>
      <c r="X1926" s="21"/>
      <c r="Y1926" s="21"/>
      <c r="Z1926" s="21"/>
      <c r="AA1926" s="21"/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W1926" s="296"/>
      <c r="CY1926" s="296"/>
    </row>
    <row r="1927" spans="3:103" s="19" customFormat="1" ht="12">
      <c r="C1927" s="21"/>
      <c r="D1927" s="21"/>
      <c r="E1927" s="21"/>
      <c r="F1927" s="21"/>
      <c r="G1927" s="21"/>
      <c r="H1927" s="21"/>
      <c r="I1927" s="21"/>
      <c r="J1927" s="21"/>
      <c r="K1927" s="21"/>
      <c r="L1927" s="21"/>
      <c r="M1927" s="21"/>
      <c r="N1927" s="21"/>
      <c r="O1927" s="21"/>
      <c r="P1927" s="21"/>
      <c r="Q1927" s="21"/>
      <c r="R1927" s="21"/>
      <c r="S1927" s="21"/>
      <c r="T1927" s="21"/>
      <c r="U1927" s="21"/>
      <c r="V1927" s="21"/>
      <c r="W1927" s="21"/>
      <c r="X1927" s="21"/>
      <c r="Y1927" s="21"/>
      <c r="Z1927" s="21"/>
      <c r="AA1927" s="21"/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W1927" s="296"/>
      <c r="CY1927" s="296"/>
    </row>
    <row r="1928" spans="3:103" s="19" customFormat="1" ht="12">
      <c r="C1928" s="21"/>
      <c r="D1928" s="21"/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W1928" s="296"/>
      <c r="CY1928" s="296"/>
    </row>
    <row r="1929" spans="3:103" s="19" customFormat="1" ht="12">
      <c r="C1929" s="21"/>
      <c r="D1929" s="21"/>
      <c r="E1929" s="21"/>
      <c r="F1929" s="21"/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W1929" s="296"/>
      <c r="CY1929" s="296"/>
    </row>
    <row r="1930" spans="3:103" s="19" customFormat="1" ht="12">
      <c r="C1930" s="21"/>
      <c r="D1930" s="21"/>
      <c r="E1930" s="21"/>
      <c r="F1930" s="21"/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W1930" s="296"/>
      <c r="CY1930" s="296"/>
    </row>
    <row r="1931" spans="3:103" s="19" customFormat="1" ht="12">
      <c r="C1931" s="21"/>
      <c r="D1931" s="21"/>
      <c r="E1931" s="21"/>
      <c r="F1931" s="21"/>
      <c r="G1931" s="21"/>
      <c r="H1931" s="21"/>
      <c r="I1931" s="21"/>
      <c r="J1931" s="21"/>
      <c r="K1931" s="21"/>
      <c r="L1931" s="21"/>
      <c r="M1931" s="21"/>
      <c r="N1931" s="21"/>
      <c r="O1931" s="21"/>
      <c r="P1931" s="21"/>
      <c r="Q1931" s="21"/>
      <c r="R1931" s="21"/>
      <c r="S1931" s="21"/>
      <c r="T1931" s="21"/>
      <c r="U1931" s="21"/>
      <c r="V1931" s="21"/>
      <c r="W1931" s="21"/>
      <c r="X1931" s="21"/>
      <c r="Y1931" s="21"/>
      <c r="Z1931" s="21"/>
      <c r="AA1931" s="21"/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W1931" s="296"/>
      <c r="CY1931" s="296"/>
    </row>
    <row r="1932" spans="3:103" s="19" customFormat="1" ht="12">
      <c r="C1932" s="21"/>
      <c r="D1932" s="21"/>
      <c r="E1932" s="21"/>
      <c r="F1932" s="21"/>
      <c r="G1932" s="21"/>
      <c r="H1932" s="21"/>
      <c r="I1932" s="21"/>
      <c r="J1932" s="21"/>
      <c r="K1932" s="21"/>
      <c r="L1932" s="21"/>
      <c r="M1932" s="21"/>
      <c r="N1932" s="21"/>
      <c r="O1932" s="21"/>
      <c r="P1932" s="21"/>
      <c r="Q1932" s="21"/>
      <c r="R1932" s="21"/>
      <c r="S1932" s="21"/>
      <c r="T1932" s="21"/>
      <c r="U1932" s="21"/>
      <c r="V1932" s="21"/>
      <c r="W1932" s="21"/>
      <c r="X1932" s="21"/>
      <c r="Y1932" s="21"/>
      <c r="Z1932" s="21"/>
      <c r="AA1932" s="21"/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W1932" s="296"/>
      <c r="CY1932" s="296"/>
    </row>
    <row r="1933" spans="3:103" s="19" customFormat="1" ht="12">
      <c r="C1933" s="21"/>
      <c r="D1933" s="21"/>
      <c r="E1933" s="21"/>
      <c r="F1933" s="21"/>
      <c r="G1933" s="21"/>
      <c r="H1933" s="21"/>
      <c r="I1933" s="21"/>
      <c r="J1933" s="21"/>
      <c r="K1933" s="21"/>
      <c r="L1933" s="21"/>
      <c r="M1933" s="21"/>
      <c r="N1933" s="21"/>
      <c r="O1933" s="21"/>
      <c r="P1933" s="21"/>
      <c r="Q1933" s="21"/>
      <c r="R1933" s="21"/>
      <c r="S1933" s="21"/>
      <c r="T1933" s="21"/>
      <c r="U1933" s="21"/>
      <c r="V1933" s="21"/>
      <c r="W1933" s="21"/>
      <c r="X1933" s="21"/>
      <c r="Y1933" s="21"/>
      <c r="Z1933" s="21"/>
      <c r="AA1933" s="21"/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W1933" s="296"/>
      <c r="CY1933" s="296"/>
    </row>
    <row r="1934" spans="3:103" s="19" customFormat="1" ht="12">
      <c r="C1934" s="21"/>
      <c r="D1934" s="21"/>
      <c r="E1934" s="21"/>
      <c r="F1934" s="21"/>
      <c r="G1934" s="21"/>
      <c r="H1934" s="21"/>
      <c r="I1934" s="21"/>
      <c r="J1934" s="21"/>
      <c r="K1934" s="21"/>
      <c r="L1934" s="21"/>
      <c r="M1934" s="21"/>
      <c r="N1934" s="21"/>
      <c r="O1934" s="21"/>
      <c r="P1934" s="21"/>
      <c r="Q1934" s="21"/>
      <c r="R1934" s="21"/>
      <c r="S1934" s="21"/>
      <c r="T1934" s="21"/>
      <c r="U1934" s="21"/>
      <c r="V1934" s="21"/>
      <c r="W1934" s="21"/>
      <c r="X1934" s="21"/>
      <c r="Y1934" s="21"/>
      <c r="Z1934" s="21"/>
      <c r="AA1934" s="21"/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W1934" s="296"/>
      <c r="CY1934" s="296"/>
    </row>
    <row r="1935" spans="3:103" s="19" customFormat="1" ht="12">
      <c r="C1935" s="21"/>
      <c r="D1935" s="21"/>
      <c r="E1935" s="21"/>
      <c r="F1935" s="21"/>
      <c r="G1935" s="21"/>
      <c r="H1935" s="21"/>
      <c r="I1935" s="21"/>
      <c r="J1935" s="21"/>
      <c r="K1935" s="21"/>
      <c r="L1935" s="21"/>
      <c r="M1935" s="21"/>
      <c r="N1935" s="21"/>
      <c r="O1935" s="21"/>
      <c r="P1935" s="21"/>
      <c r="Q1935" s="21"/>
      <c r="R1935" s="21"/>
      <c r="S1935" s="21"/>
      <c r="T1935" s="21"/>
      <c r="U1935" s="21"/>
      <c r="V1935" s="21"/>
      <c r="W1935" s="21"/>
      <c r="X1935" s="21"/>
      <c r="Y1935" s="21"/>
      <c r="Z1935" s="21"/>
      <c r="AA1935" s="21"/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W1935" s="296"/>
      <c r="CY1935" s="296"/>
    </row>
    <row r="1936" spans="3:103" s="19" customFormat="1" ht="12">
      <c r="C1936" s="21"/>
      <c r="D1936" s="21"/>
      <c r="E1936" s="21"/>
      <c r="F1936" s="21"/>
      <c r="G1936" s="21"/>
      <c r="H1936" s="21"/>
      <c r="I1936" s="21"/>
      <c r="J1936" s="21"/>
      <c r="K1936" s="21"/>
      <c r="L1936" s="21"/>
      <c r="M1936" s="21"/>
      <c r="N1936" s="21"/>
      <c r="O1936" s="21"/>
      <c r="P1936" s="21"/>
      <c r="Q1936" s="21"/>
      <c r="R1936" s="21"/>
      <c r="S1936" s="21"/>
      <c r="T1936" s="21"/>
      <c r="U1936" s="21"/>
      <c r="V1936" s="21"/>
      <c r="W1936" s="21"/>
      <c r="X1936" s="21"/>
      <c r="Y1936" s="21"/>
      <c r="Z1936" s="21"/>
      <c r="AA1936" s="21"/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W1936" s="296"/>
      <c r="CY1936" s="296"/>
    </row>
    <row r="1937" spans="3:103" s="19" customFormat="1" ht="12">
      <c r="C1937" s="21"/>
      <c r="D1937" s="21"/>
      <c r="E1937" s="21"/>
      <c r="F1937" s="21"/>
      <c r="G1937" s="21"/>
      <c r="H1937" s="21"/>
      <c r="I1937" s="21"/>
      <c r="J1937" s="21"/>
      <c r="K1937" s="21"/>
      <c r="L1937" s="21"/>
      <c r="M1937" s="21"/>
      <c r="N1937" s="21"/>
      <c r="O1937" s="21"/>
      <c r="P1937" s="21"/>
      <c r="Q1937" s="21"/>
      <c r="R1937" s="21"/>
      <c r="S1937" s="21"/>
      <c r="T1937" s="21"/>
      <c r="U1937" s="21"/>
      <c r="V1937" s="21"/>
      <c r="W1937" s="21"/>
      <c r="X1937" s="21"/>
      <c r="Y1937" s="21"/>
      <c r="Z1937" s="21"/>
      <c r="AA1937" s="21"/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W1937" s="296"/>
      <c r="CY1937" s="296"/>
    </row>
    <row r="1938" spans="3:103" s="19" customFormat="1" ht="12">
      <c r="C1938" s="21"/>
      <c r="D1938" s="21"/>
      <c r="E1938" s="21"/>
      <c r="F1938" s="21"/>
      <c r="G1938" s="21"/>
      <c r="H1938" s="21"/>
      <c r="I1938" s="21"/>
      <c r="J1938" s="21"/>
      <c r="K1938" s="21"/>
      <c r="L1938" s="21"/>
      <c r="M1938" s="21"/>
      <c r="N1938" s="21"/>
      <c r="O1938" s="21"/>
      <c r="P1938" s="21"/>
      <c r="Q1938" s="21"/>
      <c r="R1938" s="21"/>
      <c r="S1938" s="21"/>
      <c r="T1938" s="21"/>
      <c r="U1938" s="21"/>
      <c r="V1938" s="21"/>
      <c r="W1938" s="21"/>
      <c r="X1938" s="21"/>
      <c r="Y1938" s="21"/>
      <c r="Z1938" s="21"/>
      <c r="AA1938" s="21"/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W1938" s="296"/>
      <c r="CY1938" s="296"/>
    </row>
    <row r="1939" spans="3:103" s="19" customFormat="1" ht="12">
      <c r="C1939" s="21"/>
      <c r="D1939" s="21"/>
      <c r="E1939" s="21"/>
      <c r="F1939" s="21"/>
      <c r="G1939" s="21"/>
      <c r="H1939" s="21"/>
      <c r="I1939" s="21"/>
      <c r="J1939" s="21"/>
      <c r="K1939" s="21"/>
      <c r="L1939" s="21"/>
      <c r="M1939" s="21"/>
      <c r="N1939" s="21"/>
      <c r="O1939" s="21"/>
      <c r="P1939" s="21"/>
      <c r="Q1939" s="21"/>
      <c r="R1939" s="21"/>
      <c r="S1939" s="21"/>
      <c r="T1939" s="21"/>
      <c r="U1939" s="21"/>
      <c r="V1939" s="21"/>
      <c r="W1939" s="21"/>
      <c r="X1939" s="21"/>
      <c r="Y1939" s="21"/>
      <c r="Z1939" s="21"/>
      <c r="AA1939" s="21"/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W1939" s="296"/>
      <c r="CY1939" s="296"/>
    </row>
    <row r="1940" spans="3:103" s="19" customFormat="1" ht="12">
      <c r="C1940" s="21"/>
      <c r="D1940" s="21"/>
      <c r="E1940" s="21"/>
      <c r="F1940" s="21"/>
      <c r="G1940" s="21"/>
      <c r="H1940" s="21"/>
      <c r="I1940" s="21"/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W1940" s="296"/>
      <c r="CY1940" s="296"/>
    </row>
    <row r="1941" spans="3:103" s="19" customFormat="1" ht="12">
      <c r="C1941" s="21"/>
      <c r="D1941" s="21"/>
      <c r="E1941" s="21"/>
      <c r="F1941" s="21"/>
      <c r="G1941" s="21"/>
      <c r="H1941" s="21"/>
      <c r="I1941" s="21"/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W1941" s="296"/>
      <c r="CY1941" s="296"/>
    </row>
    <row r="1942" spans="3:103" s="19" customFormat="1" ht="12">
      <c r="C1942" s="21"/>
      <c r="D1942" s="21"/>
      <c r="E1942" s="21"/>
      <c r="F1942" s="21"/>
      <c r="G1942" s="21"/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W1942" s="296"/>
      <c r="CY1942" s="296"/>
    </row>
    <row r="1943" spans="3:103" s="19" customFormat="1" ht="12">
      <c r="C1943" s="21"/>
      <c r="D1943" s="21"/>
      <c r="E1943" s="21"/>
      <c r="F1943" s="21"/>
      <c r="G1943" s="21"/>
      <c r="H1943" s="21"/>
      <c r="I1943" s="21"/>
      <c r="J1943" s="21"/>
      <c r="K1943" s="21"/>
      <c r="L1943" s="21"/>
      <c r="M1943" s="21"/>
      <c r="N1943" s="21"/>
      <c r="O1943" s="21"/>
      <c r="P1943" s="21"/>
      <c r="Q1943" s="21"/>
      <c r="R1943" s="21"/>
      <c r="S1943" s="21"/>
      <c r="T1943" s="21"/>
      <c r="U1943" s="21"/>
      <c r="V1943" s="21"/>
      <c r="W1943" s="21"/>
      <c r="X1943" s="21"/>
      <c r="Y1943" s="21"/>
      <c r="Z1943" s="21"/>
      <c r="AA1943" s="21"/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W1943" s="296"/>
      <c r="CY1943" s="296"/>
    </row>
    <row r="1944" spans="3:103" s="19" customFormat="1" ht="12">
      <c r="C1944" s="21"/>
      <c r="D1944" s="21"/>
      <c r="E1944" s="21"/>
      <c r="F1944" s="21"/>
      <c r="G1944" s="21"/>
      <c r="H1944" s="21"/>
      <c r="I1944" s="21"/>
      <c r="J1944" s="21"/>
      <c r="K1944" s="21"/>
      <c r="L1944" s="21"/>
      <c r="M1944" s="21"/>
      <c r="N1944" s="21"/>
      <c r="O1944" s="21"/>
      <c r="P1944" s="21"/>
      <c r="Q1944" s="21"/>
      <c r="R1944" s="21"/>
      <c r="S1944" s="21"/>
      <c r="T1944" s="21"/>
      <c r="U1944" s="21"/>
      <c r="V1944" s="21"/>
      <c r="W1944" s="21"/>
      <c r="X1944" s="21"/>
      <c r="Y1944" s="21"/>
      <c r="Z1944" s="21"/>
      <c r="AA1944" s="21"/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W1944" s="296"/>
      <c r="CY1944" s="296"/>
    </row>
    <row r="1945" spans="3:103" s="19" customFormat="1" ht="12">
      <c r="C1945" s="21"/>
      <c r="D1945" s="21"/>
      <c r="E1945" s="21"/>
      <c r="F1945" s="21"/>
      <c r="G1945" s="21"/>
      <c r="H1945" s="21"/>
      <c r="I1945" s="21"/>
      <c r="J1945" s="21"/>
      <c r="K1945" s="21"/>
      <c r="L1945" s="21"/>
      <c r="M1945" s="21"/>
      <c r="N1945" s="21"/>
      <c r="O1945" s="21"/>
      <c r="P1945" s="21"/>
      <c r="Q1945" s="21"/>
      <c r="R1945" s="21"/>
      <c r="S1945" s="21"/>
      <c r="T1945" s="21"/>
      <c r="U1945" s="21"/>
      <c r="V1945" s="21"/>
      <c r="W1945" s="21"/>
      <c r="X1945" s="21"/>
      <c r="Y1945" s="21"/>
      <c r="Z1945" s="21"/>
      <c r="AA1945" s="21"/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W1945" s="296"/>
      <c r="CY1945" s="296"/>
    </row>
    <row r="1946" spans="3:103" s="19" customFormat="1" ht="12">
      <c r="C1946" s="21"/>
      <c r="D1946" s="21"/>
      <c r="E1946" s="21"/>
      <c r="F1946" s="21"/>
      <c r="G1946" s="21"/>
      <c r="H1946" s="21"/>
      <c r="I1946" s="21"/>
      <c r="J1946" s="21"/>
      <c r="K1946" s="21"/>
      <c r="L1946" s="21"/>
      <c r="M1946" s="21"/>
      <c r="N1946" s="21"/>
      <c r="O1946" s="21"/>
      <c r="P1946" s="21"/>
      <c r="Q1946" s="21"/>
      <c r="R1946" s="21"/>
      <c r="S1946" s="21"/>
      <c r="T1946" s="21"/>
      <c r="U1946" s="21"/>
      <c r="V1946" s="21"/>
      <c r="W1946" s="21"/>
      <c r="X1946" s="21"/>
      <c r="Y1946" s="21"/>
      <c r="Z1946" s="21"/>
      <c r="AA1946" s="21"/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W1946" s="296"/>
      <c r="CY1946" s="296"/>
    </row>
    <row r="1947" spans="3:103" s="19" customFormat="1" ht="12">
      <c r="C1947" s="21"/>
      <c r="D1947" s="21"/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W1947" s="296"/>
      <c r="CY1947" s="296"/>
    </row>
    <row r="1948" spans="3:103" s="19" customFormat="1" ht="12">
      <c r="C1948" s="21"/>
      <c r="D1948" s="21"/>
      <c r="E1948" s="21"/>
      <c r="F1948" s="21"/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W1948" s="296"/>
      <c r="CY1948" s="296"/>
    </row>
    <row r="1949" spans="3:103" s="19" customFormat="1" ht="12">
      <c r="C1949" s="21"/>
      <c r="D1949" s="21"/>
      <c r="E1949" s="21"/>
      <c r="F1949" s="21"/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W1949" s="296"/>
      <c r="CY1949" s="296"/>
    </row>
    <row r="1950" spans="3:103" s="19" customFormat="1" ht="12">
      <c r="C1950" s="21"/>
      <c r="D1950" s="21"/>
      <c r="E1950" s="21"/>
      <c r="F1950" s="21"/>
      <c r="G1950" s="21"/>
      <c r="H1950" s="21"/>
      <c r="I1950" s="21"/>
      <c r="J1950" s="21"/>
      <c r="K1950" s="21"/>
      <c r="L1950" s="21"/>
      <c r="M1950" s="21"/>
      <c r="N1950" s="21"/>
      <c r="O1950" s="21"/>
      <c r="P1950" s="21"/>
      <c r="Q1950" s="21"/>
      <c r="R1950" s="21"/>
      <c r="S1950" s="21"/>
      <c r="T1950" s="21"/>
      <c r="U1950" s="21"/>
      <c r="V1950" s="21"/>
      <c r="W1950" s="21"/>
      <c r="X1950" s="21"/>
      <c r="Y1950" s="21"/>
      <c r="Z1950" s="21"/>
      <c r="AA1950" s="21"/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W1950" s="296"/>
      <c r="CY1950" s="296"/>
    </row>
    <row r="1951" spans="3:103" s="19" customFormat="1" ht="12">
      <c r="C1951" s="21"/>
      <c r="D1951" s="21"/>
      <c r="E1951" s="21"/>
      <c r="F1951" s="21"/>
      <c r="G1951" s="21"/>
      <c r="H1951" s="21"/>
      <c r="I1951" s="21"/>
      <c r="J1951" s="21"/>
      <c r="K1951" s="21"/>
      <c r="L1951" s="21"/>
      <c r="M1951" s="21"/>
      <c r="N1951" s="21"/>
      <c r="O1951" s="21"/>
      <c r="P1951" s="21"/>
      <c r="Q1951" s="21"/>
      <c r="R1951" s="21"/>
      <c r="S1951" s="21"/>
      <c r="T1951" s="21"/>
      <c r="U1951" s="21"/>
      <c r="V1951" s="21"/>
      <c r="W1951" s="21"/>
      <c r="X1951" s="21"/>
      <c r="Y1951" s="21"/>
      <c r="Z1951" s="21"/>
      <c r="AA1951" s="21"/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W1951" s="296"/>
      <c r="CY1951" s="296"/>
    </row>
    <row r="1952" spans="3:103" s="19" customFormat="1" ht="12">
      <c r="C1952" s="21"/>
      <c r="D1952" s="21"/>
      <c r="E1952" s="21"/>
      <c r="F1952" s="21"/>
      <c r="G1952" s="21"/>
      <c r="H1952" s="21"/>
      <c r="I1952" s="21"/>
      <c r="J1952" s="21"/>
      <c r="K1952" s="21"/>
      <c r="L1952" s="21"/>
      <c r="M1952" s="21"/>
      <c r="N1952" s="21"/>
      <c r="O1952" s="21"/>
      <c r="P1952" s="21"/>
      <c r="Q1952" s="21"/>
      <c r="R1952" s="21"/>
      <c r="S1952" s="21"/>
      <c r="T1952" s="21"/>
      <c r="U1952" s="21"/>
      <c r="V1952" s="21"/>
      <c r="W1952" s="21"/>
      <c r="X1952" s="21"/>
      <c r="Y1952" s="21"/>
      <c r="Z1952" s="21"/>
      <c r="AA1952" s="21"/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W1952" s="296"/>
      <c r="CY1952" s="296"/>
    </row>
    <row r="1953" spans="3:103" s="19" customFormat="1" ht="12">
      <c r="C1953" s="21"/>
      <c r="D1953" s="21"/>
      <c r="E1953" s="21"/>
      <c r="F1953" s="21"/>
      <c r="G1953" s="21"/>
      <c r="H1953" s="21"/>
      <c r="I1953" s="21"/>
      <c r="J1953" s="21"/>
      <c r="K1953" s="21"/>
      <c r="L1953" s="21"/>
      <c r="M1953" s="21"/>
      <c r="N1953" s="21"/>
      <c r="O1953" s="21"/>
      <c r="P1953" s="21"/>
      <c r="Q1953" s="21"/>
      <c r="R1953" s="21"/>
      <c r="S1953" s="21"/>
      <c r="T1953" s="21"/>
      <c r="U1953" s="21"/>
      <c r="V1953" s="21"/>
      <c r="W1953" s="21"/>
      <c r="X1953" s="21"/>
      <c r="Y1953" s="21"/>
      <c r="Z1953" s="21"/>
      <c r="AA1953" s="21"/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W1953" s="296"/>
      <c r="CY1953" s="296"/>
    </row>
    <row r="1954" spans="3:103" s="19" customFormat="1" ht="12">
      <c r="C1954" s="21"/>
      <c r="D1954" s="21"/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W1954" s="296"/>
      <c r="CY1954" s="296"/>
    </row>
    <row r="1955" spans="3:103" s="19" customFormat="1" ht="12">
      <c r="C1955" s="21"/>
      <c r="D1955" s="21"/>
      <c r="E1955" s="21"/>
      <c r="F1955" s="21"/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W1955" s="296"/>
      <c r="CY1955" s="296"/>
    </row>
    <row r="1956" spans="3:103" s="19" customFormat="1" ht="12">
      <c r="C1956" s="21"/>
      <c r="D1956" s="21"/>
      <c r="E1956" s="21"/>
      <c r="F1956" s="21"/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W1956" s="296"/>
      <c r="CY1956" s="296"/>
    </row>
    <row r="1957" spans="3:103" s="19" customFormat="1" ht="12">
      <c r="C1957" s="21"/>
      <c r="D1957" s="21"/>
      <c r="E1957" s="21"/>
      <c r="F1957" s="21"/>
      <c r="G1957" s="21"/>
      <c r="H1957" s="21"/>
      <c r="I1957" s="21"/>
      <c r="J1957" s="21"/>
      <c r="K1957" s="21"/>
      <c r="L1957" s="21"/>
      <c r="M1957" s="21"/>
      <c r="N1957" s="21"/>
      <c r="O1957" s="21"/>
      <c r="P1957" s="21"/>
      <c r="Q1957" s="21"/>
      <c r="R1957" s="21"/>
      <c r="S1957" s="21"/>
      <c r="T1957" s="21"/>
      <c r="U1957" s="21"/>
      <c r="V1957" s="21"/>
      <c r="W1957" s="21"/>
      <c r="X1957" s="21"/>
      <c r="Y1957" s="21"/>
      <c r="Z1957" s="21"/>
      <c r="AA1957" s="21"/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W1957" s="296"/>
      <c r="CY1957" s="296"/>
    </row>
    <row r="1958" spans="3:103" s="19" customFormat="1" ht="12">
      <c r="C1958" s="21"/>
      <c r="D1958" s="21"/>
      <c r="E1958" s="21"/>
      <c r="F1958" s="21"/>
      <c r="G1958" s="21"/>
      <c r="H1958" s="21"/>
      <c r="I1958" s="21"/>
      <c r="J1958" s="21"/>
      <c r="K1958" s="21"/>
      <c r="L1958" s="21"/>
      <c r="M1958" s="21"/>
      <c r="N1958" s="21"/>
      <c r="O1958" s="21"/>
      <c r="P1958" s="21"/>
      <c r="Q1958" s="21"/>
      <c r="R1958" s="21"/>
      <c r="S1958" s="21"/>
      <c r="T1958" s="21"/>
      <c r="U1958" s="21"/>
      <c r="V1958" s="21"/>
      <c r="W1958" s="21"/>
      <c r="X1958" s="21"/>
      <c r="Y1958" s="21"/>
      <c r="Z1958" s="21"/>
      <c r="AA1958" s="21"/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W1958" s="296"/>
      <c r="CY1958" s="296"/>
    </row>
    <row r="1959" spans="3:103" s="19" customFormat="1" ht="12">
      <c r="C1959" s="21"/>
      <c r="D1959" s="21"/>
      <c r="E1959" s="21"/>
      <c r="F1959" s="21"/>
      <c r="G1959" s="21"/>
      <c r="H1959" s="21"/>
      <c r="I1959" s="21"/>
      <c r="J1959" s="21"/>
      <c r="K1959" s="21"/>
      <c r="L1959" s="21"/>
      <c r="M1959" s="21"/>
      <c r="N1959" s="21"/>
      <c r="O1959" s="21"/>
      <c r="P1959" s="21"/>
      <c r="Q1959" s="21"/>
      <c r="R1959" s="21"/>
      <c r="S1959" s="21"/>
      <c r="T1959" s="21"/>
      <c r="U1959" s="21"/>
      <c r="V1959" s="21"/>
      <c r="W1959" s="21"/>
      <c r="X1959" s="21"/>
      <c r="Y1959" s="21"/>
      <c r="Z1959" s="21"/>
      <c r="AA1959" s="21"/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W1959" s="296"/>
      <c r="CY1959" s="296"/>
    </row>
    <row r="1960" spans="3:103" s="19" customFormat="1" ht="12">
      <c r="C1960" s="21"/>
      <c r="D1960" s="21"/>
      <c r="E1960" s="21"/>
      <c r="F1960" s="21"/>
      <c r="G1960" s="21"/>
      <c r="H1960" s="21"/>
      <c r="I1960" s="21"/>
      <c r="J1960" s="21"/>
      <c r="K1960" s="21"/>
      <c r="L1960" s="21"/>
      <c r="M1960" s="21"/>
      <c r="N1960" s="21"/>
      <c r="O1960" s="21"/>
      <c r="P1960" s="21"/>
      <c r="Q1960" s="21"/>
      <c r="R1960" s="21"/>
      <c r="S1960" s="21"/>
      <c r="T1960" s="21"/>
      <c r="U1960" s="21"/>
      <c r="V1960" s="21"/>
      <c r="W1960" s="21"/>
      <c r="X1960" s="21"/>
      <c r="Y1960" s="21"/>
      <c r="Z1960" s="21"/>
      <c r="AA1960" s="21"/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W1960" s="296"/>
      <c r="CY1960" s="296"/>
    </row>
    <row r="1961" spans="3:103" s="19" customFormat="1" ht="12">
      <c r="C1961" s="21"/>
      <c r="D1961" s="21"/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W1961" s="296"/>
      <c r="CY1961" s="296"/>
    </row>
    <row r="1962" spans="3:103" s="19" customFormat="1" ht="12">
      <c r="C1962" s="21"/>
      <c r="D1962" s="21"/>
      <c r="E1962" s="21"/>
      <c r="F1962" s="21"/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W1962" s="296"/>
      <c r="CY1962" s="296"/>
    </row>
    <row r="1963" spans="3:103" s="19" customFormat="1" ht="12">
      <c r="C1963" s="21"/>
      <c r="D1963" s="21"/>
      <c r="E1963" s="21"/>
      <c r="F1963" s="21"/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W1963" s="296"/>
      <c r="CY1963" s="296"/>
    </row>
    <row r="1964" spans="3:103" s="19" customFormat="1" ht="12">
      <c r="C1964" s="21"/>
      <c r="D1964" s="21"/>
      <c r="E1964" s="21"/>
      <c r="F1964" s="21"/>
      <c r="G1964" s="21"/>
      <c r="H1964" s="21"/>
      <c r="I1964" s="21"/>
      <c r="J1964" s="21"/>
      <c r="K1964" s="21"/>
      <c r="L1964" s="21"/>
      <c r="M1964" s="21"/>
      <c r="N1964" s="21"/>
      <c r="O1964" s="21"/>
      <c r="P1964" s="21"/>
      <c r="Q1964" s="21"/>
      <c r="R1964" s="21"/>
      <c r="S1964" s="21"/>
      <c r="T1964" s="21"/>
      <c r="U1964" s="21"/>
      <c r="V1964" s="21"/>
      <c r="W1964" s="21"/>
      <c r="X1964" s="21"/>
      <c r="Y1964" s="21"/>
      <c r="Z1964" s="21"/>
      <c r="AA1964" s="21"/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W1964" s="296"/>
      <c r="CY1964" s="296"/>
    </row>
    <row r="1965" spans="3:103" s="19" customFormat="1" ht="12">
      <c r="C1965" s="21"/>
      <c r="D1965" s="21"/>
      <c r="E1965" s="21"/>
      <c r="F1965" s="21"/>
      <c r="G1965" s="21"/>
      <c r="H1965" s="21"/>
      <c r="I1965" s="21"/>
      <c r="J1965" s="21"/>
      <c r="K1965" s="21"/>
      <c r="L1965" s="21"/>
      <c r="M1965" s="21"/>
      <c r="N1965" s="21"/>
      <c r="O1965" s="21"/>
      <c r="P1965" s="21"/>
      <c r="Q1965" s="21"/>
      <c r="R1965" s="21"/>
      <c r="S1965" s="21"/>
      <c r="T1965" s="21"/>
      <c r="U1965" s="21"/>
      <c r="V1965" s="21"/>
      <c r="W1965" s="21"/>
      <c r="X1965" s="21"/>
      <c r="Y1965" s="21"/>
      <c r="Z1965" s="21"/>
      <c r="AA1965" s="21"/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W1965" s="296"/>
      <c r="CY1965" s="296"/>
    </row>
    <row r="1966" spans="3:103" s="19" customFormat="1" ht="12">
      <c r="C1966" s="21"/>
      <c r="D1966" s="21"/>
      <c r="E1966" s="21"/>
      <c r="F1966" s="21"/>
      <c r="G1966" s="21"/>
      <c r="H1966" s="21"/>
      <c r="I1966" s="21"/>
      <c r="J1966" s="21"/>
      <c r="K1966" s="21"/>
      <c r="L1966" s="21"/>
      <c r="M1966" s="21"/>
      <c r="N1966" s="21"/>
      <c r="O1966" s="21"/>
      <c r="P1966" s="21"/>
      <c r="Q1966" s="21"/>
      <c r="R1966" s="21"/>
      <c r="S1966" s="21"/>
      <c r="T1966" s="21"/>
      <c r="U1966" s="21"/>
      <c r="V1966" s="21"/>
      <c r="W1966" s="21"/>
      <c r="X1966" s="21"/>
      <c r="Y1966" s="21"/>
      <c r="Z1966" s="21"/>
      <c r="AA1966" s="21"/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W1966" s="296"/>
      <c r="CY1966" s="296"/>
    </row>
    <row r="1967" spans="3:103" s="19" customFormat="1" ht="12">
      <c r="C1967" s="21"/>
      <c r="D1967" s="21"/>
      <c r="E1967" s="21"/>
      <c r="F1967" s="21"/>
      <c r="G1967" s="21"/>
      <c r="H1967" s="21"/>
      <c r="I1967" s="21"/>
      <c r="J1967" s="21"/>
      <c r="K1967" s="21"/>
      <c r="L1967" s="21"/>
      <c r="M1967" s="21"/>
      <c r="N1967" s="21"/>
      <c r="O1967" s="21"/>
      <c r="P1967" s="21"/>
      <c r="Q1967" s="21"/>
      <c r="R1967" s="21"/>
      <c r="S1967" s="21"/>
      <c r="T1967" s="21"/>
      <c r="U1967" s="21"/>
      <c r="V1967" s="21"/>
      <c r="W1967" s="21"/>
      <c r="X1967" s="21"/>
      <c r="Y1967" s="21"/>
      <c r="Z1967" s="21"/>
      <c r="AA1967" s="21"/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W1967" s="296"/>
      <c r="CY1967" s="296"/>
    </row>
    <row r="1968" spans="3:103" s="19" customFormat="1" ht="12">
      <c r="C1968" s="21"/>
      <c r="D1968" s="21"/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W1968" s="296"/>
      <c r="CY1968" s="296"/>
    </row>
    <row r="1969" spans="3:103" s="19" customFormat="1" ht="12">
      <c r="C1969" s="21"/>
      <c r="D1969" s="21"/>
      <c r="E1969" s="21"/>
      <c r="F1969" s="21"/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W1969" s="296"/>
      <c r="CY1969" s="296"/>
    </row>
    <row r="1970" spans="3:103" s="19" customFormat="1" ht="12">
      <c r="C1970" s="21"/>
      <c r="D1970" s="21"/>
      <c r="E1970" s="21"/>
      <c r="F1970" s="21"/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W1970" s="296"/>
      <c r="CY1970" s="296"/>
    </row>
    <row r="1971" spans="3:103" s="19" customFormat="1" ht="12">
      <c r="C1971" s="21"/>
      <c r="D1971" s="21"/>
      <c r="E1971" s="21"/>
      <c r="F1971" s="21"/>
      <c r="G1971" s="21"/>
      <c r="H1971" s="21"/>
      <c r="I1971" s="21"/>
      <c r="J1971" s="21"/>
      <c r="K1971" s="21"/>
      <c r="L1971" s="21"/>
      <c r="M1971" s="21"/>
      <c r="N1971" s="21"/>
      <c r="O1971" s="21"/>
      <c r="P1971" s="21"/>
      <c r="Q1971" s="21"/>
      <c r="R1971" s="21"/>
      <c r="S1971" s="21"/>
      <c r="T1971" s="21"/>
      <c r="U1971" s="21"/>
      <c r="V1971" s="21"/>
      <c r="W1971" s="21"/>
      <c r="X1971" s="21"/>
      <c r="Y1971" s="21"/>
      <c r="Z1971" s="21"/>
      <c r="AA1971" s="21"/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W1971" s="296"/>
      <c r="CY1971" s="296"/>
    </row>
    <row r="1972" spans="3:103" s="19" customFormat="1" ht="12">
      <c r="C1972" s="21"/>
      <c r="D1972" s="21"/>
      <c r="E1972" s="21"/>
      <c r="F1972" s="21"/>
      <c r="G1972" s="21"/>
      <c r="H1972" s="21"/>
      <c r="I1972" s="21"/>
      <c r="J1972" s="21"/>
      <c r="K1972" s="21"/>
      <c r="L1972" s="21"/>
      <c r="M1972" s="21"/>
      <c r="N1972" s="21"/>
      <c r="O1972" s="21"/>
      <c r="P1972" s="21"/>
      <c r="Q1972" s="21"/>
      <c r="R1972" s="21"/>
      <c r="S1972" s="21"/>
      <c r="T1972" s="21"/>
      <c r="U1972" s="21"/>
      <c r="V1972" s="21"/>
      <c r="W1972" s="21"/>
      <c r="X1972" s="21"/>
      <c r="Y1972" s="21"/>
      <c r="Z1972" s="21"/>
      <c r="AA1972" s="21"/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W1972" s="296"/>
      <c r="CY1972" s="296"/>
    </row>
    <row r="1973" spans="3:103" s="19" customFormat="1" ht="12">
      <c r="C1973" s="21"/>
      <c r="D1973" s="21"/>
      <c r="E1973" s="21"/>
      <c r="F1973" s="21"/>
      <c r="G1973" s="21"/>
      <c r="H1973" s="21"/>
      <c r="I1973" s="21"/>
      <c r="J1973" s="21"/>
      <c r="K1973" s="21"/>
      <c r="L1973" s="21"/>
      <c r="M1973" s="21"/>
      <c r="N1973" s="21"/>
      <c r="O1973" s="21"/>
      <c r="P1973" s="21"/>
      <c r="Q1973" s="21"/>
      <c r="R1973" s="21"/>
      <c r="S1973" s="21"/>
      <c r="T1973" s="21"/>
      <c r="U1973" s="21"/>
      <c r="V1973" s="21"/>
      <c r="W1973" s="21"/>
      <c r="X1973" s="21"/>
      <c r="Y1973" s="21"/>
      <c r="Z1973" s="21"/>
      <c r="AA1973" s="21"/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W1973" s="296"/>
      <c r="CY1973" s="296"/>
    </row>
    <row r="1974" spans="3:103" s="19" customFormat="1" ht="12">
      <c r="C1974" s="21"/>
      <c r="D1974" s="21"/>
      <c r="E1974" s="21"/>
      <c r="F1974" s="21"/>
      <c r="G1974" s="21"/>
      <c r="H1974" s="21"/>
      <c r="I1974" s="21"/>
      <c r="J1974" s="21"/>
      <c r="K1974" s="21"/>
      <c r="L1974" s="21"/>
      <c r="M1974" s="21"/>
      <c r="N1974" s="21"/>
      <c r="O1974" s="21"/>
      <c r="P1974" s="21"/>
      <c r="Q1974" s="21"/>
      <c r="R1974" s="21"/>
      <c r="S1974" s="21"/>
      <c r="T1974" s="21"/>
      <c r="U1974" s="21"/>
      <c r="V1974" s="21"/>
      <c r="W1974" s="21"/>
      <c r="X1974" s="21"/>
      <c r="Y1974" s="21"/>
      <c r="Z1974" s="21"/>
      <c r="AA1974" s="21"/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W1974" s="296"/>
      <c r="CY1974" s="296"/>
    </row>
    <row r="1975" spans="3:103" s="19" customFormat="1" ht="12">
      <c r="C1975" s="21"/>
      <c r="D1975" s="21"/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W1975" s="296"/>
      <c r="CY1975" s="296"/>
    </row>
    <row r="1976" spans="3:103" s="19" customFormat="1" ht="12">
      <c r="C1976" s="21"/>
      <c r="D1976" s="21"/>
      <c r="E1976" s="21"/>
      <c r="F1976" s="21"/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W1976" s="296"/>
      <c r="CY1976" s="296"/>
    </row>
    <row r="1977" spans="3:103" s="19" customFormat="1" ht="12">
      <c r="C1977" s="21"/>
      <c r="D1977" s="21"/>
      <c r="E1977" s="21"/>
      <c r="F1977" s="21"/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W1977" s="296"/>
      <c r="CY1977" s="296"/>
    </row>
    <row r="1978" spans="3:103" s="19" customFormat="1" ht="12">
      <c r="C1978" s="21"/>
      <c r="D1978" s="21"/>
      <c r="E1978" s="21"/>
      <c r="F1978" s="21"/>
      <c r="G1978" s="21"/>
      <c r="H1978" s="21"/>
      <c r="I1978" s="21"/>
      <c r="J1978" s="21"/>
      <c r="K1978" s="21"/>
      <c r="L1978" s="21"/>
      <c r="M1978" s="21"/>
      <c r="N1978" s="21"/>
      <c r="O1978" s="21"/>
      <c r="P1978" s="21"/>
      <c r="Q1978" s="21"/>
      <c r="R1978" s="21"/>
      <c r="S1978" s="21"/>
      <c r="T1978" s="21"/>
      <c r="U1978" s="21"/>
      <c r="V1978" s="21"/>
      <c r="W1978" s="21"/>
      <c r="X1978" s="21"/>
      <c r="Y1978" s="21"/>
      <c r="Z1978" s="21"/>
      <c r="AA1978" s="21"/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W1978" s="296"/>
      <c r="CY1978" s="296"/>
    </row>
    <row r="1979" spans="3:103" s="19" customFormat="1" ht="12">
      <c r="C1979" s="21"/>
      <c r="D1979" s="21"/>
      <c r="E1979" s="21"/>
      <c r="F1979" s="21"/>
      <c r="G1979" s="21"/>
      <c r="H1979" s="21"/>
      <c r="I1979" s="21"/>
      <c r="J1979" s="21"/>
      <c r="K1979" s="21"/>
      <c r="L1979" s="21"/>
      <c r="M1979" s="21"/>
      <c r="N1979" s="21"/>
      <c r="O1979" s="21"/>
      <c r="P1979" s="21"/>
      <c r="Q1979" s="21"/>
      <c r="R1979" s="21"/>
      <c r="S1979" s="21"/>
      <c r="T1979" s="21"/>
      <c r="U1979" s="21"/>
      <c r="V1979" s="21"/>
      <c r="W1979" s="21"/>
      <c r="X1979" s="21"/>
      <c r="Y1979" s="21"/>
      <c r="Z1979" s="21"/>
      <c r="AA1979" s="21"/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W1979" s="296"/>
      <c r="CY1979" s="296"/>
    </row>
    <row r="1980" spans="3:103" s="19" customFormat="1" ht="12">
      <c r="C1980" s="21"/>
      <c r="D1980" s="21"/>
      <c r="E1980" s="21"/>
      <c r="F1980" s="21"/>
      <c r="G1980" s="21"/>
      <c r="H1980" s="21"/>
      <c r="I1980" s="21"/>
      <c r="J1980" s="21"/>
      <c r="K1980" s="21"/>
      <c r="L1980" s="21"/>
      <c r="M1980" s="21"/>
      <c r="N1980" s="21"/>
      <c r="O1980" s="21"/>
      <c r="P1980" s="21"/>
      <c r="Q1980" s="21"/>
      <c r="R1980" s="21"/>
      <c r="S1980" s="21"/>
      <c r="T1980" s="21"/>
      <c r="U1980" s="21"/>
      <c r="V1980" s="21"/>
      <c r="W1980" s="21"/>
      <c r="X1980" s="21"/>
      <c r="Y1980" s="21"/>
      <c r="Z1980" s="21"/>
      <c r="AA1980" s="21"/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W1980" s="296"/>
      <c r="CY1980" s="296"/>
    </row>
    <row r="1981" spans="3:103" s="19" customFormat="1" ht="12">
      <c r="C1981" s="21"/>
      <c r="D1981" s="21"/>
      <c r="E1981" s="21"/>
      <c r="F1981" s="21"/>
      <c r="G1981" s="21"/>
      <c r="H1981" s="21"/>
      <c r="I1981" s="21"/>
      <c r="J1981" s="21"/>
      <c r="K1981" s="21"/>
      <c r="L1981" s="21"/>
      <c r="M1981" s="21"/>
      <c r="N1981" s="21"/>
      <c r="O1981" s="21"/>
      <c r="P1981" s="21"/>
      <c r="Q1981" s="21"/>
      <c r="R1981" s="21"/>
      <c r="S1981" s="21"/>
      <c r="T1981" s="21"/>
      <c r="U1981" s="21"/>
      <c r="V1981" s="21"/>
      <c r="W1981" s="21"/>
      <c r="X1981" s="21"/>
      <c r="Y1981" s="21"/>
      <c r="Z1981" s="21"/>
      <c r="AA1981" s="21"/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W1981" s="296"/>
      <c r="CY1981" s="296"/>
    </row>
    <row r="1982" spans="3:103" s="19" customFormat="1" ht="12">
      <c r="C1982" s="21"/>
      <c r="D1982" s="21"/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W1982" s="296"/>
      <c r="CY1982" s="296"/>
    </row>
    <row r="1983" spans="3:103" s="19" customFormat="1" ht="12">
      <c r="C1983" s="21"/>
      <c r="D1983" s="21"/>
      <c r="E1983" s="21"/>
      <c r="F1983" s="21"/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W1983" s="296"/>
      <c r="CY1983" s="296"/>
    </row>
    <row r="1984" spans="3:103" s="19" customFormat="1" ht="12">
      <c r="C1984" s="21"/>
      <c r="D1984" s="21"/>
      <c r="E1984" s="21"/>
      <c r="F1984" s="21"/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W1984" s="296"/>
      <c r="CY1984" s="296"/>
    </row>
    <row r="1985" spans="3:103" s="19" customFormat="1" ht="12">
      <c r="C1985" s="21"/>
      <c r="D1985" s="21"/>
      <c r="E1985" s="21"/>
      <c r="F1985" s="21"/>
      <c r="G1985" s="21"/>
      <c r="H1985" s="21"/>
      <c r="I1985" s="21"/>
      <c r="J1985" s="21"/>
      <c r="K1985" s="21"/>
      <c r="L1985" s="21"/>
      <c r="M1985" s="21"/>
      <c r="N1985" s="21"/>
      <c r="O1985" s="21"/>
      <c r="P1985" s="21"/>
      <c r="Q1985" s="21"/>
      <c r="R1985" s="21"/>
      <c r="S1985" s="21"/>
      <c r="T1985" s="21"/>
      <c r="U1985" s="21"/>
      <c r="V1985" s="21"/>
      <c r="W1985" s="21"/>
      <c r="X1985" s="21"/>
      <c r="Y1985" s="21"/>
      <c r="Z1985" s="21"/>
      <c r="AA1985" s="21"/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W1985" s="296"/>
      <c r="CY1985" s="296"/>
    </row>
    <row r="1986" spans="3:103" s="19" customFormat="1" ht="12">
      <c r="C1986" s="21"/>
      <c r="D1986" s="21"/>
      <c r="E1986" s="21"/>
      <c r="F1986" s="21"/>
      <c r="G1986" s="21"/>
      <c r="H1986" s="21"/>
      <c r="I1986" s="21"/>
      <c r="J1986" s="21"/>
      <c r="K1986" s="21"/>
      <c r="L1986" s="21"/>
      <c r="M1986" s="21"/>
      <c r="N1986" s="21"/>
      <c r="O1986" s="21"/>
      <c r="P1986" s="21"/>
      <c r="Q1986" s="21"/>
      <c r="R1986" s="21"/>
      <c r="S1986" s="21"/>
      <c r="T1986" s="21"/>
      <c r="U1986" s="21"/>
      <c r="V1986" s="21"/>
      <c r="W1986" s="21"/>
      <c r="X1986" s="21"/>
      <c r="Y1986" s="21"/>
      <c r="Z1986" s="21"/>
      <c r="AA1986" s="21"/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W1986" s="296"/>
      <c r="CY1986" s="296"/>
    </row>
    <row r="1987" spans="3:103" s="19" customFormat="1" ht="12">
      <c r="C1987" s="21"/>
      <c r="D1987" s="21"/>
      <c r="E1987" s="21"/>
      <c r="F1987" s="21"/>
      <c r="G1987" s="21"/>
      <c r="H1987" s="21"/>
      <c r="I1987" s="21"/>
      <c r="J1987" s="21"/>
      <c r="K1987" s="21"/>
      <c r="L1987" s="21"/>
      <c r="M1987" s="21"/>
      <c r="N1987" s="21"/>
      <c r="O1987" s="21"/>
      <c r="P1987" s="21"/>
      <c r="Q1987" s="21"/>
      <c r="R1987" s="21"/>
      <c r="S1987" s="21"/>
      <c r="T1987" s="21"/>
      <c r="U1987" s="21"/>
      <c r="V1987" s="21"/>
      <c r="W1987" s="21"/>
      <c r="X1987" s="21"/>
      <c r="Y1987" s="21"/>
      <c r="Z1987" s="21"/>
      <c r="AA1987" s="21"/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W1987" s="296"/>
      <c r="CY1987" s="296"/>
    </row>
    <row r="1988" spans="3:103" s="19" customFormat="1" ht="12">
      <c r="C1988" s="21"/>
      <c r="D1988" s="21"/>
      <c r="E1988" s="21"/>
      <c r="F1988" s="21"/>
      <c r="G1988" s="21"/>
      <c r="H1988" s="21"/>
      <c r="I1988" s="21"/>
      <c r="J1988" s="21"/>
      <c r="K1988" s="21"/>
      <c r="L1988" s="21"/>
      <c r="M1988" s="21"/>
      <c r="N1988" s="21"/>
      <c r="O1988" s="21"/>
      <c r="P1988" s="21"/>
      <c r="Q1988" s="21"/>
      <c r="R1988" s="21"/>
      <c r="S1988" s="21"/>
      <c r="T1988" s="21"/>
      <c r="U1988" s="21"/>
      <c r="V1988" s="21"/>
      <c r="W1988" s="21"/>
      <c r="X1988" s="21"/>
      <c r="Y1988" s="21"/>
      <c r="Z1988" s="21"/>
      <c r="AA1988" s="21"/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W1988" s="296"/>
      <c r="CY1988" s="296"/>
    </row>
    <row r="1989" spans="3:103" s="19" customFormat="1" ht="12">
      <c r="C1989" s="21"/>
      <c r="D1989" s="21"/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W1989" s="296"/>
      <c r="CY1989" s="296"/>
    </row>
    <row r="1990" spans="3:103" s="19" customFormat="1" ht="12">
      <c r="C1990" s="21"/>
      <c r="D1990" s="21"/>
      <c r="E1990" s="21"/>
      <c r="F1990" s="21"/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W1990" s="296"/>
      <c r="CY1990" s="296"/>
    </row>
    <row r="1991" spans="3:103" s="19" customFormat="1" ht="12">
      <c r="C1991" s="21"/>
      <c r="D1991" s="21"/>
      <c r="E1991" s="21"/>
      <c r="F1991" s="21"/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W1991" s="296"/>
      <c r="CY1991" s="296"/>
    </row>
    <row r="1992" spans="3:103" s="19" customFormat="1" ht="12">
      <c r="C1992" s="21"/>
      <c r="D1992" s="21"/>
      <c r="E1992" s="21"/>
      <c r="F1992" s="21"/>
      <c r="G1992" s="21"/>
      <c r="H1992" s="21"/>
      <c r="I1992" s="21"/>
      <c r="J1992" s="21"/>
      <c r="K1992" s="21"/>
      <c r="L1992" s="21"/>
      <c r="M1992" s="21"/>
      <c r="N1992" s="21"/>
      <c r="O1992" s="21"/>
      <c r="P1992" s="21"/>
      <c r="Q1992" s="21"/>
      <c r="R1992" s="21"/>
      <c r="S1992" s="21"/>
      <c r="T1992" s="21"/>
      <c r="U1992" s="21"/>
      <c r="V1992" s="21"/>
      <c r="W1992" s="21"/>
      <c r="X1992" s="21"/>
      <c r="Y1992" s="21"/>
      <c r="Z1992" s="21"/>
      <c r="AA1992" s="21"/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W1992" s="296"/>
      <c r="CY1992" s="296"/>
    </row>
    <row r="1993" spans="3:103" s="19" customFormat="1" ht="12">
      <c r="C1993" s="21"/>
      <c r="D1993" s="21"/>
      <c r="E1993" s="21"/>
      <c r="F1993" s="21"/>
      <c r="G1993" s="21"/>
      <c r="H1993" s="21"/>
      <c r="I1993" s="21"/>
      <c r="J1993" s="21"/>
      <c r="K1993" s="21"/>
      <c r="L1993" s="21"/>
      <c r="M1993" s="21"/>
      <c r="N1993" s="21"/>
      <c r="O1993" s="21"/>
      <c r="P1993" s="21"/>
      <c r="Q1993" s="21"/>
      <c r="R1993" s="21"/>
      <c r="S1993" s="21"/>
      <c r="T1993" s="21"/>
      <c r="U1993" s="21"/>
      <c r="V1993" s="21"/>
      <c r="W1993" s="21"/>
      <c r="X1993" s="21"/>
      <c r="Y1993" s="21"/>
      <c r="Z1993" s="21"/>
      <c r="AA1993" s="21"/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W1993" s="296"/>
      <c r="CY1993" s="296"/>
    </row>
    <row r="1994" spans="3:103" s="19" customFormat="1" ht="12">
      <c r="C1994" s="21"/>
      <c r="D1994" s="21"/>
      <c r="E1994" s="21"/>
      <c r="F1994" s="21"/>
      <c r="G1994" s="21"/>
      <c r="H1994" s="21"/>
      <c r="I1994" s="21"/>
      <c r="J1994" s="21"/>
      <c r="K1994" s="21"/>
      <c r="L1994" s="21"/>
      <c r="M1994" s="21"/>
      <c r="N1994" s="21"/>
      <c r="O1994" s="21"/>
      <c r="P1994" s="21"/>
      <c r="Q1994" s="21"/>
      <c r="R1994" s="21"/>
      <c r="S1994" s="21"/>
      <c r="T1994" s="21"/>
      <c r="U1994" s="21"/>
      <c r="V1994" s="21"/>
      <c r="W1994" s="21"/>
      <c r="X1994" s="21"/>
      <c r="Y1994" s="21"/>
      <c r="Z1994" s="21"/>
      <c r="AA1994" s="21"/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W1994" s="296"/>
      <c r="CY1994" s="296"/>
    </row>
    <row r="1995" spans="3:103" s="19" customFormat="1" ht="12">
      <c r="C1995" s="21"/>
      <c r="D1995" s="21"/>
      <c r="E1995" s="21"/>
      <c r="F1995" s="21"/>
      <c r="G1995" s="21"/>
      <c r="H1995" s="21"/>
      <c r="I1995" s="21"/>
      <c r="J1995" s="21"/>
      <c r="K1995" s="21"/>
      <c r="L1995" s="21"/>
      <c r="M1995" s="21"/>
      <c r="N1995" s="21"/>
      <c r="O1995" s="21"/>
      <c r="P1995" s="21"/>
      <c r="Q1995" s="21"/>
      <c r="R1995" s="21"/>
      <c r="S1995" s="21"/>
      <c r="T1995" s="21"/>
      <c r="U1995" s="21"/>
      <c r="V1995" s="21"/>
      <c r="W1995" s="21"/>
      <c r="X1995" s="21"/>
      <c r="Y1995" s="21"/>
      <c r="Z1995" s="21"/>
      <c r="AA1995" s="21"/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W1995" s="296"/>
      <c r="CY1995" s="296"/>
    </row>
    <row r="1996" spans="3:103" s="19" customFormat="1" ht="12">
      <c r="C1996" s="21"/>
      <c r="D1996" s="21"/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W1996" s="296"/>
      <c r="CY1996" s="296"/>
    </row>
    <row r="1997" spans="3:103" s="19" customFormat="1" ht="12">
      <c r="C1997" s="21"/>
      <c r="D1997" s="21"/>
      <c r="E1997" s="21"/>
      <c r="F1997" s="21"/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W1997" s="296"/>
      <c r="CY1997" s="296"/>
    </row>
    <row r="1998" spans="3:103" s="19" customFormat="1" ht="12">
      <c r="C1998" s="21"/>
      <c r="D1998" s="21"/>
      <c r="E1998" s="21"/>
      <c r="F1998" s="21"/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W1998" s="296"/>
      <c r="CY1998" s="296"/>
    </row>
    <row r="1999" spans="3:103" s="19" customFormat="1" ht="12">
      <c r="C1999" s="21"/>
      <c r="D1999" s="21"/>
      <c r="E1999" s="21"/>
      <c r="F1999" s="21"/>
      <c r="G1999" s="21"/>
      <c r="H1999" s="21"/>
      <c r="I1999" s="21"/>
      <c r="J1999" s="21"/>
      <c r="K1999" s="21"/>
      <c r="L1999" s="21"/>
      <c r="M1999" s="21"/>
      <c r="N1999" s="21"/>
      <c r="O1999" s="21"/>
      <c r="P1999" s="21"/>
      <c r="Q1999" s="21"/>
      <c r="R1999" s="21"/>
      <c r="S1999" s="21"/>
      <c r="T1999" s="21"/>
      <c r="U1999" s="21"/>
      <c r="V1999" s="21"/>
      <c r="W1999" s="21"/>
      <c r="X1999" s="21"/>
      <c r="Y1999" s="21"/>
      <c r="Z1999" s="21"/>
      <c r="AA1999" s="21"/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W1999" s="296"/>
      <c r="CY1999" s="296"/>
    </row>
    <row r="2000" spans="3:103" s="19" customFormat="1" ht="12">
      <c r="C2000" s="21"/>
      <c r="D2000" s="21"/>
      <c r="E2000" s="21"/>
      <c r="F2000" s="21"/>
      <c r="G2000" s="21"/>
      <c r="H2000" s="21"/>
      <c r="I2000" s="21"/>
      <c r="J2000" s="21"/>
      <c r="K2000" s="21"/>
      <c r="L2000" s="21"/>
      <c r="M2000" s="21"/>
      <c r="N2000" s="21"/>
      <c r="O2000" s="21"/>
      <c r="P2000" s="21"/>
      <c r="Q2000" s="21"/>
      <c r="R2000" s="21"/>
      <c r="S2000" s="21"/>
      <c r="T2000" s="21"/>
      <c r="U2000" s="21"/>
      <c r="V2000" s="21"/>
      <c r="W2000" s="21"/>
      <c r="X2000" s="21"/>
      <c r="Y2000" s="21"/>
      <c r="Z2000" s="21"/>
      <c r="AA2000" s="21"/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W2000" s="296"/>
      <c r="CY2000" s="296"/>
    </row>
    <row r="2001" spans="3:103" s="19" customFormat="1" ht="12">
      <c r="C2001" s="21"/>
      <c r="D2001" s="21"/>
      <c r="E2001" s="21"/>
      <c r="F2001" s="21"/>
      <c r="G2001" s="21"/>
      <c r="H2001" s="21"/>
      <c r="I2001" s="21"/>
      <c r="J2001" s="21"/>
      <c r="K2001" s="21"/>
      <c r="L2001" s="21"/>
      <c r="M2001" s="21"/>
      <c r="N2001" s="21"/>
      <c r="O2001" s="21"/>
      <c r="P2001" s="21"/>
      <c r="Q2001" s="21"/>
      <c r="R2001" s="21"/>
      <c r="S2001" s="21"/>
      <c r="T2001" s="21"/>
      <c r="U2001" s="21"/>
      <c r="V2001" s="21"/>
      <c r="W2001" s="21"/>
      <c r="X2001" s="21"/>
      <c r="Y2001" s="21"/>
      <c r="Z2001" s="21"/>
      <c r="AA2001" s="21"/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W2001" s="296"/>
      <c r="CY2001" s="296"/>
    </row>
    <row r="2002" spans="3:103" s="19" customFormat="1" ht="12">
      <c r="C2002" s="21"/>
      <c r="D2002" s="21"/>
      <c r="E2002" s="21"/>
      <c r="F2002" s="21"/>
      <c r="G2002" s="21"/>
      <c r="H2002" s="21"/>
      <c r="I2002" s="21"/>
      <c r="J2002" s="21"/>
      <c r="K2002" s="21"/>
      <c r="L2002" s="21"/>
      <c r="M2002" s="21"/>
      <c r="N2002" s="21"/>
      <c r="O2002" s="21"/>
      <c r="P2002" s="21"/>
      <c r="Q2002" s="21"/>
      <c r="R2002" s="21"/>
      <c r="S2002" s="21"/>
      <c r="T2002" s="21"/>
      <c r="U2002" s="21"/>
      <c r="V2002" s="21"/>
      <c r="W2002" s="21"/>
      <c r="X2002" s="21"/>
      <c r="Y2002" s="21"/>
      <c r="Z2002" s="21"/>
      <c r="AA2002" s="21"/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W2002" s="296"/>
      <c r="CY2002" s="296"/>
    </row>
    <row r="2003" spans="3:103" s="19" customFormat="1" ht="12">
      <c r="C2003" s="21"/>
      <c r="D2003" s="21"/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W2003" s="296"/>
      <c r="CY2003" s="296"/>
    </row>
    <row r="2004" spans="3:103" s="19" customFormat="1" ht="12">
      <c r="C2004" s="21"/>
      <c r="D2004" s="21"/>
      <c r="E2004" s="21"/>
      <c r="F2004" s="21"/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W2004" s="296"/>
      <c r="CY2004" s="296"/>
    </row>
    <row r="2005" spans="3:103" s="19" customFormat="1" ht="12">
      <c r="C2005" s="21"/>
      <c r="D2005" s="21"/>
      <c r="E2005" s="21"/>
      <c r="F2005" s="21"/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W2005" s="296"/>
      <c r="CY2005" s="296"/>
    </row>
    <row r="2006" spans="3:103" s="19" customFormat="1" ht="12">
      <c r="C2006" s="21"/>
      <c r="D2006" s="21"/>
      <c r="E2006" s="21"/>
      <c r="F2006" s="21"/>
      <c r="G2006" s="21"/>
      <c r="H2006" s="21"/>
      <c r="I2006" s="21"/>
      <c r="J2006" s="21"/>
      <c r="K2006" s="21"/>
      <c r="L2006" s="21"/>
      <c r="M2006" s="21"/>
      <c r="N2006" s="21"/>
      <c r="O2006" s="21"/>
      <c r="P2006" s="21"/>
      <c r="Q2006" s="21"/>
      <c r="R2006" s="21"/>
      <c r="S2006" s="21"/>
      <c r="T2006" s="21"/>
      <c r="U2006" s="21"/>
      <c r="V2006" s="21"/>
      <c r="W2006" s="21"/>
      <c r="X2006" s="21"/>
      <c r="Y2006" s="21"/>
      <c r="Z2006" s="21"/>
      <c r="AA2006" s="21"/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W2006" s="296"/>
      <c r="CY2006" s="296"/>
    </row>
    <row r="2007" spans="3:103" s="19" customFormat="1" ht="12">
      <c r="C2007" s="21"/>
      <c r="D2007" s="21"/>
      <c r="E2007" s="21"/>
      <c r="F2007" s="21"/>
      <c r="G2007" s="21"/>
      <c r="H2007" s="21"/>
      <c r="I2007" s="21"/>
      <c r="J2007" s="21"/>
      <c r="K2007" s="21"/>
      <c r="L2007" s="21"/>
      <c r="M2007" s="21"/>
      <c r="N2007" s="21"/>
      <c r="O2007" s="21"/>
      <c r="P2007" s="21"/>
      <c r="Q2007" s="21"/>
      <c r="R2007" s="21"/>
      <c r="S2007" s="21"/>
      <c r="T2007" s="21"/>
      <c r="U2007" s="21"/>
      <c r="V2007" s="21"/>
      <c r="W2007" s="21"/>
      <c r="X2007" s="21"/>
      <c r="Y2007" s="21"/>
      <c r="Z2007" s="21"/>
      <c r="AA2007" s="21"/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W2007" s="296"/>
      <c r="CY2007" s="296"/>
    </row>
    <row r="2008" spans="3:103" s="19" customFormat="1" ht="12">
      <c r="C2008" s="21"/>
      <c r="D2008" s="21"/>
      <c r="E2008" s="21"/>
      <c r="F2008" s="21"/>
      <c r="G2008" s="21"/>
      <c r="H2008" s="21"/>
      <c r="I2008" s="21"/>
      <c r="J2008" s="21"/>
      <c r="K2008" s="21"/>
      <c r="L2008" s="21"/>
      <c r="M2008" s="21"/>
      <c r="N2008" s="21"/>
      <c r="O2008" s="21"/>
      <c r="P2008" s="21"/>
      <c r="Q2008" s="21"/>
      <c r="R2008" s="21"/>
      <c r="S2008" s="21"/>
      <c r="T2008" s="21"/>
      <c r="U2008" s="21"/>
      <c r="V2008" s="21"/>
      <c r="W2008" s="21"/>
      <c r="X2008" s="21"/>
      <c r="Y2008" s="21"/>
      <c r="Z2008" s="21"/>
      <c r="AA2008" s="21"/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W2008" s="296"/>
      <c r="CY2008" s="296"/>
    </row>
    <row r="2009" spans="3:103" s="19" customFormat="1" ht="12">
      <c r="C2009" s="21"/>
      <c r="D2009" s="21"/>
      <c r="E2009" s="21"/>
      <c r="F2009" s="21"/>
      <c r="G2009" s="21"/>
      <c r="H2009" s="21"/>
      <c r="I2009" s="21"/>
      <c r="J2009" s="21"/>
      <c r="K2009" s="21"/>
      <c r="L2009" s="21"/>
      <c r="M2009" s="21"/>
      <c r="N2009" s="21"/>
      <c r="O2009" s="21"/>
      <c r="P2009" s="21"/>
      <c r="Q2009" s="21"/>
      <c r="R2009" s="21"/>
      <c r="S2009" s="21"/>
      <c r="T2009" s="21"/>
      <c r="U2009" s="21"/>
      <c r="V2009" s="21"/>
      <c r="W2009" s="21"/>
      <c r="X2009" s="21"/>
      <c r="Y2009" s="21"/>
      <c r="Z2009" s="21"/>
      <c r="AA2009" s="21"/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W2009" s="296"/>
      <c r="CY2009" s="296"/>
    </row>
    <row r="2010" spans="3:103" s="19" customFormat="1" ht="12">
      <c r="C2010" s="21"/>
      <c r="D2010" s="21"/>
      <c r="E2010" s="21"/>
      <c r="F2010" s="21"/>
      <c r="G2010" s="21"/>
      <c r="H2010" s="21"/>
      <c r="I2010" s="21"/>
      <c r="J2010" s="21"/>
      <c r="K2010" s="21"/>
      <c r="L2010" s="21"/>
      <c r="M2010" s="21"/>
      <c r="N2010" s="21"/>
      <c r="O2010" s="21"/>
      <c r="P2010" s="21"/>
      <c r="Q2010" s="21"/>
      <c r="R2010" s="21"/>
      <c r="S2010" s="21"/>
      <c r="T2010" s="21"/>
      <c r="U2010" s="21"/>
      <c r="V2010" s="21"/>
      <c r="W2010" s="21"/>
      <c r="X2010" s="21"/>
      <c r="Y2010" s="21"/>
      <c r="Z2010" s="21"/>
      <c r="AA2010" s="21"/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W2010" s="296"/>
      <c r="CY2010" s="296"/>
    </row>
    <row r="2011" spans="3:103" s="19" customFormat="1" ht="12">
      <c r="C2011" s="21"/>
      <c r="D2011" s="21"/>
      <c r="E2011" s="21"/>
      <c r="F2011" s="21"/>
      <c r="G2011" s="21"/>
      <c r="H2011" s="21"/>
      <c r="I2011" s="21"/>
      <c r="J2011" s="21"/>
      <c r="K2011" s="21"/>
      <c r="L2011" s="21"/>
      <c r="M2011" s="21"/>
      <c r="N2011" s="21"/>
      <c r="O2011" s="21"/>
      <c r="P2011" s="21"/>
      <c r="Q2011" s="21"/>
      <c r="R2011" s="21"/>
      <c r="S2011" s="21"/>
      <c r="T2011" s="21"/>
      <c r="U2011" s="21"/>
      <c r="V2011" s="21"/>
      <c r="W2011" s="21"/>
      <c r="X2011" s="21"/>
      <c r="Y2011" s="21"/>
      <c r="Z2011" s="21"/>
      <c r="AA2011" s="21"/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W2011" s="296"/>
      <c r="CY2011" s="296"/>
    </row>
    <row r="2012" spans="3:103" s="19" customFormat="1" ht="12">
      <c r="C2012" s="21"/>
      <c r="D2012" s="21"/>
      <c r="E2012" s="21"/>
      <c r="F2012" s="21"/>
      <c r="G2012" s="21"/>
      <c r="H2012" s="21"/>
      <c r="I2012" s="21"/>
      <c r="J2012" s="21"/>
      <c r="K2012" s="21"/>
      <c r="L2012" s="21"/>
      <c r="M2012" s="21"/>
      <c r="N2012" s="21"/>
      <c r="O2012" s="21"/>
      <c r="P2012" s="21"/>
      <c r="Q2012" s="21"/>
      <c r="R2012" s="21"/>
      <c r="S2012" s="21"/>
      <c r="T2012" s="21"/>
      <c r="U2012" s="21"/>
      <c r="V2012" s="21"/>
      <c r="W2012" s="21"/>
      <c r="X2012" s="21"/>
      <c r="Y2012" s="21"/>
      <c r="Z2012" s="21"/>
      <c r="AA2012" s="21"/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W2012" s="296"/>
      <c r="CY2012" s="296"/>
    </row>
    <row r="2013" spans="3:103" s="19" customFormat="1" ht="12">
      <c r="C2013" s="21"/>
      <c r="D2013" s="21"/>
      <c r="E2013" s="21"/>
      <c r="F2013" s="21"/>
      <c r="G2013" s="21"/>
      <c r="H2013" s="21"/>
      <c r="I2013" s="21"/>
      <c r="J2013" s="21"/>
      <c r="K2013" s="21"/>
      <c r="L2013" s="21"/>
      <c r="M2013" s="21"/>
      <c r="N2013" s="21"/>
      <c r="O2013" s="21"/>
      <c r="P2013" s="21"/>
      <c r="Q2013" s="21"/>
      <c r="R2013" s="21"/>
      <c r="S2013" s="21"/>
      <c r="T2013" s="21"/>
      <c r="U2013" s="21"/>
      <c r="V2013" s="21"/>
      <c r="W2013" s="21"/>
      <c r="X2013" s="21"/>
      <c r="Y2013" s="21"/>
      <c r="Z2013" s="21"/>
      <c r="AA2013" s="21"/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W2013" s="296"/>
      <c r="CY2013" s="296"/>
    </row>
    <row r="2014" spans="3:103" s="19" customFormat="1" ht="12">
      <c r="C2014" s="21"/>
      <c r="D2014" s="21"/>
      <c r="E2014" s="21"/>
      <c r="F2014" s="21"/>
      <c r="G2014" s="21"/>
      <c r="H2014" s="21"/>
      <c r="I2014" s="21"/>
      <c r="J2014" s="21"/>
      <c r="K2014" s="21"/>
      <c r="L2014" s="21"/>
      <c r="M2014" s="21"/>
      <c r="N2014" s="21"/>
      <c r="O2014" s="21"/>
      <c r="P2014" s="21"/>
      <c r="Q2014" s="21"/>
      <c r="R2014" s="21"/>
      <c r="S2014" s="21"/>
      <c r="T2014" s="21"/>
      <c r="U2014" s="21"/>
      <c r="V2014" s="21"/>
      <c r="W2014" s="21"/>
      <c r="X2014" s="21"/>
      <c r="Y2014" s="21"/>
      <c r="Z2014" s="21"/>
      <c r="AA2014" s="21"/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W2014" s="296"/>
      <c r="CY2014" s="296"/>
    </row>
    <row r="2015" spans="3:103" s="19" customFormat="1" ht="12">
      <c r="C2015" s="21"/>
      <c r="D2015" s="21"/>
      <c r="E2015" s="21"/>
      <c r="F2015" s="21"/>
      <c r="G2015" s="21"/>
      <c r="H2015" s="21"/>
      <c r="I2015" s="21"/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W2015" s="296"/>
      <c r="CY2015" s="296"/>
    </row>
    <row r="2016" spans="3:103" s="19" customFormat="1" ht="12">
      <c r="C2016" s="21"/>
      <c r="D2016" s="21"/>
      <c r="E2016" s="21"/>
      <c r="F2016" s="21"/>
      <c r="G2016" s="21"/>
      <c r="H2016" s="21"/>
      <c r="I2016" s="21"/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W2016" s="296"/>
      <c r="CY2016" s="296"/>
    </row>
    <row r="2017" spans="3:103" s="19" customFormat="1" ht="12">
      <c r="C2017" s="21"/>
      <c r="D2017" s="21"/>
      <c r="E2017" s="21"/>
      <c r="F2017" s="21"/>
      <c r="G2017" s="21"/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W2017" s="296"/>
      <c r="CY2017" s="296"/>
    </row>
    <row r="2018" spans="3:103" s="19" customFormat="1" ht="12">
      <c r="C2018" s="21"/>
      <c r="D2018" s="21"/>
      <c r="E2018" s="21"/>
      <c r="F2018" s="21"/>
      <c r="G2018" s="21"/>
      <c r="H2018" s="21"/>
      <c r="I2018" s="21"/>
      <c r="J2018" s="21"/>
      <c r="K2018" s="21"/>
      <c r="L2018" s="21"/>
      <c r="M2018" s="21"/>
      <c r="N2018" s="21"/>
      <c r="O2018" s="21"/>
      <c r="P2018" s="21"/>
      <c r="Q2018" s="21"/>
      <c r="R2018" s="21"/>
      <c r="S2018" s="21"/>
      <c r="T2018" s="21"/>
      <c r="U2018" s="21"/>
      <c r="V2018" s="21"/>
      <c r="W2018" s="21"/>
      <c r="X2018" s="21"/>
      <c r="Y2018" s="21"/>
      <c r="Z2018" s="21"/>
      <c r="AA2018" s="21"/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W2018" s="296"/>
      <c r="CY2018" s="296"/>
    </row>
    <row r="2019" spans="3:103" s="19" customFormat="1" ht="12">
      <c r="C2019" s="21"/>
      <c r="D2019" s="21"/>
      <c r="E2019" s="21"/>
      <c r="F2019" s="21"/>
      <c r="G2019" s="21"/>
      <c r="H2019" s="21"/>
      <c r="I2019" s="21"/>
      <c r="J2019" s="21"/>
      <c r="K2019" s="21"/>
      <c r="L2019" s="21"/>
      <c r="M2019" s="21"/>
      <c r="N2019" s="21"/>
      <c r="O2019" s="21"/>
      <c r="P2019" s="21"/>
      <c r="Q2019" s="21"/>
      <c r="R2019" s="21"/>
      <c r="S2019" s="21"/>
      <c r="T2019" s="21"/>
      <c r="U2019" s="21"/>
      <c r="V2019" s="21"/>
      <c r="W2019" s="21"/>
      <c r="X2019" s="21"/>
      <c r="Y2019" s="21"/>
      <c r="Z2019" s="21"/>
      <c r="AA2019" s="21"/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W2019" s="296"/>
      <c r="CY2019" s="296"/>
    </row>
    <row r="2020" spans="3:103" s="19" customFormat="1" ht="12">
      <c r="C2020" s="21"/>
      <c r="D2020" s="21"/>
      <c r="E2020" s="21"/>
      <c r="F2020" s="21"/>
      <c r="G2020" s="21"/>
      <c r="H2020" s="21"/>
      <c r="I2020" s="21"/>
      <c r="J2020" s="21"/>
      <c r="K2020" s="21"/>
      <c r="L2020" s="21"/>
      <c r="M2020" s="21"/>
      <c r="N2020" s="21"/>
      <c r="O2020" s="21"/>
      <c r="P2020" s="21"/>
      <c r="Q2020" s="21"/>
      <c r="R2020" s="21"/>
      <c r="S2020" s="21"/>
      <c r="T2020" s="21"/>
      <c r="U2020" s="21"/>
      <c r="V2020" s="21"/>
      <c r="W2020" s="21"/>
      <c r="X2020" s="21"/>
      <c r="Y2020" s="21"/>
      <c r="Z2020" s="21"/>
      <c r="AA2020" s="21"/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W2020" s="296"/>
      <c r="CY2020" s="296"/>
    </row>
    <row r="2021" spans="3:103" s="19" customFormat="1" ht="12">
      <c r="C2021" s="21"/>
      <c r="D2021" s="21"/>
      <c r="E2021" s="21"/>
      <c r="F2021" s="21"/>
      <c r="G2021" s="21"/>
      <c r="H2021" s="21"/>
      <c r="I2021" s="21"/>
      <c r="J2021" s="21"/>
      <c r="K2021" s="21"/>
      <c r="L2021" s="21"/>
      <c r="M2021" s="21"/>
      <c r="N2021" s="21"/>
      <c r="O2021" s="21"/>
      <c r="P2021" s="21"/>
      <c r="Q2021" s="21"/>
      <c r="R2021" s="21"/>
      <c r="S2021" s="21"/>
      <c r="T2021" s="21"/>
      <c r="U2021" s="21"/>
      <c r="V2021" s="21"/>
      <c r="W2021" s="21"/>
      <c r="X2021" s="21"/>
      <c r="Y2021" s="21"/>
      <c r="Z2021" s="21"/>
      <c r="AA2021" s="21"/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W2021" s="296"/>
      <c r="CY2021" s="296"/>
    </row>
    <row r="2022" spans="3:103" s="19" customFormat="1" ht="12">
      <c r="C2022" s="21"/>
      <c r="D2022" s="21"/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W2022" s="296"/>
      <c r="CY2022" s="296"/>
    </row>
    <row r="2023" spans="3:103" s="19" customFormat="1" ht="12">
      <c r="C2023" s="21"/>
      <c r="D2023" s="21"/>
      <c r="E2023" s="21"/>
      <c r="F2023" s="21"/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W2023" s="296"/>
      <c r="CY2023" s="296"/>
    </row>
    <row r="2024" spans="3:103" s="19" customFormat="1" ht="12">
      <c r="C2024" s="21"/>
      <c r="D2024" s="21"/>
      <c r="E2024" s="21"/>
      <c r="F2024" s="21"/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W2024" s="296"/>
      <c r="CY2024" s="296"/>
    </row>
    <row r="2025" spans="3:103" s="19" customFormat="1" ht="12">
      <c r="C2025" s="21"/>
      <c r="D2025" s="21"/>
      <c r="E2025" s="21"/>
      <c r="F2025" s="21"/>
      <c r="G2025" s="21"/>
      <c r="H2025" s="21"/>
      <c r="I2025" s="21"/>
      <c r="J2025" s="21"/>
      <c r="K2025" s="21"/>
      <c r="L2025" s="21"/>
      <c r="M2025" s="21"/>
      <c r="N2025" s="21"/>
      <c r="O2025" s="21"/>
      <c r="P2025" s="21"/>
      <c r="Q2025" s="21"/>
      <c r="R2025" s="21"/>
      <c r="S2025" s="21"/>
      <c r="T2025" s="21"/>
      <c r="U2025" s="21"/>
      <c r="V2025" s="21"/>
      <c r="W2025" s="21"/>
      <c r="X2025" s="21"/>
      <c r="Y2025" s="21"/>
      <c r="Z2025" s="21"/>
      <c r="AA2025" s="21"/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W2025" s="296"/>
      <c r="CY2025" s="296"/>
    </row>
    <row r="2026" spans="3:103" s="19" customFormat="1" ht="12">
      <c r="C2026" s="21"/>
      <c r="D2026" s="21"/>
      <c r="E2026" s="21"/>
      <c r="F2026" s="21"/>
      <c r="G2026" s="21"/>
      <c r="H2026" s="21"/>
      <c r="I2026" s="21"/>
      <c r="J2026" s="21"/>
      <c r="K2026" s="21"/>
      <c r="L2026" s="21"/>
      <c r="M2026" s="21"/>
      <c r="N2026" s="21"/>
      <c r="O2026" s="21"/>
      <c r="P2026" s="21"/>
      <c r="Q2026" s="21"/>
      <c r="R2026" s="21"/>
      <c r="S2026" s="21"/>
      <c r="T2026" s="21"/>
      <c r="U2026" s="21"/>
      <c r="V2026" s="21"/>
      <c r="W2026" s="21"/>
      <c r="X2026" s="21"/>
      <c r="Y2026" s="21"/>
      <c r="Z2026" s="21"/>
      <c r="AA2026" s="21"/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W2026" s="296"/>
      <c r="CY2026" s="296"/>
    </row>
    <row r="2027" spans="3:103" s="19" customFormat="1" ht="12">
      <c r="C2027" s="21"/>
      <c r="D2027" s="21"/>
      <c r="E2027" s="21"/>
      <c r="F2027" s="21"/>
      <c r="G2027" s="21"/>
      <c r="H2027" s="21"/>
      <c r="I2027" s="21"/>
      <c r="J2027" s="21"/>
      <c r="K2027" s="21"/>
      <c r="L2027" s="21"/>
      <c r="M2027" s="21"/>
      <c r="N2027" s="21"/>
      <c r="O2027" s="21"/>
      <c r="P2027" s="21"/>
      <c r="Q2027" s="21"/>
      <c r="R2027" s="21"/>
      <c r="S2027" s="21"/>
      <c r="T2027" s="21"/>
      <c r="U2027" s="21"/>
      <c r="V2027" s="21"/>
      <c r="W2027" s="21"/>
      <c r="X2027" s="21"/>
      <c r="Y2027" s="21"/>
      <c r="Z2027" s="21"/>
      <c r="AA2027" s="21"/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W2027" s="296"/>
      <c r="CY2027" s="296"/>
    </row>
    <row r="2028" spans="3:103" s="19" customFormat="1" ht="12">
      <c r="C2028" s="21"/>
      <c r="D2028" s="21"/>
      <c r="E2028" s="21"/>
      <c r="F2028" s="21"/>
      <c r="G2028" s="21"/>
      <c r="H2028" s="21"/>
      <c r="I2028" s="21"/>
      <c r="J2028" s="21"/>
      <c r="K2028" s="21"/>
      <c r="L2028" s="21"/>
      <c r="M2028" s="21"/>
      <c r="N2028" s="21"/>
      <c r="O2028" s="21"/>
      <c r="P2028" s="21"/>
      <c r="Q2028" s="21"/>
      <c r="R2028" s="21"/>
      <c r="S2028" s="21"/>
      <c r="T2028" s="21"/>
      <c r="U2028" s="21"/>
      <c r="V2028" s="21"/>
      <c r="W2028" s="21"/>
      <c r="X2028" s="21"/>
      <c r="Y2028" s="21"/>
      <c r="Z2028" s="21"/>
      <c r="AA2028" s="21"/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W2028" s="296"/>
      <c r="CY2028" s="296"/>
    </row>
    <row r="2029" spans="3:103" s="19" customFormat="1" ht="12">
      <c r="C2029" s="21"/>
      <c r="D2029" s="21"/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W2029" s="296"/>
      <c r="CY2029" s="296"/>
    </row>
    <row r="2030" spans="3:103" s="19" customFormat="1" ht="12">
      <c r="C2030" s="21"/>
      <c r="D2030" s="21"/>
      <c r="E2030" s="21"/>
      <c r="F2030" s="21"/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W2030" s="296"/>
      <c r="CY2030" s="296"/>
    </row>
    <row r="2031" spans="3:103" s="19" customFormat="1" ht="12">
      <c r="C2031" s="21"/>
      <c r="D2031" s="21"/>
      <c r="E2031" s="21"/>
      <c r="F2031" s="21"/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W2031" s="296"/>
      <c r="CY2031" s="296"/>
    </row>
    <row r="2032" spans="3:103" s="19" customFormat="1" ht="12">
      <c r="C2032" s="21"/>
      <c r="D2032" s="21"/>
      <c r="E2032" s="21"/>
      <c r="F2032" s="21"/>
      <c r="G2032" s="21"/>
      <c r="H2032" s="21"/>
      <c r="I2032" s="21"/>
      <c r="J2032" s="21"/>
      <c r="K2032" s="21"/>
      <c r="L2032" s="21"/>
      <c r="M2032" s="21"/>
      <c r="N2032" s="21"/>
      <c r="O2032" s="21"/>
      <c r="P2032" s="21"/>
      <c r="Q2032" s="21"/>
      <c r="R2032" s="21"/>
      <c r="S2032" s="21"/>
      <c r="T2032" s="21"/>
      <c r="U2032" s="21"/>
      <c r="V2032" s="21"/>
      <c r="W2032" s="21"/>
      <c r="X2032" s="21"/>
      <c r="Y2032" s="21"/>
      <c r="Z2032" s="21"/>
      <c r="AA2032" s="21"/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W2032" s="296"/>
      <c r="CY2032" s="296"/>
    </row>
    <row r="2033" spans="3:103" s="19" customFormat="1" ht="12">
      <c r="C2033" s="21"/>
      <c r="D2033" s="21"/>
      <c r="E2033" s="21"/>
      <c r="F2033" s="21"/>
      <c r="G2033" s="21"/>
      <c r="H2033" s="21"/>
      <c r="I2033" s="21"/>
      <c r="J2033" s="21"/>
      <c r="K2033" s="21"/>
      <c r="L2033" s="21"/>
      <c r="M2033" s="21"/>
      <c r="N2033" s="21"/>
      <c r="O2033" s="21"/>
      <c r="P2033" s="21"/>
      <c r="Q2033" s="21"/>
      <c r="R2033" s="21"/>
      <c r="S2033" s="21"/>
      <c r="T2033" s="21"/>
      <c r="U2033" s="21"/>
      <c r="V2033" s="21"/>
      <c r="W2033" s="21"/>
      <c r="X2033" s="21"/>
      <c r="Y2033" s="21"/>
      <c r="Z2033" s="21"/>
      <c r="AA2033" s="21"/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W2033" s="296"/>
      <c r="CY2033" s="296"/>
    </row>
    <row r="2034" spans="3:103" s="19" customFormat="1" ht="12">
      <c r="C2034" s="21"/>
      <c r="D2034" s="21"/>
      <c r="E2034" s="21"/>
      <c r="F2034" s="21"/>
      <c r="G2034" s="21"/>
      <c r="H2034" s="21"/>
      <c r="I2034" s="21"/>
      <c r="J2034" s="21"/>
      <c r="K2034" s="21"/>
      <c r="L2034" s="21"/>
      <c r="M2034" s="21"/>
      <c r="N2034" s="21"/>
      <c r="O2034" s="21"/>
      <c r="P2034" s="21"/>
      <c r="Q2034" s="21"/>
      <c r="R2034" s="21"/>
      <c r="S2034" s="21"/>
      <c r="T2034" s="21"/>
      <c r="U2034" s="21"/>
      <c r="V2034" s="21"/>
      <c r="W2034" s="21"/>
      <c r="X2034" s="21"/>
      <c r="Y2034" s="21"/>
      <c r="Z2034" s="21"/>
      <c r="AA2034" s="21"/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W2034" s="296"/>
      <c r="CY2034" s="296"/>
    </row>
    <row r="2035" spans="3:103" s="19" customFormat="1" ht="12">
      <c r="C2035" s="21"/>
      <c r="D2035" s="21"/>
      <c r="E2035" s="21"/>
      <c r="F2035" s="21"/>
      <c r="G2035" s="21"/>
      <c r="H2035" s="21"/>
      <c r="I2035" s="21"/>
      <c r="J2035" s="21"/>
      <c r="K2035" s="21"/>
      <c r="L2035" s="21"/>
      <c r="M2035" s="21"/>
      <c r="N2035" s="21"/>
      <c r="O2035" s="21"/>
      <c r="P2035" s="21"/>
      <c r="Q2035" s="21"/>
      <c r="R2035" s="21"/>
      <c r="S2035" s="21"/>
      <c r="T2035" s="21"/>
      <c r="U2035" s="21"/>
      <c r="V2035" s="21"/>
      <c r="W2035" s="21"/>
      <c r="X2035" s="21"/>
      <c r="Y2035" s="21"/>
      <c r="Z2035" s="21"/>
      <c r="AA2035" s="21"/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W2035" s="296"/>
      <c r="CY2035" s="296"/>
    </row>
    <row r="2036" spans="3:103" s="19" customFormat="1" ht="12">
      <c r="C2036" s="21"/>
      <c r="D2036" s="21"/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W2036" s="296"/>
      <c r="CY2036" s="296"/>
    </row>
    <row r="2037" spans="3:103" s="19" customFormat="1" ht="12">
      <c r="C2037" s="21"/>
      <c r="D2037" s="21"/>
      <c r="E2037" s="21"/>
      <c r="F2037" s="21"/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W2037" s="296"/>
      <c r="CY2037" s="296"/>
    </row>
    <row r="2038" spans="3:103" s="19" customFormat="1" ht="12">
      <c r="C2038" s="21"/>
      <c r="D2038" s="21"/>
      <c r="E2038" s="21"/>
      <c r="F2038" s="21"/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W2038" s="296"/>
      <c r="CY2038" s="296"/>
    </row>
    <row r="2039" spans="3:103" s="19" customFormat="1" ht="12">
      <c r="C2039" s="21"/>
      <c r="D2039" s="21"/>
      <c r="E2039" s="21"/>
      <c r="F2039" s="21"/>
      <c r="G2039" s="21"/>
      <c r="H2039" s="21"/>
      <c r="I2039" s="21"/>
      <c r="J2039" s="21"/>
      <c r="K2039" s="21"/>
      <c r="L2039" s="21"/>
      <c r="M2039" s="21"/>
      <c r="N2039" s="21"/>
      <c r="O2039" s="21"/>
      <c r="P2039" s="21"/>
      <c r="Q2039" s="21"/>
      <c r="R2039" s="21"/>
      <c r="S2039" s="21"/>
      <c r="T2039" s="21"/>
      <c r="U2039" s="21"/>
      <c r="V2039" s="21"/>
      <c r="W2039" s="21"/>
      <c r="X2039" s="21"/>
      <c r="Y2039" s="21"/>
      <c r="Z2039" s="21"/>
      <c r="AA2039" s="21"/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W2039" s="296"/>
      <c r="CY2039" s="296"/>
    </row>
    <row r="2040" spans="3:103" s="19" customFormat="1" ht="12">
      <c r="C2040" s="21"/>
      <c r="D2040" s="21"/>
      <c r="E2040" s="21"/>
      <c r="F2040" s="21"/>
      <c r="G2040" s="21"/>
      <c r="H2040" s="21"/>
      <c r="I2040" s="21"/>
      <c r="J2040" s="21"/>
      <c r="K2040" s="21"/>
      <c r="L2040" s="21"/>
      <c r="M2040" s="21"/>
      <c r="N2040" s="21"/>
      <c r="O2040" s="21"/>
      <c r="P2040" s="21"/>
      <c r="Q2040" s="21"/>
      <c r="R2040" s="21"/>
      <c r="S2040" s="21"/>
      <c r="T2040" s="21"/>
      <c r="U2040" s="21"/>
      <c r="V2040" s="21"/>
      <c r="W2040" s="21"/>
      <c r="X2040" s="21"/>
      <c r="Y2040" s="21"/>
      <c r="Z2040" s="21"/>
      <c r="AA2040" s="21"/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W2040" s="296"/>
      <c r="CY2040" s="296"/>
    </row>
    <row r="2041" spans="3:103" s="19" customFormat="1" ht="12">
      <c r="C2041" s="21"/>
      <c r="D2041" s="21"/>
      <c r="E2041" s="21"/>
      <c r="F2041" s="21"/>
      <c r="G2041" s="21"/>
      <c r="H2041" s="21"/>
      <c r="I2041" s="21"/>
      <c r="J2041" s="21"/>
      <c r="K2041" s="21"/>
      <c r="L2041" s="21"/>
      <c r="M2041" s="21"/>
      <c r="N2041" s="21"/>
      <c r="O2041" s="21"/>
      <c r="P2041" s="21"/>
      <c r="Q2041" s="21"/>
      <c r="R2041" s="21"/>
      <c r="S2041" s="21"/>
      <c r="T2041" s="21"/>
      <c r="U2041" s="21"/>
      <c r="V2041" s="21"/>
      <c r="W2041" s="21"/>
      <c r="X2041" s="21"/>
      <c r="Y2041" s="21"/>
      <c r="Z2041" s="21"/>
      <c r="AA2041" s="21"/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W2041" s="296"/>
      <c r="CY2041" s="296"/>
    </row>
    <row r="2042" spans="3:103" s="19" customFormat="1" ht="12">
      <c r="C2042" s="21"/>
      <c r="D2042" s="21"/>
      <c r="E2042" s="21"/>
      <c r="F2042" s="21"/>
      <c r="G2042" s="21"/>
      <c r="H2042" s="21"/>
      <c r="I2042" s="21"/>
      <c r="J2042" s="21"/>
      <c r="K2042" s="21"/>
      <c r="L2042" s="21"/>
      <c r="M2042" s="21"/>
      <c r="N2042" s="21"/>
      <c r="O2042" s="21"/>
      <c r="P2042" s="21"/>
      <c r="Q2042" s="21"/>
      <c r="R2042" s="21"/>
      <c r="S2042" s="21"/>
      <c r="T2042" s="21"/>
      <c r="U2042" s="21"/>
      <c r="V2042" s="21"/>
      <c r="W2042" s="21"/>
      <c r="X2042" s="21"/>
      <c r="Y2042" s="21"/>
      <c r="Z2042" s="21"/>
      <c r="AA2042" s="21"/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W2042" s="296"/>
      <c r="CY2042" s="296"/>
    </row>
    <row r="2043" spans="3:103" s="19" customFormat="1" ht="12">
      <c r="C2043" s="21"/>
      <c r="D2043" s="21"/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W2043" s="296"/>
      <c r="CY2043" s="296"/>
    </row>
    <row r="2044" spans="3:103" s="19" customFormat="1" ht="12">
      <c r="C2044" s="21"/>
      <c r="D2044" s="21"/>
      <c r="E2044" s="21"/>
      <c r="F2044" s="21"/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W2044" s="296"/>
      <c r="CY2044" s="296"/>
    </row>
    <row r="2045" spans="3:103" s="19" customFormat="1" ht="12">
      <c r="C2045" s="21"/>
      <c r="D2045" s="21"/>
      <c r="E2045" s="21"/>
      <c r="F2045" s="21"/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W2045" s="296"/>
      <c r="CY2045" s="296"/>
    </row>
    <row r="2046" spans="3:103" s="19" customFormat="1" ht="12">
      <c r="C2046" s="21"/>
      <c r="D2046" s="21"/>
      <c r="E2046" s="21"/>
      <c r="F2046" s="21"/>
      <c r="G2046" s="21"/>
      <c r="H2046" s="21"/>
      <c r="I2046" s="21"/>
      <c r="J2046" s="21"/>
      <c r="K2046" s="21"/>
      <c r="L2046" s="21"/>
      <c r="M2046" s="21"/>
      <c r="N2046" s="21"/>
      <c r="O2046" s="21"/>
      <c r="P2046" s="21"/>
      <c r="Q2046" s="21"/>
      <c r="R2046" s="21"/>
      <c r="S2046" s="21"/>
      <c r="T2046" s="21"/>
      <c r="U2046" s="21"/>
      <c r="V2046" s="21"/>
      <c r="W2046" s="21"/>
      <c r="X2046" s="21"/>
      <c r="Y2046" s="21"/>
      <c r="Z2046" s="21"/>
      <c r="AA2046" s="21"/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W2046" s="296"/>
      <c r="CY2046" s="296"/>
    </row>
    <row r="2047" spans="3:103" s="19" customFormat="1" ht="12">
      <c r="C2047" s="21"/>
      <c r="D2047" s="21"/>
      <c r="E2047" s="21"/>
      <c r="F2047" s="21"/>
      <c r="G2047" s="21"/>
      <c r="H2047" s="21"/>
      <c r="I2047" s="21"/>
      <c r="J2047" s="21"/>
      <c r="K2047" s="21"/>
      <c r="L2047" s="21"/>
      <c r="M2047" s="21"/>
      <c r="N2047" s="21"/>
      <c r="O2047" s="21"/>
      <c r="P2047" s="21"/>
      <c r="Q2047" s="21"/>
      <c r="R2047" s="21"/>
      <c r="S2047" s="21"/>
      <c r="T2047" s="21"/>
      <c r="U2047" s="21"/>
      <c r="V2047" s="21"/>
      <c r="W2047" s="21"/>
      <c r="X2047" s="21"/>
      <c r="Y2047" s="21"/>
      <c r="Z2047" s="21"/>
      <c r="AA2047" s="21"/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W2047" s="296"/>
      <c r="CY2047" s="296"/>
    </row>
    <row r="2048" spans="3:103" s="19" customFormat="1" ht="12">
      <c r="C2048" s="21"/>
      <c r="D2048" s="21"/>
      <c r="E2048" s="21"/>
      <c r="F2048" s="21"/>
      <c r="G2048" s="21"/>
      <c r="H2048" s="21"/>
      <c r="I2048" s="21"/>
      <c r="J2048" s="21"/>
      <c r="K2048" s="21"/>
      <c r="L2048" s="21"/>
      <c r="M2048" s="21"/>
      <c r="N2048" s="21"/>
      <c r="O2048" s="21"/>
      <c r="P2048" s="21"/>
      <c r="Q2048" s="21"/>
      <c r="R2048" s="21"/>
      <c r="S2048" s="21"/>
      <c r="T2048" s="21"/>
      <c r="U2048" s="21"/>
      <c r="V2048" s="21"/>
      <c r="W2048" s="21"/>
      <c r="X2048" s="21"/>
      <c r="Y2048" s="21"/>
      <c r="Z2048" s="21"/>
      <c r="AA2048" s="21"/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W2048" s="296"/>
      <c r="CY2048" s="296"/>
    </row>
    <row r="2049" spans="3:103" s="19" customFormat="1" ht="12">
      <c r="C2049" s="21"/>
      <c r="D2049" s="21"/>
      <c r="E2049" s="21"/>
      <c r="F2049" s="21"/>
      <c r="G2049" s="21"/>
      <c r="H2049" s="21"/>
      <c r="I2049" s="21"/>
      <c r="J2049" s="21"/>
      <c r="K2049" s="21"/>
      <c r="L2049" s="21"/>
      <c r="M2049" s="21"/>
      <c r="N2049" s="21"/>
      <c r="O2049" s="21"/>
      <c r="P2049" s="21"/>
      <c r="Q2049" s="21"/>
      <c r="R2049" s="21"/>
      <c r="S2049" s="21"/>
      <c r="T2049" s="21"/>
      <c r="U2049" s="21"/>
      <c r="V2049" s="21"/>
      <c r="W2049" s="21"/>
      <c r="X2049" s="21"/>
      <c r="Y2049" s="21"/>
      <c r="Z2049" s="21"/>
      <c r="AA2049" s="21"/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W2049" s="296"/>
      <c r="CY2049" s="296"/>
    </row>
    <row r="2050" spans="3:103" s="19" customFormat="1" ht="12">
      <c r="C2050" s="21"/>
      <c r="D2050" s="21"/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W2050" s="296"/>
      <c r="CY2050" s="296"/>
    </row>
    <row r="2051" spans="3:103" s="19" customFormat="1" ht="12">
      <c r="C2051" s="21"/>
      <c r="D2051" s="21"/>
      <c r="E2051" s="21"/>
      <c r="F2051" s="21"/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W2051" s="296"/>
      <c r="CY2051" s="296"/>
    </row>
    <row r="2052" spans="3:103" s="19" customFormat="1" ht="12">
      <c r="C2052" s="21"/>
      <c r="D2052" s="21"/>
      <c r="E2052" s="21"/>
      <c r="F2052" s="21"/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W2052" s="296"/>
      <c r="CY2052" s="296"/>
    </row>
    <row r="2053" spans="3:103" s="19" customFormat="1" ht="12">
      <c r="C2053" s="21"/>
      <c r="D2053" s="21"/>
      <c r="E2053" s="21"/>
      <c r="F2053" s="21"/>
      <c r="G2053" s="21"/>
      <c r="H2053" s="21"/>
      <c r="I2053" s="21"/>
      <c r="J2053" s="21"/>
      <c r="K2053" s="21"/>
      <c r="L2053" s="21"/>
      <c r="M2053" s="21"/>
      <c r="N2053" s="21"/>
      <c r="O2053" s="21"/>
      <c r="P2053" s="21"/>
      <c r="Q2053" s="21"/>
      <c r="R2053" s="21"/>
      <c r="S2053" s="21"/>
      <c r="T2053" s="21"/>
      <c r="U2053" s="21"/>
      <c r="V2053" s="21"/>
      <c r="W2053" s="21"/>
      <c r="X2053" s="21"/>
      <c r="Y2053" s="21"/>
      <c r="Z2053" s="21"/>
      <c r="AA2053" s="21"/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W2053" s="296"/>
      <c r="CY2053" s="296"/>
    </row>
    <row r="2054" spans="3:103" s="19" customFormat="1" ht="12">
      <c r="C2054" s="21"/>
      <c r="D2054" s="21"/>
      <c r="E2054" s="21"/>
      <c r="F2054" s="21"/>
      <c r="G2054" s="21"/>
      <c r="H2054" s="21"/>
      <c r="I2054" s="21"/>
      <c r="J2054" s="21"/>
      <c r="K2054" s="21"/>
      <c r="L2054" s="21"/>
      <c r="M2054" s="21"/>
      <c r="N2054" s="21"/>
      <c r="O2054" s="21"/>
      <c r="P2054" s="21"/>
      <c r="Q2054" s="21"/>
      <c r="R2054" s="21"/>
      <c r="S2054" s="21"/>
      <c r="T2054" s="21"/>
      <c r="U2054" s="21"/>
      <c r="V2054" s="21"/>
      <c r="W2054" s="21"/>
      <c r="X2054" s="21"/>
      <c r="Y2054" s="21"/>
      <c r="Z2054" s="21"/>
      <c r="AA2054" s="21"/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W2054" s="296"/>
      <c r="CY2054" s="296"/>
    </row>
    <row r="2055" spans="3:103" s="19" customFormat="1" ht="12">
      <c r="C2055" s="21"/>
      <c r="D2055" s="21"/>
      <c r="E2055" s="21"/>
      <c r="F2055" s="21"/>
      <c r="G2055" s="21"/>
      <c r="H2055" s="21"/>
      <c r="I2055" s="21"/>
      <c r="J2055" s="21"/>
      <c r="K2055" s="21"/>
      <c r="L2055" s="21"/>
      <c r="M2055" s="21"/>
      <c r="N2055" s="21"/>
      <c r="O2055" s="21"/>
      <c r="P2055" s="21"/>
      <c r="Q2055" s="21"/>
      <c r="R2055" s="21"/>
      <c r="S2055" s="21"/>
      <c r="T2055" s="21"/>
      <c r="U2055" s="21"/>
      <c r="V2055" s="21"/>
      <c r="W2055" s="21"/>
      <c r="X2055" s="21"/>
      <c r="Y2055" s="21"/>
      <c r="Z2055" s="21"/>
      <c r="AA2055" s="21"/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W2055" s="296"/>
      <c r="CY2055" s="296"/>
    </row>
    <row r="2056" spans="3:103" s="19" customFormat="1" ht="12">
      <c r="C2056" s="21"/>
      <c r="D2056" s="21"/>
      <c r="E2056" s="21"/>
      <c r="F2056" s="21"/>
      <c r="G2056" s="21"/>
      <c r="H2056" s="21"/>
      <c r="I2056" s="21"/>
      <c r="J2056" s="21"/>
      <c r="K2056" s="21"/>
      <c r="L2056" s="21"/>
      <c r="M2056" s="21"/>
      <c r="N2056" s="21"/>
      <c r="O2056" s="21"/>
      <c r="P2056" s="21"/>
      <c r="Q2056" s="21"/>
      <c r="R2056" s="21"/>
      <c r="S2056" s="21"/>
      <c r="T2056" s="21"/>
      <c r="U2056" s="21"/>
      <c r="V2056" s="21"/>
      <c r="W2056" s="21"/>
      <c r="X2056" s="21"/>
      <c r="Y2056" s="21"/>
      <c r="Z2056" s="21"/>
      <c r="AA2056" s="21"/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W2056" s="296"/>
      <c r="CY2056" s="296"/>
    </row>
    <row r="2057" spans="3:103" s="19" customFormat="1" ht="12">
      <c r="C2057" s="21"/>
      <c r="D2057" s="21"/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W2057" s="296"/>
      <c r="CY2057" s="296"/>
    </row>
    <row r="2058" spans="3:103" s="19" customFormat="1" ht="12">
      <c r="C2058" s="21"/>
      <c r="D2058" s="21"/>
      <c r="E2058" s="21"/>
      <c r="F2058" s="21"/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W2058" s="296"/>
      <c r="CY2058" s="296"/>
    </row>
    <row r="2059" spans="3:103" s="19" customFormat="1" ht="12">
      <c r="C2059" s="21"/>
      <c r="D2059" s="21"/>
      <c r="E2059" s="21"/>
      <c r="F2059" s="21"/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W2059" s="296"/>
      <c r="CY2059" s="296"/>
    </row>
    <row r="2060" spans="3:103" s="19" customFormat="1" ht="12">
      <c r="C2060" s="21"/>
      <c r="D2060" s="21"/>
      <c r="E2060" s="21"/>
      <c r="F2060" s="21"/>
      <c r="G2060" s="21"/>
      <c r="H2060" s="21"/>
      <c r="I2060" s="21"/>
      <c r="J2060" s="21"/>
      <c r="K2060" s="21"/>
      <c r="L2060" s="21"/>
      <c r="M2060" s="21"/>
      <c r="N2060" s="21"/>
      <c r="O2060" s="21"/>
      <c r="P2060" s="21"/>
      <c r="Q2060" s="21"/>
      <c r="R2060" s="21"/>
      <c r="S2060" s="21"/>
      <c r="T2060" s="21"/>
      <c r="U2060" s="21"/>
      <c r="V2060" s="21"/>
      <c r="W2060" s="21"/>
      <c r="X2060" s="21"/>
      <c r="Y2060" s="21"/>
      <c r="Z2060" s="21"/>
      <c r="AA2060" s="21"/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W2060" s="296"/>
      <c r="CY2060" s="296"/>
    </row>
    <row r="2061" spans="3:103" s="19" customFormat="1" ht="12">
      <c r="C2061" s="21"/>
      <c r="D2061" s="21"/>
      <c r="E2061" s="21"/>
      <c r="F2061" s="21"/>
      <c r="G2061" s="21"/>
      <c r="H2061" s="21"/>
      <c r="I2061" s="21"/>
      <c r="J2061" s="21"/>
      <c r="K2061" s="21"/>
      <c r="L2061" s="21"/>
      <c r="M2061" s="21"/>
      <c r="N2061" s="21"/>
      <c r="O2061" s="21"/>
      <c r="P2061" s="21"/>
      <c r="Q2061" s="21"/>
      <c r="R2061" s="21"/>
      <c r="S2061" s="21"/>
      <c r="T2061" s="21"/>
      <c r="U2061" s="21"/>
      <c r="V2061" s="21"/>
      <c r="W2061" s="21"/>
      <c r="X2061" s="21"/>
      <c r="Y2061" s="21"/>
      <c r="Z2061" s="21"/>
      <c r="AA2061" s="21"/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W2061" s="296"/>
      <c r="CY2061" s="296"/>
    </row>
    <row r="2062" spans="3:103" s="19" customFormat="1" ht="12">
      <c r="C2062" s="21"/>
      <c r="D2062" s="21"/>
      <c r="E2062" s="21"/>
      <c r="F2062" s="21"/>
      <c r="G2062" s="21"/>
      <c r="H2062" s="21"/>
      <c r="I2062" s="21"/>
      <c r="J2062" s="21"/>
      <c r="K2062" s="21"/>
      <c r="L2062" s="21"/>
      <c r="M2062" s="21"/>
      <c r="N2062" s="21"/>
      <c r="O2062" s="21"/>
      <c r="P2062" s="21"/>
      <c r="Q2062" s="21"/>
      <c r="R2062" s="21"/>
      <c r="S2062" s="21"/>
      <c r="T2062" s="21"/>
      <c r="U2062" s="21"/>
      <c r="V2062" s="21"/>
      <c r="W2062" s="21"/>
      <c r="X2062" s="21"/>
      <c r="Y2062" s="21"/>
      <c r="Z2062" s="21"/>
      <c r="AA2062" s="21"/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W2062" s="296"/>
      <c r="CY2062" s="296"/>
    </row>
    <row r="2063" spans="3:103" s="19" customFormat="1" ht="12">
      <c r="C2063" s="21"/>
      <c r="D2063" s="21"/>
      <c r="E2063" s="21"/>
      <c r="F2063" s="21"/>
      <c r="G2063" s="21"/>
      <c r="H2063" s="21"/>
      <c r="I2063" s="21"/>
      <c r="J2063" s="21"/>
      <c r="K2063" s="21"/>
      <c r="L2063" s="21"/>
      <c r="M2063" s="21"/>
      <c r="N2063" s="21"/>
      <c r="O2063" s="21"/>
      <c r="P2063" s="21"/>
      <c r="Q2063" s="21"/>
      <c r="R2063" s="21"/>
      <c r="S2063" s="21"/>
      <c r="T2063" s="21"/>
      <c r="U2063" s="21"/>
      <c r="V2063" s="21"/>
      <c r="W2063" s="21"/>
      <c r="X2063" s="21"/>
      <c r="Y2063" s="21"/>
      <c r="Z2063" s="21"/>
      <c r="AA2063" s="21"/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W2063" s="296"/>
      <c r="CY2063" s="296"/>
    </row>
    <row r="2064" spans="3:103" s="19" customFormat="1" ht="12">
      <c r="C2064" s="21"/>
      <c r="D2064" s="21"/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W2064" s="296"/>
      <c r="CY2064" s="296"/>
    </row>
    <row r="2065" spans="3:103" s="19" customFormat="1" ht="12">
      <c r="C2065" s="21"/>
      <c r="D2065" s="21"/>
      <c r="E2065" s="21"/>
      <c r="F2065" s="21"/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W2065" s="296"/>
      <c r="CY2065" s="296"/>
    </row>
    <row r="2066" spans="3:103" s="19" customFormat="1" ht="12">
      <c r="C2066" s="21"/>
      <c r="D2066" s="21"/>
      <c r="E2066" s="21"/>
      <c r="F2066" s="21"/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W2066" s="296"/>
      <c r="CY2066" s="296"/>
    </row>
    <row r="2067" spans="3:103" s="19" customFormat="1" ht="12">
      <c r="C2067" s="21"/>
      <c r="D2067" s="21"/>
      <c r="E2067" s="21"/>
      <c r="F2067" s="21"/>
      <c r="G2067" s="21"/>
      <c r="H2067" s="21"/>
      <c r="I2067" s="21"/>
      <c r="J2067" s="21"/>
      <c r="K2067" s="21"/>
      <c r="L2067" s="21"/>
      <c r="M2067" s="21"/>
      <c r="N2067" s="21"/>
      <c r="O2067" s="21"/>
      <c r="P2067" s="21"/>
      <c r="Q2067" s="21"/>
      <c r="R2067" s="21"/>
      <c r="S2067" s="21"/>
      <c r="T2067" s="21"/>
      <c r="U2067" s="21"/>
      <c r="V2067" s="21"/>
      <c r="W2067" s="21"/>
      <c r="X2067" s="21"/>
      <c r="Y2067" s="21"/>
      <c r="Z2067" s="21"/>
      <c r="AA2067" s="21"/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W2067" s="296"/>
      <c r="CY2067" s="296"/>
    </row>
    <row r="2068" spans="3:103" s="19" customFormat="1" ht="12">
      <c r="C2068" s="21"/>
      <c r="D2068" s="21"/>
      <c r="E2068" s="21"/>
      <c r="F2068" s="21"/>
      <c r="G2068" s="21"/>
      <c r="H2068" s="21"/>
      <c r="I2068" s="21"/>
      <c r="J2068" s="21"/>
      <c r="K2068" s="21"/>
      <c r="L2068" s="21"/>
      <c r="M2068" s="21"/>
      <c r="N2068" s="21"/>
      <c r="O2068" s="21"/>
      <c r="P2068" s="21"/>
      <c r="Q2068" s="21"/>
      <c r="R2068" s="21"/>
      <c r="S2068" s="21"/>
      <c r="T2068" s="21"/>
      <c r="U2068" s="21"/>
      <c r="V2068" s="21"/>
      <c r="W2068" s="21"/>
      <c r="X2068" s="21"/>
      <c r="Y2068" s="21"/>
      <c r="Z2068" s="21"/>
      <c r="AA2068" s="21"/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W2068" s="296"/>
      <c r="CY2068" s="296"/>
    </row>
    <row r="2069" spans="3:103" s="19" customFormat="1" ht="12">
      <c r="C2069" s="21"/>
      <c r="D2069" s="21"/>
      <c r="E2069" s="21"/>
      <c r="F2069" s="21"/>
      <c r="G2069" s="21"/>
      <c r="H2069" s="21"/>
      <c r="I2069" s="21"/>
      <c r="J2069" s="21"/>
      <c r="K2069" s="21"/>
      <c r="L2069" s="21"/>
      <c r="M2069" s="21"/>
      <c r="N2069" s="21"/>
      <c r="O2069" s="21"/>
      <c r="P2069" s="21"/>
      <c r="Q2069" s="21"/>
      <c r="R2069" s="21"/>
      <c r="S2069" s="21"/>
      <c r="T2069" s="21"/>
      <c r="U2069" s="21"/>
      <c r="V2069" s="21"/>
      <c r="W2069" s="21"/>
      <c r="X2069" s="21"/>
      <c r="Y2069" s="21"/>
      <c r="Z2069" s="21"/>
      <c r="AA2069" s="21"/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W2069" s="296"/>
      <c r="CY2069" s="296"/>
    </row>
    <row r="2070" spans="3:103" s="19" customFormat="1" ht="12">
      <c r="C2070" s="21"/>
      <c r="D2070" s="21"/>
      <c r="E2070" s="21"/>
      <c r="F2070" s="21"/>
      <c r="G2070" s="21"/>
      <c r="H2070" s="21"/>
      <c r="I2070" s="21"/>
      <c r="J2070" s="21"/>
      <c r="K2070" s="21"/>
      <c r="L2070" s="21"/>
      <c r="M2070" s="21"/>
      <c r="N2070" s="21"/>
      <c r="O2070" s="21"/>
      <c r="P2070" s="21"/>
      <c r="Q2070" s="21"/>
      <c r="R2070" s="21"/>
      <c r="S2070" s="21"/>
      <c r="T2070" s="21"/>
      <c r="U2070" s="21"/>
      <c r="V2070" s="21"/>
      <c r="W2070" s="21"/>
      <c r="X2070" s="21"/>
      <c r="Y2070" s="21"/>
      <c r="Z2070" s="21"/>
      <c r="AA2070" s="21"/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W2070" s="296"/>
      <c r="CY2070" s="296"/>
    </row>
    <row r="2071" spans="3:103" s="19" customFormat="1" ht="12">
      <c r="C2071" s="21"/>
      <c r="D2071" s="21"/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W2071" s="296"/>
      <c r="CY2071" s="296"/>
    </row>
    <row r="2072" spans="3:103" s="19" customFormat="1" ht="12">
      <c r="C2072" s="21"/>
      <c r="D2072" s="21"/>
      <c r="E2072" s="21"/>
      <c r="F2072" s="21"/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W2072" s="296"/>
      <c r="CY2072" s="296"/>
    </row>
    <row r="2073" spans="3:103" s="19" customFormat="1" ht="12">
      <c r="C2073" s="21"/>
      <c r="D2073" s="21"/>
      <c r="E2073" s="21"/>
      <c r="F2073" s="21"/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W2073" s="296"/>
      <c r="CY2073" s="296"/>
    </row>
    <row r="2074" spans="3:103" s="19" customFormat="1" ht="12">
      <c r="C2074" s="21"/>
      <c r="D2074" s="21"/>
      <c r="E2074" s="21"/>
      <c r="F2074" s="21"/>
      <c r="G2074" s="21"/>
      <c r="H2074" s="21"/>
      <c r="I2074" s="21"/>
      <c r="J2074" s="21"/>
      <c r="K2074" s="21"/>
      <c r="L2074" s="21"/>
      <c r="M2074" s="21"/>
      <c r="N2074" s="21"/>
      <c r="O2074" s="21"/>
      <c r="P2074" s="21"/>
      <c r="Q2074" s="21"/>
      <c r="R2074" s="21"/>
      <c r="S2074" s="21"/>
      <c r="T2074" s="21"/>
      <c r="U2074" s="21"/>
      <c r="V2074" s="21"/>
      <c r="W2074" s="21"/>
      <c r="X2074" s="21"/>
      <c r="Y2074" s="21"/>
      <c r="Z2074" s="21"/>
      <c r="AA2074" s="21"/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W2074" s="296"/>
      <c r="CY2074" s="296"/>
    </row>
    <row r="2075" spans="3:103" s="19" customFormat="1" ht="12">
      <c r="C2075" s="21"/>
      <c r="D2075" s="21"/>
      <c r="E2075" s="21"/>
      <c r="F2075" s="21"/>
      <c r="G2075" s="21"/>
      <c r="H2075" s="21"/>
      <c r="I2075" s="21"/>
      <c r="J2075" s="21"/>
      <c r="K2075" s="21"/>
      <c r="L2075" s="21"/>
      <c r="M2075" s="21"/>
      <c r="N2075" s="21"/>
      <c r="O2075" s="21"/>
      <c r="P2075" s="21"/>
      <c r="Q2075" s="21"/>
      <c r="R2075" s="21"/>
      <c r="S2075" s="21"/>
      <c r="T2075" s="21"/>
      <c r="U2075" s="21"/>
      <c r="V2075" s="21"/>
      <c r="W2075" s="21"/>
      <c r="X2075" s="21"/>
      <c r="Y2075" s="21"/>
      <c r="Z2075" s="21"/>
      <c r="AA2075" s="21"/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W2075" s="296"/>
      <c r="CY2075" s="296"/>
    </row>
    <row r="2076" spans="3:103" s="19" customFormat="1" ht="12">
      <c r="C2076" s="21"/>
      <c r="D2076" s="21"/>
      <c r="E2076" s="21"/>
      <c r="F2076" s="21"/>
      <c r="G2076" s="21"/>
      <c r="H2076" s="21"/>
      <c r="I2076" s="21"/>
      <c r="J2076" s="21"/>
      <c r="K2076" s="21"/>
      <c r="L2076" s="21"/>
      <c r="M2076" s="21"/>
      <c r="N2076" s="21"/>
      <c r="O2076" s="21"/>
      <c r="P2076" s="21"/>
      <c r="Q2076" s="21"/>
      <c r="R2076" s="21"/>
      <c r="S2076" s="21"/>
      <c r="T2076" s="21"/>
      <c r="U2076" s="21"/>
      <c r="V2076" s="21"/>
      <c r="W2076" s="21"/>
      <c r="X2076" s="21"/>
      <c r="Y2076" s="21"/>
      <c r="Z2076" s="21"/>
      <c r="AA2076" s="21"/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W2076" s="296"/>
      <c r="CY2076" s="296"/>
    </row>
    <row r="2077" spans="3:103" s="19" customFormat="1" ht="12">
      <c r="C2077" s="21"/>
      <c r="D2077" s="21"/>
      <c r="E2077" s="21"/>
      <c r="F2077" s="21"/>
      <c r="G2077" s="21"/>
      <c r="H2077" s="21"/>
      <c r="I2077" s="21"/>
      <c r="J2077" s="21"/>
      <c r="K2077" s="21"/>
      <c r="L2077" s="21"/>
      <c r="M2077" s="21"/>
      <c r="N2077" s="21"/>
      <c r="O2077" s="21"/>
      <c r="P2077" s="21"/>
      <c r="Q2077" s="21"/>
      <c r="R2077" s="21"/>
      <c r="S2077" s="21"/>
      <c r="T2077" s="21"/>
      <c r="U2077" s="21"/>
      <c r="V2077" s="21"/>
      <c r="W2077" s="21"/>
      <c r="X2077" s="21"/>
      <c r="Y2077" s="21"/>
      <c r="Z2077" s="21"/>
      <c r="AA2077" s="21"/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W2077" s="296"/>
      <c r="CY2077" s="296"/>
    </row>
    <row r="2078" spans="3:103" s="19" customFormat="1" ht="12">
      <c r="C2078" s="21"/>
      <c r="D2078" s="21"/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W2078" s="296"/>
      <c r="CY2078" s="296"/>
    </row>
    <row r="2079" spans="3:103" s="19" customFormat="1" ht="12">
      <c r="C2079" s="21"/>
      <c r="D2079" s="21"/>
      <c r="E2079" s="21"/>
      <c r="F2079" s="21"/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W2079" s="296"/>
      <c r="CY2079" s="296"/>
    </row>
    <row r="2080" spans="3:103" s="19" customFormat="1" ht="12">
      <c r="C2080" s="21"/>
      <c r="D2080" s="21"/>
      <c r="E2080" s="21"/>
      <c r="F2080" s="21"/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W2080" s="296"/>
      <c r="CY2080" s="296"/>
    </row>
    <row r="2081" spans="3:103" s="19" customFormat="1" ht="12">
      <c r="C2081" s="21"/>
      <c r="D2081" s="21"/>
      <c r="E2081" s="21"/>
      <c r="F2081" s="21"/>
      <c r="G2081" s="21"/>
      <c r="H2081" s="21"/>
      <c r="I2081" s="21"/>
      <c r="J2081" s="21"/>
      <c r="K2081" s="21"/>
      <c r="L2081" s="21"/>
      <c r="M2081" s="21"/>
      <c r="N2081" s="21"/>
      <c r="O2081" s="21"/>
      <c r="P2081" s="21"/>
      <c r="Q2081" s="21"/>
      <c r="R2081" s="21"/>
      <c r="S2081" s="21"/>
      <c r="T2081" s="21"/>
      <c r="U2081" s="21"/>
      <c r="V2081" s="21"/>
      <c r="W2081" s="21"/>
      <c r="X2081" s="21"/>
      <c r="Y2081" s="21"/>
      <c r="Z2081" s="21"/>
      <c r="AA2081" s="21"/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W2081" s="296"/>
      <c r="CY2081" s="296"/>
    </row>
    <row r="2082" spans="3:103" s="19" customFormat="1" ht="12">
      <c r="C2082" s="21"/>
      <c r="D2082" s="21"/>
      <c r="E2082" s="21"/>
      <c r="F2082" s="21"/>
      <c r="G2082" s="21"/>
      <c r="H2082" s="21"/>
      <c r="I2082" s="21"/>
      <c r="J2082" s="21"/>
      <c r="K2082" s="21"/>
      <c r="L2082" s="21"/>
      <c r="M2082" s="21"/>
      <c r="N2082" s="21"/>
      <c r="O2082" s="21"/>
      <c r="P2082" s="21"/>
      <c r="Q2082" s="21"/>
      <c r="R2082" s="21"/>
      <c r="S2082" s="21"/>
      <c r="T2082" s="21"/>
      <c r="U2082" s="21"/>
      <c r="V2082" s="21"/>
      <c r="W2082" s="21"/>
      <c r="X2082" s="21"/>
      <c r="Y2082" s="21"/>
      <c r="Z2082" s="21"/>
      <c r="AA2082" s="21"/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W2082" s="296"/>
      <c r="CY2082" s="296"/>
    </row>
    <row r="2083" spans="3:103" s="19" customFormat="1" ht="12">
      <c r="C2083" s="21"/>
      <c r="D2083" s="21"/>
      <c r="E2083" s="21"/>
      <c r="F2083" s="21"/>
      <c r="G2083" s="21"/>
      <c r="H2083" s="21"/>
      <c r="I2083" s="21"/>
      <c r="J2083" s="21"/>
      <c r="K2083" s="21"/>
      <c r="L2083" s="21"/>
      <c r="M2083" s="21"/>
      <c r="N2083" s="21"/>
      <c r="O2083" s="21"/>
      <c r="P2083" s="21"/>
      <c r="Q2083" s="21"/>
      <c r="R2083" s="21"/>
      <c r="S2083" s="21"/>
      <c r="T2083" s="21"/>
      <c r="U2083" s="21"/>
      <c r="V2083" s="21"/>
      <c r="W2083" s="21"/>
      <c r="X2083" s="21"/>
      <c r="Y2083" s="21"/>
      <c r="Z2083" s="21"/>
      <c r="AA2083" s="21"/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W2083" s="296"/>
      <c r="CY2083" s="296"/>
    </row>
    <row r="2084" spans="3:103" s="19" customFormat="1" ht="12">
      <c r="C2084" s="21"/>
      <c r="D2084" s="21"/>
      <c r="E2084" s="21"/>
      <c r="F2084" s="21"/>
      <c r="G2084" s="21"/>
      <c r="H2084" s="21"/>
      <c r="I2084" s="21"/>
      <c r="J2084" s="21"/>
      <c r="K2084" s="21"/>
      <c r="L2084" s="21"/>
      <c r="M2084" s="21"/>
      <c r="N2084" s="21"/>
      <c r="O2084" s="21"/>
      <c r="P2084" s="21"/>
      <c r="Q2084" s="21"/>
      <c r="R2084" s="21"/>
      <c r="S2084" s="21"/>
      <c r="T2084" s="21"/>
      <c r="U2084" s="21"/>
      <c r="V2084" s="21"/>
      <c r="W2084" s="21"/>
      <c r="X2084" s="21"/>
      <c r="Y2084" s="21"/>
      <c r="Z2084" s="21"/>
      <c r="AA2084" s="21"/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W2084" s="296"/>
      <c r="CY2084" s="296"/>
    </row>
    <row r="2085" spans="3:103" s="19" customFormat="1" ht="12">
      <c r="C2085" s="21"/>
      <c r="D2085" s="21"/>
      <c r="E2085" s="21"/>
      <c r="F2085" s="21"/>
      <c r="G2085" s="21"/>
      <c r="H2085" s="21"/>
      <c r="I2085" s="21"/>
      <c r="J2085" s="21"/>
      <c r="K2085" s="21"/>
      <c r="L2085" s="21"/>
      <c r="M2085" s="21"/>
      <c r="N2085" s="21"/>
      <c r="O2085" s="21"/>
      <c r="P2085" s="21"/>
      <c r="Q2085" s="21"/>
      <c r="R2085" s="21"/>
      <c r="S2085" s="21"/>
      <c r="T2085" s="21"/>
      <c r="U2085" s="21"/>
      <c r="V2085" s="21"/>
      <c r="W2085" s="21"/>
      <c r="X2085" s="21"/>
      <c r="Y2085" s="21"/>
      <c r="Z2085" s="21"/>
      <c r="AA2085" s="21"/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W2085" s="296"/>
      <c r="CY2085" s="296"/>
    </row>
    <row r="2086" spans="3:103" s="19" customFormat="1" ht="12">
      <c r="C2086" s="21"/>
      <c r="D2086" s="21"/>
      <c r="E2086" s="21"/>
      <c r="F2086" s="21"/>
      <c r="G2086" s="21"/>
      <c r="H2086" s="21"/>
      <c r="I2086" s="21"/>
      <c r="J2086" s="21"/>
      <c r="K2086" s="21"/>
      <c r="L2086" s="21"/>
      <c r="M2086" s="21"/>
      <c r="N2086" s="21"/>
      <c r="O2086" s="21"/>
      <c r="P2086" s="21"/>
      <c r="Q2086" s="21"/>
      <c r="R2086" s="21"/>
      <c r="S2086" s="21"/>
      <c r="T2086" s="21"/>
      <c r="U2086" s="21"/>
      <c r="V2086" s="21"/>
      <c r="W2086" s="21"/>
      <c r="X2086" s="21"/>
      <c r="Y2086" s="21"/>
      <c r="Z2086" s="21"/>
      <c r="AA2086" s="21"/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W2086" s="296"/>
      <c r="CY2086" s="296"/>
    </row>
    <row r="2087" spans="3:103" s="19" customFormat="1" ht="12">
      <c r="C2087" s="21"/>
      <c r="D2087" s="21"/>
      <c r="E2087" s="21"/>
      <c r="F2087" s="21"/>
      <c r="G2087" s="21"/>
      <c r="H2087" s="21"/>
      <c r="I2087" s="21"/>
      <c r="J2087" s="21"/>
      <c r="K2087" s="21"/>
      <c r="L2087" s="21"/>
      <c r="M2087" s="21"/>
      <c r="N2087" s="21"/>
      <c r="O2087" s="21"/>
      <c r="P2087" s="21"/>
      <c r="Q2087" s="21"/>
      <c r="R2087" s="21"/>
      <c r="S2087" s="21"/>
      <c r="T2087" s="21"/>
      <c r="U2087" s="21"/>
      <c r="V2087" s="21"/>
      <c r="W2087" s="21"/>
      <c r="X2087" s="21"/>
      <c r="Y2087" s="21"/>
      <c r="Z2087" s="21"/>
      <c r="AA2087" s="21"/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W2087" s="296"/>
      <c r="CY2087" s="296"/>
    </row>
    <row r="2088" spans="3:103" s="19" customFormat="1" ht="12">
      <c r="C2088" s="21"/>
      <c r="D2088" s="21"/>
      <c r="E2088" s="21"/>
      <c r="F2088" s="21"/>
      <c r="G2088" s="21"/>
      <c r="H2088" s="21"/>
      <c r="I2088" s="21"/>
      <c r="J2088" s="21"/>
      <c r="K2088" s="21"/>
      <c r="L2088" s="21"/>
      <c r="M2088" s="21"/>
      <c r="N2088" s="21"/>
      <c r="O2088" s="21"/>
      <c r="P2088" s="21"/>
      <c r="Q2088" s="21"/>
      <c r="R2088" s="21"/>
      <c r="S2088" s="21"/>
      <c r="T2088" s="21"/>
      <c r="U2088" s="21"/>
      <c r="V2088" s="21"/>
      <c r="W2088" s="21"/>
      <c r="X2088" s="21"/>
      <c r="Y2088" s="21"/>
      <c r="Z2088" s="21"/>
      <c r="AA2088" s="21"/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W2088" s="296"/>
      <c r="CY2088" s="296"/>
    </row>
    <row r="2089" spans="3:103" s="19" customFormat="1" ht="12">
      <c r="C2089" s="21"/>
      <c r="D2089" s="21"/>
      <c r="E2089" s="21"/>
      <c r="F2089" s="21"/>
      <c r="G2089" s="21"/>
      <c r="H2089" s="21"/>
      <c r="I2089" s="21"/>
      <c r="J2089" s="21"/>
      <c r="K2089" s="21"/>
      <c r="L2089" s="21"/>
      <c r="M2089" s="21"/>
      <c r="N2089" s="21"/>
      <c r="O2089" s="21"/>
      <c r="P2089" s="21"/>
      <c r="Q2089" s="21"/>
      <c r="R2089" s="21"/>
      <c r="S2089" s="21"/>
      <c r="T2089" s="21"/>
      <c r="U2089" s="21"/>
      <c r="V2089" s="21"/>
      <c r="W2089" s="21"/>
      <c r="X2089" s="21"/>
      <c r="Y2089" s="21"/>
      <c r="Z2089" s="21"/>
      <c r="AA2089" s="21"/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W2089" s="296"/>
      <c r="CY2089" s="296"/>
    </row>
    <row r="2090" spans="3:103" s="19" customFormat="1" ht="12">
      <c r="C2090" s="21"/>
      <c r="D2090" s="21"/>
      <c r="E2090" s="21"/>
      <c r="F2090" s="21"/>
      <c r="G2090" s="21"/>
      <c r="H2090" s="21"/>
      <c r="I2090" s="21"/>
      <c r="J2090" s="21"/>
      <c r="K2090" s="21"/>
      <c r="L2090" s="21"/>
      <c r="M2090" s="21"/>
      <c r="N2090" s="21"/>
      <c r="O2090" s="21"/>
      <c r="P2090" s="21"/>
      <c r="Q2090" s="21"/>
      <c r="R2090" s="21"/>
      <c r="S2090" s="21"/>
      <c r="T2090" s="21"/>
      <c r="U2090" s="21"/>
      <c r="V2090" s="21"/>
      <c r="W2090" s="21"/>
      <c r="X2090" s="21"/>
      <c r="Y2090" s="21"/>
      <c r="Z2090" s="21"/>
      <c r="AA2090" s="21"/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W2090" s="296"/>
      <c r="CY2090" s="296"/>
    </row>
    <row r="2091" spans="3:103" s="19" customFormat="1" ht="12">
      <c r="C2091" s="21"/>
      <c r="D2091" s="21"/>
      <c r="E2091" s="21"/>
      <c r="F2091" s="21"/>
      <c r="G2091" s="21"/>
      <c r="H2091" s="21"/>
      <c r="I2091" s="21"/>
      <c r="J2091" s="21"/>
      <c r="K2091" s="21"/>
      <c r="L2091" s="21"/>
      <c r="M2091" s="21"/>
      <c r="N2091" s="21"/>
      <c r="O2091" s="21"/>
      <c r="P2091" s="21"/>
      <c r="Q2091" s="21"/>
      <c r="R2091" s="21"/>
      <c r="S2091" s="21"/>
      <c r="T2091" s="21"/>
      <c r="U2091" s="21"/>
      <c r="V2091" s="21"/>
      <c r="W2091" s="21"/>
      <c r="X2091" s="21"/>
      <c r="Y2091" s="21"/>
      <c r="Z2091" s="21"/>
      <c r="AA2091" s="21"/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W2091" s="296"/>
      <c r="CY2091" s="296"/>
    </row>
    <row r="2092" spans="3:103" s="19" customFormat="1" ht="12">
      <c r="C2092" s="21"/>
      <c r="D2092" s="21"/>
      <c r="E2092" s="21"/>
      <c r="F2092" s="21"/>
      <c r="G2092" s="21"/>
      <c r="H2092" s="21"/>
      <c r="I2092" s="21"/>
      <c r="J2092" s="21"/>
      <c r="K2092" s="21"/>
      <c r="L2092" s="21"/>
      <c r="M2092" s="21"/>
      <c r="N2092" s="21"/>
      <c r="O2092" s="21"/>
      <c r="P2092" s="21"/>
      <c r="Q2092" s="21"/>
      <c r="R2092" s="21"/>
      <c r="S2092" s="21"/>
      <c r="T2092" s="21"/>
      <c r="U2092" s="21"/>
      <c r="V2092" s="21"/>
      <c r="W2092" s="21"/>
      <c r="X2092" s="21"/>
      <c r="Y2092" s="21"/>
      <c r="Z2092" s="21"/>
      <c r="AA2092" s="21"/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W2092" s="296"/>
      <c r="CY2092" s="296"/>
    </row>
    <row r="2093" spans="3:103" s="19" customFormat="1" ht="12">
      <c r="C2093" s="21"/>
      <c r="D2093" s="21"/>
      <c r="E2093" s="21"/>
      <c r="F2093" s="21"/>
      <c r="G2093" s="21"/>
      <c r="H2093" s="21"/>
      <c r="I2093" s="21"/>
      <c r="J2093" s="21"/>
      <c r="K2093" s="21"/>
      <c r="L2093" s="21"/>
      <c r="M2093" s="21"/>
      <c r="N2093" s="21"/>
      <c r="O2093" s="21"/>
      <c r="P2093" s="21"/>
      <c r="Q2093" s="21"/>
      <c r="R2093" s="21"/>
      <c r="S2093" s="21"/>
      <c r="T2093" s="21"/>
      <c r="U2093" s="21"/>
      <c r="V2093" s="21"/>
      <c r="W2093" s="21"/>
      <c r="X2093" s="21"/>
      <c r="Y2093" s="21"/>
      <c r="Z2093" s="21"/>
      <c r="AA2093" s="21"/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W2093" s="296"/>
      <c r="CY2093" s="296"/>
    </row>
    <row r="2094" spans="3:103" s="19" customFormat="1" ht="12">
      <c r="C2094" s="21"/>
      <c r="D2094" s="21"/>
      <c r="E2094" s="21"/>
      <c r="F2094" s="21"/>
      <c r="G2094" s="21"/>
      <c r="H2094" s="21"/>
      <c r="I2094" s="21"/>
      <c r="J2094" s="21"/>
      <c r="K2094" s="21"/>
      <c r="L2094" s="21"/>
      <c r="M2094" s="21"/>
      <c r="N2094" s="21"/>
      <c r="O2094" s="21"/>
      <c r="P2094" s="21"/>
      <c r="Q2094" s="21"/>
      <c r="R2094" s="21"/>
      <c r="S2094" s="21"/>
      <c r="T2094" s="21"/>
      <c r="U2094" s="21"/>
      <c r="V2094" s="21"/>
      <c r="W2094" s="21"/>
      <c r="X2094" s="21"/>
      <c r="Y2094" s="21"/>
      <c r="Z2094" s="21"/>
      <c r="AA2094" s="21"/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W2094" s="296"/>
      <c r="CY2094" s="296"/>
    </row>
    <row r="2095" spans="3:103" s="19" customFormat="1" ht="12">
      <c r="C2095" s="21"/>
      <c r="D2095" s="21"/>
      <c r="E2095" s="21"/>
      <c r="F2095" s="21"/>
      <c r="G2095" s="21"/>
      <c r="H2095" s="21"/>
      <c r="I2095" s="21"/>
      <c r="J2095" s="21"/>
      <c r="K2095" s="21"/>
      <c r="L2095" s="21"/>
      <c r="M2095" s="21"/>
      <c r="N2095" s="21"/>
      <c r="O2095" s="21"/>
      <c r="P2095" s="21"/>
      <c r="Q2095" s="21"/>
      <c r="R2095" s="21"/>
      <c r="S2095" s="21"/>
      <c r="T2095" s="21"/>
      <c r="U2095" s="21"/>
      <c r="V2095" s="21"/>
      <c r="W2095" s="21"/>
      <c r="X2095" s="21"/>
      <c r="Y2095" s="21"/>
      <c r="Z2095" s="21"/>
      <c r="AA2095" s="21"/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W2095" s="296"/>
      <c r="CY2095" s="296"/>
    </row>
    <row r="2096" spans="3:103" s="19" customFormat="1" ht="12">
      <c r="C2096" s="21"/>
      <c r="D2096" s="21"/>
      <c r="E2096" s="21"/>
      <c r="F2096" s="21"/>
      <c r="G2096" s="21"/>
      <c r="H2096" s="21"/>
      <c r="I2096" s="21"/>
      <c r="J2096" s="21"/>
      <c r="K2096" s="21"/>
      <c r="L2096" s="21"/>
      <c r="M2096" s="21"/>
      <c r="N2096" s="21"/>
      <c r="O2096" s="21"/>
      <c r="P2096" s="21"/>
      <c r="Q2096" s="21"/>
      <c r="R2096" s="21"/>
      <c r="S2096" s="21"/>
      <c r="T2096" s="21"/>
      <c r="U2096" s="21"/>
      <c r="V2096" s="21"/>
      <c r="W2096" s="21"/>
      <c r="X2096" s="21"/>
      <c r="Y2096" s="21"/>
      <c r="Z2096" s="21"/>
      <c r="AA2096" s="21"/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W2096" s="296"/>
      <c r="CY2096" s="296"/>
    </row>
    <row r="2097" spans="3:103" s="19" customFormat="1" ht="12">
      <c r="C2097" s="21"/>
      <c r="D2097" s="21"/>
      <c r="E2097" s="21"/>
      <c r="F2097" s="21"/>
      <c r="G2097" s="21"/>
      <c r="H2097" s="21"/>
      <c r="I2097" s="21"/>
      <c r="J2097" s="21"/>
      <c r="K2097" s="21"/>
      <c r="L2097" s="21"/>
      <c r="M2097" s="21"/>
      <c r="N2097" s="21"/>
      <c r="O2097" s="21"/>
      <c r="P2097" s="21"/>
      <c r="Q2097" s="21"/>
      <c r="R2097" s="21"/>
      <c r="S2097" s="21"/>
      <c r="T2097" s="21"/>
      <c r="U2097" s="21"/>
      <c r="V2097" s="21"/>
      <c r="W2097" s="21"/>
      <c r="X2097" s="21"/>
      <c r="Y2097" s="21"/>
      <c r="Z2097" s="21"/>
      <c r="AA2097" s="21"/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W2097" s="296"/>
      <c r="CY2097" s="296"/>
    </row>
    <row r="2098" spans="3:103" s="19" customFormat="1" ht="12">
      <c r="C2098" s="21"/>
      <c r="D2098" s="21"/>
      <c r="E2098" s="21"/>
      <c r="F2098" s="21"/>
      <c r="G2098" s="21"/>
      <c r="H2098" s="21"/>
      <c r="I2098" s="21"/>
      <c r="J2098" s="21"/>
      <c r="K2098" s="21"/>
      <c r="L2098" s="21"/>
      <c r="M2098" s="21"/>
      <c r="N2098" s="21"/>
      <c r="O2098" s="21"/>
      <c r="P2098" s="21"/>
      <c r="Q2098" s="21"/>
      <c r="R2098" s="21"/>
      <c r="S2098" s="21"/>
      <c r="T2098" s="21"/>
      <c r="U2098" s="21"/>
      <c r="V2098" s="21"/>
      <c r="W2098" s="21"/>
      <c r="X2098" s="21"/>
      <c r="Y2098" s="21"/>
      <c r="Z2098" s="21"/>
      <c r="AA2098" s="21"/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W2098" s="296"/>
      <c r="CY2098" s="296"/>
    </row>
    <row r="2099" spans="3:103" s="19" customFormat="1" ht="12">
      <c r="C2099" s="21"/>
      <c r="D2099" s="21"/>
      <c r="E2099" s="21"/>
      <c r="F2099" s="21"/>
      <c r="G2099" s="21"/>
      <c r="H2099" s="21"/>
      <c r="I2099" s="21"/>
      <c r="J2099" s="21"/>
      <c r="K2099" s="21"/>
      <c r="L2099" s="21"/>
      <c r="M2099" s="21"/>
      <c r="N2099" s="21"/>
      <c r="O2099" s="21"/>
      <c r="P2099" s="21"/>
      <c r="Q2099" s="21"/>
      <c r="R2099" s="21"/>
      <c r="S2099" s="21"/>
      <c r="T2099" s="21"/>
      <c r="U2099" s="21"/>
      <c r="V2099" s="21"/>
      <c r="W2099" s="21"/>
      <c r="X2099" s="21"/>
      <c r="Y2099" s="21"/>
      <c r="Z2099" s="21"/>
      <c r="AA2099" s="21"/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W2099" s="296"/>
      <c r="CY2099" s="296"/>
    </row>
    <row r="2100" spans="3:103" s="19" customFormat="1" ht="12">
      <c r="C2100" s="21"/>
      <c r="D2100" s="21"/>
      <c r="E2100" s="21"/>
      <c r="F2100" s="21"/>
      <c r="G2100" s="21"/>
      <c r="H2100" s="21"/>
      <c r="I2100" s="21"/>
      <c r="J2100" s="21"/>
      <c r="K2100" s="21"/>
      <c r="L2100" s="21"/>
      <c r="M2100" s="21"/>
      <c r="N2100" s="21"/>
      <c r="O2100" s="21"/>
      <c r="P2100" s="21"/>
      <c r="Q2100" s="21"/>
      <c r="R2100" s="21"/>
      <c r="S2100" s="21"/>
      <c r="T2100" s="21"/>
      <c r="U2100" s="21"/>
      <c r="V2100" s="21"/>
      <c r="W2100" s="21"/>
      <c r="X2100" s="21"/>
      <c r="Y2100" s="21"/>
      <c r="Z2100" s="21"/>
      <c r="AA2100" s="21"/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W2100" s="296"/>
      <c r="CY2100" s="296"/>
    </row>
    <row r="2101" spans="3:103" s="19" customFormat="1" ht="12">
      <c r="C2101" s="21"/>
      <c r="D2101" s="21"/>
      <c r="E2101" s="21"/>
      <c r="F2101" s="21"/>
      <c r="G2101" s="21"/>
      <c r="H2101" s="21"/>
      <c r="I2101" s="21"/>
      <c r="J2101" s="21"/>
      <c r="K2101" s="21"/>
      <c r="L2101" s="21"/>
      <c r="M2101" s="21"/>
      <c r="N2101" s="21"/>
      <c r="O2101" s="21"/>
      <c r="P2101" s="21"/>
      <c r="Q2101" s="21"/>
      <c r="R2101" s="21"/>
      <c r="S2101" s="21"/>
      <c r="T2101" s="21"/>
      <c r="U2101" s="21"/>
      <c r="V2101" s="21"/>
      <c r="W2101" s="21"/>
      <c r="X2101" s="21"/>
      <c r="Y2101" s="21"/>
      <c r="Z2101" s="21"/>
      <c r="AA2101" s="21"/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W2101" s="296"/>
      <c r="CY2101" s="296"/>
    </row>
    <row r="2102" spans="3:103" s="19" customFormat="1" ht="12">
      <c r="C2102" s="21"/>
      <c r="D2102" s="21"/>
      <c r="E2102" s="21"/>
      <c r="F2102" s="21"/>
      <c r="G2102" s="21"/>
      <c r="H2102" s="21"/>
      <c r="I2102" s="21"/>
      <c r="J2102" s="21"/>
      <c r="K2102" s="21"/>
      <c r="L2102" s="21"/>
      <c r="M2102" s="21"/>
      <c r="N2102" s="21"/>
      <c r="O2102" s="21"/>
      <c r="P2102" s="21"/>
      <c r="Q2102" s="21"/>
      <c r="R2102" s="21"/>
      <c r="S2102" s="21"/>
      <c r="T2102" s="21"/>
      <c r="U2102" s="21"/>
      <c r="V2102" s="21"/>
      <c r="W2102" s="21"/>
      <c r="X2102" s="21"/>
      <c r="Y2102" s="21"/>
      <c r="Z2102" s="21"/>
      <c r="AA2102" s="21"/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W2102" s="296"/>
      <c r="CY2102" s="296"/>
    </row>
    <row r="2103" spans="3:103" s="19" customFormat="1" ht="12">
      <c r="C2103" s="21"/>
      <c r="D2103" s="21"/>
      <c r="E2103" s="21"/>
      <c r="F2103" s="21"/>
      <c r="G2103" s="21"/>
      <c r="H2103" s="21"/>
      <c r="I2103" s="21"/>
      <c r="J2103" s="21"/>
      <c r="K2103" s="21"/>
      <c r="L2103" s="21"/>
      <c r="M2103" s="21"/>
      <c r="N2103" s="21"/>
      <c r="O2103" s="21"/>
      <c r="P2103" s="21"/>
      <c r="Q2103" s="21"/>
      <c r="R2103" s="21"/>
      <c r="S2103" s="21"/>
      <c r="T2103" s="21"/>
      <c r="U2103" s="21"/>
      <c r="V2103" s="21"/>
      <c r="W2103" s="21"/>
      <c r="X2103" s="21"/>
      <c r="Y2103" s="21"/>
      <c r="Z2103" s="21"/>
      <c r="AA2103" s="21"/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W2103" s="296"/>
      <c r="CY2103" s="296"/>
    </row>
    <row r="2104" spans="3:103" s="19" customFormat="1" ht="12">
      <c r="C2104" s="21"/>
      <c r="D2104" s="21"/>
      <c r="E2104" s="21"/>
      <c r="F2104" s="21"/>
      <c r="G2104" s="21"/>
      <c r="H2104" s="21"/>
      <c r="I2104" s="21"/>
      <c r="J2104" s="21"/>
      <c r="K2104" s="21"/>
      <c r="L2104" s="21"/>
      <c r="M2104" s="21"/>
      <c r="N2104" s="21"/>
      <c r="O2104" s="21"/>
      <c r="P2104" s="21"/>
      <c r="Q2104" s="21"/>
      <c r="R2104" s="21"/>
      <c r="S2104" s="21"/>
      <c r="T2104" s="21"/>
      <c r="U2104" s="21"/>
      <c r="V2104" s="21"/>
      <c r="W2104" s="21"/>
      <c r="X2104" s="21"/>
      <c r="Y2104" s="21"/>
      <c r="Z2104" s="21"/>
      <c r="AA2104" s="21"/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W2104" s="296"/>
      <c r="CY2104" s="296"/>
    </row>
    <row r="2105" spans="3:103" s="19" customFormat="1" ht="12">
      <c r="C2105" s="21"/>
      <c r="D2105" s="21"/>
      <c r="E2105" s="21"/>
      <c r="F2105" s="21"/>
      <c r="G2105" s="21"/>
      <c r="H2105" s="21"/>
      <c r="I2105" s="21"/>
      <c r="J2105" s="21"/>
      <c r="K2105" s="21"/>
      <c r="L2105" s="21"/>
      <c r="M2105" s="21"/>
      <c r="N2105" s="21"/>
      <c r="O2105" s="21"/>
      <c r="P2105" s="21"/>
      <c r="Q2105" s="21"/>
      <c r="R2105" s="21"/>
      <c r="S2105" s="21"/>
      <c r="T2105" s="21"/>
      <c r="U2105" s="21"/>
      <c r="V2105" s="21"/>
      <c r="W2105" s="21"/>
      <c r="X2105" s="21"/>
      <c r="Y2105" s="21"/>
      <c r="Z2105" s="21"/>
      <c r="AA2105" s="21"/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W2105" s="296"/>
      <c r="CY2105" s="296"/>
    </row>
    <row r="2106" spans="3:103" s="19" customFormat="1" ht="12">
      <c r="C2106" s="21"/>
      <c r="D2106" s="21"/>
      <c r="E2106" s="21"/>
      <c r="F2106" s="21"/>
      <c r="G2106" s="21"/>
      <c r="H2106" s="21"/>
      <c r="I2106" s="21"/>
      <c r="J2106" s="21"/>
      <c r="K2106" s="21"/>
      <c r="L2106" s="21"/>
      <c r="M2106" s="21"/>
      <c r="N2106" s="21"/>
      <c r="O2106" s="21"/>
      <c r="P2106" s="21"/>
      <c r="Q2106" s="21"/>
      <c r="R2106" s="21"/>
      <c r="S2106" s="21"/>
      <c r="T2106" s="21"/>
      <c r="U2106" s="21"/>
      <c r="V2106" s="21"/>
      <c r="W2106" s="21"/>
      <c r="X2106" s="21"/>
      <c r="Y2106" s="21"/>
      <c r="Z2106" s="21"/>
      <c r="AA2106" s="21"/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W2106" s="296"/>
      <c r="CY2106" s="296"/>
    </row>
    <row r="2107" spans="3:103" s="19" customFormat="1" ht="12">
      <c r="C2107" s="21"/>
      <c r="D2107" s="21"/>
      <c r="E2107" s="21"/>
      <c r="F2107" s="21"/>
      <c r="G2107" s="21"/>
      <c r="H2107" s="21"/>
      <c r="I2107" s="21"/>
      <c r="J2107" s="21"/>
      <c r="K2107" s="21"/>
      <c r="L2107" s="21"/>
      <c r="M2107" s="21"/>
      <c r="N2107" s="21"/>
      <c r="O2107" s="21"/>
      <c r="P2107" s="21"/>
      <c r="Q2107" s="21"/>
      <c r="R2107" s="21"/>
      <c r="S2107" s="21"/>
      <c r="T2107" s="21"/>
      <c r="U2107" s="21"/>
      <c r="V2107" s="21"/>
      <c r="W2107" s="21"/>
      <c r="X2107" s="21"/>
      <c r="Y2107" s="21"/>
      <c r="Z2107" s="21"/>
      <c r="AA2107" s="21"/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W2107" s="296"/>
      <c r="CY2107" s="296"/>
    </row>
    <row r="2108" spans="3:103" s="19" customFormat="1" ht="12">
      <c r="C2108" s="21"/>
      <c r="D2108" s="21"/>
      <c r="E2108" s="21"/>
      <c r="F2108" s="21"/>
      <c r="G2108" s="21"/>
      <c r="H2108" s="21"/>
      <c r="I2108" s="21"/>
      <c r="J2108" s="21"/>
      <c r="K2108" s="21"/>
      <c r="L2108" s="21"/>
      <c r="M2108" s="21"/>
      <c r="N2108" s="21"/>
      <c r="O2108" s="21"/>
      <c r="P2108" s="21"/>
      <c r="Q2108" s="21"/>
      <c r="R2108" s="21"/>
      <c r="S2108" s="21"/>
      <c r="T2108" s="21"/>
      <c r="U2108" s="21"/>
      <c r="V2108" s="21"/>
      <c r="W2108" s="21"/>
      <c r="X2108" s="21"/>
      <c r="Y2108" s="21"/>
      <c r="Z2108" s="21"/>
      <c r="AA2108" s="21"/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W2108" s="296"/>
      <c r="CY2108" s="296"/>
    </row>
    <row r="2109" spans="3:103" s="19" customFormat="1" ht="12">
      <c r="C2109" s="21"/>
      <c r="D2109" s="21"/>
      <c r="E2109" s="21"/>
      <c r="F2109" s="21"/>
      <c r="G2109" s="21"/>
      <c r="H2109" s="21"/>
      <c r="I2109" s="21"/>
      <c r="J2109" s="21"/>
      <c r="K2109" s="21"/>
      <c r="L2109" s="21"/>
      <c r="M2109" s="21"/>
      <c r="N2109" s="21"/>
      <c r="O2109" s="21"/>
      <c r="P2109" s="21"/>
      <c r="Q2109" s="21"/>
      <c r="R2109" s="21"/>
      <c r="S2109" s="21"/>
      <c r="T2109" s="21"/>
      <c r="U2109" s="21"/>
      <c r="V2109" s="21"/>
      <c r="W2109" s="21"/>
      <c r="X2109" s="21"/>
      <c r="Y2109" s="21"/>
      <c r="Z2109" s="21"/>
      <c r="AA2109" s="21"/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W2109" s="296"/>
      <c r="CY2109" s="296"/>
    </row>
    <row r="2110" spans="3:103" s="19" customFormat="1" ht="12">
      <c r="C2110" s="21"/>
      <c r="D2110" s="21"/>
      <c r="E2110" s="21"/>
      <c r="F2110" s="21"/>
      <c r="G2110" s="21"/>
      <c r="H2110" s="21"/>
      <c r="I2110" s="21"/>
      <c r="J2110" s="21"/>
      <c r="K2110" s="21"/>
      <c r="L2110" s="21"/>
      <c r="M2110" s="21"/>
      <c r="N2110" s="21"/>
      <c r="O2110" s="21"/>
      <c r="P2110" s="21"/>
      <c r="Q2110" s="21"/>
      <c r="R2110" s="21"/>
      <c r="S2110" s="21"/>
      <c r="T2110" s="21"/>
      <c r="U2110" s="21"/>
      <c r="V2110" s="21"/>
      <c r="W2110" s="21"/>
      <c r="X2110" s="21"/>
      <c r="Y2110" s="21"/>
      <c r="Z2110" s="21"/>
      <c r="AA2110" s="21"/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W2110" s="296"/>
      <c r="CY2110" s="296"/>
    </row>
    <row r="2111" spans="3:103" s="19" customFormat="1" ht="12">
      <c r="C2111" s="21"/>
      <c r="D2111" s="21"/>
      <c r="E2111" s="21"/>
      <c r="F2111" s="21"/>
      <c r="G2111" s="21"/>
      <c r="H2111" s="21"/>
      <c r="I2111" s="21"/>
      <c r="J2111" s="21"/>
      <c r="K2111" s="21"/>
      <c r="L2111" s="21"/>
      <c r="M2111" s="21"/>
      <c r="N2111" s="21"/>
      <c r="O2111" s="21"/>
      <c r="P2111" s="21"/>
      <c r="Q2111" s="21"/>
      <c r="R2111" s="21"/>
      <c r="S2111" s="21"/>
      <c r="T2111" s="21"/>
      <c r="U2111" s="21"/>
      <c r="V2111" s="21"/>
      <c r="W2111" s="21"/>
      <c r="X2111" s="21"/>
      <c r="Y2111" s="21"/>
      <c r="Z2111" s="21"/>
      <c r="AA2111" s="21"/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W2111" s="296"/>
      <c r="CY2111" s="296"/>
    </row>
    <row r="2112" spans="3:103" s="19" customFormat="1" ht="12">
      <c r="C2112" s="21"/>
      <c r="D2112" s="21"/>
      <c r="E2112" s="21"/>
      <c r="F2112" s="21"/>
      <c r="G2112" s="21"/>
      <c r="H2112" s="21"/>
      <c r="I2112" s="21"/>
      <c r="J2112" s="21"/>
      <c r="K2112" s="21"/>
      <c r="L2112" s="21"/>
      <c r="M2112" s="21"/>
      <c r="N2112" s="21"/>
      <c r="O2112" s="21"/>
      <c r="P2112" s="21"/>
      <c r="Q2112" s="21"/>
      <c r="R2112" s="21"/>
      <c r="S2112" s="21"/>
      <c r="T2112" s="21"/>
      <c r="U2112" s="21"/>
      <c r="V2112" s="21"/>
      <c r="W2112" s="21"/>
      <c r="X2112" s="21"/>
      <c r="Y2112" s="21"/>
      <c r="Z2112" s="21"/>
      <c r="AA2112" s="21"/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W2112" s="296"/>
      <c r="CY2112" s="296"/>
    </row>
    <row r="2113" spans="3:103" s="19" customFormat="1" ht="12">
      <c r="C2113" s="21"/>
      <c r="D2113" s="21"/>
      <c r="E2113" s="21"/>
      <c r="F2113" s="21"/>
      <c r="G2113" s="21"/>
      <c r="H2113" s="21"/>
      <c r="I2113" s="21"/>
      <c r="J2113" s="21"/>
      <c r="K2113" s="21"/>
      <c r="L2113" s="21"/>
      <c r="M2113" s="21"/>
      <c r="N2113" s="21"/>
      <c r="O2113" s="21"/>
      <c r="P2113" s="21"/>
      <c r="Q2113" s="21"/>
      <c r="R2113" s="21"/>
      <c r="S2113" s="21"/>
      <c r="T2113" s="21"/>
      <c r="U2113" s="21"/>
      <c r="V2113" s="21"/>
      <c r="W2113" s="21"/>
      <c r="X2113" s="21"/>
      <c r="Y2113" s="21"/>
      <c r="Z2113" s="21"/>
      <c r="AA2113" s="21"/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W2113" s="296"/>
      <c r="CY2113" s="296"/>
    </row>
    <row r="2114" spans="3:103" s="19" customFormat="1" ht="12">
      <c r="C2114" s="21"/>
      <c r="D2114" s="21"/>
      <c r="E2114" s="21"/>
      <c r="F2114" s="21"/>
      <c r="G2114" s="21"/>
      <c r="H2114" s="21"/>
      <c r="I2114" s="21"/>
      <c r="J2114" s="21"/>
      <c r="K2114" s="21"/>
      <c r="L2114" s="21"/>
      <c r="M2114" s="21"/>
      <c r="N2114" s="21"/>
      <c r="O2114" s="21"/>
      <c r="P2114" s="21"/>
      <c r="Q2114" s="21"/>
      <c r="R2114" s="21"/>
      <c r="S2114" s="21"/>
      <c r="T2114" s="21"/>
      <c r="U2114" s="21"/>
      <c r="V2114" s="21"/>
      <c r="W2114" s="21"/>
      <c r="X2114" s="21"/>
      <c r="Y2114" s="21"/>
      <c r="Z2114" s="21"/>
      <c r="AA2114" s="21"/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W2114" s="296"/>
      <c r="CY2114" s="296"/>
    </row>
    <row r="2115" spans="3:103" s="19" customFormat="1" ht="12">
      <c r="C2115" s="21"/>
      <c r="D2115" s="21"/>
      <c r="E2115" s="21"/>
      <c r="F2115" s="21"/>
      <c r="G2115" s="21"/>
      <c r="H2115" s="21"/>
      <c r="I2115" s="21"/>
      <c r="J2115" s="21"/>
      <c r="K2115" s="21"/>
      <c r="L2115" s="21"/>
      <c r="M2115" s="21"/>
      <c r="N2115" s="21"/>
      <c r="O2115" s="21"/>
      <c r="P2115" s="21"/>
      <c r="Q2115" s="21"/>
      <c r="R2115" s="21"/>
      <c r="S2115" s="21"/>
      <c r="T2115" s="21"/>
      <c r="U2115" s="21"/>
      <c r="V2115" s="21"/>
      <c r="W2115" s="21"/>
      <c r="X2115" s="21"/>
      <c r="Y2115" s="21"/>
      <c r="Z2115" s="21"/>
      <c r="AA2115" s="21"/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W2115" s="296"/>
      <c r="CY2115" s="296"/>
    </row>
    <row r="2116" spans="3:103" s="19" customFormat="1" ht="12">
      <c r="C2116" s="21"/>
      <c r="D2116" s="21"/>
      <c r="E2116" s="21"/>
      <c r="F2116" s="21"/>
      <c r="G2116" s="21"/>
      <c r="H2116" s="21"/>
      <c r="I2116" s="21"/>
      <c r="J2116" s="21"/>
      <c r="K2116" s="21"/>
      <c r="L2116" s="21"/>
      <c r="M2116" s="21"/>
      <c r="N2116" s="21"/>
      <c r="O2116" s="21"/>
      <c r="P2116" s="21"/>
      <c r="Q2116" s="21"/>
      <c r="R2116" s="21"/>
      <c r="S2116" s="21"/>
      <c r="T2116" s="21"/>
      <c r="U2116" s="21"/>
      <c r="V2116" s="21"/>
      <c r="W2116" s="21"/>
      <c r="X2116" s="21"/>
      <c r="Y2116" s="21"/>
      <c r="Z2116" s="21"/>
      <c r="AA2116" s="21"/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W2116" s="296"/>
      <c r="CY2116" s="296"/>
    </row>
    <row r="2117" spans="3:103" s="19" customFormat="1" ht="12">
      <c r="C2117" s="21"/>
      <c r="D2117" s="21"/>
      <c r="E2117" s="21"/>
      <c r="F2117" s="21"/>
      <c r="G2117" s="21"/>
      <c r="H2117" s="21"/>
      <c r="I2117" s="21"/>
      <c r="J2117" s="21"/>
      <c r="K2117" s="21"/>
      <c r="L2117" s="21"/>
      <c r="M2117" s="21"/>
      <c r="N2117" s="21"/>
      <c r="O2117" s="21"/>
      <c r="P2117" s="21"/>
      <c r="Q2117" s="21"/>
      <c r="R2117" s="21"/>
      <c r="S2117" s="21"/>
      <c r="T2117" s="21"/>
      <c r="U2117" s="21"/>
      <c r="V2117" s="21"/>
      <c r="W2117" s="21"/>
      <c r="X2117" s="21"/>
      <c r="Y2117" s="21"/>
      <c r="Z2117" s="21"/>
      <c r="AA2117" s="21"/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W2117" s="296"/>
      <c r="CY2117" s="296"/>
    </row>
    <row r="2118" spans="3:103" s="19" customFormat="1" ht="12">
      <c r="C2118" s="21"/>
      <c r="D2118" s="21"/>
      <c r="E2118" s="21"/>
      <c r="F2118" s="21"/>
      <c r="G2118" s="21"/>
      <c r="H2118" s="21"/>
      <c r="I2118" s="21"/>
      <c r="J2118" s="21"/>
      <c r="K2118" s="21"/>
      <c r="L2118" s="21"/>
      <c r="M2118" s="21"/>
      <c r="N2118" s="21"/>
      <c r="O2118" s="21"/>
      <c r="P2118" s="21"/>
      <c r="Q2118" s="21"/>
      <c r="R2118" s="21"/>
      <c r="S2118" s="21"/>
      <c r="T2118" s="21"/>
      <c r="U2118" s="21"/>
      <c r="V2118" s="21"/>
      <c r="W2118" s="21"/>
      <c r="X2118" s="21"/>
      <c r="Y2118" s="21"/>
      <c r="Z2118" s="21"/>
      <c r="AA2118" s="21"/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W2118" s="296"/>
      <c r="CY2118" s="296"/>
    </row>
    <row r="2119" spans="3:103" s="19" customFormat="1" ht="12">
      <c r="C2119" s="21"/>
      <c r="D2119" s="21"/>
      <c r="E2119" s="21"/>
      <c r="F2119" s="21"/>
      <c r="G2119" s="21"/>
      <c r="H2119" s="21"/>
      <c r="I2119" s="21"/>
      <c r="J2119" s="21"/>
      <c r="K2119" s="21"/>
      <c r="L2119" s="21"/>
      <c r="M2119" s="21"/>
      <c r="N2119" s="21"/>
      <c r="O2119" s="21"/>
      <c r="P2119" s="21"/>
      <c r="Q2119" s="21"/>
      <c r="R2119" s="21"/>
      <c r="S2119" s="21"/>
      <c r="T2119" s="21"/>
      <c r="U2119" s="21"/>
      <c r="V2119" s="21"/>
      <c r="W2119" s="21"/>
      <c r="X2119" s="21"/>
      <c r="Y2119" s="21"/>
      <c r="Z2119" s="21"/>
      <c r="AA2119" s="21"/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W2119" s="296"/>
      <c r="CY2119" s="296"/>
    </row>
    <row r="2120" spans="3:103" s="19" customFormat="1" ht="12">
      <c r="C2120" s="21"/>
      <c r="D2120" s="21"/>
      <c r="E2120" s="21"/>
      <c r="F2120" s="21"/>
      <c r="G2120" s="21"/>
      <c r="H2120" s="21"/>
      <c r="I2120" s="21"/>
      <c r="J2120" s="21"/>
      <c r="K2120" s="21"/>
      <c r="L2120" s="21"/>
      <c r="M2120" s="21"/>
      <c r="N2120" s="21"/>
      <c r="O2120" s="21"/>
      <c r="P2120" s="21"/>
      <c r="Q2120" s="21"/>
      <c r="R2120" s="21"/>
      <c r="S2120" s="21"/>
      <c r="T2120" s="21"/>
      <c r="U2120" s="21"/>
      <c r="V2120" s="21"/>
      <c r="W2120" s="21"/>
      <c r="X2120" s="21"/>
      <c r="Y2120" s="21"/>
      <c r="Z2120" s="21"/>
      <c r="AA2120" s="21"/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W2120" s="296"/>
      <c r="CY2120" s="296"/>
    </row>
    <row r="2121" spans="3:103" s="19" customFormat="1" ht="12">
      <c r="C2121" s="21"/>
      <c r="D2121" s="21"/>
      <c r="E2121" s="21"/>
      <c r="F2121" s="21"/>
      <c r="G2121" s="21"/>
      <c r="H2121" s="21"/>
      <c r="I2121" s="21"/>
      <c r="J2121" s="21"/>
      <c r="K2121" s="21"/>
      <c r="L2121" s="21"/>
      <c r="M2121" s="21"/>
      <c r="N2121" s="21"/>
      <c r="O2121" s="21"/>
      <c r="P2121" s="21"/>
      <c r="Q2121" s="21"/>
      <c r="R2121" s="21"/>
      <c r="S2121" s="21"/>
      <c r="T2121" s="21"/>
      <c r="U2121" s="21"/>
      <c r="V2121" s="21"/>
      <c r="W2121" s="21"/>
      <c r="X2121" s="21"/>
      <c r="Y2121" s="21"/>
      <c r="Z2121" s="21"/>
      <c r="AA2121" s="21"/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W2121" s="296"/>
      <c r="CY2121" s="296"/>
    </row>
    <row r="2122" spans="3:103" s="19" customFormat="1" ht="12">
      <c r="C2122" s="21"/>
      <c r="D2122" s="21"/>
      <c r="E2122" s="21"/>
      <c r="F2122" s="21"/>
      <c r="G2122" s="21"/>
      <c r="H2122" s="21"/>
      <c r="I2122" s="21"/>
      <c r="J2122" s="21"/>
      <c r="K2122" s="21"/>
      <c r="L2122" s="21"/>
      <c r="M2122" s="21"/>
      <c r="N2122" s="21"/>
      <c r="O2122" s="21"/>
      <c r="P2122" s="21"/>
      <c r="Q2122" s="21"/>
      <c r="R2122" s="21"/>
      <c r="S2122" s="21"/>
      <c r="T2122" s="21"/>
      <c r="U2122" s="21"/>
      <c r="V2122" s="21"/>
      <c r="W2122" s="21"/>
      <c r="X2122" s="21"/>
      <c r="Y2122" s="21"/>
      <c r="Z2122" s="21"/>
      <c r="AA2122" s="21"/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W2122" s="296"/>
      <c r="CY2122" s="296"/>
    </row>
    <row r="2123" spans="3:103" s="19" customFormat="1" ht="12">
      <c r="C2123" s="21"/>
      <c r="D2123" s="21"/>
      <c r="E2123" s="21"/>
      <c r="F2123" s="21"/>
      <c r="G2123" s="21"/>
      <c r="H2123" s="21"/>
      <c r="I2123" s="21"/>
      <c r="J2123" s="21"/>
      <c r="K2123" s="21"/>
      <c r="L2123" s="21"/>
      <c r="M2123" s="21"/>
      <c r="N2123" s="21"/>
      <c r="O2123" s="21"/>
      <c r="P2123" s="21"/>
      <c r="Q2123" s="21"/>
      <c r="R2123" s="21"/>
      <c r="S2123" s="21"/>
      <c r="T2123" s="21"/>
      <c r="U2123" s="21"/>
      <c r="V2123" s="21"/>
      <c r="W2123" s="21"/>
      <c r="X2123" s="21"/>
      <c r="Y2123" s="21"/>
      <c r="Z2123" s="21"/>
      <c r="AA2123" s="21"/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W2123" s="296"/>
      <c r="CY2123" s="296"/>
    </row>
    <row r="2124" spans="3:103" s="19" customFormat="1" ht="12">
      <c r="C2124" s="21"/>
      <c r="D2124" s="21"/>
      <c r="E2124" s="21"/>
      <c r="F2124" s="21"/>
      <c r="G2124" s="21"/>
      <c r="H2124" s="21"/>
      <c r="I2124" s="21"/>
      <c r="J2124" s="21"/>
      <c r="K2124" s="21"/>
      <c r="L2124" s="21"/>
      <c r="M2124" s="21"/>
      <c r="N2124" s="21"/>
      <c r="O2124" s="21"/>
      <c r="P2124" s="21"/>
      <c r="Q2124" s="21"/>
      <c r="R2124" s="21"/>
      <c r="S2124" s="21"/>
      <c r="T2124" s="21"/>
      <c r="U2124" s="21"/>
      <c r="V2124" s="21"/>
      <c r="W2124" s="21"/>
      <c r="X2124" s="21"/>
      <c r="Y2124" s="21"/>
      <c r="Z2124" s="21"/>
      <c r="AA2124" s="21"/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W2124" s="296"/>
      <c r="CY2124" s="296"/>
    </row>
    <row r="2125" spans="3:103" s="19" customFormat="1" ht="12">
      <c r="C2125" s="21"/>
      <c r="D2125" s="21"/>
      <c r="E2125" s="21"/>
      <c r="F2125" s="21"/>
      <c r="G2125" s="21"/>
      <c r="H2125" s="21"/>
      <c r="I2125" s="21"/>
      <c r="J2125" s="21"/>
      <c r="K2125" s="21"/>
      <c r="L2125" s="21"/>
      <c r="M2125" s="21"/>
      <c r="N2125" s="21"/>
      <c r="O2125" s="21"/>
      <c r="P2125" s="21"/>
      <c r="Q2125" s="21"/>
      <c r="R2125" s="21"/>
      <c r="S2125" s="21"/>
      <c r="T2125" s="21"/>
      <c r="U2125" s="21"/>
      <c r="V2125" s="21"/>
      <c r="W2125" s="21"/>
      <c r="X2125" s="21"/>
      <c r="Y2125" s="21"/>
      <c r="Z2125" s="21"/>
      <c r="AA2125" s="21"/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W2125" s="296"/>
      <c r="CY2125" s="296"/>
    </row>
    <row r="2126" spans="3:103" s="19" customFormat="1" ht="12">
      <c r="C2126" s="21"/>
      <c r="D2126" s="21"/>
      <c r="E2126" s="21"/>
      <c r="F2126" s="21"/>
      <c r="G2126" s="21"/>
      <c r="H2126" s="21"/>
      <c r="I2126" s="21"/>
      <c r="J2126" s="21"/>
      <c r="K2126" s="21"/>
      <c r="L2126" s="21"/>
      <c r="M2126" s="21"/>
      <c r="N2126" s="21"/>
      <c r="O2126" s="21"/>
      <c r="P2126" s="21"/>
      <c r="Q2126" s="21"/>
      <c r="R2126" s="21"/>
      <c r="S2126" s="21"/>
      <c r="T2126" s="21"/>
      <c r="U2126" s="21"/>
      <c r="V2126" s="21"/>
      <c r="W2126" s="21"/>
      <c r="X2126" s="21"/>
      <c r="Y2126" s="21"/>
      <c r="Z2126" s="21"/>
      <c r="AA2126" s="21"/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W2126" s="296"/>
      <c r="CY2126" s="296"/>
    </row>
    <row r="2127" spans="3:103" s="19" customFormat="1" ht="12">
      <c r="C2127" s="21"/>
      <c r="D2127" s="21"/>
      <c r="E2127" s="21"/>
      <c r="F2127" s="21"/>
      <c r="G2127" s="21"/>
      <c r="H2127" s="21"/>
      <c r="I2127" s="21"/>
      <c r="J2127" s="21"/>
      <c r="K2127" s="21"/>
      <c r="L2127" s="21"/>
      <c r="M2127" s="21"/>
      <c r="N2127" s="21"/>
      <c r="O2127" s="21"/>
      <c r="P2127" s="21"/>
      <c r="Q2127" s="21"/>
      <c r="R2127" s="21"/>
      <c r="S2127" s="21"/>
      <c r="T2127" s="21"/>
      <c r="U2127" s="21"/>
      <c r="V2127" s="21"/>
      <c r="W2127" s="21"/>
      <c r="X2127" s="21"/>
      <c r="Y2127" s="21"/>
      <c r="Z2127" s="21"/>
      <c r="AA2127" s="21"/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W2127" s="296"/>
      <c r="CY2127" s="296"/>
    </row>
    <row r="2128" spans="3:103" s="19" customFormat="1" ht="12">
      <c r="C2128" s="21"/>
      <c r="D2128" s="21"/>
      <c r="E2128" s="21"/>
      <c r="F2128" s="21"/>
      <c r="G2128" s="21"/>
      <c r="H2128" s="21"/>
      <c r="I2128" s="21"/>
      <c r="J2128" s="21"/>
      <c r="K2128" s="21"/>
      <c r="L2128" s="21"/>
      <c r="M2128" s="21"/>
      <c r="N2128" s="21"/>
      <c r="O2128" s="21"/>
      <c r="P2128" s="21"/>
      <c r="Q2128" s="21"/>
      <c r="R2128" s="21"/>
      <c r="S2128" s="21"/>
      <c r="T2128" s="21"/>
      <c r="U2128" s="21"/>
      <c r="V2128" s="21"/>
      <c r="W2128" s="21"/>
      <c r="X2128" s="21"/>
      <c r="Y2128" s="21"/>
      <c r="Z2128" s="21"/>
      <c r="AA2128" s="21"/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W2128" s="296"/>
      <c r="CY2128" s="296"/>
    </row>
    <row r="2129" spans="3:103" s="19" customFormat="1" ht="12">
      <c r="C2129" s="21"/>
      <c r="D2129" s="21"/>
      <c r="E2129" s="21"/>
      <c r="F2129" s="21"/>
      <c r="G2129" s="21"/>
      <c r="H2129" s="21"/>
      <c r="I2129" s="21"/>
      <c r="J2129" s="21"/>
      <c r="K2129" s="21"/>
      <c r="L2129" s="21"/>
      <c r="M2129" s="21"/>
      <c r="N2129" s="21"/>
      <c r="O2129" s="21"/>
      <c r="P2129" s="21"/>
      <c r="Q2129" s="21"/>
      <c r="R2129" s="21"/>
      <c r="S2129" s="21"/>
      <c r="T2129" s="21"/>
      <c r="U2129" s="21"/>
      <c r="V2129" s="21"/>
      <c r="W2129" s="21"/>
      <c r="X2129" s="21"/>
      <c r="Y2129" s="21"/>
      <c r="Z2129" s="21"/>
      <c r="AA2129" s="21"/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W2129" s="296"/>
      <c r="CY2129" s="296"/>
    </row>
    <row r="2130" spans="3:103" s="19" customFormat="1" ht="12">
      <c r="C2130" s="21"/>
      <c r="D2130" s="21"/>
      <c r="E2130" s="21"/>
      <c r="F2130" s="21"/>
      <c r="G2130" s="21"/>
      <c r="H2130" s="21"/>
      <c r="I2130" s="21"/>
      <c r="J2130" s="21"/>
      <c r="K2130" s="21"/>
      <c r="L2130" s="21"/>
      <c r="M2130" s="21"/>
      <c r="N2130" s="21"/>
      <c r="O2130" s="21"/>
      <c r="P2130" s="21"/>
      <c r="Q2130" s="21"/>
      <c r="R2130" s="21"/>
      <c r="S2130" s="21"/>
      <c r="T2130" s="21"/>
      <c r="U2130" s="21"/>
      <c r="V2130" s="21"/>
      <c r="W2130" s="21"/>
      <c r="X2130" s="21"/>
      <c r="Y2130" s="21"/>
      <c r="Z2130" s="21"/>
      <c r="AA2130" s="21"/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W2130" s="296"/>
      <c r="CY2130" s="296"/>
    </row>
    <row r="2131" spans="3:103" s="19" customFormat="1" ht="12">
      <c r="C2131" s="21"/>
      <c r="D2131" s="21"/>
      <c r="E2131" s="21"/>
      <c r="F2131" s="21"/>
      <c r="G2131" s="21"/>
      <c r="H2131" s="21"/>
      <c r="I2131" s="21"/>
      <c r="J2131" s="21"/>
      <c r="K2131" s="21"/>
      <c r="L2131" s="21"/>
      <c r="M2131" s="21"/>
      <c r="N2131" s="21"/>
      <c r="O2131" s="21"/>
      <c r="P2131" s="21"/>
      <c r="Q2131" s="21"/>
      <c r="R2131" s="21"/>
      <c r="S2131" s="21"/>
      <c r="T2131" s="21"/>
      <c r="U2131" s="21"/>
      <c r="V2131" s="21"/>
      <c r="W2131" s="21"/>
      <c r="X2131" s="21"/>
      <c r="Y2131" s="21"/>
      <c r="Z2131" s="21"/>
      <c r="AA2131" s="21"/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W2131" s="296"/>
      <c r="CY2131" s="296"/>
    </row>
    <row r="2132" spans="3:103" s="19" customFormat="1" ht="12">
      <c r="C2132" s="21"/>
      <c r="D2132" s="21"/>
      <c r="E2132" s="21"/>
      <c r="F2132" s="21"/>
      <c r="G2132" s="21"/>
      <c r="H2132" s="21"/>
      <c r="I2132" s="21"/>
      <c r="J2132" s="21"/>
      <c r="K2132" s="21"/>
      <c r="L2132" s="21"/>
      <c r="M2132" s="21"/>
      <c r="N2132" s="21"/>
      <c r="O2132" s="21"/>
      <c r="P2132" s="21"/>
      <c r="Q2132" s="21"/>
      <c r="R2132" s="21"/>
      <c r="S2132" s="21"/>
      <c r="T2132" s="21"/>
      <c r="U2132" s="21"/>
      <c r="V2132" s="21"/>
      <c r="W2132" s="21"/>
      <c r="X2132" s="21"/>
      <c r="Y2132" s="21"/>
      <c r="Z2132" s="21"/>
      <c r="AA2132" s="21"/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W2132" s="296"/>
      <c r="CY2132" s="296"/>
    </row>
    <row r="2133" spans="3:103" s="19" customFormat="1" ht="12">
      <c r="C2133" s="21"/>
      <c r="D2133" s="21"/>
      <c r="E2133" s="21"/>
      <c r="F2133" s="21"/>
      <c r="G2133" s="21"/>
      <c r="H2133" s="21"/>
      <c r="I2133" s="21"/>
      <c r="J2133" s="21"/>
      <c r="K2133" s="21"/>
      <c r="L2133" s="21"/>
      <c r="M2133" s="21"/>
      <c r="N2133" s="21"/>
      <c r="O2133" s="21"/>
      <c r="P2133" s="21"/>
      <c r="Q2133" s="21"/>
      <c r="R2133" s="21"/>
      <c r="S2133" s="21"/>
      <c r="T2133" s="21"/>
      <c r="U2133" s="21"/>
      <c r="V2133" s="21"/>
      <c r="W2133" s="21"/>
      <c r="X2133" s="21"/>
      <c r="Y2133" s="21"/>
      <c r="Z2133" s="21"/>
      <c r="AA2133" s="21"/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W2133" s="296"/>
      <c r="CY2133" s="296"/>
    </row>
    <row r="2134" spans="3:103" s="19" customFormat="1" ht="12">
      <c r="C2134" s="21"/>
      <c r="D2134" s="21"/>
      <c r="E2134" s="21"/>
      <c r="F2134" s="21"/>
      <c r="G2134" s="21"/>
      <c r="H2134" s="21"/>
      <c r="I2134" s="21"/>
      <c r="J2134" s="21"/>
      <c r="K2134" s="21"/>
      <c r="L2134" s="21"/>
      <c r="M2134" s="21"/>
      <c r="N2134" s="21"/>
      <c r="O2134" s="21"/>
      <c r="P2134" s="21"/>
      <c r="Q2134" s="21"/>
      <c r="R2134" s="21"/>
      <c r="S2134" s="21"/>
      <c r="T2134" s="21"/>
      <c r="U2134" s="21"/>
      <c r="V2134" s="21"/>
      <c r="W2134" s="21"/>
      <c r="X2134" s="21"/>
      <c r="Y2134" s="21"/>
      <c r="Z2134" s="21"/>
      <c r="AA2134" s="21"/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W2134" s="296"/>
      <c r="CY2134" s="296"/>
    </row>
    <row r="2135" spans="3:103" s="19" customFormat="1" ht="12">
      <c r="C2135" s="21"/>
      <c r="D2135" s="21"/>
      <c r="E2135" s="21"/>
      <c r="F2135" s="21"/>
      <c r="G2135" s="21"/>
      <c r="H2135" s="21"/>
      <c r="I2135" s="21"/>
      <c r="J2135" s="21"/>
      <c r="K2135" s="21"/>
      <c r="L2135" s="21"/>
      <c r="M2135" s="21"/>
      <c r="N2135" s="21"/>
      <c r="O2135" s="21"/>
      <c r="P2135" s="21"/>
      <c r="Q2135" s="21"/>
      <c r="R2135" s="21"/>
      <c r="S2135" s="21"/>
      <c r="T2135" s="21"/>
      <c r="U2135" s="21"/>
      <c r="V2135" s="21"/>
      <c r="W2135" s="21"/>
      <c r="X2135" s="21"/>
      <c r="Y2135" s="21"/>
      <c r="Z2135" s="21"/>
      <c r="AA2135" s="21"/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W2135" s="296"/>
      <c r="CY2135" s="296"/>
    </row>
    <row r="2136" spans="3:103" s="19" customFormat="1" ht="12">
      <c r="C2136" s="21"/>
      <c r="D2136" s="21"/>
      <c r="E2136" s="21"/>
      <c r="F2136" s="21"/>
      <c r="G2136" s="21"/>
      <c r="H2136" s="21"/>
      <c r="I2136" s="21"/>
      <c r="J2136" s="21"/>
      <c r="K2136" s="21"/>
      <c r="L2136" s="21"/>
      <c r="M2136" s="21"/>
      <c r="N2136" s="21"/>
      <c r="O2136" s="21"/>
      <c r="P2136" s="21"/>
      <c r="Q2136" s="21"/>
      <c r="R2136" s="21"/>
      <c r="S2136" s="21"/>
      <c r="T2136" s="21"/>
      <c r="U2136" s="21"/>
      <c r="V2136" s="21"/>
      <c r="W2136" s="21"/>
      <c r="X2136" s="21"/>
      <c r="Y2136" s="21"/>
      <c r="Z2136" s="21"/>
      <c r="AA2136" s="21"/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W2136" s="296"/>
      <c r="CY2136" s="296"/>
    </row>
    <row r="2137" spans="3:103" s="19" customFormat="1" ht="12">
      <c r="C2137" s="21"/>
      <c r="D2137" s="21"/>
      <c r="E2137" s="21"/>
      <c r="F2137" s="21"/>
      <c r="G2137" s="21"/>
      <c r="H2137" s="21"/>
      <c r="I2137" s="21"/>
      <c r="J2137" s="21"/>
      <c r="K2137" s="21"/>
      <c r="L2137" s="21"/>
      <c r="M2137" s="21"/>
      <c r="N2137" s="21"/>
      <c r="O2137" s="21"/>
      <c r="P2137" s="21"/>
      <c r="Q2137" s="21"/>
      <c r="R2137" s="21"/>
      <c r="S2137" s="21"/>
      <c r="T2137" s="21"/>
      <c r="U2137" s="21"/>
      <c r="V2137" s="21"/>
      <c r="W2137" s="21"/>
      <c r="X2137" s="21"/>
      <c r="Y2137" s="21"/>
      <c r="Z2137" s="21"/>
      <c r="AA2137" s="21"/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W2137" s="296"/>
      <c r="CY2137" s="296"/>
    </row>
    <row r="2138" spans="3:103" s="19" customFormat="1" ht="12">
      <c r="C2138" s="21"/>
      <c r="D2138" s="21"/>
      <c r="E2138" s="21"/>
      <c r="F2138" s="21"/>
      <c r="G2138" s="21"/>
      <c r="H2138" s="21"/>
      <c r="I2138" s="21"/>
      <c r="J2138" s="21"/>
      <c r="K2138" s="21"/>
      <c r="L2138" s="21"/>
      <c r="M2138" s="21"/>
      <c r="N2138" s="21"/>
      <c r="O2138" s="21"/>
      <c r="P2138" s="21"/>
      <c r="Q2138" s="21"/>
      <c r="R2138" s="21"/>
      <c r="S2138" s="21"/>
      <c r="T2138" s="21"/>
      <c r="U2138" s="21"/>
      <c r="V2138" s="21"/>
      <c r="W2138" s="21"/>
      <c r="X2138" s="21"/>
      <c r="Y2138" s="21"/>
      <c r="Z2138" s="21"/>
      <c r="AA2138" s="21"/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W2138" s="296"/>
      <c r="CY2138" s="296"/>
    </row>
    <row r="2139" spans="3:103" s="19" customFormat="1" ht="12">
      <c r="C2139" s="21"/>
      <c r="D2139" s="21"/>
      <c r="E2139" s="21"/>
      <c r="F2139" s="21"/>
      <c r="G2139" s="21"/>
      <c r="H2139" s="21"/>
      <c r="I2139" s="21"/>
      <c r="J2139" s="21"/>
      <c r="K2139" s="21"/>
      <c r="L2139" s="21"/>
      <c r="M2139" s="21"/>
      <c r="N2139" s="21"/>
      <c r="O2139" s="21"/>
      <c r="P2139" s="21"/>
      <c r="Q2139" s="21"/>
      <c r="R2139" s="21"/>
      <c r="S2139" s="21"/>
      <c r="T2139" s="21"/>
      <c r="U2139" s="21"/>
      <c r="V2139" s="21"/>
      <c r="W2139" s="21"/>
      <c r="X2139" s="21"/>
      <c r="Y2139" s="21"/>
      <c r="Z2139" s="21"/>
      <c r="AA2139" s="21"/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W2139" s="296"/>
      <c r="CY2139" s="296"/>
    </row>
    <row r="2140" spans="3:103" s="19" customFormat="1" ht="12">
      <c r="C2140" s="21"/>
      <c r="D2140" s="21"/>
      <c r="E2140" s="21"/>
      <c r="F2140" s="21"/>
      <c r="G2140" s="21"/>
      <c r="H2140" s="21"/>
      <c r="I2140" s="21"/>
      <c r="J2140" s="21"/>
      <c r="K2140" s="21"/>
      <c r="L2140" s="21"/>
      <c r="M2140" s="21"/>
      <c r="N2140" s="21"/>
      <c r="O2140" s="21"/>
      <c r="P2140" s="21"/>
      <c r="Q2140" s="21"/>
      <c r="R2140" s="21"/>
      <c r="S2140" s="21"/>
      <c r="T2140" s="21"/>
      <c r="U2140" s="21"/>
      <c r="V2140" s="21"/>
      <c r="W2140" s="21"/>
      <c r="X2140" s="21"/>
      <c r="Y2140" s="21"/>
      <c r="Z2140" s="21"/>
      <c r="AA2140" s="21"/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W2140" s="296"/>
      <c r="CY2140" s="296"/>
    </row>
    <row r="2141" spans="3:103" s="19" customFormat="1" ht="12">
      <c r="C2141" s="21"/>
      <c r="D2141" s="21"/>
      <c r="E2141" s="21"/>
      <c r="F2141" s="21"/>
      <c r="G2141" s="21"/>
      <c r="H2141" s="21"/>
      <c r="I2141" s="21"/>
      <c r="J2141" s="21"/>
      <c r="K2141" s="21"/>
      <c r="L2141" s="21"/>
      <c r="M2141" s="21"/>
      <c r="N2141" s="21"/>
      <c r="O2141" s="21"/>
      <c r="P2141" s="21"/>
      <c r="Q2141" s="21"/>
      <c r="R2141" s="21"/>
      <c r="S2141" s="21"/>
      <c r="T2141" s="21"/>
      <c r="U2141" s="21"/>
      <c r="V2141" s="21"/>
      <c r="W2141" s="21"/>
      <c r="X2141" s="21"/>
      <c r="Y2141" s="21"/>
      <c r="Z2141" s="21"/>
      <c r="AA2141" s="21"/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W2141" s="296"/>
      <c r="CY2141" s="296"/>
    </row>
    <row r="2142" spans="3:103" s="19" customFormat="1" ht="12">
      <c r="C2142" s="21"/>
      <c r="D2142" s="21"/>
      <c r="E2142" s="21"/>
      <c r="F2142" s="21"/>
      <c r="G2142" s="21"/>
      <c r="H2142" s="21"/>
      <c r="I2142" s="21"/>
      <c r="J2142" s="21"/>
      <c r="K2142" s="21"/>
      <c r="L2142" s="21"/>
      <c r="M2142" s="21"/>
      <c r="N2142" s="21"/>
      <c r="O2142" s="21"/>
      <c r="P2142" s="21"/>
      <c r="Q2142" s="21"/>
      <c r="R2142" s="21"/>
      <c r="S2142" s="21"/>
      <c r="T2142" s="21"/>
      <c r="U2142" s="21"/>
      <c r="V2142" s="21"/>
      <c r="W2142" s="21"/>
      <c r="X2142" s="21"/>
      <c r="Y2142" s="21"/>
      <c r="Z2142" s="21"/>
      <c r="AA2142" s="21"/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W2142" s="296"/>
      <c r="CY2142" s="296"/>
    </row>
    <row r="2143" spans="3:103" s="19" customFormat="1" ht="12">
      <c r="C2143" s="21"/>
      <c r="D2143" s="21"/>
      <c r="E2143" s="21"/>
      <c r="F2143" s="21"/>
      <c r="G2143" s="21"/>
      <c r="H2143" s="21"/>
      <c r="I2143" s="21"/>
      <c r="J2143" s="21"/>
      <c r="K2143" s="21"/>
      <c r="L2143" s="21"/>
      <c r="M2143" s="21"/>
      <c r="N2143" s="21"/>
      <c r="O2143" s="21"/>
      <c r="P2143" s="21"/>
      <c r="Q2143" s="21"/>
      <c r="R2143" s="21"/>
      <c r="S2143" s="21"/>
      <c r="T2143" s="21"/>
      <c r="U2143" s="21"/>
      <c r="V2143" s="21"/>
      <c r="W2143" s="21"/>
      <c r="X2143" s="21"/>
      <c r="Y2143" s="21"/>
      <c r="Z2143" s="21"/>
      <c r="AA2143" s="21"/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W2143" s="296"/>
      <c r="CY2143" s="296"/>
    </row>
    <row r="2144" spans="3:103" s="19" customFormat="1" ht="12">
      <c r="C2144" s="21"/>
      <c r="D2144" s="21"/>
      <c r="E2144" s="21"/>
      <c r="F2144" s="21"/>
      <c r="G2144" s="21"/>
      <c r="H2144" s="21"/>
      <c r="I2144" s="21"/>
      <c r="J2144" s="21"/>
      <c r="K2144" s="21"/>
      <c r="L2144" s="21"/>
      <c r="M2144" s="21"/>
      <c r="N2144" s="21"/>
      <c r="O2144" s="21"/>
      <c r="P2144" s="21"/>
      <c r="Q2144" s="21"/>
      <c r="R2144" s="21"/>
      <c r="S2144" s="21"/>
      <c r="T2144" s="21"/>
      <c r="U2144" s="21"/>
      <c r="V2144" s="21"/>
      <c r="W2144" s="21"/>
      <c r="X2144" s="21"/>
      <c r="Y2144" s="21"/>
      <c r="Z2144" s="21"/>
      <c r="AA2144" s="21"/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W2144" s="296"/>
      <c r="CY2144" s="296"/>
    </row>
    <row r="2145" spans="3:103" s="19" customFormat="1" ht="12">
      <c r="C2145" s="21"/>
      <c r="D2145" s="21"/>
      <c r="E2145" s="21"/>
      <c r="F2145" s="21"/>
      <c r="G2145" s="21"/>
      <c r="H2145" s="21"/>
      <c r="I2145" s="21"/>
      <c r="J2145" s="21"/>
      <c r="K2145" s="21"/>
      <c r="L2145" s="21"/>
      <c r="M2145" s="21"/>
      <c r="N2145" s="21"/>
      <c r="O2145" s="21"/>
      <c r="P2145" s="21"/>
      <c r="Q2145" s="21"/>
      <c r="R2145" s="21"/>
      <c r="S2145" s="21"/>
      <c r="T2145" s="21"/>
      <c r="U2145" s="21"/>
      <c r="V2145" s="21"/>
      <c r="W2145" s="21"/>
      <c r="X2145" s="21"/>
      <c r="Y2145" s="21"/>
      <c r="Z2145" s="21"/>
      <c r="AA2145" s="21"/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W2145" s="296"/>
      <c r="CY2145" s="296"/>
    </row>
    <row r="2146" spans="3:103" s="19" customFormat="1" ht="12">
      <c r="C2146" s="21"/>
      <c r="D2146" s="21"/>
      <c r="E2146" s="21"/>
      <c r="F2146" s="21"/>
      <c r="G2146" s="21"/>
      <c r="H2146" s="21"/>
      <c r="I2146" s="21"/>
      <c r="J2146" s="21"/>
      <c r="K2146" s="21"/>
      <c r="L2146" s="21"/>
      <c r="M2146" s="21"/>
      <c r="N2146" s="21"/>
      <c r="O2146" s="21"/>
      <c r="P2146" s="21"/>
      <c r="Q2146" s="21"/>
      <c r="R2146" s="21"/>
      <c r="S2146" s="21"/>
      <c r="T2146" s="21"/>
      <c r="U2146" s="21"/>
      <c r="V2146" s="21"/>
      <c r="W2146" s="21"/>
      <c r="X2146" s="21"/>
      <c r="Y2146" s="21"/>
      <c r="Z2146" s="21"/>
      <c r="AA2146" s="21"/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W2146" s="296"/>
      <c r="CY2146" s="296"/>
    </row>
    <row r="2147" spans="3:103" s="19" customFormat="1" ht="12">
      <c r="C2147" s="21"/>
      <c r="D2147" s="21"/>
      <c r="E2147" s="21"/>
      <c r="F2147" s="21"/>
      <c r="G2147" s="21"/>
      <c r="H2147" s="21"/>
      <c r="I2147" s="21"/>
      <c r="J2147" s="21"/>
      <c r="K2147" s="21"/>
      <c r="L2147" s="21"/>
      <c r="M2147" s="21"/>
      <c r="N2147" s="21"/>
      <c r="O2147" s="21"/>
      <c r="P2147" s="21"/>
      <c r="Q2147" s="21"/>
      <c r="R2147" s="21"/>
      <c r="S2147" s="21"/>
      <c r="T2147" s="21"/>
      <c r="U2147" s="21"/>
      <c r="V2147" s="21"/>
      <c r="W2147" s="21"/>
      <c r="X2147" s="21"/>
      <c r="Y2147" s="21"/>
      <c r="Z2147" s="21"/>
      <c r="AA2147" s="21"/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W2147" s="296"/>
      <c r="CY2147" s="296"/>
    </row>
    <row r="2148" spans="3:103" s="19" customFormat="1" ht="12">
      <c r="C2148" s="21"/>
      <c r="D2148" s="21"/>
      <c r="E2148" s="21"/>
      <c r="F2148" s="21"/>
      <c r="G2148" s="21"/>
      <c r="H2148" s="21"/>
      <c r="I2148" s="21"/>
      <c r="J2148" s="21"/>
      <c r="K2148" s="21"/>
      <c r="L2148" s="21"/>
      <c r="M2148" s="21"/>
      <c r="N2148" s="21"/>
      <c r="O2148" s="21"/>
      <c r="P2148" s="21"/>
      <c r="Q2148" s="21"/>
      <c r="R2148" s="21"/>
      <c r="S2148" s="21"/>
      <c r="T2148" s="21"/>
      <c r="U2148" s="21"/>
      <c r="V2148" s="21"/>
      <c r="W2148" s="21"/>
      <c r="X2148" s="21"/>
      <c r="Y2148" s="21"/>
      <c r="Z2148" s="21"/>
      <c r="AA2148" s="21"/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W2148" s="296"/>
      <c r="CY2148" s="296"/>
    </row>
    <row r="2149" spans="3:103" s="19" customFormat="1" ht="12">
      <c r="C2149" s="21"/>
      <c r="D2149" s="21"/>
      <c r="E2149" s="21"/>
      <c r="F2149" s="21"/>
      <c r="G2149" s="21"/>
      <c r="H2149" s="21"/>
      <c r="I2149" s="21"/>
      <c r="J2149" s="21"/>
      <c r="K2149" s="21"/>
      <c r="L2149" s="21"/>
      <c r="M2149" s="21"/>
      <c r="N2149" s="21"/>
      <c r="O2149" s="21"/>
      <c r="P2149" s="21"/>
      <c r="Q2149" s="21"/>
      <c r="R2149" s="21"/>
      <c r="S2149" s="21"/>
      <c r="T2149" s="21"/>
      <c r="U2149" s="21"/>
      <c r="V2149" s="21"/>
      <c r="W2149" s="21"/>
      <c r="X2149" s="21"/>
      <c r="Y2149" s="21"/>
      <c r="Z2149" s="21"/>
      <c r="AA2149" s="21"/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W2149" s="296"/>
      <c r="CY2149" s="296"/>
    </row>
    <row r="2150" spans="3:103" s="19" customFormat="1" ht="12">
      <c r="C2150" s="21"/>
      <c r="D2150" s="21"/>
      <c r="E2150" s="21"/>
      <c r="F2150" s="21"/>
      <c r="G2150" s="21"/>
      <c r="H2150" s="21"/>
      <c r="I2150" s="21"/>
      <c r="J2150" s="21"/>
      <c r="K2150" s="21"/>
      <c r="L2150" s="21"/>
      <c r="M2150" s="21"/>
      <c r="N2150" s="21"/>
      <c r="O2150" s="21"/>
      <c r="P2150" s="21"/>
      <c r="Q2150" s="21"/>
      <c r="R2150" s="21"/>
      <c r="S2150" s="21"/>
      <c r="T2150" s="21"/>
      <c r="U2150" s="21"/>
      <c r="V2150" s="21"/>
      <c r="W2150" s="21"/>
      <c r="X2150" s="21"/>
      <c r="Y2150" s="21"/>
      <c r="Z2150" s="21"/>
      <c r="AA2150" s="21"/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W2150" s="296"/>
      <c r="CY2150" s="296"/>
    </row>
    <row r="2151" spans="3:103" s="19" customFormat="1" ht="12">
      <c r="C2151" s="21"/>
      <c r="D2151" s="21"/>
      <c r="E2151" s="21"/>
      <c r="F2151" s="21"/>
      <c r="G2151" s="21"/>
      <c r="H2151" s="21"/>
      <c r="I2151" s="21"/>
      <c r="J2151" s="21"/>
      <c r="K2151" s="21"/>
      <c r="L2151" s="21"/>
      <c r="M2151" s="21"/>
      <c r="N2151" s="21"/>
      <c r="O2151" s="21"/>
      <c r="P2151" s="21"/>
      <c r="Q2151" s="21"/>
      <c r="R2151" s="21"/>
      <c r="S2151" s="21"/>
      <c r="T2151" s="21"/>
      <c r="U2151" s="21"/>
      <c r="V2151" s="21"/>
      <c r="W2151" s="21"/>
      <c r="X2151" s="21"/>
      <c r="Y2151" s="21"/>
      <c r="Z2151" s="21"/>
      <c r="AA2151" s="21"/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W2151" s="296"/>
      <c r="CY2151" s="296"/>
    </row>
    <row r="2152" spans="3:103" s="19" customFormat="1" ht="12">
      <c r="C2152" s="21"/>
      <c r="D2152" s="21"/>
      <c r="E2152" s="21"/>
      <c r="F2152" s="21"/>
      <c r="G2152" s="21"/>
      <c r="H2152" s="21"/>
      <c r="I2152" s="21"/>
      <c r="J2152" s="21"/>
      <c r="K2152" s="21"/>
      <c r="L2152" s="21"/>
      <c r="M2152" s="21"/>
      <c r="N2152" s="21"/>
      <c r="O2152" s="21"/>
      <c r="P2152" s="21"/>
      <c r="Q2152" s="21"/>
      <c r="R2152" s="21"/>
      <c r="S2152" s="21"/>
      <c r="T2152" s="21"/>
      <c r="U2152" s="21"/>
      <c r="V2152" s="21"/>
      <c r="W2152" s="21"/>
      <c r="X2152" s="21"/>
      <c r="Y2152" s="21"/>
      <c r="Z2152" s="21"/>
      <c r="AA2152" s="21"/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W2152" s="296"/>
      <c r="CY2152" s="296"/>
    </row>
    <row r="2153" spans="3:103" s="19" customFormat="1" ht="12">
      <c r="C2153" s="21"/>
      <c r="D2153" s="21"/>
      <c r="E2153" s="21"/>
      <c r="F2153" s="21"/>
      <c r="G2153" s="21"/>
      <c r="H2153" s="21"/>
      <c r="I2153" s="21"/>
      <c r="J2153" s="21"/>
      <c r="K2153" s="21"/>
      <c r="L2153" s="21"/>
      <c r="M2153" s="21"/>
      <c r="N2153" s="21"/>
      <c r="O2153" s="21"/>
      <c r="P2153" s="21"/>
      <c r="Q2153" s="21"/>
      <c r="R2153" s="21"/>
      <c r="S2153" s="21"/>
      <c r="T2153" s="21"/>
      <c r="U2153" s="21"/>
      <c r="V2153" s="21"/>
      <c r="W2153" s="21"/>
      <c r="X2153" s="21"/>
      <c r="Y2153" s="21"/>
      <c r="Z2153" s="21"/>
      <c r="AA2153" s="21"/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W2153" s="296"/>
      <c r="CY2153" s="296"/>
    </row>
    <row r="2154" spans="3:103" s="19" customFormat="1" ht="12">
      <c r="C2154" s="21"/>
      <c r="D2154" s="21"/>
      <c r="E2154" s="21"/>
      <c r="F2154" s="21"/>
      <c r="G2154" s="21"/>
      <c r="H2154" s="21"/>
      <c r="I2154" s="21"/>
      <c r="J2154" s="21"/>
      <c r="K2154" s="21"/>
      <c r="L2154" s="21"/>
      <c r="M2154" s="21"/>
      <c r="N2154" s="21"/>
      <c r="O2154" s="21"/>
      <c r="P2154" s="21"/>
      <c r="Q2154" s="21"/>
      <c r="R2154" s="21"/>
      <c r="S2154" s="21"/>
      <c r="T2154" s="21"/>
      <c r="U2154" s="21"/>
      <c r="V2154" s="21"/>
      <c r="W2154" s="21"/>
      <c r="X2154" s="21"/>
      <c r="Y2154" s="21"/>
      <c r="Z2154" s="21"/>
      <c r="AA2154" s="21"/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W2154" s="296"/>
      <c r="CY2154" s="296"/>
    </row>
    <row r="2155" spans="3:103" s="19" customFormat="1" ht="12">
      <c r="C2155" s="21"/>
      <c r="D2155" s="21"/>
      <c r="E2155" s="21"/>
      <c r="F2155" s="21"/>
      <c r="G2155" s="21"/>
      <c r="H2155" s="21"/>
      <c r="I2155" s="21"/>
      <c r="J2155" s="21"/>
      <c r="K2155" s="21"/>
      <c r="L2155" s="21"/>
      <c r="M2155" s="21"/>
      <c r="N2155" s="21"/>
      <c r="O2155" s="21"/>
      <c r="P2155" s="21"/>
      <c r="Q2155" s="21"/>
      <c r="R2155" s="21"/>
      <c r="S2155" s="21"/>
      <c r="T2155" s="21"/>
      <c r="U2155" s="21"/>
      <c r="V2155" s="21"/>
      <c r="W2155" s="21"/>
      <c r="X2155" s="21"/>
      <c r="Y2155" s="21"/>
      <c r="Z2155" s="21"/>
      <c r="AA2155" s="21"/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W2155" s="296"/>
      <c r="CY2155" s="296"/>
    </row>
    <row r="2156" spans="3:103" s="19" customFormat="1" ht="12">
      <c r="C2156" s="21"/>
      <c r="D2156" s="21"/>
      <c r="E2156" s="21"/>
      <c r="F2156" s="21"/>
      <c r="G2156" s="21"/>
      <c r="H2156" s="21"/>
      <c r="I2156" s="21"/>
      <c r="J2156" s="21"/>
      <c r="K2156" s="21"/>
      <c r="L2156" s="21"/>
      <c r="M2156" s="21"/>
      <c r="N2156" s="21"/>
      <c r="O2156" s="21"/>
      <c r="P2156" s="21"/>
      <c r="Q2156" s="21"/>
      <c r="R2156" s="21"/>
      <c r="S2156" s="21"/>
      <c r="T2156" s="21"/>
      <c r="U2156" s="21"/>
      <c r="V2156" s="21"/>
      <c r="W2156" s="21"/>
      <c r="X2156" s="21"/>
      <c r="Y2156" s="21"/>
      <c r="Z2156" s="21"/>
      <c r="AA2156" s="21"/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W2156" s="296"/>
      <c r="CY2156" s="296"/>
    </row>
    <row r="2157" spans="3:103" s="19" customFormat="1" ht="12">
      <c r="C2157" s="21"/>
      <c r="D2157" s="21"/>
      <c r="E2157" s="21"/>
      <c r="F2157" s="21"/>
      <c r="G2157" s="21"/>
      <c r="H2157" s="21"/>
      <c r="I2157" s="21"/>
      <c r="J2157" s="21"/>
      <c r="K2157" s="21"/>
      <c r="L2157" s="21"/>
      <c r="M2157" s="21"/>
      <c r="N2157" s="21"/>
      <c r="O2157" s="21"/>
      <c r="P2157" s="21"/>
      <c r="Q2157" s="21"/>
      <c r="R2157" s="21"/>
      <c r="S2157" s="21"/>
      <c r="T2157" s="21"/>
      <c r="U2157" s="21"/>
      <c r="V2157" s="21"/>
      <c r="W2157" s="21"/>
      <c r="X2157" s="21"/>
      <c r="Y2157" s="21"/>
      <c r="Z2157" s="21"/>
      <c r="AA2157" s="21"/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W2157" s="296"/>
      <c r="CY2157" s="296"/>
    </row>
    <row r="2158" spans="3:103" s="19" customFormat="1" ht="12">
      <c r="C2158" s="21"/>
      <c r="D2158" s="21"/>
      <c r="E2158" s="21"/>
      <c r="F2158" s="21"/>
      <c r="G2158" s="21"/>
      <c r="H2158" s="21"/>
      <c r="I2158" s="21"/>
      <c r="J2158" s="21"/>
      <c r="K2158" s="21"/>
      <c r="L2158" s="21"/>
      <c r="M2158" s="21"/>
      <c r="N2158" s="21"/>
      <c r="O2158" s="21"/>
      <c r="P2158" s="21"/>
      <c r="Q2158" s="21"/>
      <c r="R2158" s="21"/>
      <c r="S2158" s="21"/>
      <c r="T2158" s="21"/>
      <c r="U2158" s="21"/>
      <c r="V2158" s="21"/>
      <c r="W2158" s="21"/>
      <c r="X2158" s="21"/>
      <c r="Y2158" s="21"/>
      <c r="Z2158" s="21"/>
      <c r="AA2158" s="21"/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W2158" s="296"/>
      <c r="CY2158" s="296"/>
    </row>
    <row r="2159" spans="3:103" s="19" customFormat="1" ht="12">
      <c r="C2159" s="21"/>
      <c r="D2159" s="21"/>
      <c r="E2159" s="21"/>
      <c r="F2159" s="21"/>
      <c r="G2159" s="21"/>
      <c r="H2159" s="21"/>
      <c r="I2159" s="21"/>
      <c r="J2159" s="21"/>
      <c r="K2159" s="21"/>
      <c r="L2159" s="21"/>
      <c r="M2159" s="21"/>
      <c r="N2159" s="21"/>
      <c r="O2159" s="21"/>
      <c r="P2159" s="21"/>
      <c r="Q2159" s="21"/>
      <c r="R2159" s="21"/>
      <c r="S2159" s="21"/>
      <c r="T2159" s="21"/>
      <c r="U2159" s="21"/>
      <c r="V2159" s="21"/>
      <c r="W2159" s="21"/>
      <c r="X2159" s="21"/>
      <c r="Y2159" s="21"/>
      <c r="Z2159" s="21"/>
      <c r="AA2159" s="21"/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W2159" s="296"/>
      <c r="CY2159" s="296"/>
    </row>
    <row r="2160" spans="3:103" s="19" customFormat="1" ht="12">
      <c r="C2160" s="21"/>
      <c r="D2160" s="21"/>
      <c r="E2160" s="21"/>
      <c r="F2160" s="21"/>
      <c r="G2160" s="21"/>
      <c r="H2160" s="21"/>
      <c r="I2160" s="21"/>
      <c r="J2160" s="21"/>
      <c r="K2160" s="21"/>
      <c r="L2160" s="21"/>
      <c r="M2160" s="21"/>
      <c r="N2160" s="21"/>
      <c r="O2160" s="21"/>
      <c r="P2160" s="21"/>
      <c r="Q2160" s="21"/>
      <c r="R2160" s="21"/>
      <c r="S2160" s="21"/>
      <c r="T2160" s="21"/>
      <c r="U2160" s="21"/>
      <c r="V2160" s="21"/>
      <c r="W2160" s="21"/>
      <c r="X2160" s="21"/>
      <c r="Y2160" s="21"/>
      <c r="Z2160" s="21"/>
      <c r="AA2160" s="21"/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W2160" s="296"/>
      <c r="CY2160" s="296"/>
    </row>
    <row r="2161" spans="3:103" s="19" customFormat="1" ht="12">
      <c r="C2161" s="21"/>
      <c r="D2161" s="21"/>
      <c r="E2161" s="21"/>
      <c r="F2161" s="21"/>
      <c r="G2161" s="21"/>
      <c r="H2161" s="21"/>
      <c r="I2161" s="21"/>
      <c r="J2161" s="21"/>
      <c r="K2161" s="21"/>
      <c r="L2161" s="21"/>
      <c r="M2161" s="21"/>
      <c r="N2161" s="21"/>
      <c r="O2161" s="21"/>
      <c r="P2161" s="21"/>
      <c r="Q2161" s="21"/>
      <c r="R2161" s="21"/>
      <c r="S2161" s="21"/>
      <c r="T2161" s="21"/>
      <c r="U2161" s="21"/>
      <c r="V2161" s="21"/>
      <c r="W2161" s="21"/>
      <c r="X2161" s="21"/>
      <c r="Y2161" s="21"/>
      <c r="Z2161" s="21"/>
      <c r="AA2161" s="21"/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W2161" s="296"/>
      <c r="CY2161" s="296"/>
    </row>
    <row r="2162" spans="3:103" s="19" customFormat="1" ht="12">
      <c r="C2162" s="21"/>
      <c r="D2162" s="21"/>
      <c r="E2162" s="21"/>
      <c r="F2162" s="21"/>
      <c r="G2162" s="21"/>
      <c r="H2162" s="21"/>
      <c r="I2162" s="21"/>
      <c r="J2162" s="21"/>
      <c r="K2162" s="21"/>
      <c r="L2162" s="21"/>
      <c r="M2162" s="21"/>
      <c r="N2162" s="21"/>
      <c r="O2162" s="21"/>
      <c r="P2162" s="21"/>
      <c r="Q2162" s="21"/>
      <c r="R2162" s="21"/>
      <c r="S2162" s="21"/>
      <c r="T2162" s="21"/>
      <c r="U2162" s="21"/>
      <c r="V2162" s="21"/>
      <c r="W2162" s="21"/>
      <c r="X2162" s="21"/>
      <c r="Y2162" s="21"/>
      <c r="Z2162" s="21"/>
      <c r="AA2162" s="21"/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W2162" s="296"/>
      <c r="CY2162" s="296"/>
    </row>
    <row r="2163" spans="3:103" s="19" customFormat="1" ht="12">
      <c r="C2163" s="21"/>
      <c r="D2163" s="21"/>
      <c r="E2163" s="21"/>
      <c r="F2163" s="21"/>
      <c r="G2163" s="21"/>
      <c r="H2163" s="21"/>
      <c r="I2163" s="21"/>
      <c r="J2163" s="21"/>
      <c r="K2163" s="21"/>
      <c r="L2163" s="21"/>
      <c r="M2163" s="21"/>
      <c r="N2163" s="21"/>
      <c r="O2163" s="21"/>
      <c r="P2163" s="21"/>
      <c r="Q2163" s="21"/>
      <c r="R2163" s="21"/>
      <c r="S2163" s="21"/>
      <c r="T2163" s="21"/>
      <c r="U2163" s="21"/>
      <c r="V2163" s="21"/>
      <c r="W2163" s="21"/>
      <c r="X2163" s="21"/>
      <c r="Y2163" s="21"/>
      <c r="Z2163" s="21"/>
      <c r="AA2163" s="21"/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W2163" s="296"/>
      <c r="CY2163" s="296"/>
    </row>
    <row r="2164" spans="3:103" s="19" customFormat="1" ht="12">
      <c r="C2164" s="21"/>
      <c r="D2164" s="21"/>
      <c r="E2164" s="21"/>
      <c r="F2164" s="21"/>
      <c r="G2164" s="21"/>
      <c r="H2164" s="21"/>
      <c r="I2164" s="21"/>
      <c r="J2164" s="21"/>
      <c r="K2164" s="21"/>
      <c r="L2164" s="21"/>
      <c r="M2164" s="21"/>
      <c r="N2164" s="21"/>
      <c r="O2164" s="21"/>
      <c r="P2164" s="21"/>
      <c r="Q2164" s="21"/>
      <c r="R2164" s="21"/>
      <c r="S2164" s="21"/>
      <c r="T2164" s="21"/>
      <c r="U2164" s="21"/>
      <c r="V2164" s="21"/>
      <c r="W2164" s="21"/>
      <c r="X2164" s="21"/>
      <c r="Y2164" s="21"/>
      <c r="Z2164" s="21"/>
      <c r="AA2164" s="21"/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W2164" s="296"/>
      <c r="CY2164" s="296"/>
    </row>
    <row r="2165" spans="3:103" s="19" customFormat="1" ht="12">
      <c r="C2165" s="21"/>
      <c r="D2165" s="21"/>
      <c r="E2165" s="21"/>
      <c r="F2165" s="21"/>
      <c r="G2165" s="21"/>
      <c r="H2165" s="21"/>
      <c r="I2165" s="21"/>
      <c r="J2165" s="21"/>
      <c r="K2165" s="21"/>
      <c r="L2165" s="21"/>
      <c r="M2165" s="21"/>
      <c r="N2165" s="21"/>
      <c r="O2165" s="21"/>
      <c r="P2165" s="21"/>
      <c r="Q2165" s="21"/>
      <c r="R2165" s="21"/>
      <c r="S2165" s="21"/>
      <c r="T2165" s="21"/>
      <c r="U2165" s="21"/>
      <c r="V2165" s="21"/>
      <c r="W2165" s="21"/>
      <c r="X2165" s="21"/>
      <c r="Y2165" s="21"/>
      <c r="Z2165" s="21"/>
      <c r="AA2165" s="21"/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W2165" s="296"/>
      <c r="CY2165" s="296"/>
    </row>
    <row r="2166" spans="3:103" s="19" customFormat="1" ht="12">
      <c r="C2166" s="21"/>
      <c r="D2166" s="21"/>
      <c r="E2166" s="21"/>
      <c r="F2166" s="21"/>
      <c r="G2166" s="21"/>
      <c r="H2166" s="21"/>
      <c r="I2166" s="21"/>
      <c r="J2166" s="21"/>
      <c r="K2166" s="21"/>
      <c r="L2166" s="21"/>
      <c r="M2166" s="21"/>
      <c r="N2166" s="21"/>
      <c r="O2166" s="21"/>
      <c r="P2166" s="21"/>
      <c r="Q2166" s="21"/>
      <c r="R2166" s="21"/>
      <c r="S2166" s="21"/>
      <c r="T2166" s="21"/>
      <c r="U2166" s="21"/>
      <c r="V2166" s="21"/>
      <c r="W2166" s="21"/>
      <c r="X2166" s="21"/>
      <c r="Y2166" s="21"/>
      <c r="Z2166" s="21"/>
      <c r="AA2166" s="21"/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W2166" s="296"/>
      <c r="CY2166" s="296"/>
    </row>
    <row r="2167" spans="3:103" s="19" customFormat="1" ht="12">
      <c r="C2167" s="21"/>
      <c r="D2167" s="21"/>
      <c r="E2167" s="21"/>
      <c r="F2167" s="21"/>
      <c r="G2167" s="21"/>
      <c r="H2167" s="21"/>
      <c r="I2167" s="21"/>
      <c r="J2167" s="21"/>
      <c r="K2167" s="21"/>
      <c r="L2167" s="21"/>
      <c r="M2167" s="21"/>
      <c r="N2167" s="21"/>
      <c r="O2167" s="21"/>
      <c r="P2167" s="21"/>
      <c r="Q2167" s="21"/>
      <c r="R2167" s="21"/>
      <c r="S2167" s="21"/>
      <c r="T2167" s="21"/>
      <c r="U2167" s="21"/>
      <c r="V2167" s="21"/>
      <c r="W2167" s="21"/>
      <c r="X2167" s="21"/>
      <c r="Y2167" s="21"/>
      <c r="Z2167" s="21"/>
      <c r="AA2167" s="21"/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W2167" s="296"/>
      <c r="CY2167" s="296"/>
    </row>
    <row r="2168" spans="3:103" s="19" customFormat="1" ht="12">
      <c r="C2168" s="21"/>
      <c r="D2168" s="21"/>
      <c r="E2168" s="21"/>
      <c r="F2168" s="21"/>
      <c r="G2168" s="21"/>
      <c r="H2168" s="21"/>
      <c r="I2168" s="21"/>
      <c r="J2168" s="21"/>
      <c r="K2168" s="21"/>
      <c r="L2168" s="21"/>
      <c r="M2168" s="21"/>
      <c r="N2168" s="21"/>
      <c r="O2168" s="21"/>
      <c r="P2168" s="21"/>
      <c r="Q2168" s="21"/>
      <c r="R2168" s="21"/>
      <c r="S2168" s="21"/>
      <c r="T2168" s="21"/>
      <c r="U2168" s="21"/>
      <c r="V2168" s="21"/>
      <c r="W2168" s="21"/>
      <c r="X2168" s="21"/>
      <c r="Y2168" s="21"/>
      <c r="Z2168" s="21"/>
      <c r="AA2168" s="21"/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W2168" s="296"/>
      <c r="CY2168" s="296"/>
    </row>
    <row r="2169" spans="3:103" s="19" customFormat="1" ht="12">
      <c r="C2169" s="21"/>
      <c r="D2169" s="21"/>
      <c r="E2169" s="21"/>
      <c r="F2169" s="21"/>
      <c r="G2169" s="21"/>
      <c r="H2169" s="21"/>
      <c r="I2169" s="21"/>
      <c r="J2169" s="21"/>
      <c r="K2169" s="21"/>
      <c r="L2169" s="21"/>
      <c r="M2169" s="21"/>
      <c r="N2169" s="21"/>
      <c r="O2169" s="21"/>
      <c r="P2169" s="21"/>
      <c r="Q2169" s="21"/>
      <c r="R2169" s="21"/>
      <c r="S2169" s="21"/>
      <c r="T2169" s="21"/>
      <c r="U2169" s="21"/>
      <c r="V2169" s="21"/>
      <c r="W2169" s="21"/>
      <c r="X2169" s="21"/>
      <c r="Y2169" s="21"/>
      <c r="Z2169" s="21"/>
      <c r="AA2169" s="21"/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W2169" s="296"/>
      <c r="CY2169" s="296"/>
    </row>
    <row r="2170" spans="3:103" s="19" customFormat="1" ht="12">
      <c r="C2170" s="21"/>
      <c r="D2170" s="21"/>
      <c r="E2170" s="21"/>
      <c r="F2170" s="21"/>
      <c r="G2170" s="21"/>
      <c r="H2170" s="21"/>
      <c r="I2170" s="21"/>
      <c r="J2170" s="21"/>
      <c r="K2170" s="21"/>
      <c r="L2170" s="21"/>
      <c r="M2170" s="21"/>
      <c r="N2170" s="21"/>
      <c r="O2170" s="21"/>
      <c r="P2170" s="21"/>
      <c r="Q2170" s="21"/>
      <c r="R2170" s="21"/>
      <c r="S2170" s="21"/>
      <c r="T2170" s="21"/>
      <c r="U2170" s="21"/>
      <c r="V2170" s="21"/>
      <c r="W2170" s="21"/>
      <c r="X2170" s="21"/>
      <c r="Y2170" s="21"/>
      <c r="Z2170" s="21"/>
      <c r="AA2170" s="21"/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W2170" s="296"/>
      <c r="CY2170" s="296"/>
    </row>
    <row r="2171" spans="3:103" s="19" customFormat="1" ht="12">
      <c r="C2171" s="21"/>
      <c r="D2171" s="21"/>
      <c r="E2171" s="21"/>
      <c r="F2171" s="21"/>
      <c r="G2171" s="21"/>
      <c r="H2171" s="21"/>
      <c r="I2171" s="21"/>
      <c r="J2171" s="21"/>
      <c r="K2171" s="21"/>
      <c r="L2171" s="21"/>
      <c r="M2171" s="21"/>
      <c r="N2171" s="21"/>
      <c r="O2171" s="21"/>
      <c r="P2171" s="21"/>
      <c r="Q2171" s="21"/>
      <c r="R2171" s="21"/>
      <c r="S2171" s="21"/>
      <c r="T2171" s="21"/>
      <c r="U2171" s="21"/>
      <c r="V2171" s="21"/>
      <c r="W2171" s="21"/>
      <c r="X2171" s="21"/>
      <c r="Y2171" s="21"/>
      <c r="Z2171" s="21"/>
      <c r="AA2171" s="21"/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W2171" s="296"/>
      <c r="CY2171" s="296"/>
    </row>
    <row r="2172" spans="3:103" s="19" customFormat="1" ht="12">
      <c r="C2172" s="21"/>
      <c r="D2172" s="21"/>
      <c r="E2172" s="21"/>
      <c r="F2172" s="21"/>
      <c r="G2172" s="21"/>
      <c r="H2172" s="21"/>
      <c r="I2172" s="21"/>
      <c r="J2172" s="21"/>
      <c r="K2172" s="21"/>
      <c r="L2172" s="21"/>
      <c r="M2172" s="21"/>
      <c r="N2172" s="21"/>
      <c r="O2172" s="21"/>
      <c r="P2172" s="21"/>
      <c r="Q2172" s="21"/>
      <c r="R2172" s="21"/>
      <c r="S2172" s="21"/>
      <c r="T2172" s="21"/>
      <c r="U2172" s="21"/>
      <c r="V2172" s="21"/>
      <c r="W2172" s="21"/>
      <c r="X2172" s="21"/>
      <c r="Y2172" s="21"/>
      <c r="Z2172" s="21"/>
      <c r="AA2172" s="21"/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W2172" s="296"/>
      <c r="CY2172" s="296"/>
    </row>
    <row r="2173" spans="3:103" s="19" customFormat="1" ht="12">
      <c r="C2173" s="21"/>
      <c r="D2173" s="21"/>
      <c r="E2173" s="21"/>
      <c r="F2173" s="21"/>
      <c r="G2173" s="21"/>
      <c r="H2173" s="21"/>
      <c r="I2173" s="21"/>
      <c r="J2173" s="21"/>
      <c r="K2173" s="21"/>
      <c r="L2173" s="21"/>
      <c r="M2173" s="21"/>
      <c r="N2173" s="21"/>
      <c r="O2173" s="21"/>
      <c r="P2173" s="21"/>
      <c r="Q2173" s="21"/>
      <c r="R2173" s="21"/>
      <c r="S2173" s="21"/>
      <c r="T2173" s="21"/>
      <c r="U2173" s="21"/>
      <c r="V2173" s="21"/>
      <c r="W2173" s="21"/>
      <c r="X2173" s="21"/>
      <c r="Y2173" s="21"/>
      <c r="Z2173" s="21"/>
      <c r="AA2173" s="21"/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W2173" s="296"/>
      <c r="CY2173" s="296"/>
    </row>
    <row r="2174" spans="3:103" s="19" customFormat="1" ht="12">
      <c r="C2174" s="21"/>
      <c r="D2174" s="21"/>
      <c r="E2174" s="21"/>
      <c r="F2174" s="21"/>
      <c r="G2174" s="21"/>
      <c r="H2174" s="21"/>
      <c r="I2174" s="21"/>
      <c r="J2174" s="21"/>
      <c r="K2174" s="21"/>
      <c r="L2174" s="21"/>
      <c r="M2174" s="21"/>
      <c r="N2174" s="21"/>
      <c r="O2174" s="21"/>
      <c r="P2174" s="21"/>
      <c r="Q2174" s="21"/>
      <c r="R2174" s="21"/>
      <c r="S2174" s="21"/>
      <c r="T2174" s="21"/>
      <c r="U2174" s="21"/>
      <c r="V2174" s="21"/>
      <c r="W2174" s="21"/>
      <c r="X2174" s="21"/>
      <c r="Y2174" s="21"/>
      <c r="Z2174" s="21"/>
      <c r="AA2174" s="21"/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W2174" s="296"/>
      <c r="CY2174" s="296"/>
    </row>
    <row r="2175" spans="3:103" s="19" customFormat="1" ht="12">
      <c r="C2175" s="21"/>
      <c r="D2175" s="21"/>
      <c r="E2175" s="21"/>
      <c r="F2175" s="21"/>
      <c r="G2175" s="21"/>
      <c r="H2175" s="21"/>
      <c r="I2175" s="21"/>
      <c r="J2175" s="21"/>
      <c r="K2175" s="21"/>
      <c r="L2175" s="21"/>
      <c r="M2175" s="21"/>
      <c r="N2175" s="21"/>
      <c r="O2175" s="21"/>
      <c r="P2175" s="21"/>
      <c r="Q2175" s="21"/>
      <c r="R2175" s="21"/>
      <c r="S2175" s="21"/>
      <c r="T2175" s="21"/>
      <c r="U2175" s="21"/>
      <c r="V2175" s="21"/>
      <c r="W2175" s="21"/>
      <c r="X2175" s="21"/>
      <c r="Y2175" s="21"/>
      <c r="Z2175" s="21"/>
      <c r="AA2175" s="21"/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W2175" s="296"/>
      <c r="CY2175" s="296"/>
    </row>
    <row r="2176" spans="3:103" s="19" customFormat="1" ht="12">
      <c r="C2176" s="21"/>
      <c r="D2176" s="21"/>
      <c r="E2176" s="21"/>
      <c r="F2176" s="21"/>
      <c r="G2176" s="21"/>
      <c r="H2176" s="21"/>
      <c r="I2176" s="21"/>
      <c r="J2176" s="21"/>
      <c r="K2176" s="21"/>
      <c r="L2176" s="21"/>
      <c r="M2176" s="21"/>
      <c r="N2176" s="21"/>
      <c r="O2176" s="21"/>
      <c r="P2176" s="21"/>
      <c r="Q2176" s="21"/>
      <c r="R2176" s="21"/>
      <c r="S2176" s="21"/>
      <c r="T2176" s="21"/>
      <c r="U2176" s="21"/>
      <c r="V2176" s="21"/>
      <c r="W2176" s="21"/>
      <c r="X2176" s="21"/>
      <c r="Y2176" s="21"/>
      <c r="Z2176" s="21"/>
      <c r="AA2176" s="21"/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W2176" s="296"/>
      <c r="CY2176" s="296"/>
    </row>
    <row r="2177" spans="3:103" s="19" customFormat="1" ht="12">
      <c r="C2177" s="21"/>
      <c r="D2177" s="21"/>
      <c r="E2177" s="21"/>
      <c r="F2177" s="21"/>
      <c r="G2177" s="21"/>
      <c r="H2177" s="21"/>
      <c r="I2177" s="21"/>
      <c r="J2177" s="21"/>
      <c r="K2177" s="21"/>
      <c r="L2177" s="21"/>
      <c r="M2177" s="21"/>
      <c r="N2177" s="21"/>
      <c r="O2177" s="21"/>
      <c r="P2177" s="21"/>
      <c r="Q2177" s="21"/>
      <c r="R2177" s="21"/>
      <c r="S2177" s="21"/>
      <c r="T2177" s="21"/>
      <c r="U2177" s="21"/>
      <c r="V2177" s="21"/>
      <c r="W2177" s="21"/>
      <c r="X2177" s="21"/>
      <c r="Y2177" s="21"/>
      <c r="Z2177" s="21"/>
      <c r="AA2177" s="21"/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W2177" s="296"/>
      <c r="CY2177" s="296"/>
    </row>
    <row r="2178" spans="3:103" s="19" customFormat="1" ht="12">
      <c r="C2178" s="21"/>
      <c r="D2178" s="21"/>
      <c r="E2178" s="21"/>
      <c r="F2178" s="21"/>
      <c r="G2178" s="21"/>
      <c r="H2178" s="21"/>
      <c r="I2178" s="21"/>
      <c r="J2178" s="21"/>
      <c r="K2178" s="21"/>
      <c r="L2178" s="21"/>
      <c r="M2178" s="21"/>
      <c r="N2178" s="21"/>
      <c r="O2178" s="21"/>
      <c r="P2178" s="21"/>
      <c r="Q2178" s="21"/>
      <c r="R2178" s="21"/>
      <c r="S2178" s="21"/>
      <c r="T2178" s="21"/>
      <c r="U2178" s="21"/>
      <c r="V2178" s="21"/>
      <c r="W2178" s="21"/>
      <c r="X2178" s="21"/>
      <c r="Y2178" s="21"/>
      <c r="Z2178" s="21"/>
      <c r="AA2178" s="21"/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W2178" s="296"/>
      <c r="CY2178" s="296"/>
    </row>
    <row r="2179" spans="3:103" s="19" customFormat="1" ht="12">
      <c r="C2179" s="21"/>
      <c r="D2179" s="21"/>
      <c r="E2179" s="21"/>
      <c r="F2179" s="21"/>
      <c r="G2179" s="21"/>
      <c r="H2179" s="21"/>
      <c r="I2179" s="21"/>
      <c r="J2179" s="21"/>
      <c r="K2179" s="21"/>
      <c r="L2179" s="21"/>
      <c r="M2179" s="21"/>
      <c r="N2179" s="21"/>
      <c r="O2179" s="21"/>
      <c r="P2179" s="21"/>
      <c r="Q2179" s="21"/>
      <c r="R2179" s="21"/>
      <c r="S2179" s="21"/>
      <c r="T2179" s="21"/>
      <c r="U2179" s="21"/>
      <c r="V2179" s="21"/>
      <c r="W2179" s="21"/>
      <c r="X2179" s="21"/>
      <c r="Y2179" s="21"/>
      <c r="Z2179" s="21"/>
      <c r="AA2179" s="21"/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W2179" s="296"/>
      <c r="CY2179" s="296"/>
    </row>
    <row r="2180" spans="3:103" s="19" customFormat="1" ht="12">
      <c r="C2180" s="21"/>
      <c r="D2180" s="21"/>
      <c r="E2180" s="21"/>
      <c r="F2180" s="21"/>
      <c r="G2180" s="21"/>
      <c r="H2180" s="21"/>
      <c r="I2180" s="21"/>
      <c r="J2180" s="21"/>
      <c r="K2180" s="21"/>
      <c r="L2180" s="21"/>
      <c r="M2180" s="21"/>
      <c r="N2180" s="21"/>
      <c r="O2180" s="21"/>
      <c r="P2180" s="21"/>
      <c r="Q2180" s="21"/>
      <c r="R2180" s="21"/>
      <c r="S2180" s="21"/>
      <c r="T2180" s="21"/>
      <c r="U2180" s="21"/>
      <c r="V2180" s="21"/>
      <c r="W2180" s="21"/>
      <c r="X2180" s="21"/>
      <c r="Y2180" s="21"/>
      <c r="Z2180" s="21"/>
      <c r="AA2180" s="21"/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W2180" s="296"/>
      <c r="CY2180" s="296"/>
    </row>
    <row r="2181" spans="3:103" s="19" customFormat="1" ht="12">
      <c r="C2181" s="21"/>
      <c r="D2181" s="21"/>
      <c r="E2181" s="21"/>
      <c r="F2181" s="21"/>
      <c r="G2181" s="21"/>
      <c r="H2181" s="21"/>
      <c r="I2181" s="21"/>
      <c r="J2181" s="21"/>
      <c r="K2181" s="21"/>
      <c r="L2181" s="21"/>
      <c r="M2181" s="21"/>
      <c r="N2181" s="21"/>
      <c r="O2181" s="21"/>
      <c r="P2181" s="21"/>
      <c r="Q2181" s="21"/>
      <c r="R2181" s="21"/>
      <c r="S2181" s="21"/>
      <c r="T2181" s="21"/>
      <c r="U2181" s="21"/>
      <c r="V2181" s="21"/>
      <c r="W2181" s="21"/>
      <c r="X2181" s="21"/>
      <c r="Y2181" s="21"/>
      <c r="Z2181" s="21"/>
      <c r="AA2181" s="21"/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W2181" s="296"/>
      <c r="CY2181" s="296"/>
    </row>
    <row r="2182" spans="3:103" s="19" customFormat="1" ht="12">
      <c r="C2182" s="21"/>
      <c r="D2182" s="21"/>
      <c r="E2182" s="21"/>
      <c r="F2182" s="21"/>
      <c r="G2182" s="21"/>
      <c r="H2182" s="21"/>
      <c r="I2182" s="21"/>
      <c r="J2182" s="21"/>
      <c r="K2182" s="21"/>
      <c r="L2182" s="21"/>
      <c r="M2182" s="21"/>
      <c r="N2182" s="21"/>
      <c r="O2182" s="21"/>
      <c r="P2182" s="21"/>
      <c r="Q2182" s="21"/>
      <c r="R2182" s="21"/>
      <c r="S2182" s="21"/>
      <c r="T2182" s="21"/>
      <c r="U2182" s="21"/>
      <c r="V2182" s="21"/>
      <c r="W2182" s="21"/>
      <c r="X2182" s="21"/>
      <c r="Y2182" s="21"/>
      <c r="Z2182" s="21"/>
      <c r="AA2182" s="21"/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W2182" s="296"/>
      <c r="CY2182" s="296"/>
    </row>
    <row r="2183" spans="3:103" s="19" customFormat="1" ht="12">
      <c r="C2183" s="21"/>
      <c r="D2183" s="21"/>
      <c r="E2183" s="21"/>
      <c r="F2183" s="21"/>
      <c r="G2183" s="21"/>
      <c r="H2183" s="21"/>
      <c r="I2183" s="21"/>
      <c r="J2183" s="21"/>
      <c r="K2183" s="21"/>
      <c r="L2183" s="21"/>
      <c r="M2183" s="21"/>
      <c r="N2183" s="21"/>
      <c r="O2183" s="21"/>
      <c r="P2183" s="21"/>
      <c r="Q2183" s="21"/>
      <c r="R2183" s="21"/>
      <c r="S2183" s="21"/>
      <c r="T2183" s="21"/>
      <c r="U2183" s="21"/>
      <c r="V2183" s="21"/>
      <c r="W2183" s="21"/>
      <c r="X2183" s="21"/>
      <c r="Y2183" s="21"/>
      <c r="Z2183" s="21"/>
      <c r="AA2183" s="21"/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W2183" s="296"/>
      <c r="CY2183" s="296"/>
    </row>
    <row r="2184" spans="3:103" s="19" customFormat="1" ht="12">
      <c r="C2184" s="21"/>
      <c r="D2184" s="21"/>
      <c r="E2184" s="21"/>
      <c r="F2184" s="21"/>
      <c r="G2184" s="21"/>
      <c r="H2184" s="21"/>
      <c r="I2184" s="21"/>
      <c r="J2184" s="21"/>
      <c r="K2184" s="21"/>
      <c r="L2184" s="21"/>
      <c r="M2184" s="21"/>
      <c r="N2184" s="21"/>
      <c r="O2184" s="21"/>
      <c r="P2184" s="21"/>
      <c r="Q2184" s="21"/>
      <c r="R2184" s="21"/>
      <c r="S2184" s="21"/>
      <c r="T2184" s="21"/>
      <c r="U2184" s="21"/>
      <c r="V2184" s="21"/>
      <c r="W2184" s="21"/>
      <c r="X2184" s="21"/>
      <c r="Y2184" s="21"/>
      <c r="Z2184" s="21"/>
      <c r="AA2184" s="21"/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W2184" s="296"/>
      <c r="CY2184" s="296"/>
    </row>
    <row r="2185" spans="3:103" s="19" customFormat="1" ht="12">
      <c r="C2185" s="21"/>
      <c r="D2185" s="21"/>
      <c r="E2185" s="21"/>
      <c r="F2185" s="21"/>
      <c r="G2185" s="21"/>
      <c r="H2185" s="21"/>
      <c r="I2185" s="21"/>
      <c r="J2185" s="21"/>
      <c r="K2185" s="21"/>
      <c r="L2185" s="21"/>
      <c r="M2185" s="21"/>
      <c r="N2185" s="21"/>
      <c r="O2185" s="21"/>
      <c r="P2185" s="21"/>
      <c r="Q2185" s="21"/>
      <c r="R2185" s="21"/>
      <c r="S2185" s="21"/>
      <c r="T2185" s="21"/>
      <c r="U2185" s="21"/>
      <c r="V2185" s="21"/>
      <c r="W2185" s="21"/>
      <c r="X2185" s="21"/>
      <c r="Y2185" s="21"/>
      <c r="Z2185" s="21"/>
      <c r="AA2185" s="21"/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W2185" s="296"/>
      <c r="CY2185" s="296"/>
    </row>
    <row r="2186" spans="3:103" s="19" customFormat="1" ht="12">
      <c r="C2186" s="21"/>
      <c r="D2186" s="21"/>
      <c r="E2186" s="21"/>
      <c r="F2186" s="21"/>
      <c r="G2186" s="21"/>
      <c r="H2186" s="21"/>
      <c r="I2186" s="21"/>
      <c r="J2186" s="21"/>
      <c r="K2186" s="21"/>
      <c r="L2186" s="21"/>
      <c r="M2186" s="21"/>
      <c r="N2186" s="21"/>
      <c r="O2186" s="21"/>
      <c r="P2186" s="21"/>
      <c r="Q2186" s="21"/>
      <c r="R2186" s="21"/>
      <c r="S2186" s="21"/>
      <c r="T2186" s="21"/>
      <c r="U2186" s="21"/>
      <c r="V2186" s="21"/>
      <c r="W2186" s="21"/>
      <c r="X2186" s="21"/>
      <c r="Y2186" s="21"/>
      <c r="Z2186" s="21"/>
      <c r="AA2186" s="21"/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W2186" s="296"/>
      <c r="CY2186" s="296"/>
    </row>
    <row r="2187" spans="3:103" s="19" customFormat="1" ht="12">
      <c r="C2187" s="21"/>
      <c r="D2187" s="21"/>
      <c r="E2187" s="21"/>
      <c r="F2187" s="21"/>
      <c r="G2187" s="21"/>
      <c r="H2187" s="21"/>
      <c r="I2187" s="21"/>
      <c r="J2187" s="21"/>
      <c r="K2187" s="21"/>
      <c r="L2187" s="21"/>
      <c r="M2187" s="21"/>
      <c r="N2187" s="21"/>
      <c r="O2187" s="21"/>
      <c r="P2187" s="21"/>
      <c r="Q2187" s="21"/>
      <c r="R2187" s="21"/>
      <c r="S2187" s="21"/>
      <c r="T2187" s="21"/>
      <c r="U2187" s="21"/>
      <c r="V2187" s="21"/>
      <c r="W2187" s="21"/>
      <c r="X2187" s="21"/>
      <c r="Y2187" s="21"/>
      <c r="Z2187" s="21"/>
      <c r="AA2187" s="21"/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W2187" s="296"/>
      <c r="CY2187" s="296"/>
    </row>
    <row r="2188" spans="3:103" s="19" customFormat="1" ht="12">
      <c r="C2188" s="21"/>
      <c r="D2188" s="21"/>
      <c r="E2188" s="21"/>
      <c r="F2188" s="21"/>
      <c r="G2188" s="21"/>
      <c r="H2188" s="21"/>
      <c r="I2188" s="21"/>
      <c r="J2188" s="21"/>
      <c r="K2188" s="21"/>
      <c r="L2188" s="21"/>
      <c r="M2188" s="21"/>
      <c r="N2188" s="21"/>
      <c r="O2188" s="21"/>
      <c r="P2188" s="21"/>
      <c r="Q2188" s="21"/>
      <c r="R2188" s="21"/>
      <c r="S2188" s="21"/>
      <c r="T2188" s="21"/>
      <c r="U2188" s="21"/>
      <c r="V2188" s="21"/>
      <c r="W2188" s="21"/>
      <c r="X2188" s="21"/>
      <c r="Y2188" s="21"/>
      <c r="Z2188" s="21"/>
      <c r="AA2188" s="21"/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W2188" s="296"/>
      <c r="CY2188" s="296"/>
    </row>
    <row r="2189" spans="3:103" s="19" customFormat="1" ht="12">
      <c r="C2189" s="21"/>
      <c r="D2189" s="21"/>
      <c r="E2189" s="21"/>
      <c r="F2189" s="21"/>
      <c r="G2189" s="21"/>
      <c r="H2189" s="21"/>
      <c r="I2189" s="21"/>
      <c r="J2189" s="21"/>
      <c r="K2189" s="21"/>
      <c r="L2189" s="21"/>
      <c r="M2189" s="21"/>
      <c r="N2189" s="21"/>
      <c r="O2189" s="21"/>
      <c r="P2189" s="21"/>
      <c r="Q2189" s="21"/>
      <c r="R2189" s="21"/>
      <c r="S2189" s="21"/>
      <c r="T2189" s="21"/>
      <c r="U2189" s="21"/>
      <c r="V2189" s="21"/>
      <c r="W2189" s="21"/>
      <c r="X2189" s="21"/>
      <c r="Y2189" s="21"/>
      <c r="Z2189" s="21"/>
      <c r="AA2189" s="21"/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W2189" s="296"/>
      <c r="CY2189" s="296"/>
    </row>
    <row r="2190" spans="3:103" s="19" customFormat="1" ht="12">
      <c r="C2190" s="21"/>
      <c r="D2190" s="21"/>
      <c r="E2190" s="21"/>
      <c r="F2190" s="21"/>
      <c r="G2190" s="21"/>
      <c r="H2190" s="21"/>
      <c r="I2190" s="21"/>
      <c r="J2190" s="21"/>
      <c r="K2190" s="21"/>
      <c r="L2190" s="21"/>
      <c r="M2190" s="21"/>
      <c r="N2190" s="21"/>
      <c r="O2190" s="21"/>
      <c r="P2190" s="21"/>
      <c r="Q2190" s="21"/>
      <c r="R2190" s="21"/>
      <c r="S2190" s="21"/>
      <c r="T2190" s="21"/>
      <c r="U2190" s="21"/>
      <c r="V2190" s="21"/>
      <c r="W2190" s="21"/>
      <c r="X2190" s="21"/>
      <c r="Y2190" s="21"/>
      <c r="Z2190" s="21"/>
      <c r="AA2190" s="21"/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W2190" s="296"/>
      <c r="CY2190" s="296"/>
    </row>
    <row r="2191" spans="3:103" s="19" customFormat="1" ht="12">
      <c r="C2191" s="21"/>
      <c r="D2191" s="21"/>
      <c r="E2191" s="21"/>
      <c r="F2191" s="21"/>
      <c r="G2191" s="21"/>
      <c r="H2191" s="21"/>
      <c r="I2191" s="21"/>
      <c r="J2191" s="21"/>
      <c r="K2191" s="21"/>
      <c r="L2191" s="21"/>
      <c r="M2191" s="21"/>
      <c r="N2191" s="21"/>
      <c r="O2191" s="21"/>
      <c r="P2191" s="21"/>
      <c r="Q2191" s="21"/>
      <c r="R2191" s="21"/>
      <c r="S2191" s="21"/>
      <c r="T2191" s="21"/>
      <c r="U2191" s="21"/>
      <c r="V2191" s="21"/>
      <c r="W2191" s="21"/>
      <c r="X2191" s="21"/>
      <c r="Y2191" s="21"/>
      <c r="Z2191" s="21"/>
      <c r="AA2191" s="21"/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W2191" s="296"/>
      <c r="CY2191" s="296"/>
    </row>
    <row r="2192" spans="3:103" s="19" customFormat="1" ht="12">
      <c r="C2192" s="21"/>
      <c r="D2192" s="21"/>
      <c r="E2192" s="21"/>
      <c r="F2192" s="21"/>
      <c r="G2192" s="21"/>
      <c r="H2192" s="21"/>
      <c r="I2192" s="21"/>
      <c r="J2192" s="21"/>
      <c r="K2192" s="21"/>
      <c r="L2192" s="21"/>
      <c r="M2192" s="21"/>
      <c r="N2192" s="21"/>
      <c r="O2192" s="21"/>
      <c r="P2192" s="21"/>
      <c r="Q2192" s="21"/>
      <c r="R2192" s="21"/>
      <c r="S2192" s="21"/>
      <c r="T2192" s="21"/>
      <c r="U2192" s="21"/>
      <c r="V2192" s="21"/>
      <c r="W2192" s="21"/>
      <c r="X2192" s="21"/>
      <c r="Y2192" s="21"/>
      <c r="Z2192" s="21"/>
      <c r="AA2192" s="21"/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W2192" s="296"/>
      <c r="CY2192" s="296"/>
    </row>
    <row r="2193" spans="3:103" s="19" customFormat="1" ht="12">
      <c r="C2193" s="21"/>
      <c r="D2193" s="21"/>
      <c r="E2193" s="21"/>
      <c r="F2193" s="21"/>
      <c r="G2193" s="21"/>
      <c r="H2193" s="21"/>
      <c r="I2193" s="21"/>
      <c r="J2193" s="21"/>
      <c r="K2193" s="21"/>
      <c r="L2193" s="21"/>
      <c r="M2193" s="21"/>
      <c r="N2193" s="21"/>
      <c r="O2193" s="21"/>
      <c r="P2193" s="21"/>
      <c r="Q2193" s="21"/>
      <c r="R2193" s="21"/>
      <c r="S2193" s="21"/>
      <c r="T2193" s="21"/>
      <c r="U2193" s="21"/>
      <c r="V2193" s="21"/>
      <c r="W2193" s="21"/>
      <c r="X2193" s="21"/>
      <c r="Y2193" s="21"/>
      <c r="Z2193" s="21"/>
      <c r="AA2193" s="21"/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W2193" s="296"/>
      <c r="CY2193" s="296"/>
    </row>
    <row r="2194" spans="3:103" s="19" customFormat="1" ht="12">
      <c r="C2194" s="21"/>
      <c r="D2194" s="21"/>
      <c r="E2194" s="21"/>
      <c r="F2194" s="21"/>
      <c r="G2194" s="21"/>
      <c r="H2194" s="21"/>
      <c r="I2194" s="21"/>
      <c r="J2194" s="21"/>
      <c r="K2194" s="21"/>
      <c r="L2194" s="21"/>
      <c r="M2194" s="21"/>
      <c r="N2194" s="21"/>
      <c r="O2194" s="21"/>
      <c r="P2194" s="21"/>
      <c r="Q2194" s="21"/>
      <c r="R2194" s="21"/>
      <c r="S2194" s="21"/>
      <c r="T2194" s="21"/>
      <c r="U2194" s="21"/>
      <c r="V2194" s="21"/>
      <c r="W2194" s="21"/>
      <c r="X2194" s="21"/>
      <c r="Y2194" s="21"/>
      <c r="Z2194" s="21"/>
      <c r="AA2194" s="21"/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W2194" s="296"/>
      <c r="CY2194" s="296"/>
    </row>
    <row r="2195" spans="3:103" s="19" customFormat="1" ht="12">
      <c r="C2195" s="21"/>
      <c r="D2195" s="21"/>
      <c r="E2195" s="21"/>
      <c r="F2195" s="21"/>
      <c r="G2195" s="21"/>
      <c r="H2195" s="21"/>
      <c r="I2195" s="21"/>
      <c r="J2195" s="21"/>
      <c r="K2195" s="21"/>
      <c r="L2195" s="21"/>
      <c r="M2195" s="21"/>
      <c r="N2195" s="21"/>
      <c r="O2195" s="21"/>
      <c r="P2195" s="21"/>
      <c r="Q2195" s="21"/>
      <c r="R2195" s="21"/>
      <c r="S2195" s="21"/>
      <c r="T2195" s="21"/>
      <c r="U2195" s="21"/>
      <c r="V2195" s="21"/>
      <c r="W2195" s="21"/>
      <c r="X2195" s="21"/>
      <c r="Y2195" s="21"/>
      <c r="Z2195" s="21"/>
      <c r="AA2195" s="21"/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W2195" s="296"/>
      <c r="CY2195" s="296"/>
    </row>
    <row r="2196" spans="3:103" s="19" customFormat="1" ht="12">
      <c r="C2196" s="21"/>
      <c r="D2196" s="21"/>
      <c r="E2196" s="21"/>
      <c r="F2196" s="21"/>
      <c r="G2196" s="21"/>
      <c r="H2196" s="21"/>
      <c r="I2196" s="21"/>
      <c r="J2196" s="21"/>
      <c r="K2196" s="21"/>
      <c r="L2196" s="21"/>
      <c r="M2196" s="21"/>
      <c r="N2196" s="21"/>
      <c r="O2196" s="21"/>
      <c r="P2196" s="21"/>
      <c r="Q2196" s="21"/>
      <c r="R2196" s="21"/>
      <c r="S2196" s="21"/>
      <c r="T2196" s="21"/>
      <c r="U2196" s="21"/>
      <c r="V2196" s="21"/>
      <c r="W2196" s="21"/>
      <c r="X2196" s="21"/>
      <c r="Y2196" s="21"/>
      <c r="Z2196" s="21"/>
      <c r="AA2196" s="21"/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W2196" s="296"/>
      <c r="CY2196" s="296"/>
    </row>
    <row r="2197" spans="3:103" s="19" customFormat="1" ht="12">
      <c r="C2197" s="21"/>
      <c r="D2197" s="21"/>
      <c r="E2197" s="21"/>
      <c r="F2197" s="21"/>
      <c r="G2197" s="21"/>
      <c r="H2197" s="21"/>
      <c r="I2197" s="21"/>
      <c r="J2197" s="21"/>
      <c r="K2197" s="21"/>
      <c r="L2197" s="21"/>
      <c r="M2197" s="21"/>
      <c r="N2197" s="21"/>
      <c r="O2197" s="21"/>
      <c r="P2197" s="21"/>
      <c r="Q2197" s="21"/>
      <c r="R2197" s="21"/>
      <c r="S2197" s="21"/>
      <c r="T2197" s="21"/>
      <c r="U2197" s="21"/>
      <c r="V2197" s="21"/>
      <c r="W2197" s="21"/>
      <c r="X2197" s="21"/>
      <c r="Y2197" s="21"/>
      <c r="Z2197" s="21"/>
      <c r="AA2197" s="21"/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W2197" s="296"/>
      <c r="CY2197" s="296"/>
    </row>
    <row r="2198" spans="3:103" s="19" customFormat="1" ht="12">
      <c r="C2198" s="21"/>
      <c r="D2198" s="21"/>
      <c r="E2198" s="21"/>
      <c r="F2198" s="21"/>
      <c r="G2198" s="21"/>
      <c r="H2198" s="21"/>
      <c r="I2198" s="21"/>
      <c r="J2198" s="21"/>
      <c r="K2198" s="21"/>
      <c r="L2198" s="21"/>
      <c r="M2198" s="21"/>
      <c r="N2198" s="21"/>
      <c r="O2198" s="21"/>
      <c r="P2198" s="21"/>
      <c r="Q2198" s="21"/>
      <c r="R2198" s="21"/>
      <c r="S2198" s="21"/>
      <c r="T2198" s="21"/>
      <c r="U2198" s="21"/>
      <c r="V2198" s="21"/>
      <c r="W2198" s="21"/>
      <c r="X2198" s="21"/>
      <c r="Y2198" s="21"/>
      <c r="Z2198" s="21"/>
      <c r="AA2198" s="21"/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W2198" s="296"/>
      <c r="CY2198" s="296"/>
    </row>
    <row r="2199" spans="3:103" s="19" customFormat="1" ht="12">
      <c r="C2199" s="21"/>
      <c r="D2199" s="21"/>
      <c r="E2199" s="21"/>
      <c r="F2199" s="21"/>
      <c r="G2199" s="21"/>
      <c r="H2199" s="21"/>
      <c r="I2199" s="21"/>
      <c r="J2199" s="21"/>
      <c r="K2199" s="21"/>
      <c r="L2199" s="21"/>
      <c r="M2199" s="21"/>
      <c r="N2199" s="21"/>
      <c r="O2199" s="21"/>
      <c r="P2199" s="21"/>
      <c r="Q2199" s="21"/>
      <c r="R2199" s="21"/>
      <c r="S2199" s="21"/>
      <c r="T2199" s="21"/>
      <c r="U2199" s="21"/>
      <c r="V2199" s="21"/>
      <c r="W2199" s="21"/>
      <c r="X2199" s="21"/>
      <c r="Y2199" s="21"/>
      <c r="Z2199" s="21"/>
      <c r="AA2199" s="21"/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W2199" s="296"/>
      <c r="CY2199" s="296"/>
    </row>
    <row r="2200" spans="3:103" s="19" customFormat="1" ht="12">
      <c r="C2200" s="21"/>
      <c r="D2200" s="21"/>
      <c r="E2200" s="21"/>
      <c r="F2200" s="21"/>
      <c r="G2200" s="21"/>
      <c r="H2200" s="21"/>
      <c r="I2200" s="21"/>
      <c r="J2200" s="21"/>
      <c r="K2200" s="21"/>
      <c r="L2200" s="21"/>
      <c r="M2200" s="21"/>
      <c r="N2200" s="21"/>
      <c r="O2200" s="21"/>
      <c r="P2200" s="21"/>
      <c r="Q2200" s="21"/>
      <c r="R2200" s="21"/>
      <c r="S2200" s="21"/>
      <c r="T2200" s="21"/>
      <c r="U2200" s="21"/>
      <c r="V2200" s="21"/>
      <c r="W2200" s="21"/>
      <c r="X2200" s="21"/>
      <c r="Y2200" s="21"/>
      <c r="Z2200" s="21"/>
      <c r="AA2200" s="21"/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W2200" s="296"/>
      <c r="CY2200" s="296"/>
    </row>
    <row r="2201" spans="3:103" s="19" customFormat="1" ht="12">
      <c r="C2201" s="21"/>
      <c r="D2201" s="21"/>
      <c r="E2201" s="21"/>
      <c r="F2201" s="21"/>
      <c r="G2201" s="21"/>
      <c r="H2201" s="21"/>
      <c r="I2201" s="21"/>
      <c r="J2201" s="21"/>
      <c r="K2201" s="21"/>
      <c r="L2201" s="21"/>
      <c r="M2201" s="21"/>
      <c r="N2201" s="21"/>
      <c r="O2201" s="21"/>
      <c r="P2201" s="21"/>
      <c r="Q2201" s="21"/>
      <c r="R2201" s="21"/>
      <c r="S2201" s="21"/>
      <c r="T2201" s="21"/>
      <c r="U2201" s="21"/>
      <c r="V2201" s="21"/>
      <c r="W2201" s="21"/>
      <c r="X2201" s="21"/>
      <c r="Y2201" s="21"/>
      <c r="Z2201" s="21"/>
      <c r="AA2201" s="21"/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W2201" s="296"/>
      <c r="CY2201" s="296"/>
    </row>
    <row r="2202" spans="3:103" s="19" customFormat="1" ht="12">
      <c r="C2202" s="21"/>
      <c r="D2202" s="21"/>
      <c r="E2202" s="21"/>
      <c r="F2202" s="21"/>
      <c r="G2202" s="21"/>
      <c r="H2202" s="21"/>
      <c r="I2202" s="21"/>
      <c r="J2202" s="21"/>
      <c r="K2202" s="21"/>
      <c r="L2202" s="21"/>
      <c r="M2202" s="21"/>
      <c r="N2202" s="21"/>
      <c r="O2202" s="21"/>
      <c r="P2202" s="21"/>
      <c r="Q2202" s="21"/>
      <c r="R2202" s="21"/>
      <c r="S2202" s="21"/>
      <c r="T2202" s="21"/>
      <c r="U2202" s="21"/>
      <c r="V2202" s="21"/>
      <c r="W2202" s="21"/>
      <c r="X2202" s="21"/>
      <c r="Y2202" s="21"/>
      <c r="Z2202" s="21"/>
      <c r="AA2202" s="21"/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W2202" s="296"/>
      <c r="CY2202" s="296"/>
    </row>
    <row r="2203" spans="3:103" s="19" customFormat="1" ht="12">
      <c r="C2203" s="21"/>
      <c r="D2203" s="21"/>
      <c r="E2203" s="21"/>
      <c r="F2203" s="21"/>
      <c r="G2203" s="21"/>
      <c r="H2203" s="21"/>
      <c r="I2203" s="21"/>
      <c r="J2203" s="21"/>
      <c r="K2203" s="21"/>
      <c r="L2203" s="21"/>
      <c r="M2203" s="21"/>
      <c r="N2203" s="21"/>
      <c r="O2203" s="21"/>
      <c r="P2203" s="21"/>
      <c r="Q2203" s="21"/>
      <c r="R2203" s="21"/>
      <c r="S2203" s="21"/>
      <c r="T2203" s="21"/>
      <c r="U2203" s="21"/>
      <c r="V2203" s="21"/>
      <c r="W2203" s="21"/>
      <c r="X2203" s="21"/>
      <c r="Y2203" s="21"/>
      <c r="Z2203" s="21"/>
      <c r="AA2203" s="21"/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W2203" s="296"/>
      <c r="CY2203" s="296"/>
    </row>
    <row r="2204" spans="3:103" s="19" customFormat="1" ht="12">
      <c r="C2204" s="21"/>
      <c r="D2204" s="21"/>
      <c r="E2204" s="21"/>
      <c r="F2204" s="21"/>
      <c r="G2204" s="21"/>
      <c r="H2204" s="21"/>
      <c r="I2204" s="21"/>
      <c r="J2204" s="21"/>
      <c r="K2204" s="21"/>
      <c r="L2204" s="21"/>
      <c r="M2204" s="21"/>
      <c r="N2204" s="21"/>
      <c r="O2204" s="21"/>
      <c r="P2204" s="21"/>
      <c r="Q2204" s="21"/>
      <c r="R2204" s="21"/>
      <c r="S2204" s="21"/>
      <c r="T2204" s="21"/>
      <c r="U2204" s="21"/>
      <c r="V2204" s="21"/>
      <c r="W2204" s="21"/>
      <c r="X2204" s="21"/>
      <c r="Y2204" s="21"/>
      <c r="Z2204" s="21"/>
      <c r="AA2204" s="21"/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W2204" s="296"/>
      <c r="CY2204" s="296"/>
    </row>
    <row r="2205" spans="3:103" s="19" customFormat="1" ht="12">
      <c r="C2205" s="21"/>
      <c r="D2205" s="21"/>
      <c r="E2205" s="21"/>
      <c r="F2205" s="21"/>
      <c r="G2205" s="21"/>
      <c r="H2205" s="21"/>
      <c r="I2205" s="21"/>
      <c r="J2205" s="21"/>
      <c r="K2205" s="21"/>
      <c r="L2205" s="21"/>
      <c r="M2205" s="21"/>
      <c r="N2205" s="21"/>
      <c r="O2205" s="21"/>
      <c r="P2205" s="21"/>
      <c r="Q2205" s="21"/>
      <c r="R2205" s="21"/>
      <c r="S2205" s="21"/>
      <c r="T2205" s="21"/>
      <c r="U2205" s="21"/>
      <c r="V2205" s="21"/>
      <c r="W2205" s="21"/>
      <c r="X2205" s="21"/>
      <c r="Y2205" s="21"/>
      <c r="Z2205" s="21"/>
      <c r="AA2205" s="21"/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W2205" s="296"/>
      <c r="CY2205" s="296"/>
    </row>
    <row r="2206" spans="3:103" s="19" customFormat="1" ht="12">
      <c r="C2206" s="21"/>
      <c r="D2206" s="21"/>
      <c r="E2206" s="21"/>
      <c r="F2206" s="21"/>
      <c r="G2206" s="21"/>
      <c r="H2206" s="21"/>
      <c r="I2206" s="21"/>
      <c r="J2206" s="21"/>
      <c r="K2206" s="21"/>
      <c r="L2206" s="21"/>
      <c r="M2206" s="21"/>
      <c r="N2206" s="21"/>
      <c r="O2206" s="21"/>
      <c r="P2206" s="21"/>
      <c r="Q2206" s="21"/>
      <c r="R2206" s="21"/>
      <c r="S2206" s="21"/>
      <c r="T2206" s="21"/>
      <c r="U2206" s="21"/>
      <c r="V2206" s="21"/>
      <c r="W2206" s="21"/>
      <c r="X2206" s="21"/>
      <c r="Y2206" s="21"/>
      <c r="Z2206" s="21"/>
      <c r="AA2206" s="21"/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W2206" s="296"/>
      <c r="CY2206" s="296"/>
    </row>
    <row r="2207" spans="3:103" s="19" customFormat="1" ht="12">
      <c r="C2207" s="21"/>
      <c r="D2207" s="21"/>
      <c r="E2207" s="21"/>
      <c r="F2207" s="21"/>
      <c r="G2207" s="21"/>
      <c r="H2207" s="21"/>
      <c r="I2207" s="21"/>
      <c r="J2207" s="21"/>
      <c r="K2207" s="21"/>
      <c r="L2207" s="21"/>
      <c r="M2207" s="21"/>
      <c r="N2207" s="21"/>
      <c r="O2207" s="21"/>
      <c r="P2207" s="21"/>
      <c r="Q2207" s="21"/>
      <c r="R2207" s="21"/>
      <c r="S2207" s="21"/>
      <c r="T2207" s="21"/>
      <c r="U2207" s="21"/>
      <c r="V2207" s="21"/>
      <c r="W2207" s="21"/>
      <c r="X2207" s="21"/>
      <c r="Y2207" s="21"/>
      <c r="Z2207" s="21"/>
      <c r="AA2207" s="21"/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W2207" s="296"/>
      <c r="CY2207" s="296"/>
    </row>
    <row r="2208" spans="3:103" s="19" customFormat="1" ht="12">
      <c r="C2208" s="21"/>
      <c r="D2208" s="21"/>
      <c r="E2208" s="21"/>
      <c r="F2208" s="21"/>
      <c r="G2208" s="21"/>
      <c r="H2208" s="21"/>
      <c r="I2208" s="21"/>
      <c r="J2208" s="21"/>
      <c r="K2208" s="21"/>
      <c r="L2208" s="21"/>
      <c r="M2208" s="21"/>
      <c r="N2208" s="21"/>
      <c r="O2208" s="21"/>
      <c r="P2208" s="21"/>
      <c r="Q2208" s="21"/>
      <c r="R2208" s="21"/>
      <c r="S2208" s="21"/>
      <c r="T2208" s="21"/>
      <c r="U2208" s="21"/>
      <c r="V2208" s="21"/>
      <c r="W2208" s="21"/>
      <c r="X2208" s="21"/>
      <c r="Y2208" s="21"/>
      <c r="Z2208" s="21"/>
      <c r="AA2208" s="21"/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W2208" s="296"/>
      <c r="CY2208" s="296"/>
    </row>
    <row r="2209" spans="3:103" s="19" customFormat="1" ht="12">
      <c r="C2209" s="21"/>
      <c r="D2209" s="21"/>
      <c r="E2209" s="21"/>
      <c r="F2209" s="21"/>
      <c r="G2209" s="21"/>
      <c r="H2209" s="21"/>
      <c r="I2209" s="21"/>
      <c r="J2209" s="21"/>
      <c r="K2209" s="21"/>
      <c r="L2209" s="21"/>
      <c r="M2209" s="21"/>
      <c r="N2209" s="21"/>
      <c r="O2209" s="21"/>
      <c r="P2209" s="21"/>
      <c r="Q2209" s="21"/>
      <c r="R2209" s="21"/>
      <c r="S2209" s="21"/>
      <c r="T2209" s="21"/>
      <c r="U2209" s="21"/>
      <c r="V2209" s="21"/>
      <c r="W2209" s="21"/>
      <c r="X2209" s="21"/>
      <c r="Y2209" s="21"/>
      <c r="Z2209" s="21"/>
      <c r="AA2209" s="21"/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W2209" s="296"/>
      <c r="CY2209" s="296"/>
    </row>
    <row r="2210" spans="3:103" s="19" customFormat="1" ht="12">
      <c r="C2210" s="21"/>
      <c r="D2210" s="21"/>
      <c r="E2210" s="21"/>
      <c r="F2210" s="21"/>
      <c r="G2210" s="21"/>
      <c r="H2210" s="21"/>
      <c r="I2210" s="21"/>
      <c r="J2210" s="21"/>
      <c r="K2210" s="21"/>
      <c r="L2210" s="21"/>
      <c r="M2210" s="21"/>
      <c r="N2210" s="21"/>
      <c r="O2210" s="21"/>
      <c r="P2210" s="21"/>
      <c r="Q2210" s="21"/>
      <c r="R2210" s="21"/>
      <c r="S2210" s="21"/>
      <c r="T2210" s="21"/>
      <c r="U2210" s="21"/>
      <c r="V2210" s="21"/>
      <c r="W2210" s="21"/>
      <c r="X2210" s="21"/>
      <c r="Y2210" s="21"/>
      <c r="Z2210" s="21"/>
      <c r="AA2210" s="21"/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W2210" s="296"/>
      <c r="CY2210" s="296"/>
    </row>
    <row r="2211" spans="3:103" s="19" customFormat="1" ht="12">
      <c r="C2211" s="21"/>
      <c r="D2211" s="21"/>
      <c r="E2211" s="21"/>
      <c r="F2211" s="21"/>
      <c r="G2211" s="21"/>
      <c r="H2211" s="21"/>
      <c r="I2211" s="21"/>
      <c r="J2211" s="21"/>
      <c r="K2211" s="21"/>
      <c r="L2211" s="21"/>
      <c r="M2211" s="21"/>
      <c r="N2211" s="21"/>
      <c r="O2211" s="21"/>
      <c r="P2211" s="21"/>
      <c r="Q2211" s="21"/>
      <c r="R2211" s="21"/>
      <c r="S2211" s="21"/>
      <c r="T2211" s="21"/>
      <c r="U2211" s="21"/>
      <c r="V2211" s="21"/>
      <c r="W2211" s="21"/>
      <c r="X2211" s="21"/>
      <c r="Y2211" s="21"/>
      <c r="Z2211" s="21"/>
      <c r="AA2211" s="21"/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W2211" s="296"/>
      <c r="CY2211" s="296"/>
    </row>
    <row r="2212" spans="3:103" s="19" customFormat="1" ht="12">
      <c r="C2212" s="21"/>
      <c r="D2212" s="21"/>
      <c r="E2212" s="21"/>
      <c r="F2212" s="21"/>
      <c r="G2212" s="21"/>
      <c r="H2212" s="21"/>
      <c r="I2212" s="21"/>
      <c r="J2212" s="21"/>
      <c r="K2212" s="21"/>
      <c r="L2212" s="21"/>
      <c r="M2212" s="21"/>
      <c r="N2212" s="21"/>
      <c r="O2212" s="21"/>
      <c r="P2212" s="21"/>
      <c r="Q2212" s="21"/>
      <c r="R2212" s="21"/>
      <c r="S2212" s="21"/>
      <c r="T2212" s="21"/>
      <c r="U2212" s="21"/>
      <c r="V2212" s="21"/>
      <c r="W2212" s="21"/>
      <c r="X2212" s="21"/>
      <c r="Y2212" s="21"/>
      <c r="Z2212" s="21"/>
      <c r="AA2212" s="21"/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W2212" s="296"/>
      <c r="CY2212" s="296"/>
    </row>
    <row r="2213" spans="3:103" s="19" customFormat="1" ht="12">
      <c r="C2213" s="21"/>
      <c r="D2213" s="21"/>
      <c r="E2213" s="21"/>
      <c r="F2213" s="21"/>
      <c r="G2213" s="21"/>
      <c r="H2213" s="21"/>
      <c r="I2213" s="21"/>
      <c r="J2213" s="21"/>
      <c r="K2213" s="21"/>
      <c r="L2213" s="21"/>
      <c r="M2213" s="21"/>
      <c r="N2213" s="21"/>
      <c r="O2213" s="21"/>
      <c r="P2213" s="21"/>
      <c r="Q2213" s="21"/>
      <c r="R2213" s="21"/>
      <c r="S2213" s="21"/>
      <c r="T2213" s="21"/>
      <c r="U2213" s="21"/>
      <c r="V2213" s="21"/>
      <c r="W2213" s="21"/>
      <c r="X2213" s="21"/>
      <c r="Y2213" s="21"/>
      <c r="Z2213" s="21"/>
      <c r="AA2213" s="21"/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W2213" s="296"/>
      <c r="CY2213" s="296"/>
    </row>
    <row r="2214" spans="3:103" s="19" customFormat="1" ht="12">
      <c r="C2214" s="21"/>
      <c r="D2214" s="21"/>
      <c r="E2214" s="21"/>
      <c r="F2214" s="21"/>
      <c r="G2214" s="21"/>
      <c r="H2214" s="21"/>
      <c r="I2214" s="21"/>
      <c r="J2214" s="21"/>
      <c r="K2214" s="21"/>
      <c r="L2214" s="21"/>
      <c r="M2214" s="21"/>
      <c r="N2214" s="21"/>
      <c r="O2214" s="21"/>
      <c r="P2214" s="21"/>
      <c r="Q2214" s="21"/>
      <c r="R2214" s="21"/>
      <c r="S2214" s="21"/>
      <c r="T2214" s="21"/>
      <c r="U2214" s="21"/>
      <c r="V2214" s="21"/>
      <c r="W2214" s="21"/>
      <c r="X2214" s="21"/>
      <c r="Y2214" s="21"/>
      <c r="Z2214" s="21"/>
      <c r="AA2214" s="21"/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W2214" s="296"/>
      <c r="CY2214" s="296"/>
    </row>
    <row r="2215" spans="3:103" s="19" customFormat="1" ht="12">
      <c r="C2215" s="21"/>
      <c r="D2215" s="21"/>
      <c r="E2215" s="21"/>
      <c r="F2215" s="21"/>
      <c r="G2215" s="21"/>
      <c r="H2215" s="21"/>
      <c r="I2215" s="21"/>
      <c r="J2215" s="21"/>
      <c r="K2215" s="21"/>
      <c r="L2215" s="21"/>
      <c r="M2215" s="21"/>
      <c r="N2215" s="21"/>
      <c r="O2215" s="21"/>
      <c r="P2215" s="21"/>
      <c r="Q2215" s="21"/>
      <c r="R2215" s="21"/>
      <c r="S2215" s="21"/>
      <c r="T2215" s="21"/>
      <c r="U2215" s="21"/>
      <c r="V2215" s="21"/>
      <c r="W2215" s="21"/>
      <c r="X2215" s="21"/>
      <c r="Y2215" s="21"/>
      <c r="Z2215" s="21"/>
      <c r="AA2215" s="21"/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W2215" s="296"/>
      <c r="CY2215" s="296"/>
    </row>
    <row r="2216" spans="3:103" s="19" customFormat="1" ht="12">
      <c r="C2216" s="21"/>
      <c r="D2216" s="21"/>
      <c r="E2216" s="21"/>
      <c r="F2216" s="21"/>
      <c r="G2216" s="21"/>
      <c r="H2216" s="21"/>
      <c r="I2216" s="21"/>
      <c r="J2216" s="21"/>
      <c r="K2216" s="21"/>
      <c r="L2216" s="21"/>
      <c r="M2216" s="21"/>
      <c r="N2216" s="21"/>
      <c r="O2216" s="21"/>
      <c r="P2216" s="21"/>
      <c r="Q2216" s="21"/>
      <c r="R2216" s="21"/>
      <c r="S2216" s="21"/>
      <c r="T2216" s="21"/>
      <c r="U2216" s="21"/>
      <c r="V2216" s="21"/>
      <c r="W2216" s="21"/>
      <c r="X2216" s="21"/>
      <c r="Y2216" s="21"/>
      <c r="Z2216" s="21"/>
      <c r="AA2216" s="21"/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W2216" s="296"/>
      <c r="CY2216" s="296"/>
    </row>
    <row r="2217" spans="3:103" s="19" customFormat="1" ht="12">
      <c r="C2217" s="21"/>
      <c r="D2217" s="21"/>
      <c r="E2217" s="21"/>
      <c r="F2217" s="21"/>
      <c r="G2217" s="21"/>
      <c r="H2217" s="21"/>
      <c r="I2217" s="21"/>
      <c r="J2217" s="21"/>
      <c r="K2217" s="21"/>
      <c r="L2217" s="21"/>
      <c r="M2217" s="21"/>
      <c r="N2217" s="21"/>
      <c r="O2217" s="21"/>
      <c r="P2217" s="21"/>
      <c r="Q2217" s="21"/>
      <c r="R2217" s="21"/>
      <c r="S2217" s="21"/>
      <c r="T2217" s="21"/>
      <c r="U2217" s="21"/>
      <c r="V2217" s="21"/>
      <c r="W2217" s="21"/>
      <c r="X2217" s="21"/>
      <c r="Y2217" s="21"/>
      <c r="Z2217" s="21"/>
      <c r="AA2217" s="21"/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W2217" s="296"/>
      <c r="CY2217" s="296"/>
    </row>
    <row r="2218" spans="3:103" s="19" customFormat="1" ht="12">
      <c r="C2218" s="21"/>
      <c r="D2218" s="21"/>
      <c r="E2218" s="21"/>
      <c r="F2218" s="21"/>
      <c r="G2218" s="21"/>
      <c r="H2218" s="21"/>
      <c r="I2218" s="21"/>
      <c r="J2218" s="21"/>
      <c r="K2218" s="21"/>
      <c r="L2218" s="21"/>
      <c r="M2218" s="21"/>
      <c r="N2218" s="21"/>
      <c r="O2218" s="21"/>
      <c r="P2218" s="21"/>
      <c r="Q2218" s="21"/>
      <c r="R2218" s="21"/>
      <c r="S2218" s="21"/>
      <c r="T2218" s="21"/>
      <c r="U2218" s="21"/>
      <c r="V2218" s="21"/>
      <c r="W2218" s="21"/>
      <c r="X2218" s="21"/>
      <c r="Y2218" s="21"/>
      <c r="Z2218" s="21"/>
      <c r="AA2218" s="21"/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W2218" s="296"/>
      <c r="CY2218" s="296"/>
    </row>
    <row r="2219" spans="3:103" s="19" customFormat="1" ht="12">
      <c r="C2219" s="21"/>
      <c r="D2219" s="21"/>
      <c r="E2219" s="21"/>
      <c r="F2219" s="21"/>
      <c r="G2219" s="21"/>
      <c r="H2219" s="21"/>
      <c r="I2219" s="21"/>
      <c r="J2219" s="21"/>
      <c r="K2219" s="21"/>
      <c r="L2219" s="21"/>
      <c r="M2219" s="21"/>
      <c r="N2219" s="21"/>
      <c r="O2219" s="21"/>
      <c r="P2219" s="21"/>
      <c r="Q2219" s="21"/>
      <c r="R2219" s="21"/>
      <c r="S2219" s="21"/>
      <c r="T2219" s="21"/>
      <c r="U2219" s="21"/>
      <c r="V2219" s="21"/>
      <c r="W2219" s="21"/>
      <c r="X2219" s="21"/>
      <c r="Y2219" s="21"/>
      <c r="Z2219" s="21"/>
      <c r="AA2219" s="21"/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W2219" s="296"/>
      <c r="CY2219" s="296"/>
    </row>
    <row r="2220" spans="3:103" s="19" customFormat="1" ht="12">
      <c r="C2220" s="21"/>
      <c r="D2220" s="21"/>
      <c r="E2220" s="21"/>
      <c r="F2220" s="21"/>
      <c r="G2220" s="21"/>
      <c r="H2220" s="21"/>
      <c r="I2220" s="21"/>
      <c r="J2220" s="21"/>
      <c r="K2220" s="21"/>
      <c r="L2220" s="21"/>
      <c r="M2220" s="21"/>
      <c r="N2220" s="21"/>
      <c r="O2220" s="21"/>
      <c r="P2220" s="21"/>
      <c r="Q2220" s="21"/>
      <c r="R2220" s="21"/>
      <c r="S2220" s="21"/>
      <c r="T2220" s="21"/>
      <c r="U2220" s="21"/>
      <c r="V2220" s="21"/>
      <c r="W2220" s="21"/>
      <c r="X2220" s="21"/>
      <c r="Y2220" s="21"/>
      <c r="Z2220" s="21"/>
      <c r="AA2220" s="21"/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W2220" s="296"/>
      <c r="CY2220" s="296"/>
    </row>
    <row r="2221" spans="3:103" s="19" customFormat="1" ht="12">
      <c r="C2221" s="21"/>
      <c r="D2221" s="21"/>
      <c r="E2221" s="21"/>
      <c r="F2221" s="21"/>
      <c r="G2221" s="21"/>
      <c r="H2221" s="21"/>
      <c r="I2221" s="21"/>
      <c r="J2221" s="21"/>
      <c r="K2221" s="21"/>
      <c r="L2221" s="21"/>
      <c r="M2221" s="21"/>
      <c r="N2221" s="21"/>
      <c r="O2221" s="21"/>
      <c r="P2221" s="21"/>
      <c r="Q2221" s="21"/>
      <c r="R2221" s="21"/>
      <c r="S2221" s="21"/>
      <c r="T2221" s="21"/>
      <c r="U2221" s="21"/>
      <c r="V2221" s="21"/>
      <c r="W2221" s="21"/>
      <c r="X2221" s="21"/>
      <c r="Y2221" s="21"/>
      <c r="Z2221" s="21"/>
      <c r="AA2221" s="21"/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W2221" s="296"/>
      <c r="CY2221" s="296"/>
    </row>
    <row r="2222" spans="3:103" s="19" customFormat="1" ht="12">
      <c r="C2222" s="21"/>
      <c r="D2222" s="21"/>
      <c r="E2222" s="21"/>
      <c r="F2222" s="21"/>
      <c r="G2222" s="21"/>
      <c r="H2222" s="21"/>
      <c r="I2222" s="21"/>
      <c r="J2222" s="21"/>
      <c r="K2222" s="21"/>
      <c r="L2222" s="21"/>
      <c r="M2222" s="21"/>
      <c r="N2222" s="21"/>
      <c r="O2222" s="21"/>
      <c r="P2222" s="21"/>
      <c r="Q2222" s="21"/>
      <c r="R2222" s="21"/>
      <c r="S2222" s="21"/>
      <c r="T2222" s="21"/>
      <c r="U2222" s="21"/>
      <c r="V2222" s="21"/>
      <c r="W2222" s="21"/>
      <c r="X2222" s="21"/>
      <c r="Y2222" s="21"/>
      <c r="Z2222" s="21"/>
      <c r="AA2222" s="21"/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W2222" s="296"/>
      <c r="CY2222" s="296"/>
    </row>
    <row r="2223" spans="3:103" s="19" customFormat="1" ht="12">
      <c r="C2223" s="21"/>
      <c r="D2223" s="21"/>
      <c r="E2223" s="21"/>
      <c r="F2223" s="21"/>
      <c r="G2223" s="21"/>
      <c r="H2223" s="21"/>
      <c r="I2223" s="21"/>
      <c r="J2223" s="21"/>
      <c r="K2223" s="21"/>
      <c r="L2223" s="21"/>
      <c r="M2223" s="21"/>
      <c r="N2223" s="21"/>
      <c r="O2223" s="21"/>
      <c r="P2223" s="21"/>
      <c r="Q2223" s="21"/>
      <c r="R2223" s="21"/>
      <c r="S2223" s="21"/>
      <c r="T2223" s="21"/>
      <c r="U2223" s="21"/>
      <c r="V2223" s="21"/>
      <c r="W2223" s="21"/>
      <c r="X2223" s="21"/>
      <c r="Y2223" s="21"/>
      <c r="Z2223" s="21"/>
      <c r="AA2223" s="21"/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W2223" s="296"/>
      <c r="CY2223" s="296"/>
    </row>
    <row r="2224" spans="3:103" s="19" customFormat="1" ht="12">
      <c r="C2224" s="21"/>
      <c r="D2224" s="21"/>
      <c r="E2224" s="21"/>
      <c r="F2224" s="21"/>
      <c r="G2224" s="21"/>
      <c r="H2224" s="21"/>
      <c r="I2224" s="21"/>
      <c r="J2224" s="21"/>
      <c r="K2224" s="21"/>
      <c r="L2224" s="21"/>
      <c r="M2224" s="21"/>
      <c r="N2224" s="21"/>
      <c r="O2224" s="21"/>
      <c r="P2224" s="21"/>
      <c r="Q2224" s="21"/>
      <c r="R2224" s="21"/>
      <c r="S2224" s="21"/>
      <c r="T2224" s="21"/>
      <c r="U2224" s="21"/>
      <c r="V2224" s="21"/>
      <c r="W2224" s="21"/>
      <c r="X2224" s="21"/>
      <c r="Y2224" s="21"/>
      <c r="Z2224" s="21"/>
      <c r="AA2224" s="21"/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W2224" s="296"/>
      <c r="CY2224" s="296"/>
    </row>
    <row r="2225" spans="3:103" s="19" customFormat="1" ht="12">
      <c r="C2225" s="21"/>
      <c r="D2225" s="21"/>
      <c r="E2225" s="21"/>
      <c r="F2225" s="21"/>
      <c r="G2225" s="21"/>
      <c r="H2225" s="21"/>
      <c r="I2225" s="21"/>
      <c r="J2225" s="21"/>
      <c r="K2225" s="21"/>
      <c r="L2225" s="21"/>
      <c r="M2225" s="21"/>
      <c r="N2225" s="21"/>
      <c r="O2225" s="21"/>
      <c r="P2225" s="21"/>
      <c r="Q2225" s="21"/>
      <c r="R2225" s="21"/>
      <c r="S2225" s="21"/>
      <c r="T2225" s="21"/>
      <c r="U2225" s="21"/>
      <c r="V2225" s="21"/>
      <c r="W2225" s="21"/>
      <c r="X2225" s="21"/>
      <c r="Y2225" s="21"/>
      <c r="Z2225" s="21"/>
      <c r="AA2225" s="21"/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W2225" s="296"/>
      <c r="CY2225" s="296"/>
    </row>
    <row r="2226" spans="3:103" s="19" customFormat="1" ht="12">
      <c r="C2226" s="21"/>
      <c r="D2226" s="21"/>
      <c r="E2226" s="21"/>
      <c r="F2226" s="21"/>
      <c r="G2226" s="21"/>
      <c r="H2226" s="21"/>
      <c r="I2226" s="21"/>
      <c r="J2226" s="21"/>
      <c r="K2226" s="21"/>
      <c r="L2226" s="21"/>
      <c r="M2226" s="21"/>
      <c r="N2226" s="21"/>
      <c r="O2226" s="21"/>
      <c r="P2226" s="21"/>
      <c r="Q2226" s="21"/>
      <c r="R2226" s="21"/>
      <c r="S2226" s="21"/>
      <c r="T2226" s="21"/>
      <c r="U2226" s="21"/>
      <c r="V2226" s="21"/>
      <c r="W2226" s="21"/>
      <c r="X2226" s="21"/>
      <c r="Y2226" s="21"/>
      <c r="Z2226" s="21"/>
      <c r="AA2226" s="21"/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W2226" s="296"/>
      <c r="CY2226" s="296"/>
    </row>
    <row r="2227" spans="3:103" s="19" customFormat="1" ht="12">
      <c r="C2227" s="21"/>
      <c r="D2227" s="21"/>
      <c r="E2227" s="21"/>
      <c r="F2227" s="21"/>
      <c r="G2227" s="21"/>
      <c r="H2227" s="21"/>
      <c r="I2227" s="21"/>
      <c r="J2227" s="21"/>
      <c r="K2227" s="21"/>
      <c r="L2227" s="21"/>
      <c r="M2227" s="21"/>
      <c r="N2227" s="21"/>
      <c r="O2227" s="21"/>
      <c r="P2227" s="21"/>
      <c r="Q2227" s="21"/>
      <c r="R2227" s="21"/>
      <c r="S2227" s="21"/>
      <c r="T2227" s="21"/>
      <c r="U2227" s="21"/>
      <c r="V2227" s="21"/>
      <c r="W2227" s="21"/>
      <c r="X2227" s="21"/>
      <c r="Y2227" s="21"/>
      <c r="Z2227" s="21"/>
      <c r="AA2227" s="21"/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W2227" s="296"/>
      <c r="CY2227" s="296"/>
    </row>
    <row r="2228" spans="3:103" s="19" customFormat="1" ht="12">
      <c r="C2228" s="21"/>
      <c r="D2228" s="21"/>
      <c r="E2228" s="21"/>
      <c r="F2228" s="21"/>
      <c r="G2228" s="21"/>
      <c r="H2228" s="21"/>
      <c r="I2228" s="21"/>
      <c r="J2228" s="21"/>
      <c r="K2228" s="21"/>
      <c r="L2228" s="21"/>
      <c r="M2228" s="21"/>
      <c r="N2228" s="21"/>
      <c r="O2228" s="21"/>
      <c r="P2228" s="21"/>
      <c r="Q2228" s="21"/>
      <c r="R2228" s="21"/>
      <c r="S2228" s="21"/>
      <c r="T2228" s="21"/>
      <c r="U2228" s="21"/>
      <c r="V2228" s="21"/>
      <c r="W2228" s="21"/>
      <c r="X2228" s="21"/>
      <c r="Y2228" s="21"/>
      <c r="Z2228" s="21"/>
      <c r="AA2228" s="21"/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W2228" s="296"/>
      <c r="CY2228" s="296"/>
    </row>
    <row r="2229" spans="3:103" s="19" customFormat="1" ht="12">
      <c r="C2229" s="21"/>
      <c r="D2229" s="21"/>
      <c r="E2229" s="21"/>
      <c r="F2229" s="21"/>
      <c r="G2229" s="21"/>
      <c r="H2229" s="21"/>
      <c r="I2229" s="21"/>
      <c r="J2229" s="21"/>
      <c r="K2229" s="21"/>
      <c r="L2229" s="21"/>
      <c r="M2229" s="21"/>
      <c r="N2229" s="21"/>
      <c r="O2229" s="21"/>
      <c r="P2229" s="21"/>
      <c r="Q2229" s="21"/>
      <c r="R2229" s="21"/>
      <c r="S2229" s="21"/>
      <c r="T2229" s="21"/>
      <c r="U2229" s="21"/>
      <c r="V2229" s="21"/>
      <c r="W2229" s="21"/>
      <c r="X2229" s="21"/>
      <c r="Y2229" s="21"/>
      <c r="Z2229" s="21"/>
      <c r="AA2229" s="21"/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W2229" s="296"/>
      <c r="CY2229" s="296"/>
    </row>
    <row r="2230" spans="3:103" s="19" customFormat="1" ht="12">
      <c r="C2230" s="21"/>
      <c r="D2230" s="21"/>
      <c r="E2230" s="21"/>
      <c r="F2230" s="21"/>
      <c r="G2230" s="21"/>
      <c r="H2230" s="21"/>
      <c r="I2230" s="21"/>
      <c r="J2230" s="21"/>
      <c r="K2230" s="21"/>
      <c r="L2230" s="21"/>
      <c r="M2230" s="21"/>
      <c r="N2230" s="21"/>
      <c r="O2230" s="21"/>
      <c r="P2230" s="21"/>
      <c r="Q2230" s="21"/>
      <c r="R2230" s="21"/>
      <c r="S2230" s="21"/>
      <c r="T2230" s="21"/>
      <c r="U2230" s="21"/>
      <c r="V2230" s="21"/>
      <c r="W2230" s="21"/>
      <c r="X2230" s="21"/>
      <c r="Y2230" s="21"/>
      <c r="Z2230" s="21"/>
      <c r="AA2230" s="21"/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W2230" s="296"/>
      <c r="CY2230" s="296"/>
    </row>
    <row r="2231" spans="3:103" s="19" customFormat="1" ht="12">
      <c r="C2231" s="21"/>
      <c r="D2231" s="21"/>
      <c r="E2231" s="21"/>
      <c r="F2231" s="21"/>
      <c r="G2231" s="21"/>
      <c r="H2231" s="21"/>
      <c r="I2231" s="21"/>
      <c r="J2231" s="21"/>
      <c r="K2231" s="21"/>
      <c r="L2231" s="21"/>
      <c r="M2231" s="21"/>
      <c r="N2231" s="21"/>
      <c r="O2231" s="21"/>
      <c r="P2231" s="21"/>
      <c r="Q2231" s="21"/>
      <c r="R2231" s="21"/>
      <c r="S2231" s="21"/>
      <c r="T2231" s="21"/>
      <c r="U2231" s="21"/>
      <c r="V2231" s="21"/>
      <c r="W2231" s="21"/>
      <c r="X2231" s="21"/>
      <c r="Y2231" s="21"/>
      <c r="Z2231" s="21"/>
      <c r="AA2231" s="21"/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W2231" s="296"/>
      <c r="CY2231" s="296"/>
    </row>
    <row r="2232" spans="3:103" s="19" customFormat="1" ht="12">
      <c r="C2232" s="21"/>
      <c r="D2232" s="21"/>
      <c r="E2232" s="21"/>
      <c r="F2232" s="21"/>
      <c r="G2232" s="21"/>
      <c r="H2232" s="21"/>
      <c r="I2232" s="21"/>
      <c r="J2232" s="21"/>
      <c r="K2232" s="21"/>
      <c r="L2232" s="21"/>
      <c r="M2232" s="21"/>
      <c r="N2232" s="21"/>
      <c r="O2232" s="21"/>
      <c r="P2232" s="21"/>
      <c r="Q2232" s="21"/>
      <c r="R2232" s="21"/>
      <c r="S2232" s="21"/>
      <c r="T2232" s="21"/>
      <c r="U2232" s="21"/>
      <c r="V2232" s="21"/>
      <c r="W2232" s="21"/>
      <c r="X2232" s="21"/>
      <c r="Y2232" s="21"/>
      <c r="Z2232" s="21"/>
      <c r="AA2232" s="21"/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W2232" s="296"/>
      <c r="CY2232" s="296"/>
    </row>
    <row r="2233" spans="3:103" s="19" customFormat="1" ht="12">
      <c r="C2233" s="21"/>
      <c r="D2233" s="21"/>
      <c r="E2233" s="21"/>
      <c r="F2233" s="21"/>
      <c r="G2233" s="21"/>
      <c r="H2233" s="21"/>
      <c r="I2233" s="21"/>
      <c r="J2233" s="21"/>
      <c r="K2233" s="21"/>
      <c r="L2233" s="21"/>
      <c r="M2233" s="21"/>
      <c r="N2233" s="21"/>
      <c r="O2233" s="21"/>
      <c r="P2233" s="21"/>
      <c r="Q2233" s="21"/>
      <c r="R2233" s="21"/>
      <c r="S2233" s="21"/>
      <c r="T2233" s="21"/>
      <c r="U2233" s="21"/>
      <c r="V2233" s="21"/>
      <c r="W2233" s="21"/>
      <c r="X2233" s="21"/>
      <c r="Y2233" s="21"/>
      <c r="Z2233" s="21"/>
      <c r="AA2233" s="21"/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W2233" s="296"/>
      <c r="CY2233" s="296"/>
    </row>
    <row r="2234" spans="3:103" s="19" customFormat="1" ht="12">
      <c r="C2234" s="21"/>
      <c r="D2234" s="21"/>
      <c r="E2234" s="21"/>
      <c r="F2234" s="21"/>
      <c r="G2234" s="21"/>
      <c r="H2234" s="21"/>
      <c r="I2234" s="21"/>
      <c r="J2234" s="21"/>
      <c r="K2234" s="21"/>
      <c r="L2234" s="21"/>
      <c r="M2234" s="21"/>
      <c r="N2234" s="21"/>
      <c r="O2234" s="21"/>
      <c r="P2234" s="21"/>
      <c r="Q2234" s="21"/>
      <c r="R2234" s="21"/>
      <c r="S2234" s="21"/>
      <c r="T2234" s="21"/>
      <c r="U2234" s="21"/>
      <c r="V2234" s="21"/>
      <c r="W2234" s="21"/>
      <c r="X2234" s="21"/>
      <c r="Y2234" s="21"/>
      <c r="Z2234" s="21"/>
      <c r="AA2234" s="21"/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W2234" s="296"/>
      <c r="CY2234" s="296"/>
    </row>
    <row r="2235" spans="3:103" s="19" customFormat="1" ht="12">
      <c r="C2235" s="21"/>
      <c r="D2235" s="21"/>
      <c r="E2235" s="21"/>
      <c r="F2235" s="21"/>
      <c r="G2235" s="21"/>
      <c r="H2235" s="21"/>
      <c r="I2235" s="21"/>
      <c r="J2235" s="21"/>
      <c r="K2235" s="21"/>
      <c r="L2235" s="21"/>
      <c r="M2235" s="21"/>
      <c r="N2235" s="21"/>
      <c r="O2235" s="21"/>
      <c r="P2235" s="21"/>
      <c r="Q2235" s="21"/>
      <c r="R2235" s="21"/>
      <c r="S2235" s="21"/>
      <c r="T2235" s="21"/>
      <c r="U2235" s="21"/>
      <c r="V2235" s="21"/>
      <c r="W2235" s="21"/>
      <c r="X2235" s="21"/>
      <c r="Y2235" s="21"/>
      <c r="Z2235" s="21"/>
      <c r="AA2235" s="21"/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W2235" s="296"/>
      <c r="CY2235" s="296"/>
    </row>
    <row r="2236" spans="3:103" s="19" customFormat="1" ht="12">
      <c r="C2236" s="21"/>
      <c r="D2236" s="21"/>
      <c r="E2236" s="21"/>
      <c r="F2236" s="21"/>
      <c r="G2236" s="21"/>
      <c r="H2236" s="21"/>
      <c r="I2236" s="21"/>
      <c r="J2236" s="21"/>
      <c r="K2236" s="21"/>
      <c r="L2236" s="21"/>
      <c r="M2236" s="21"/>
      <c r="N2236" s="21"/>
      <c r="O2236" s="21"/>
      <c r="P2236" s="21"/>
      <c r="Q2236" s="21"/>
      <c r="R2236" s="21"/>
      <c r="S2236" s="21"/>
      <c r="T2236" s="21"/>
      <c r="U2236" s="21"/>
      <c r="V2236" s="21"/>
      <c r="W2236" s="21"/>
      <c r="X2236" s="21"/>
      <c r="Y2236" s="21"/>
      <c r="Z2236" s="21"/>
      <c r="AA2236" s="21"/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W2236" s="296"/>
      <c r="CY2236" s="296"/>
    </row>
    <row r="2237" spans="3:103" s="19" customFormat="1" ht="12">
      <c r="C2237" s="21"/>
      <c r="D2237" s="21"/>
      <c r="E2237" s="21"/>
      <c r="F2237" s="21"/>
      <c r="G2237" s="21"/>
      <c r="H2237" s="21"/>
      <c r="I2237" s="21"/>
      <c r="J2237" s="21"/>
      <c r="K2237" s="21"/>
      <c r="L2237" s="21"/>
      <c r="M2237" s="21"/>
      <c r="N2237" s="21"/>
      <c r="O2237" s="21"/>
      <c r="P2237" s="21"/>
      <c r="Q2237" s="21"/>
      <c r="R2237" s="21"/>
      <c r="S2237" s="21"/>
      <c r="T2237" s="21"/>
      <c r="U2237" s="21"/>
      <c r="V2237" s="21"/>
      <c r="W2237" s="21"/>
      <c r="X2237" s="21"/>
      <c r="Y2237" s="21"/>
      <c r="Z2237" s="21"/>
      <c r="AA2237" s="21"/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W2237" s="296"/>
      <c r="CY2237" s="296"/>
    </row>
    <row r="2238" spans="3:103" s="19" customFormat="1" ht="12">
      <c r="C2238" s="21"/>
      <c r="D2238" s="21"/>
      <c r="E2238" s="21"/>
      <c r="F2238" s="21"/>
      <c r="G2238" s="21"/>
      <c r="H2238" s="21"/>
      <c r="I2238" s="21"/>
      <c r="J2238" s="21"/>
      <c r="K2238" s="21"/>
      <c r="L2238" s="21"/>
      <c r="M2238" s="21"/>
      <c r="N2238" s="21"/>
      <c r="O2238" s="21"/>
      <c r="P2238" s="21"/>
      <c r="Q2238" s="21"/>
      <c r="R2238" s="21"/>
      <c r="S2238" s="21"/>
      <c r="T2238" s="21"/>
      <c r="U2238" s="21"/>
      <c r="V2238" s="21"/>
      <c r="W2238" s="21"/>
      <c r="X2238" s="21"/>
      <c r="Y2238" s="21"/>
      <c r="Z2238" s="21"/>
      <c r="AA2238" s="21"/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W2238" s="296"/>
      <c r="CY2238" s="296"/>
    </row>
    <row r="2239" spans="3:103" s="19" customFormat="1" ht="12">
      <c r="C2239" s="21"/>
      <c r="D2239" s="21"/>
      <c r="E2239" s="21"/>
      <c r="F2239" s="21"/>
      <c r="G2239" s="21"/>
      <c r="H2239" s="21"/>
      <c r="I2239" s="21"/>
      <c r="J2239" s="21"/>
      <c r="K2239" s="21"/>
      <c r="L2239" s="21"/>
      <c r="M2239" s="21"/>
      <c r="N2239" s="21"/>
      <c r="O2239" s="21"/>
      <c r="P2239" s="21"/>
      <c r="Q2239" s="21"/>
      <c r="R2239" s="21"/>
      <c r="S2239" s="21"/>
      <c r="T2239" s="21"/>
      <c r="U2239" s="21"/>
      <c r="V2239" s="21"/>
      <c r="W2239" s="21"/>
      <c r="X2239" s="21"/>
      <c r="Y2239" s="21"/>
      <c r="Z2239" s="21"/>
      <c r="AA2239" s="21"/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W2239" s="296"/>
      <c r="CY2239" s="296"/>
    </row>
    <row r="2240" spans="3:103" s="19" customFormat="1" ht="12">
      <c r="C2240" s="21"/>
      <c r="D2240" s="21"/>
      <c r="E2240" s="21"/>
      <c r="F2240" s="21"/>
      <c r="G2240" s="21"/>
      <c r="H2240" s="21"/>
      <c r="I2240" s="21"/>
      <c r="J2240" s="21"/>
      <c r="K2240" s="21"/>
      <c r="L2240" s="21"/>
      <c r="M2240" s="21"/>
      <c r="N2240" s="21"/>
      <c r="O2240" s="21"/>
      <c r="P2240" s="21"/>
      <c r="Q2240" s="21"/>
      <c r="R2240" s="21"/>
      <c r="S2240" s="21"/>
      <c r="T2240" s="21"/>
      <c r="U2240" s="21"/>
      <c r="V2240" s="21"/>
      <c r="W2240" s="21"/>
      <c r="X2240" s="21"/>
      <c r="Y2240" s="21"/>
      <c r="Z2240" s="21"/>
      <c r="AA2240" s="21"/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W2240" s="296"/>
      <c r="CY2240" s="296"/>
    </row>
    <row r="2241" spans="3:103" s="19" customFormat="1" ht="12">
      <c r="C2241" s="21"/>
      <c r="D2241" s="21"/>
      <c r="E2241" s="21"/>
      <c r="F2241" s="21"/>
      <c r="G2241" s="21"/>
      <c r="H2241" s="21"/>
      <c r="I2241" s="21"/>
      <c r="J2241" s="21"/>
      <c r="K2241" s="21"/>
      <c r="L2241" s="21"/>
      <c r="M2241" s="21"/>
      <c r="N2241" s="21"/>
      <c r="O2241" s="21"/>
      <c r="P2241" s="21"/>
      <c r="Q2241" s="21"/>
      <c r="R2241" s="21"/>
      <c r="S2241" s="21"/>
      <c r="T2241" s="21"/>
      <c r="U2241" s="21"/>
      <c r="V2241" s="21"/>
      <c r="W2241" s="21"/>
      <c r="X2241" s="21"/>
      <c r="Y2241" s="21"/>
      <c r="Z2241" s="21"/>
      <c r="AA2241" s="21"/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W2241" s="296"/>
      <c r="CY2241" s="296"/>
    </row>
    <row r="2242" spans="3:103" s="19" customFormat="1" ht="12">
      <c r="C2242" s="21"/>
      <c r="D2242" s="21"/>
      <c r="E2242" s="21"/>
      <c r="F2242" s="21"/>
      <c r="G2242" s="21"/>
      <c r="H2242" s="21"/>
      <c r="I2242" s="21"/>
      <c r="J2242" s="21"/>
      <c r="K2242" s="21"/>
      <c r="L2242" s="21"/>
      <c r="M2242" s="21"/>
      <c r="N2242" s="21"/>
      <c r="O2242" s="21"/>
      <c r="P2242" s="21"/>
      <c r="Q2242" s="21"/>
      <c r="R2242" s="21"/>
      <c r="S2242" s="21"/>
      <c r="T2242" s="21"/>
      <c r="U2242" s="21"/>
      <c r="V2242" s="21"/>
      <c r="W2242" s="21"/>
      <c r="X2242" s="21"/>
      <c r="Y2242" s="21"/>
      <c r="Z2242" s="21"/>
      <c r="AA2242" s="21"/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W2242" s="296"/>
      <c r="CY2242" s="296"/>
    </row>
    <row r="2243" spans="3:103" s="19" customFormat="1" ht="12">
      <c r="C2243" s="21"/>
      <c r="D2243" s="21"/>
      <c r="E2243" s="21"/>
      <c r="F2243" s="21"/>
      <c r="G2243" s="21"/>
      <c r="H2243" s="21"/>
      <c r="I2243" s="21"/>
      <c r="J2243" s="21"/>
      <c r="K2243" s="21"/>
      <c r="L2243" s="21"/>
      <c r="M2243" s="21"/>
      <c r="N2243" s="21"/>
      <c r="O2243" s="21"/>
      <c r="P2243" s="21"/>
      <c r="Q2243" s="21"/>
      <c r="R2243" s="21"/>
      <c r="S2243" s="21"/>
      <c r="T2243" s="21"/>
      <c r="U2243" s="21"/>
      <c r="V2243" s="21"/>
      <c r="W2243" s="21"/>
      <c r="X2243" s="21"/>
      <c r="Y2243" s="21"/>
      <c r="Z2243" s="21"/>
      <c r="AA2243" s="21"/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W2243" s="296"/>
      <c r="CY2243" s="296"/>
    </row>
    <row r="2244" spans="3:103" s="19" customFormat="1" ht="12">
      <c r="C2244" s="21"/>
      <c r="D2244" s="21"/>
      <c r="E2244" s="21"/>
      <c r="F2244" s="21"/>
      <c r="G2244" s="21"/>
      <c r="H2244" s="21"/>
      <c r="I2244" s="21"/>
      <c r="J2244" s="21"/>
      <c r="K2244" s="21"/>
      <c r="L2244" s="21"/>
      <c r="M2244" s="21"/>
      <c r="N2244" s="21"/>
      <c r="O2244" s="21"/>
      <c r="P2244" s="21"/>
      <c r="Q2244" s="21"/>
      <c r="R2244" s="21"/>
      <c r="S2244" s="21"/>
      <c r="T2244" s="21"/>
      <c r="U2244" s="21"/>
      <c r="V2244" s="21"/>
      <c r="W2244" s="21"/>
      <c r="X2244" s="21"/>
      <c r="Y2244" s="21"/>
      <c r="Z2244" s="21"/>
      <c r="AA2244" s="21"/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W2244" s="296"/>
      <c r="CY2244" s="296"/>
    </row>
    <row r="2245" spans="3:103" s="19" customFormat="1" ht="12">
      <c r="C2245" s="21"/>
      <c r="D2245" s="21"/>
      <c r="E2245" s="21"/>
      <c r="F2245" s="21"/>
      <c r="G2245" s="21"/>
      <c r="H2245" s="21"/>
      <c r="I2245" s="21"/>
      <c r="J2245" s="21"/>
      <c r="K2245" s="21"/>
      <c r="L2245" s="21"/>
      <c r="M2245" s="21"/>
      <c r="N2245" s="21"/>
      <c r="O2245" s="21"/>
      <c r="P2245" s="21"/>
      <c r="Q2245" s="21"/>
      <c r="R2245" s="21"/>
      <c r="S2245" s="21"/>
      <c r="T2245" s="21"/>
      <c r="U2245" s="21"/>
      <c r="V2245" s="21"/>
      <c r="W2245" s="21"/>
      <c r="X2245" s="21"/>
      <c r="Y2245" s="21"/>
      <c r="Z2245" s="21"/>
      <c r="AA2245" s="21"/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W2245" s="296"/>
      <c r="CY2245" s="296"/>
    </row>
    <row r="2246" spans="3:103" s="19" customFormat="1" ht="12">
      <c r="C2246" s="21"/>
      <c r="D2246" s="21"/>
      <c r="E2246" s="21"/>
      <c r="F2246" s="21"/>
      <c r="G2246" s="21"/>
      <c r="H2246" s="21"/>
      <c r="I2246" s="21"/>
      <c r="J2246" s="21"/>
      <c r="K2246" s="21"/>
      <c r="L2246" s="21"/>
      <c r="M2246" s="21"/>
      <c r="N2246" s="21"/>
      <c r="O2246" s="21"/>
      <c r="P2246" s="21"/>
      <c r="Q2246" s="21"/>
      <c r="R2246" s="21"/>
      <c r="S2246" s="21"/>
      <c r="T2246" s="21"/>
      <c r="U2246" s="21"/>
      <c r="V2246" s="21"/>
      <c r="W2246" s="21"/>
      <c r="X2246" s="21"/>
      <c r="Y2246" s="21"/>
      <c r="Z2246" s="21"/>
      <c r="AA2246" s="21"/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W2246" s="296"/>
      <c r="CY2246" s="296"/>
    </row>
    <row r="2247" spans="3:103" s="19" customFormat="1" ht="12">
      <c r="C2247" s="21"/>
      <c r="D2247" s="21"/>
      <c r="E2247" s="21"/>
      <c r="F2247" s="21"/>
      <c r="G2247" s="21"/>
      <c r="H2247" s="21"/>
      <c r="I2247" s="21"/>
      <c r="J2247" s="21"/>
      <c r="K2247" s="21"/>
      <c r="L2247" s="21"/>
      <c r="M2247" s="21"/>
      <c r="N2247" s="21"/>
      <c r="O2247" s="21"/>
      <c r="P2247" s="21"/>
      <c r="Q2247" s="21"/>
      <c r="R2247" s="21"/>
      <c r="S2247" s="21"/>
      <c r="T2247" s="21"/>
      <c r="U2247" s="21"/>
      <c r="V2247" s="21"/>
      <c r="W2247" s="21"/>
      <c r="X2247" s="21"/>
      <c r="Y2247" s="21"/>
      <c r="Z2247" s="21"/>
      <c r="AA2247" s="21"/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W2247" s="296"/>
      <c r="CY2247" s="296"/>
    </row>
    <row r="2248" spans="3:103" s="19" customFormat="1" ht="12">
      <c r="C2248" s="21"/>
      <c r="D2248" s="21"/>
      <c r="E2248" s="21"/>
      <c r="F2248" s="21"/>
      <c r="G2248" s="21"/>
      <c r="H2248" s="21"/>
      <c r="I2248" s="21"/>
      <c r="J2248" s="21"/>
      <c r="K2248" s="21"/>
      <c r="L2248" s="21"/>
      <c r="M2248" s="21"/>
      <c r="N2248" s="21"/>
      <c r="O2248" s="21"/>
      <c r="P2248" s="21"/>
      <c r="Q2248" s="21"/>
      <c r="R2248" s="21"/>
      <c r="S2248" s="21"/>
      <c r="T2248" s="21"/>
      <c r="U2248" s="21"/>
      <c r="V2248" s="21"/>
      <c r="W2248" s="21"/>
      <c r="X2248" s="21"/>
      <c r="Y2248" s="21"/>
      <c r="Z2248" s="21"/>
      <c r="AA2248" s="21"/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W2248" s="296"/>
      <c r="CY2248" s="296"/>
    </row>
    <row r="2249" spans="3:103" s="19" customFormat="1" ht="12">
      <c r="C2249" s="21"/>
      <c r="D2249" s="21"/>
      <c r="E2249" s="21"/>
      <c r="F2249" s="21"/>
      <c r="G2249" s="21"/>
      <c r="H2249" s="21"/>
      <c r="I2249" s="21"/>
      <c r="J2249" s="21"/>
      <c r="K2249" s="21"/>
      <c r="L2249" s="21"/>
      <c r="M2249" s="21"/>
      <c r="N2249" s="21"/>
      <c r="O2249" s="21"/>
      <c r="P2249" s="21"/>
      <c r="Q2249" s="21"/>
      <c r="R2249" s="21"/>
      <c r="S2249" s="21"/>
      <c r="T2249" s="21"/>
      <c r="U2249" s="21"/>
      <c r="V2249" s="21"/>
      <c r="W2249" s="21"/>
      <c r="X2249" s="21"/>
      <c r="Y2249" s="21"/>
      <c r="Z2249" s="21"/>
      <c r="AA2249" s="21"/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W2249" s="296"/>
      <c r="CY2249" s="296"/>
    </row>
    <row r="2250" spans="3:103" s="19" customFormat="1" ht="12">
      <c r="C2250" s="21"/>
      <c r="D2250" s="21"/>
      <c r="E2250" s="21"/>
      <c r="F2250" s="21"/>
      <c r="G2250" s="21"/>
      <c r="H2250" s="21"/>
      <c r="I2250" s="21"/>
      <c r="J2250" s="21"/>
      <c r="K2250" s="21"/>
      <c r="L2250" s="21"/>
      <c r="M2250" s="21"/>
      <c r="N2250" s="21"/>
      <c r="O2250" s="21"/>
      <c r="P2250" s="21"/>
      <c r="Q2250" s="21"/>
      <c r="R2250" s="21"/>
      <c r="S2250" s="21"/>
      <c r="T2250" s="21"/>
      <c r="U2250" s="21"/>
      <c r="V2250" s="21"/>
      <c r="W2250" s="21"/>
      <c r="X2250" s="21"/>
      <c r="Y2250" s="21"/>
      <c r="Z2250" s="21"/>
      <c r="AA2250" s="21"/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W2250" s="296"/>
      <c r="CY2250" s="296"/>
    </row>
    <row r="2251" spans="3:103" s="19" customFormat="1" ht="12">
      <c r="C2251" s="21"/>
      <c r="D2251" s="21"/>
      <c r="E2251" s="21"/>
      <c r="F2251" s="21"/>
      <c r="G2251" s="21"/>
      <c r="H2251" s="21"/>
      <c r="I2251" s="21"/>
      <c r="J2251" s="21"/>
      <c r="K2251" s="21"/>
      <c r="L2251" s="21"/>
      <c r="M2251" s="21"/>
      <c r="N2251" s="21"/>
      <c r="O2251" s="21"/>
      <c r="P2251" s="21"/>
      <c r="Q2251" s="21"/>
      <c r="R2251" s="21"/>
      <c r="S2251" s="21"/>
      <c r="T2251" s="21"/>
      <c r="U2251" s="21"/>
      <c r="V2251" s="21"/>
      <c r="W2251" s="21"/>
      <c r="X2251" s="21"/>
      <c r="Y2251" s="21"/>
      <c r="Z2251" s="21"/>
      <c r="AA2251" s="21"/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W2251" s="296"/>
      <c r="CY2251" s="296"/>
    </row>
    <row r="2252" spans="3:103" s="19" customFormat="1" ht="12">
      <c r="C2252" s="21"/>
      <c r="D2252" s="21"/>
      <c r="E2252" s="21"/>
      <c r="F2252" s="21"/>
      <c r="G2252" s="21"/>
      <c r="H2252" s="21"/>
      <c r="I2252" s="21"/>
      <c r="J2252" s="21"/>
      <c r="K2252" s="21"/>
      <c r="L2252" s="21"/>
      <c r="M2252" s="21"/>
      <c r="N2252" s="21"/>
      <c r="O2252" s="21"/>
      <c r="P2252" s="21"/>
      <c r="Q2252" s="21"/>
      <c r="R2252" s="21"/>
      <c r="S2252" s="21"/>
      <c r="T2252" s="21"/>
      <c r="U2252" s="21"/>
      <c r="V2252" s="21"/>
      <c r="W2252" s="21"/>
      <c r="X2252" s="21"/>
      <c r="Y2252" s="21"/>
      <c r="Z2252" s="21"/>
      <c r="AA2252" s="21"/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W2252" s="296"/>
      <c r="CY2252" s="296"/>
    </row>
    <row r="2253" spans="3:103" s="19" customFormat="1" ht="12">
      <c r="C2253" s="21"/>
      <c r="D2253" s="21"/>
      <c r="E2253" s="21"/>
      <c r="F2253" s="21"/>
      <c r="G2253" s="21"/>
      <c r="H2253" s="21"/>
      <c r="I2253" s="21"/>
      <c r="J2253" s="21"/>
      <c r="K2253" s="21"/>
      <c r="L2253" s="21"/>
      <c r="M2253" s="21"/>
      <c r="N2253" s="21"/>
      <c r="O2253" s="21"/>
      <c r="P2253" s="21"/>
      <c r="Q2253" s="21"/>
      <c r="R2253" s="21"/>
      <c r="S2253" s="21"/>
      <c r="T2253" s="21"/>
      <c r="U2253" s="21"/>
      <c r="V2253" s="21"/>
      <c r="W2253" s="21"/>
      <c r="X2253" s="21"/>
      <c r="Y2253" s="21"/>
      <c r="Z2253" s="21"/>
      <c r="AA2253" s="21"/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W2253" s="296"/>
      <c r="CY2253" s="296"/>
    </row>
    <row r="2254" spans="3:103" s="19" customFormat="1" ht="12">
      <c r="C2254" s="21"/>
      <c r="D2254" s="21"/>
      <c r="E2254" s="21"/>
      <c r="F2254" s="21"/>
      <c r="G2254" s="21"/>
      <c r="H2254" s="21"/>
      <c r="I2254" s="21"/>
      <c r="J2254" s="21"/>
      <c r="K2254" s="21"/>
      <c r="L2254" s="21"/>
      <c r="M2254" s="21"/>
      <c r="N2254" s="21"/>
      <c r="O2254" s="21"/>
      <c r="P2254" s="21"/>
      <c r="Q2254" s="21"/>
      <c r="R2254" s="21"/>
      <c r="S2254" s="21"/>
      <c r="T2254" s="21"/>
      <c r="U2254" s="21"/>
      <c r="V2254" s="21"/>
      <c r="W2254" s="21"/>
      <c r="X2254" s="21"/>
      <c r="Y2254" s="21"/>
      <c r="Z2254" s="21"/>
      <c r="AA2254" s="21"/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W2254" s="296"/>
      <c r="CY2254" s="296"/>
    </row>
    <row r="2255" spans="3:103" s="19" customFormat="1" ht="12">
      <c r="C2255" s="21"/>
      <c r="D2255" s="21"/>
      <c r="E2255" s="21"/>
      <c r="F2255" s="21"/>
      <c r="G2255" s="21"/>
      <c r="H2255" s="21"/>
      <c r="I2255" s="21"/>
      <c r="J2255" s="21"/>
      <c r="K2255" s="21"/>
      <c r="L2255" s="21"/>
      <c r="M2255" s="21"/>
      <c r="N2255" s="21"/>
      <c r="O2255" s="21"/>
      <c r="P2255" s="21"/>
      <c r="Q2255" s="21"/>
      <c r="R2255" s="21"/>
      <c r="S2255" s="21"/>
      <c r="T2255" s="21"/>
      <c r="U2255" s="21"/>
      <c r="V2255" s="21"/>
      <c r="W2255" s="21"/>
      <c r="X2255" s="21"/>
      <c r="Y2255" s="21"/>
      <c r="Z2255" s="21"/>
      <c r="AA2255" s="21"/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W2255" s="296"/>
      <c r="CY2255" s="296"/>
    </row>
    <row r="2256" spans="3:103" s="19" customFormat="1" ht="12">
      <c r="C2256" s="21"/>
      <c r="D2256" s="21"/>
      <c r="E2256" s="21"/>
      <c r="F2256" s="21"/>
      <c r="G2256" s="21"/>
      <c r="H2256" s="21"/>
      <c r="I2256" s="21"/>
      <c r="J2256" s="21"/>
      <c r="K2256" s="21"/>
      <c r="L2256" s="21"/>
      <c r="M2256" s="21"/>
      <c r="N2256" s="21"/>
      <c r="O2256" s="21"/>
      <c r="P2256" s="21"/>
      <c r="Q2256" s="21"/>
      <c r="R2256" s="21"/>
      <c r="S2256" s="21"/>
      <c r="T2256" s="21"/>
      <c r="U2256" s="21"/>
      <c r="V2256" s="21"/>
      <c r="W2256" s="21"/>
      <c r="X2256" s="21"/>
      <c r="Y2256" s="21"/>
      <c r="Z2256" s="21"/>
      <c r="AA2256" s="21"/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W2256" s="296"/>
      <c r="CY2256" s="296"/>
    </row>
    <row r="2257" spans="3:103" s="19" customFormat="1" ht="12">
      <c r="C2257" s="21"/>
      <c r="D2257" s="21"/>
      <c r="E2257" s="21"/>
      <c r="F2257" s="21"/>
      <c r="G2257" s="21"/>
      <c r="H2257" s="21"/>
      <c r="I2257" s="21"/>
      <c r="J2257" s="21"/>
      <c r="K2257" s="21"/>
      <c r="L2257" s="21"/>
      <c r="M2257" s="21"/>
      <c r="N2257" s="21"/>
      <c r="O2257" s="21"/>
      <c r="P2257" s="21"/>
      <c r="Q2257" s="21"/>
      <c r="R2257" s="21"/>
      <c r="S2257" s="21"/>
      <c r="T2257" s="21"/>
      <c r="U2257" s="21"/>
      <c r="V2257" s="21"/>
      <c r="W2257" s="21"/>
      <c r="X2257" s="21"/>
      <c r="Y2257" s="21"/>
      <c r="Z2257" s="21"/>
      <c r="AA2257" s="21"/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W2257" s="296"/>
      <c r="CY2257" s="296"/>
    </row>
    <row r="2258" spans="3:103" s="19" customFormat="1" ht="12">
      <c r="C2258" s="21"/>
      <c r="D2258" s="21"/>
      <c r="E2258" s="21"/>
      <c r="F2258" s="21"/>
      <c r="G2258" s="21"/>
      <c r="H2258" s="21"/>
      <c r="I2258" s="21"/>
      <c r="J2258" s="21"/>
      <c r="K2258" s="21"/>
      <c r="L2258" s="21"/>
      <c r="M2258" s="21"/>
      <c r="N2258" s="21"/>
      <c r="O2258" s="21"/>
      <c r="P2258" s="21"/>
      <c r="Q2258" s="21"/>
      <c r="R2258" s="21"/>
      <c r="S2258" s="21"/>
      <c r="T2258" s="21"/>
      <c r="U2258" s="21"/>
      <c r="V2258" s="21"/>
      <c r="W2258" s="21"/>
      <c r="X2258" s="21"/>
      <c r="Y2258" s="21"/>
      <c r="Z2258" s="21"/>
      <c r="AA2258" s="21"/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W2258" s="296"/>
      <c r="CY2258" s="296"/>
    </row>
    <row r="2259" spans="3:103" s="19" customFormat="1" ht="12">
      <c r="C2259" s="21"/>
      <c r="D2259" s="21"/>
      <c r="E2259" s="21"/>
      <c r="F2259" s="21"/>
      <c r="G2259" s="21"/>
      <c r="H2259" s="21"/>
      <c r="I2259" s="21"/>
      <c r="J2259" s="21"/>
      <c r="K2259" s="21"/>
      <c r="L2259" s="21"/>
      <c r="M2259" s="21"/>
      <c r="N2259" s="21"/>
      <c r="O2259" s="21"/>
      <c r="P2259" s="21"/>
      <c r="Q2259" s="21"/>
      <c r="R2259" s="21"/>
      <c r="S2259" s="21"/>
      <c r="T2259" s="21"/>
      <c r="U2259" s="21"/>
      <c r="V2259" s="21"/>
      <c r="W2259" s="21"/>
      <c r="X2259" s="21"/>
      <c r="Y2259" s="21"/>
      <c r="Z2259" s="21"/>
      <c r="AA2259" s="21"/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W2259" s="296"/>
      <c r="CY2259" s="296"/>
    </row>
    <row r="2260" spans="3:103" s="19" customFormat="1" ht="12">
      <c r="C2260" s="21"/>
      <c r="D2260" s="21"/>
      <c r="E2260" s="21"/>
      <c r="F2260" s="21"/>
      <c r="G2260" s="21"/>
      <c r="H2260" s="21"/>
      <c r="I2260" s="21"/>
      <c r="J2260" s="21"/>
      <c r="K2260" s="21"/>
      <c r="L2260" s="21"/>
      <c r="M2260" s="21"/>
      <c r="N2260" s="21"/>
      <c r="O2260" s="21"/>
      <c r="P2260" s="21"/>
      <c r="Q2260" s="21"/>
      <c r="R2260" s="21"/>
      <c r="S2260" s="21"/>
      <c r="T2260" s="21"/>
      <c r="U2260" s="21"/>
      <c r="V2260" s="21"/>
      <c r="W2260" s="21"/>
      <c r="X2260" s="21"/>
      <c r="Y2260" s="21"/>
      <c r="Z2260" s="21"/>
      <c r="AA2260" s="21"/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W2260" s="296"/>
      <c r="CY2260" s="296"/>
    </row>
    <row r="2261" spans="3:103" s="19" customFormat="1" ht="12">
      <c r="C2261" s="21"/>
      <c r="D2261" s="21"/>
      <c r="E2261" s="21"/>
      <c r="F2261" s="21"/>
      <c r="G2261" s="21"/>
      <c r="H2261" s="21"/>
      <c r="I2261" s="21"/>
      <c r="J2261" s="21"/>
      <c r="K2261" s="21"/>
      <c r="L2261" s="21"/>
      <c r="M2261" s="21"/>
      <c r="N2261" s="21"/>
      <c r="O2261" s="21"/>
      <c r="P2261" s="21"/>
      <c r="Q2261" s="21"/>
      <c r="R2261" s="21"/>
      <c r="S2261" s="21"/>
      <c r="T2261" s="21"/>
      <c r="U2261" s="21"/>
      <c r="V2261" s="21"/>
      <c r="W2261" s="21"/>
      <c r="X2261" s="21"/>
      <c r="Y2261" s="21"/>
      <c r="Z2261" s="21"/>
      <c r="AA2261" s="21"/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W2261" s="296"/>
      <c r="CY2261" s="296"/>
    </row>
    <row r="2262" spans="3:103" s="19" customFormat="1" ht="12">
      <c r="C2262" s="21"/>
      <c r="D2262" s="21"/>
      <c r="E2262" s="21"/>
      <c r="F2262" s="21"/>
      <c r="G2262" s="21"/>
      <c r="H2262" s="21"/>
      <c r="I2262" s="21"/>
      <c r="J2262" s="21"/>
      <c r="K2262" s="21"/>
      <c r="L2262" s="21"/>
      <c r="M2262" s="21"/>
      <c r="N2262" s="21"/>
      <c r="O2262" s="21"/>
      <c r="P2262" s="21"/>
      <c r="Q2262" s="21"/>
      <c r="R2262" s="21"/>
      <c r="S2262" s="21"/>
      <c r="T2262" s="21"/>
      <c r="U2262" s="21"/>
      <c r="V2262" s="21"/>
      <c r="W2262" s="21"/>
      <c r="X2262" s="21"/>
      <c r="Y2262" s="21"/>
      <c r="Z2262" s="21"/>
      <c r="AA2262" s="21"/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W2262" s="296"/>
      <c r="CY2262" s="296"/>
    </row>
    <row r="2263" spans="3:103" s="19" customFormat="1" ht="12">
      <c r="C2263" s="21"/>
      <c r="D2263" s="21"/>
      <c r="E2263" s="21"/>
      <c r="F2263" s="21"/>
      <c r="G2263" s="21"/>
      <c r="H2263" s="21"/>
      <c r="I2263" s="21"/>
      <c r="J2263" s="21"/>
      <c r="K2263" s="21"/>
      <c r="L2263" s="21"/>
      <c r="M2263" s="21"/>
      <c r="N2263" s="21"/>
      <c r="O2263" s="21"/>
      <c r="P2263" s="21"/>
      <c r="Q2263" s="21"/>
      <c r="R2263" s="21"/>
      <c r="S2263" s="21"/>
      <c r="T2263" s="21"/>
      <c r="U2263" s="21"/>
      <c r="V2263" s="21"/>
      <c r="W2263" s="21"/>
      <c r="X2263" s="21"/>
      <c r="Y2263" s="21"/>
      <c r="Z2263" s="21"/>
      <c r="AA2263" s="21"/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W2263" s="296"/>
      <c r="CY2263" s="296"/>
    </row>
    <row r="2264" spans="3:103" s="19" customFormat="1" ht="12">
      <c r="C2264" s="21"/>
      <c r="D2264" s="21"/>
      <c r="E2264" s="21"/>
      <c r="F2264" s="21"/>
      <c r="G2264" s="21"/>
      <c r="H2264" s="21"/>
      <c r="I2264" s="21"/>
      <c r="J2264" s="21"/>
      <c r="K2264" s="21"/>
      <c r="L2264" s="21"/>
      <c r="M2264" s="21"/>
      <c r="N2264" s="21"/>
      <c r="O2264" s="21"/>
      <c r="P2264" s="21"/>
      <c r="Q2264" s="21"/>
      <c r="R2264" s="21"/>
      <c r="S2264" s="21"/>
      <c r="T2264" s="21"/>
      <c r="U2264" s="21"/>
      <c r="V2264" s="21"/>
      <c r="W2264" s="21"/>
      <c r="X2264" s="21"/>
      <c r="Y2264" s="21"/>
      <c r="Z2264" s="21"/>
      <c r="AA2264" s="21"/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W2264" s="296"/>
      <c r="CY2264" s="296"/>
    </row>
    <row r="2265" spans="3:103" s="19" customFormat="1" ht="12">
      <c r="C2265" s="21"/>
      <c r="D2265" s="21"/>
      <c r="E2265" s="21"/>
      <c r="F2265" s="21"/>
      <c r="G2265" s="21"/>
      <c r="H2265" s="21"/>
      <c r="I2265" s="21"/>
      <c r="J2265" s="21"/>
      <c r="K2265" s="21"/>
      <c r="L2265" s="21"/>
      <c r="M2265" s="21"/>
      <c r="N2265" s="21"/>
      <c r="O2265" s="21"/>
      <c r="P2265" s="21"/>
      <c r="Q2265" s="21"/>
      <c r="R2265" s="21"/>
      <c r="S2265" s="21"/>
      <c r="T2265" s="21"/>
      <c r="U2265" s="21"/>
      <c r="V2265" s="21"/>
      <c r="W2265" s="21"/>
      <c r="X2265" s="21"/>
      <c r="Y2265" s="21"/>
      <c r="Z2265" s="21"/>
      <c r="AA2265" s="21"/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W2265" s="296"/>
      <c r="CY2265" s="296"/>
    </row>
    <row r="2266" spans="3:103" s="19" customFormat="1" ht="12">
      <c r="C2266" s="21"/>
      <c r="D2266" s="21"/>
      <c r="E2266" s="21"/>
      <c r="F2266" s="21"/>
      <c r="G2266" s="21"/>
      <c r="H2266" s="21"/>
      <c r="I2266" s="21"/>
      <c r="J2266" s="21"/>
      <c r="K2266" s="21"/>
      <c r="L2266" s="21"/>
      <c r="M2266" s="21"/>
      <c r="N2266" s="21"/>
      <c r="O2266" s="21"/>
      <c r="P2266" s="21"/>
      <c r="Q2266" s="21"/>
      <c r="R2266" s="21"/>
      <c r="S2266" s="21"/>
      <c r="T2266" s="21"/>
      <c r="U2266" s="21"/>
      <c r="V2266" s="21"/>
      <c r="W2266" s="21"/>
      <c r="X2266" s="21"/>
      <c r="Y2266" s="21"/>
      <c r="Z2266" s="21"/>
      <c r="AA2266" s="21"/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W2266" s="296"/>
      <c r="CY2266" s="296"/>
    </row>
    <row r="2267" spans="3:103" s="19" customFormat="1" ht="12">
      <c r="C2267" s="21"/>
      <c r="D2267" s="21"/>
      <c r="E2267" s="21"/>
      <c r="F2267" s="21"/>
      <c r="G2267" s="21"/>
      <c r="H2267" s="21"/>
      <c r="I2267" s="21"/>
      <c r="J2267" s="21"/>
      <c r="K2267" s="21"/>
      <c r="L2267" s="21"/>
      <c r="M2267" s="21"/>
      <c r="N2267" s="21"/>
      <c r="O2267" s="21"/>
      <c r="P2267" s="21"/>
      <c r="Q2267" s="21"/>
      <c r="R2267" s="21"/>
      <c r="S2267" s="21"/>
      <c r="T2267" s="21"/>
      <c r="U2267" s="21"/>
      <c r="V2267" s="21"/>
      <c r="W2267" s="21"/>
      <c r="X2267" s="21"/>
      <c r="Y2267" s="21"/>
      <c r="Z2267" s="21"/>
      <c r="AA2267" s="21"/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W2267" s="296"/>
      <c r="CY2267" s="296"/>
    </row>
    <row r="2268" spans="3:103" s="19" customFormat="1" ht="12">
      <c r="C2268" s="21"/>
      <c r="D2268" s="21"/>
      <c r="E2268" s="21"/>
      <c r="F2268" s="21"/>
      <c r="G2268" s="21"/>
      <c r="H2268" s="21"/>
      <c r="I2268" s="21"/>
      <c r="J2268" s="21"/>
      <c r="K2268" s="21"/>
      <c r="L2268" s="21"/>
      <c r="M2268" s="21"/>
      <c r="N2268" s="21"/>
      <c r="O2268" s="21"/>
      <c r="P2268" s="21"/>
      <c r="Q2268" s="21"/>
      <c r="R2268" s="21"/>
      <c r="S2268" s="21"/>
      <c r="T2268" s="21"/>
      <c r="U2268" s="21"/>
      <c r="V2268" s="21"/>
      <c r="W2268" s="21"/>
      <c r="X2268" s="21"/>
      <c r="Y2268" s="21"/>
      <c r="Z2268" s="21"/>
      <c r="AA2268" s="21"/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W2268" s="296"/>
      <c r="CY2268" s="296"/>
    </row>
    <row r="2269" spans="3:103" s="19" customFormat="1" ht="12">
      <c r="C2269" s="21"/>
      <c r="D2269" s="21"/>
      <c r="E2269" s="21"/>
      <c r="F2269" s="21"/>
      <c r="G2269" s="21"/>
      <c r="H2269" s="21"/>
      <c r="I2269" s="21"/>
      <c r="J2269" s="21"/>
      <c r="K2269" s="21"/>
      <c r="L2269" s="21"/>
      <c r="M2269" s="21"/>
      <c r="N2269" s="21"/>
      <c r="O2269" s="21"/>
      <c r="P2269" s="21"/>
      <c r="Q2269" s="21"/>
      <c r="R2269" s="21"/>
      <c r="S2269" s="21"/>
      <c r="T2269" s="21"/>
      <c r="U2269" s="21"/>
      <c r="V2269" s="21"/>
      <c r="W2269" s="21"/>
      <c r="X2269" s="21"/>
      <c r="Y2269" s="21"/>
      <c r="Z2269" s="21"/>
      <c r="AA2269" s="21"/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W2269" s="296"/>
      <c r="CY2269" s="296"/>
    </row>
    <row r="2270" spans="3:103" s="19" customFormat="1" ht="12">
      <c r="C2270" s="21"/>
      <c r="D2270" s="21"/>
      <c r="E2270" s="21"/>
      <c r="F2270" s="21"/>
      <c r="G2270" s="21"/>
      <c r="H2270" s="21"/>
      <c r="I2270" s="21"/>
      <c r="J2270" s="21"/>
      <c r="K2270" s="21"/>
      <c r="L2270" s="21"/>
      <c r="M2270" s="21"/>
      <c r="N2270" s="21"/>
      <c r="O2270" s="21"/>
      <c r="P2270" s="21"/>
      <c r="Q2270" s="21"/>
      <c r="R2270" s="21"/>
      <c r="S2270" s="21"/>
      <c r="T2270" s="21"/>
      <c r="U2270" s="21"/>
      <c r="V2270" s="21"/>
      <c r="W2270" s="21"/>
      <c r="X2270" s="21"/>
      <c r="Y2270" s="21"/>
      <c r="Z2270" s="21"/>
      <c r="AA2270" s="21"/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W2270" s="296"/>
      <c r="CY2270" s="296"/>
    </row>
    <row r="2271" spans="3:103" s="19" customFormat="1" ht="12">
      <c r="C2271" s="21"/>
      <c r="D2271" s="21"/>
      <c r="E2271" s="21"/>
      <c r="F2271" s="21"/>
      <c r="G2271" s="21"/>
      <c r="H2271" s="21"/>
      <c r="I2271" s="21"/>
      <c r="J2271" s="21"/>
      <c r="K2271" s="21"/>
      <c r="L2271" s="21"/>
      <c r="M2271" s="21"/>
      <c r="N2271" s="21"/>
      <c r="O2271" s="21"/>
      <c r="P2271" s="21"/>
      <c r="Q2271" s="21"/>
      <c r="R2271" s="21"/>
      <c r="S2271" s="21"/>
      <c r="T2271" s="21"/>
      <c r="U2271" s="21"/>
      <c r="V2271" s="21"/>
      <c r="W2271" s="21"/>
      <c r="X2271" s="21"/>
      <c r="Y2271" s="21"/>
      <c r="Z2271" s="21"/>
      <c r="AA2271" s="21"/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W2271" s="296"/>
      <c r="CY2271" s="296"/>
    </row>
    <row r="2272" spans="3:103" s="19" customFormat="1" ht="12">
      <c r="C2272" s="21"/>
      <c r="D2272" s="21"/>
      <c r="E2272" s="21"/>
      <c r="F2272" s="21"/>
      <c r="G2272" s="21"/>
      <c r="H2272" s="21"/>
      <c r="I2272" s="21"/>
      <c r="J2272" s="21"/>
      <c r="K2272" s="21"/>
      <c r="L2272" s="21"/>
      <c r="M2272" s="21"/>
      <c r="N2272" s="21"/>
      <c r="O2272" s="21"/>
      <c r="P2272" s="21"/>
      <c r="Q2272" s="21"/>
      <c r="R2272" s="21"/>
      <c r="S2272" s="21"/>
      <c r="T2272" s="21"/>
      <c r="U2272" s="21"/>
      <c r="V2272" s="21"/>
      <c r="W2272" s="21"/>
      <c r="X2272" s="21"/>
      <c r="Y2272" s="21"/>
      <c r="Z2272" s="21"/>
      <c r="AA2272" s="21"/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W2272" s="296"/>
      <c r="CY2272" s="296"/>
    </row>
    <row r="2273" spans="3:103" s="19" customFormat="1" ht="12">
      <c r="C2273" s="21"/>
      <c r="D2273" s="21"/>
      <c r="E2273" s="21"/>
      <c r="F2273" s="21"/>
      <c r="G2273" s="21"/>
      <c r="H2273" s="21"/>
      <c r="I2273" s="21"/>
      <c r="J2273" s="21"/>
      <c r="K2273" s="21"/>
      <c r="L2273" s="21"/>
      <c r="M2273" s="21"/>
      <c r="N2273" s="21"/>
      <c r="O2273" s="21"/>
      <c r="P2273" s="21"/>
      <c r="Q2273" s="21"/>
      <c r="R2273" s="21"/>
      <c r="S2273" s="21"/>
      <c r="T2273" s="21"/>
      <c r="U2273" s="21"/>
      <c r="V2273" s="21"/>
      <c r="W2273" s="21"/>
      <c r="X2273" s="21"/>
      <c r="Y2273" s="21"/>
      <c r="Z2273" s="21"/>
      <c r="AA2273" s="21"/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W2273" s="296"/>
      <c r="CY2273" s="296"/>
    </row>
    <row r="2274" spans="3:103" s="19" customFormat="1" ht="12">
      <c r="C2274" s="21"/>
      <c r="D2274" s="21"/>
      <c r="E2274" s="21"/>
      <c r="F2274" s="21"/>
      <c r="G2274" s="21"/>
      <c r="H2274" s="21"/>
      <c r="I2274" s="21"/>
      <c r="J2274" s="21"/>
      <c r="K2274" s="21"/>
      <c r="L2274" s="21"/>
      <c r="M2274" s="21"/>
      <c r="N2274" s="21"/>
      <c r="O2274" s="21"/>
      <c r="P2274" s="21"/>
      <c r="Q2274" s="21"/>
      <c r="R2274" s="21"/>
      <c r="S2274" s="21"/>
      <c r="T2274" s="21"/>
      <c r="U2274" s="21"/>
      <c r="V2274" s="21"/>
      <c r="W2274" s="21"/>
      <c r="X2274" s="21"/>
      <c r="Y2274" s="21"/>
      <c r="Z2274" s="21"/>
      <c r="AA2274" s="21"/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W2274" s="296"/>
      <c r="CY2274" s="296"/>
    </row>
    <row r="2275" spans="3:103" s="19" customFormat="1" ht="12">
      <c r="C2275" s="21"/>
      <c r="D2275" s="21"/>
      <c r="E2275" s="21"/>
      <c r="F2275" s="21"/>
      <c r="G2275" s="21"/>
      <c r="H2275" s="21"/>
      <c r="I2275" s="21"/>
      <c r="J2275" s="21"/>
      <c r="K2275" s="21"/>
      <c r="L2275" s="21"/>
      <c r="M2275" s="21"/>
      <c r="N2275" s="21"/>
      <c r="O2275" s="21"/>
      <c r="P2275" s="21"/>
      <c r="Q2275" s="21"/>
      <c r="R2275" s="21"/>
      <c r="S2275" s="21"/>
      <c r="T2275" s="21"/>
      <c r="U2275" s="21"/>
      <c r="V2275" s="21"/>
      <c r="W2275" s="21"/>
      <c r="X2275" s="21"/>
      <c r="Y2275" s="21"/>
      <c r="Z2275" s="21"/>
      <c r="AA2275" s="21"/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W2275" s="296"/>
      <c r="CY2275" s="296"/>
    </row>
    <row r="2276" spans="3:103" s="19" customFormat="1" ht="12">
      <c r="C2276" s="21"/>
      <c r="D2276" s="21"/>
      <c r="E2276" s="21"/>
      <c r="F2276" s="21"/>
      <c r="G2276" s="21"/>
      <c r="H2276" s="21"/>
      <c r="I2276" s="21"/>
      <c r="J2276" s="21"/>
      <c r="K2276" s="21"/>
      <c r="L2276" s="21"/>
      <c r="M2276" s="21"/>
      <c r="N2276" s="21"/>
      <c r="O2276" s="21"/>
      <c r="P2276" s="21"/>
      <c r="Q2276" s="21"/>
      <c r="R2276" s="21"/>
      <c r="S2276" s="21"/>
      <c r="T2276" s="21"/>
      <c r="U2276" s="21"/>
      <c r="V2276" s="21"/>
      <c r="W2276" s="21"/>
      <c r="X2276" s="21"/>
      <c r="Y2276" s="21"/>
      <c r="Z2276" s="21"/>
      <c r="AA2276" s="21"/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W2276" s="296"/>
      <c r="CY2276" s="296"/>
    </row>
    <row r="2277" spans="3:103" s="19" customFormat="1" ht="12">
      <c r="C2277" s="21"/>
      <c r="D2277" s="21"/>
      <c r="E2277" s="21"/>
      <c r="F2277" s="21"/>
      <c r="G2277" s="21"/>
      <c r="H2277" s="21"/>
      <c r="I2277" s="21"/>
      <c r="J2277" s="21"/>
      <c r="K2277" s="21"/>
      <c r="L2277" s="21"/>
      <c r="M2277" s="21"/>
      <c r="N2277" s="21"/>
      <c r="O2277" s="21"/>
      <c r="P2277" s="21"/>
      <c r="Q2277" s="21"/>
      <c r="R2277" s="21"/>
      <c r="S2277" s="21"/>
      <c r="T2277" s="21"/>
      <c r="U2277" s="21"/>
      <c r="V2277" s="21"/>
      <c r="W2277" s="21"/>
      <c r="X2277" s="21"/>
      <c r="Y2277" s="21"/>
      <c r="Z2277" s="21"/>
      <c r="AA2277" s="21"/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W2277" s="296"/>
      <c r="CY2277" s="296"/>
    </row>
    <row r="2278" spans="3:103" s="19" customFormat="1" ht="12">
      <c r="C2278" s="21"/>
      <c r="D2278" s="21"/>
      <c r="E2278" s="21"/>
      <c r="F2278" s="21"/>
      <c r="G2278" s="21"/>
      <c r="H2278" s="21"/>
      <c r="I2278" s="21"/>
      <c r="J2278" s="21"/>
      <c r="K2278" s="21"/>
      <c r="L2278" s="21"/>
      <c r="M2278" s="21"/>
      <c r="N2278" s="21"/>
      <c r="O2278" s="21"/>
      <c r="P2278" s="21"/>
      <c r="Q2278" s="21"/>
      <c r="R2278" s="21"/>
      <c r="S2278" s="21"/>
      <c r="T2278" s="21"/>
      <c r="U2278" s="21"/>
      <c r="V2278" s="21"/>
      <c r="W2278" s="21"/>
      <c r="X2278" s="21"/>
      <c r="Y2278" s="21"/>
      <c r="Z2278" s="21"/>
      <c r="AA2278" s="21"/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W2278" s="296"/>
      <c r="CY2278" s="296"/>
    </row>
    <row r="2279" spans="3:103" s="19" customFormat="1" ht="12">
      <c r="C2279" s="21"/>
      <c r="D2279" s="21"/>
      <c r="E2279" s="21"/>
      <c r="F2279" s="21"/>
      <c r="G2279" s="21"/>
      <c r="H2279" s="21"/>
      <c r="I2279" s="21"/>
      <c r="J2279" s="21"/>
      <c r="K2279" s="21"/>
      <c r="L2279" s="21"/>
      <c r="M2279" s="21"/>
      <c r="N2279" s="21"/>
      <c r="O2279" s="21"/>
      <c r="P2279" s="21"/>
      <c r="Q2279" s="21"/>
      <c r="R2279" s="21"/>
      <c r="S2279" s="21"/>
      <c r="T2279" s="21"/>
      <c r="U2279" s="21"/>
      <c r="V2279" s="21"/>
      <c r="W2279" s="21"/>
      <c r="X2279" s="21"/>
      <c r="Y2279" s="21"/>
      <c r="Z2279" s="21"/>
      <c r="AA2279" s="21"/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W2279" s="296"/>
      <c r="CY2279" s="296"/>
    </row>
    <row r="2280" spans="3:103" s="19" customFormat="1" ht="12">
      <c r="C2280" s="21"/>
      <c r="D2280" s="21"/>
      <c r="E2280" s="21"/>
      <c r="F2280" s="21"/>
      <c r="G2280" s="21"/>
      <c r="H2280" s="21"/>
      <c r="I2280" s="21"/>
      <c r="J2280" s="21"/>
      <c r="K2280" s="21"/>
      <c r="L2280" s="21"/>
      <c r="M2280" s="21"/>
      <c r="N2280" s="21"/>
      <c r="O2280" s="21"/>
      <c r="P2280" s="21"/>
      <c r="Q2280" s="21"/>
      <c r="R2280" s="21"/>
      <c r="S2280" s="21"/>
      <c r="T2280" s="21"/>
      <c r="U2280" s="21"/>
      <c r="V2280" s="21"/>
      <c r="W2280" s="21"/>
      <c r="X2280" s="21"/>
      <c r="Y2280" s="21"/>
      <c r="Z2280" s="21"/>
      <c r="AA2280" s="21"/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W2280" s="296"/>
      <c r="CY2280" s="296"/>
    </row>
    <row r="2281" spans="3:103" s="19" customFormat="1" ht="12">
      <c r="C2281" s="21"/>
      <c r="D2281" s="21"/>
      <c r="E2281" s="21"/>
      <c r="F2281" s="21"/>
      <c r="G2281" s="21"/>
      <c r="H2281" s="21"/>
      <c r="I2281" s="21"/>
      <c r="J2281" s="21"/>
      <c r="K2281" s="21"/>
      <c r="L2281" s="21"/>
      <c r="M2281" s="21"/>
      <c r="N2281" s="21"/>
      <c r="O2281" s="21"/>
      <c r="P2281" s="21"/>
      <c r="Q2281" s="21"/>
      <c r="R2281" s="21"/>
      <c r="S2281" s="21"/>
      <c r="T2281" s="21"/>
      <c r="U2281" s="21"/>
      <c r="V2281" s="21"/>
      <c r="W2281" s="21"/>
      <c r="X2281" s="21"/>
      <c r="Y2281" s="21"/>
      <c r="Z2281" s="21"/>
      <c r="AA2281" s="21"/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W2281" s="296"/>
      <c r="CY2281" s="296"/>
    </row>
    <row r="2282" spans="3:103" s="19" customFormat="1" ht="12">
      <c r="C2282" s="21"/>
      <c r="D2282" s="21"/>
      <c r="E2282" s="21"/>
      <c r="F2282" s="21"/>
      <c r="G2282" s="21"/>
      <c r="H2282" s="21"/>
      <c r="I2282" s="21"/>
      <c r="J2282" s="21"/>
      <c r="K2282" s="21"/>
      <c r="L2282" s="21"/>
      <c r="M2282" s="21"/>
      <c r="N2282" s="21"/>
      <c r="O2282" s="21"/>
      <c r="P2282" s="21"/>
      <c r="Q2282" s="21"/>
      <c r="R2282" s="21"/>
      <c r="S2282" s="21"/>
      <c r="T2282" s="21"/>
      <c r="U2282" s="21"/>
      <c r="V2282" s="21"/>
      <c r="W2282" s="21"/>
      <c r="X2282" s="21"/>
      <c r="Y2282" s="21"/>
      <c r="Z2282" s="21"/>
      <c r="AA2282" s="21"/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W2282" s="296"/>
      <c r="CY2282" s="296"/>
    </row>
    <row r="2283" spans="3:103" s="19" customFormat="1" ht="12">
      <c r="C2283" s="21"/>
      <c r="D2283" s="21"/>
      <c r="E2283" s="21"/>
      <c r="F2283" s="21"/>
      <c r="G2283" s="21"/>
      <c r="H2283" s="21"/>
      <c r="I2283" s="21"/>
      <c r="J2283" s="21"/>
      <c r="K2283" s="21"/>
      <c r="L2283" s="21"/>
      <c r="M2283" s="21"/>
      <c r="N2283" s="21"/>
      <c r="O2283" s="21"/>
      <c r="P2283" s="21"/>
      <c r="Q2283" s="21"/>
      <c r="R2283" s="21"/>
      <c r="S2283" s="21"/>
      <c r="T2283" s="21"/>
      <c r="U2283" s="21"/>
      <c r="V2283" s="21"/>
      <c r="W2283" s="21"/>
      <c r="X2283" s="21"/>
      <c r="Y2283" s="21"/>
      <c r="Z2283" s="21"/>
      <c r="AA2283" s="21"/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W2283" s="296"/>
      <c r="CY2283" s="296"/>
    </row>
    <row r="2284" spans="3:103" s="19" customFormat="1" ht="12">
      <c r="C2284" s="21"/>
      <c r="D2284" s="21"/>
      <c r="E2284" s="21"/>
      <c r="F2284" s="21"/>
      <c r="G2284" s="21"/>
      <c r="H2284" s="21"/>
      <c r="I2284" s="21"/>
      <c r="J2284" s="21"/>
      <c r="K2284" s="21"/>
      <c r="L2284" s="21"/>
      <c r="M2284" s="21"/>
      <c r="N2284" s="21"/>
      <c r="O2284" s="21"/>
      <c r="P2284" s="21"/>
      <c r="Q2284" s="21"/>
      <c r="R2284" s="21"/>
      <c r="S2284" s="21"/>
      <c r="T2284" s="21"/>
      <c r="U2284" s="21"/>
      <c r="V2284" s="21"/>
      <c r="W2284" s="21"/>
      <c r="X2284" s="21"/>
      <c r="Y2284" s="21"/>
      <c r="Z2284" s="21"/>
      <c r="AA2284" s="21"/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W2284" s="296"/>
      <c r="CY2284" s="296"/>
    </row>
    <row r="2285" spans="3:103" s="19" customFormat="1" ht="12">
      <c r="C2285" s="21"/>
      <c r="D2285" s="21"/>
      <c r="E2285" s="21"/>
      <c r="F2285" s="21"/>
      <c r="G2285" s="21"/>
      <c r="H2285" s="21"/>
      <c r="I2285" s="21"/>
      <c r="J2285" s="21"/>
      <c r="K2285" s="21"/>
      <c r="L2285" s="21"/>
      <c r="M2285" s="21"/>
      <c r="N2285" s="21"/>
      <c r="O2285" s="21"/>
      <c r="P2285" s="21"/>
      <c r="Q2285" s="21"/>
      <c r="R2285" s="21"/>
      <c r="S2285" s="21"/>
      <c r="T2285" s="21"/>
      <c r="U2285" s="21"/>
      <c r="V2285" s="21"/>
      <c r="W2285" s="21"/>
      <c r="X2285" s="21"/>
      <c r="Y2285" s="21"/>
      <c r="Z2285" s="21"/>
      <c r="AA2285" s="21"/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W2285" s="296"/>
      <c r="CY2285" s="296"/>
    </row>
    <row r="2286" spans="3:103" s="19" customFormat="1" ht="12">
      <c r="C2286" s="21"/>
      <c r="D2286" s="21"/>
      <c r="E2286" s="21"/>
      <c r="F2286" s="21"/>
      <c r="G2286" s="21"/>
      <c r="H2286" s="21"/>
      <c r="I2286" s="21"/>
      <c r="J2286" s="21"/>
      <c r="K2286" s="21"/>
      <c r="L2286" s="21"/>
      <c r="M2286" s="21"/>
      <c r="N2286" s="21"/>
      <c r="O2286" s="21"/>
      <c r="P2286" s="21"/>
      <c r="Q2286" s="21"/>
      <c r="R2286" s="21"/>
      <c r="S2286" s="21"/>
      <c r="T2286" s="21"/>
      <c r="U2286" s="21"/>
      <c r="V2286" s="21"/>
      <c r="W2286" s="21"/>
      <c r="X2286" s="21"/>
      <c r="Y2286" s="21"/>
      <c r="Z2286" s="21"/>
      <c r="AA2286" s="21"/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W2286" s="296"/>
      <c r="CY2286" s="296"/>
    </row>
    <row r="2287" spans="3:103" s="19" customFormat="1" ht="12">
      <c r="C2287" s="21"/>
      <c r="D2287" s="21"/>
      <c r="E2287" s="21"/>
      <c r="F2287" s="21"/>
      <c r="G2287" s="21"/>
      <c r="H2287" s="21"/>
      <c r="I2287" s="21"/>
      <c r="J2287" s="21"/>
      <c r="K2287" s="21"/>
      <c r="L2287" s="21"/>
      <c r="M2287" s="21"/>
      <c r="N2287" s="21"/>
      <c r="O2287" s="21"/>
      <c r="P2287" s="21"/>
      <c r="Q2287" s="21"/>
      <c r="R2287" s="21"/>
      <c r="S2287" s="21"/>
      <c r="T2287" s="21"/>
      <c r="U2287" s="21"/>
      <c r="V2287" s="21"/>
      <c r="W2287" s="21"/>
      <c r="X2287" s="21"/>
      <c r="Y2287" s="21"/>
      <c r="Z2287" s="21"/>
      <c r="AA2287" s="21"/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W2287" s="296"/>
      <c r="CY2287" s="296"/>
    </row>
    <row r="2288" spans="3:103" s="19" customFormat="1" ht="12">
      <c r="C2288" s="21"/>
      <c r="D2288" s="21"/>
      <c r="E2288" s="21"/>
      <c r="F2288" s="21"/>
      <c r="G2288" s="21"/>
      <c r="H2288" s="21"/>
      <c r="I2288" s="21"/>
      <c r="J2288" s="21"/>
      <c r="K2288" s="21"/>
      <c r="L2288" s="21"/>
      <c r="M2288" s="21"/>
      <c r="N2288" s="21"/>
      <c r="O2288" s="21"/>
      <c r="P2288" s="21"/>
      <c r="Q2288" s="21"/>
      <c r="R2288" s="21"/>
      <c r="S2288" s="21"/>
      <c r="T2288" s="21"/>
      <c r="U2288" s="21"/>
      <c r="V2288" s="21"/>
      <c r="W2288" s="21"/>
      <c r="X2288" s="21"/>
      <c r="Y2288" s="21"/>
      <c r="Z2288" s="21"/>
      <c r="AA2288" s="21"/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W2288" s="296"/>
      <c r="CY2288" s="296"/>
    </row>
    <row r="2289" spans="3:103" s="19" customFormat="1" ht="12">
      <c r="C2289" s="21"/>
      <c r="D2289" s="21"/>
      <c r="E2289" s="21"/>
      <c r="F2289" s="21"/>
      <c r="G2289" s="21"/>
      <c r="H2289" s="21"/>
      <c r="I2289" s="21"/>
      <c r="J2289" s="21"/>
      <c r="K2289" s="21"/>
      <c r="L2289" s="21"/>
      <c r="M2289" s="21"/>
      <c r="N2289" s="21"/>
      <c r="O2289" s="21"/>
      <c r="P2289" s="21"/>
      <c r="Q2289" s="21"/>
      <c r="R2289" s="21"/>
      <c r="S2289" s="21"/>
      <c r="T2289" s="21"/>
      <c r="U2289" s="21"/>
      <c r="V2289" s="21"/>
      <c r="W2289" s="21"/>
      <c r="X2289" s="21"/>
      <c r="Y2289" s="21"/>
      <c r="Z2289" s="21"/>
      <c r="AA2289" s="21"/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W2289" s="296"/>
      <c r="CY2289" s="296"/>
    </row>
    <row r="2290" spans="3:103" s="19" customFormat="1" ht="12">
      <c r="C2290" s="21"/>
      <c r="D2290" s="21"/>
      <c r="E2290" s="21"/>
      <c r="F2290" s="21"/>
      <c r="G2290" s="21"/>
      <c r="H2290" s="21"/>
      <c r="I2290" s="21"/>
      <c r="J2290" s="21"/>
      <c r="K2290" s="21"/>
      <c r="L2290" s="21"/>
      <c r="M2290" s="21"/>
      <c r="N2290" s="21"/>
      <c r="O2290" s="21"/>
      <c r="P2290" s="21"/>
      <c r="Q2290" s="21"/>
      <c r="R2290" s="21"/>
      <c r="S2290" s="21"/>
      <c r="T2290" s="21"/>
      <c r="U2290" s="21"/>
      <c r="V2290" s="21"/>
      <c r="W2290" s="21"/>
      <c r="X2290" s="21"/>
      <c r="Y2290" s="21"/>
      <c r="Z2290" s="21"/>
      <c r="AA2290" s="21"/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W2290" s="296"/>
      <c r="CY2290" s="296"/>
    </row>
    <row r="2291" spans="3:103" s="19" customFormat="1" ht="12">
      <c r="C2291" s="21"/>
      <c r="D2291" s="21"/>
      <c r="E2291" s="21"/>
      <c r="F2291" s="21"/>
      <c r="G2291" s="21"/>
      <c r="H2291" s="21"/>
      <c r="I2291" s="21"/>
      <c r="J2291" s="21"/>
      <c r="K2291" s="21"/>
      <c r="L2291" s="21"/>
      <c r="M2291" s="21"/>
      <c r="N2291" s="21"/>
      <c r="O2291" s="21"/>
      <c r="P2291" s="21"/>
      <c r="Q2291" s="21"/>
      <c r="R2291" s="21"/>
      <c r="S2291" s="21"/>
      <c r="T2291" s="21"/>
      <c r="U2291" s="21"/>
      <c r="V2291" s="21"/>
      <c r="W2291" s="21"/>
      <c r="X2291" s="21"/>
      <c r="Y2291" s="21"/>
      <c r="Z2291" s="21"/>
      <c r="AA2291" s="21"/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W2291" s="296"/>
      <c r="CY2291" s="296"/>
    </row>
    <row r="2292" spans="3:103" s="19" customFormat="1" ht="12">
      <c r="C2292" s="21"/>
      <c r="D2292" s="21"/>
      <c r="E2292" s="21"/>
      <c r="F2292" s="21"/>
      <c r="G2292" s="21"/>
      <c r="H2292" s="21"/>
      <c r="I2292" s="21"/>
      <c r="J2292" s="21"/>
      <c r="K2292" s="21"/>
      <c r="L2292" s="21"/>
      <c r="M2292" s="21"/>
      <c r="N2292" s="21"/>
      <c r="O2292" s="21"/>
      <c r="P2292" s="21"/>
      <c r="Q2292" s="21"/>
      <c r="R2292" s="21"/>
      <c r="S2292" s="21"/>
      <c r="T2292" s="21"/>
      <c r="U2292" s="21"/>
      <c r="V2292" s="21"/>
      <c r="W2292" s="21"/>
      <c r="X2292" s="21"/>
      <c r="Y2292" s="21"/>
      <c r="Z2292" s="21"/>
      <c r="AA2292" s="21"/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W2292" s="296"/>
      <c r="CY2292" s="296"/>
    </row>
    <row r="2293" spans="3:103" s="19" customFormat="1" ht="12">
      <c r="C2293" s="21"/>
      <c r="D2293" s="21"/>
      <c r="E2293" s="21"/>
      <c r="F2293" s="21"/>
      <c r="G2293" s="21"/>
      <c r="H2293" s="21"/>
      <c r="I2293" s="21"/>
      <c r="J2293" s="21"/>
      <c r="K2293" s="21"/>
      <c r="L2293" s="21"/>
      <c r="M2293" s="21"/>
      <c r="N2293" s="21"/>
      <c r="O2293" s="21"/>
      <c r="P2293" s="21"/>
      <c r="Q2293" s="21"/>
      <c r="R2293" s="21"/>
      <c r="S2293" s="21"/>
      <c r="T2293" s="21"/>
      <c r="U2293" s="21"/>
      <c r="V2293" s="21"/>
      <c r="W2293" s="21"/>
      <c r="X2293" s="21"/>
      <c r="Y2293" s="21"/>
      <c r="Z2293" s="21"/>
      <c r="AA2293" s="21"/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W2293" s="296"/>
      <c r="CY2293" s="296"/>
    </row>
    <row r="2294" spans="3:103" s="19" customFormat="1" ht="12">
      <c r="C2294" s="21"/>
      <c r="D2294" s="21"/>
      <c r="E2294" s="21"/>
      <c r="F2294" s="21"/>
      <c r="G2294" s="21"/>
      <c r="H2294" s="21"/>
      <c r="I2294" s="21"/>
      <c r="J2294" s="21"/>
      <c r="K2294" s="21"/>
      <c r="L2294" s="21"/>
      <c r="M2294" s="21"/>
      <c r="N2294" s="21"/>
      <c r="O2294" s="21"/>
      <c r="P2294" s="21"/>
      <c r="Q2294" s="21"/>
      <c r="R2294" s="21"/>
      <c r="S2294" s="21"/>
      <c r="T2294" s="21"/>
      <c r="U2294" s="21"/>
      <c r="V2294" s="21"/>
      <c r="W2294" s="21"/>
      <c r="X2294" s="21"/>
      <c r="Y2294" s="21"/>
      <c r="Z2294" s="21"/>
      <c r="AA2294" s="21"/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W2294" s="296"/>
      <c r="CY2294" s="296"/>
    </row>
    <row r="2295" spans="3:103" s="19" customFormat="1" ht="12">
      <c r="C2295" s="21"/>
      <c r="D2295" s="21"/>
      <c r="E2295" s="21"/>
      <c r="F2295" s="21"/>
      <c r="G2295" s="21"/>
      <c r="H2295" s="21"/>
      <c r="I2295" s="21"/>
      <c r="J2295" s="21"/>
      <c r="K2295" s="21"/>
      <c r="L2295" s="21"/>
      <c r="M2295" s="21"/>
      <c r="N2295" s="21"/>
      <c r="O2295" s="21"/>
      <c r="P2295" s="21"/>
      <c r="Q2295" s="21"/>
      <c r="R2295" s="21"/>
      <c r="S2295" s="21"/>
      <c r="T2295" s="21"/>
      <c r="U2295" s="21"/>
      <c r="V2295" s="21"/>
      <c r="W2295" s="21"/>
      <c r="X2295" s="21"/>
      <c r="Y2295" s="21"/>
      <c r="Z2295" s="21"/>
      <c r="AA2295" s="21"/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W2295" s="296"/>
      <c r="CY2295" s="296"/>
    </row>
    <row r="2296" spans="3:103" s="19" customFormat="1" ht="12">
      <c r="C2296" s="21"/>
      <c r="D2296" s="21"/>
      <c r="E2296" s="21"/>
      <c r="F2296" s="21"/>
      <c r="G2296" s="21"/>
      <c r="H2296" s="21"/>
      <c r="I2296" s="21"/>
      <c r="J2296" s="21"/>
      <c r="K2296" s="21"/>
      <c r="L2296" s="21"/>
      <c r="M2296" s="21"/>
      <c r="N2296" s="21"/>
      <c r="O2296" s="21"/>
      <c r="P2296" s="21"/>
      <c r="Q2296" s="21"/>
      <c r="R2296" s="21"/>
      <c r="S2296" s="21"/>
      <c r="T2296" s="21"/>
      <c r="U2296" s="21"/>
      <c r="V2296" s="21"/>
      <c r="W2296" s="21"/>
      <c r="X2296" s="21"/>
      <c r="Y2296" s="21"/>
      <c r="Z2296" s="21"/>
      <c r="AA2296" s="21"/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W2296" s="296"/>
      <c r="CY2296" s="296"/>
    </row>
    <row r="2297" spans="3:103" s="19" customFormat="1" ht="12">
      <c r="C2297" s="21"/>
      <c r="D2297" s="21"/>
      <c r="E2297" s="21"/>
      <c r="F2297" s="21"/>
      <c r="G2297" s="21"/>
      <c r="H2297" s="21"/>
      <c r="I2297" s="21"/>
      <c r="J2297" s="21"/>
      <c r="K2297" s="21"/>
      <c r="L2297" s="21"/>
      <c r="M2297" s="21"/>
      <c r="N2297" s="21"/>
      <c r="O2297" s="21"/>
      <c r="P2297" s="21"/>
      <c r="Q2297" s="21"/>
      <c r="R2297" s="21"/>
      <c r="S2297" s="21"/>
      <c r="T2297" s="21"/>
      <c r="U2297" s="21"/>
      <c r="V2297" s="21"/>
      <c r="W2297" s="21"/>
      <c r="X2297" s="21"/>
      <c r="Y2297" s="21"/>
      <c r="Z2297" s="21"/>
      <c r="AA2297" s="21"/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W2297" s="296"/>
      <c r="CY2297" s="296"/>
    </row>
    <row r="2298" spans="3:103" s="19" customFormat="1" ht="12">
      <c r="C2298" s="21"/>
      <c r="D2298" s="21"/>
      <c r="E2298" s="21"/>
      <c r="F2298" s="21"/>
      <c r="G2298" s="21"/>
      <c r="H2298" s="21"/>
      <c r="I2298" s="21"/>
      <c r="J2298" s="21"/>
      <c r="K2298" s="21"/>
      <c r="L2298" s="21"/>
      <c r="M2298" s="21"/>
      <c r="N2298" s="21"/>
      <c r="O2298" s="21"/>
      <c r="P2298" s="21"/>
      <c r="Q2298" s="21"/>
      <c r="R2298" s="21"/>
      <c r="S2298" s="21"/>
      <c r="T2298" s="21"/>
      <c r="U2298" s="21"/>
      <c r="V2298" s="21"/>
      <c r="W2298" s="21"/>
      <c r="X2298" s="21"/>
      <c r="Y2298" s="21"/>
      <c r="Z2298" s="21"/>
      <c r="AA2298" s="21"/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W2298" s="296"/>
      <c r="CY2298" s="296"/>
    </row>
    <row r="2299" spans="3:103" s="19" customFormat="1" ht="12">
      <c r="C2299" s="21"/>
      <c r="D2299" s="21"/>
      <c r="E2299" s="21"/>
      <c r="F2299" s="21"/>
      <c r="G2299" s="21"/>
      <c r="H2299" s="21"/>
      <c r="I2299" s="21"/>
      <c r="J2299" s="21"/>
      <c r="K2299" s="21"/>
      <c r="L2299" s="21"/>
      <c r="M2299" s="21"/>
      <c r="N2299" s="21"/>
      <c r="O2299" s="21"/>
      <c r="P2299" s="21"/>
      <c r="Q2299" s="21"/>
      <c r="R2299" s="21"/>
      <c r="S2299" s="21"/>
      <c r="T2299" s="21"/>
      <c r="U2299" s="21"/>
      <c r="V2299" s="21"/>
      <c r="W2299" s="21"/>
      <c r="X2299" s="21"/>
      <c r="Y2299" s="21"/>
      <c r="Z2299" s="21"/>
      <c r="AA2299" s="21"/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W2299" s="296"/>
      <c r="CY2299" s="296"/>
    </row>
    <row r="2300" spans="3:103" s="19" customFormat="1" ht="12">
      <c r="C2300" s="21"/>
      <c r="D2300" s="21"/>
      <c r="E2300" s="21"/>
      <c r="F2300" s="21"/>
      <c r="G2300" s="21"/>
      <c r="H2300" s="21"/>
      <c r="I2300" s="21"/>
      <c r="J2300" s="21"/>
      <c r="K2300" s="21"/>
      <c r="L2300" s="21"/>
      <c r="M2300" s="21"/>
      <c r="N2300" s="21"/>
      <c r="O2300" s="21"/>
      <c r="P2300" s="21"/>
      <c r="Q2300" s="21"/>
      <c r="R2300" s="21"/>
      <c r="S2300" s="21"/>
      <c r="T2300" s="21"/>
      <c r="U2300" s="21"/>
      <c r="V2300" s="21"/>
      <c r="W2300" s="21"/>
      <c r="X2300" s="21"/>
      <c r="Y2300" s="21"/>
      <c r="Z2300" s="21"/>
      <c r="AA2300" s="21"/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W2300" s="296"/>
      <c r="CY2300" s="296"/>
    </row>
    <row r="2301" spans="3:103" s="19" customFormat="1" ht="12">
      <c r="C2301" s="21"/>
      <c r="D2301" s="21"/>
      <c r="E2301" s="21"/>
      <c r="F2301" s="21"/>
      <c r="G2301" s="21"/>
      <c r="H2301" s="21"/>
      <c r="I2301" s="21"/>
      <c r="J2301" s="21"/>
      <c r="K2301" s="21"/>
      <c r="L2301" s="21"/>
      <c r="M2301" s="21"/>
      <c r="N2301" s="21"/>
      <c r="O2301" s="21"/>
      <c r="P2301" s="21"/>
      <c r="Q2301" s="21"/>
      <c r="R2301" s="21"/>
      <c r="S2301" s="21"/>
      <c r="T2301" s="21"/>
      <c r="U2301" s="21"/>
      <c r="V2301" s="21"/>
      <c r="W2301" s="21"/>
      <c r="X2301" s="21"/>
      <c r="Y2301" s="21"/>
      <c r="Z2301" s="21"/>
      <c r="AA2301" s="21"/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W2301" s="296"/>
      <c r="CY2301" s="296"/>
    </row>
    <row r="2302" spans="3:103" s="19" customFormat="1" ht="12">
      <c r="C2302" s="21"/>
      <c r="D2302" s="21"/>
      <c r="E2302" s="21"/>
      <c r="F2302" s="21"/>
      <c r="G2302" s="21"/>
      <c r="H2302" s="21"/>
      <c r="I2302" s="21"/>
      <c r="J2302" s="21"/>
      <c r="K2302" s="21"/>
      <c r="L2302" s="21"/>
      <c r="M2302" s="21"/>
      <c r="N2302" s="21"/>
      <c r="O2302" s="21"/>
      <c r="P2302" s="21"/>
      <c r="Q2302" s="21"/>
      <c r="R2302" s="21"/>
      <c r="S2302" s="21"/>
      <c r="T2302" s="21"/>
      <c r="U2302" s="21"/>
      <c r="V2302" s="21"/>
      <c r="W2302" s="21"/>
      <c r="X2302" s="21"/>
      <c r="Y2302" s="21"/>
      <c r="Z2302" s="21"/>
      <c r="AA2302" s="21"/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W2302" s="296"/>
      <c r="CY2302" s="296"/>
    </row>
    <row r="2303" spans="3:103" s="19" customFormat="1" ht="12">
      <c r="C2303" s="21"/>
      <c r="D2303" s="21"/>
      <c r="E2303" s="21"/>
      <c r="F2303" s="21"/>
      <c r="G2303" s="21"/>
      <c r="H2303" s="21"/>
      <c r="I2303" s="21"/>
      <c r="J2303" s="21"/>
      <c r="K2303" s="21"/>
      <c r="L2303" s="21"/>
      <c r="M2303" s="21"/>
      <c r="N2303" s="21"/>
      <c r="O2303" s="21"/>
      <c r="P2303" s="21"/>
      <c r="Q2303" s="21"/>
      <c r="R2303" s="21"/>
      <c r="S2303" s="21"/>
      <c r="T2303" s="21"/>
      <c r="U2303" s="21"/>
      <c r="V2303" s="21"/>
      <c r="W2303" s="21"/>
      <c r="X2303" s="21"/>
      <c r="Y2303" s="21"/>
      <c r="Z2303" s="21"/>
      <c r="AA2303" s="21"/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W2303" s="296"/>
      <c r="CY2303" s="296"/>
    </row>
    <row r="2304" spans="3:103" s="19" customFormat="1" ht="12">
      <c r="C2304" s="21"/>
      <c r="D2304" s="21"/>
      <c r="E2304" s="21"/>
      <c r="F2304" s="21"/>
      <c r="G2304" s="21"/>
      <c r="H2304" s="21"/>
      <c r="I2304" s="21"/>
      <c r="J2304" s="21"/>
      <c r="K2304" s="21"/>
      <c r="L2304" s="21"/>
      <c r="M2304" s="21"/>
      <c r="N2304" s="21"/>
      <c r="O2304" s="21"/>
      <c r="P2304" s="21"/>
      <c r="Q2304" s="21"/>
      <c r="R2304" s="21"/>
      <c r="S2304" s="21"/>
      <c r="T2304" s="21"/>
      <c r="U2304" s="21"/>
      <c r="V2304" s="21"/>
      <c r="W2304" s="21"/>
      <c r="X2304" s="21"/>
      <c r="Y2304" s="21"/>
      <c r="Z2304" s="21"/>
      <c r="AA2304" s="21"/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W2304" s="296"/>
      <c r="CY2304" s="296"/>
    </row>
    <row r="2305" spans="3:103" s="19" customFormat="1" ht="12">
      <c r="C2305" s="21"/>
      <c r="D2305" s="21"/>
      <c r="E2305" s="21"/>
      <c r="F2305" s="21"/>
      <c r="G2305" s="21"/>
      <c r="H2305" s="21"/>
      <c r="I2305" s="21"/>
      <c r="J2305" s="21"/>
      <c r="K2305" s="21"/>
      <c r="L2305" s="21"/>
      <c r="M2305" s="21"/>
      <c r="N2305" s="21"/>
      <c r="O2305" s="21"/>
      <c r="P2305" s="21"/>
      <c r="Q2305" s="21"/>
      <c r="R2305" s="21"/>
      <c r="S2305" s="21"/>
      <c r="T2305" s="21"/>
      <c r="U2305" s="21"/>
      <c r="V2305" s="21"/>
      <c r="W2305" s="21"/>
      <c r="X2305" s="21"/>
      <c r="Y2305" s="21"/>
      <c r="Z2305" s="21"/>
      <c r="AA2305" s="21"/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W2305" s="296"/>
      <c r="CY2305" s="296"/>
    </row>
    <row r="2306" spans="3:103" s="19" customFormat="1" ht="12">
      <c r="C2306" s="21"/>
      <c r="D2306" s="21"/>
      <c r="E2306" s="21"/>
      <c r="F2306" s="21"/>
      <c r="G2306" s="21"/>
      <c r="H2306" s="21"/>
      <c r="I2306" s="21"/>
      <c r="J2306" s="21"/>
      <c r="K2306" s="21"/>
      <c r="L2306" s="21"/>
      <c r="M2306" s="21"/>
      <c r="N2306" s="21"/>
      <c r="O2306" s="21"/>
      <c r="P2306" s="21"/>
      <c r="Q2306" s="21"/>
      <c r="R2306" s="21"/>
      <c r="S2306" s="21"/>
      <c r="T2306" s="21"/>
      <c r="U2306" s="21"/>
      <c r="V2306" s="21"/>
      <c r="W2306" s="21"/>
      <c r="X2306" s="21"/>
      <c r="Y2306" s="21"/>
      <c r="Z2306" s="21"/>
      <c r="AA2306" s="21"/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W2306" s="296"/>
      <c r="CY2306" s="296"/>
    </row>
    <row r="2307" spans="3:103" s="19" customFormat="1" ht="12">
      <c r="C2307" s="21"/>
      <c r="D2307" s="21"/>
      <c r="E2307" s="21"/>
      <c r="F2307" s="21"/>
      <c r="G2307" s="21"/>
      <c r="H2307" s="21"/>
      <c r="I2307" s="21"/>
      <c r="J2307" s="21"/>
      <c r="K2307" s="21"/>
      <c r="L2307" s="21"/>
      <c r="M2307" s="21"/>
      <c r="N2307" s="21"/>
      <c r="O2307" s="21"/>
      <c r="P2307" s="21"/>
      <c r="Q2307" s="21"/>
      <c r="R2307" s="21"/>
      <c r="S2307" s="21"/>
      <c r="T2307" s="21"/>
      <c r="U2307" s="21"/>
      <c r="V2307" s="21"/>
      <c r="W2307" s="21"/>
      <c r="X2307" s="21"/>
      <c r="Y2307" s="21"/>
      <c r="Z2307" s="21"/>
      <c r="AA2307" s="21"/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W2307" s="296"/>
      <c r="CY2307" s="296"/>
    </row>
    <row r="2308" spans="3:103" s="19" customFormat="1" ht="12">
      <c r="C2308" s="21"/>
      <c r="D2308" s="21"/>
      <c r="E2308" s="21"/>
      <c r="F2308" s="21"/>
      <c r="G2308" s="21"/>
      <c r="H2308" s="21"/>
      <c r="I2308" s="21"/>
      <c r="J2308" s="21"/>
      <c r="K2308" s="21"/>
      <c r="L2308" s="21"/>
      <c r="M2308" s="21"/>
      <c r="N2308" s="21"/>
      <c r="O2308" s="21"/>
      <c r="P2308" s="21"/>
      <c r="Q2308" s="21"/>
      <c r="R2308" s="21"/>
      <c r="S2308" s="21"/>
      <c r="T2308" s="21"/>
      <c r="U2308" s="21"/>
      <c r="V2308" s="21"/>
      <c r="W2308" s="21"/>
      <c r="X2308" s="21"/>
      <c r="Y2308" s="21"/>
      <c r="Z2308" s="21"/>
      <c r="AA2308" s="21"/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W2308" s="296"/>
      <c r="CY2308" s="296"/>
    </row>
    <row r="2309" spans="3:103" s="19" customFormat="1" ht="12">
      <c r="C2309" s="21"/>
      <c r="D2309" s="21"/>
      <c r="E2309" s="21"/>
      <c r="F2309" s="21"/>
      <c r="G2309" s="21"/>
      <c r="H2309" s="21"/>
      <c r="I2309" s="21"/>
      <c r="J2309" s="21"/>
      <c r="K2309" s="21"/>
      <c r="L2309" s="21"/>
      <c r="M2309" s="21"/>
      <c r="N2309" s="21"/>
      <c r="O2309" s="21"/>
      <c r="P2309" s="21"/>
      <c r="Q2309" s="21"/>
      <c r="R2309" s="21"/>
      <c r="S2309" s="21"/>
      <c r="T2309" s="21"/>
      <c r="U2309" s="21"/>
      <c r="V2309" s="21"/>
      <c r="W2309" s="21"/>
      <c r="X2309" s="21"/>
      <c r="Y2309" s="21"/>
      <c r="Z2309" s="21"/>
      <c r="AA2309" s="21"/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W2309" s="296"/>
      <c r="CY2309" s="296"/>
    </row>
    <row r="2310" spans="3:103" s="19" customFormat="1" ht="12">
      <c r="C2310" s="21"/>
      <c r="D2310" s="21"/>
      <c r="E2310" s="21"/>
      <c r="F2310" s="21"/>
      <c r="G2310" s="21"/>
      <c r="H2310" s="21"/>
      <c r="I2310" s="21"/>
      <c r="J2310" s="21"/>
      <c r="K2310" s="21"/>
      <c r="L2310" s="21"/>
      <c r="M2310" s="21"/>
      <c r="N2310" s="21"/>
      <c r="O2310" s="21"/>
      <c r="P2310" s="21"/>
      <c r="Q2310" s="21"/>
      <c r="R2310" s="21"/>
      <c r="S2310" s="21"/>
      <c r="T2310" s="21"/>
      <c r="U2310" s="21"/>
      <c r="V2310" s="21"/>
      <c r="W2310" s="21"/>
      <c r="X2310" s="21"/>
      <c r="Y2310" s="21"/>
      <c r="Z2310" s="21"/>
      <c r="AA2310" s="21"/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W2310" s="296"/>
      <c r="CY2310" s="296"/>
    </row>
    <row r="2311" spans="3:103" s="19" customFormat="1" ht="12">
      <c r="C2311" s="21"/>
      <c r="D2311" s="21"/>
      <c r="E2311" s="21"/>
      <c r="F2311" s="21"/>
      <c r="G2311" s="21"/>
      <c r="H2311" s="21"/>
      <c r="I2311" s="21"/>
      <c r="J2311" s="21"/>
      <c r="K2311" s="21"/>
      <c r="L2311" s="21"/>
      <c r="M2311" s="21"/>
      <c r="N2311" s="21"/>
      <c r="O2311" s="21"/>
      <c r="P2311" s="21"/>
      <c r="Q2311" s="21"/>
      <c r="R2311" s="21"/>
      <c r="S2311" s="21"/>
      <c r="T2311" s="21"/>
      <c r="U2311" s="21"/>
      <c r="V2311" s="21"/>
      <c r="W2311" s="21"/>
      <c r="X2311" s="21"/>
      <c r="Y2311" s="21"/>
      <c r="Z2311" s="21"/>
      <c r="AA2311" s="21"/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W2311" s="296"/>
      <c r="CY2311" s="296"/>
    </row>
    <row r="2312" spans="3:103" s="19" customFormat="1" ht="12">
      <c r="C2312" s="21"/>
      <c r="D2312" s="21"/>
      <c r="E2312" s="21"/>
      <c r="F2312" s="21"/>
      <c r="G2312" s="21"/>
      <c r="H2312" s="21"/>
      <c r="I2312" s="21"/>
      <c r="J2312" s="21"/>
      <c r="K2312" s="21"/>
      <c r="L2312" s="21"/>
      <c r="M2312" s="21"/>
      <c r="N2312" s="21"/>
      <c r="O2312" s="21"/>
      <c r="P2312" s="21"/>
      <c r="Q2312" s="21"/>
      <c r="R2312" s="21"/>
      <c r="S2312" s="21"/>
      <c r="T2312" s="21"/>
      <c r="U2312" s="21"/>
      <c r="V2312" s="21"/>
      <c r="W2312" s="21"/>
      <c r="X2312" s="21"/>
      <c r="Y2312" s="21"/>
      <c r="Z2312" s="21"/>
      <c r="AA2312" s="21"/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W2312" s="296"/>
      <c r="CY2312" s="296"/>
    </row>
    <row r="2313" spans="3:103" s="19" customFormat="1" ht="12">
      <c r="C2313" s="21"/>
      <c r="D2313" s="21"/>
      <c r="E2313" s="21"/>
      <c r="F2313" s="21"/>
      <c r="G2313" s="21"/>
      <c r="H2313" s="21"/>
      <c r="I2313" s="21"/>
      <c r="J2313" s="21"/>
      <c r="K2313" s="21"/>
      <c r="L2313" s="21"/>
      <c r="M2313" s="21"/>
      <c r="N2313" s="21"/>
      <c r="O2313" s="21"/>
      <c r="P2313" s="21"/>
      <c r="Q2313" s="21"/>
      <c r="R2313" s="21"/>
      <c r="S2313" s="21"/>
      <c r="T2313" s="21"/>
      <c r="U2313" s="21"/>
      <c r="V2313" s="21"/>
      <c r="W2313" s="21"/>
      <c r="X2313" s="21"/>
      <c r="Y2313" s="21"/>
      <c r="Z2313" s="21"/>
      <c r="AA2313" s="21"/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W2313" s="296"/>
      <c r="CY2313" s="296"/>
    </row>
    <row r="2314" spans="3:103" s="19" customFormat="1" ht="12">
      <c r="C2314" s="21"/>
      <c r="D2314" s="21"/>
      <c r="E2314" s="21"/>
      <c r="F2314" s="21"/>
      <c r="G2314" s="21"/>
      <c r="H2314" s="21"/>
      <c r="I2314" s="21"/>
      <c r="J2314" s="21"/>
      <c r="K2314" s="21"/>
      <c r="L2314" s="21"/>
      <c r="M2314" s="21"/>
      <c r="N2314" s="21"/>
      <c r="O2314" s="21"/>
      <c r="P2314" s="21"/>
      <c r="Q2314" s="21"/>
      <c r="R2314" s="21"/>
      <c r="S2314" s="21"/>
      <c r="T2314" s="21"/>
      <c r="U2314" s="21"/>
      <c r="V2314" s="21"/>
      <c r="W2314" s="21"/>
      <c r="X2314" s="21"/>
      <c r="Y2314" s="21"/>
      <c r="Z2314" s="21"/>
      <c r="AA2314" s="21"/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W2314" s="296"/>
      <c r="CY2314" s="296"/>
    </row>
    <row r="2315" spans="3:103" s="19" customFormat="1" ht="12">
      <c r="C2315" s="21"/>
      <c r="D2315" s="21"/>
      <c r="E2315" s="21"/>
      <c r="F2315" s="21"/>
      <c r="G2315" s="21"/>
      <c r="H2315" s="21"/>
      <c r="I2315" s="21"/>
      <c r="J2315" s="21"/>
      <c r="K2315" s="21"/>
      <c r="L2315" s="21"/>
      <c r="M2315" s="21"/>
      <c r="N2315" s="21"/>
      <c r="O2315" s="21"/>
      <c r="P2315" s="21"/>
      <c r="Q2315" s="21"/>
      <c r="R2315" s="21"/>
      <c r="S2315" s="21"/>
      <c r="T2315" s="21"/>
      <c r="U2315" s="21"/>
      <c r="V2315" s="21"/>
      <c r="W2315" s="21"/>
      <c r="X2315" s="21"/>
      <c r="Y2315" s="21"/>
      <c r="Z2315" s="21"/>
      <c r="AA2315" s="21"/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W2315" s="296"/>
      <c r="CY2315" s="296"/>
    </row>
    <row r="2316" spans="3:103" s="19" customFormat="1" ht="12">
      <c r="C2316" s="21"/>
      <c r="D2316" s="21"/>
      <c r="E2316" s="21"/>
      <c r="F2316" s="21"/>
      <c r="G2316" s="21"/>
      <c r="H2316" s="21"/>
      <c r="I2316" s="21"/>
      <c r="J2316" s="21"/>
      <c r="K2316" s="21"/>
      <c r="L2316" s="21"/>
      <c r="M2316" s="21"/>
      <c r="N2316" s="21"/>
      <c r="O2316" s="21"/>
      <c r="P2316" s="21"/>
      <c r="Q2316" s="21"/>
      <c r="R2316" s="21"/>
      <c r="S2316" s="21"/>
      <c r="T2316" s="21"/>
      <c r="U2316" s="21"/>
      <c r="V2316" s="21"/>
      <c r="W2316" s="21"/>
      <c r="X2316" s="21"/>
      <c r="Y2316" s="21"/>
      <c r="Z2316" s="21"/>
      <c r="AA2316" s="21"/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W2316" s="296"/>
      <c r="CY2316" s="296"/>
    </row>
    <row r="2317" spans="3:103" s="19" customFormat="1" ht="12">
      <c r="C2317" s="21"/>
      <c r="D2317" s="21"/>
      <c r="E2317" s="21"/>
      <c r="F2317" s="21"/>
      <c r="G2317" s="21"/>
      <c r="H2317" s="21"/>
      <c r="I2317" s="21"/>
      <c r="J2317" s="21"/>
      <c r="K2317" s="21"/>
      <c r="L2317" s="21"/>
      <c r="M2317" s="21"/>
      <c r="N2317" s="21"/>
      <c r="O2317" s="21"/>
      <c r="P2317" s="21"/>
      <c r="Q2317" s="21"/>
      <c r="R2317" s="21"/>
      <c r="S2317" s="21"/>
      <c r="T2317" s="21"/>
      <c r="U2317" s="21"/>
      <c r="V2317" s="21"/>
      <c r="W2317" s="21"/>
      <c r="X2317" s="21"/>
      <c r="Y2317" s="21"/>
      <c r="Z2317" s="21"/>
      <c r="AA2317" s="21"/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W2317" s="296"/>
      <c r="CY2317" s="296"/>
    </row>
    <row r="2318" spans="3:103" s="19" customFormat="1" ht="12">
      <c r="C2318" s="21"/>
      <c r="D2318" s="21"/>
      <c r="E2318" s="21"/>
      <c r="F2318" s="21"/>
      <c r="G2318" s="21"/>
      <c r="H2318" s="21"/>
      <c r="I2318" s="21"/>
      <c r="J2318" s="21"/>
      <c r="K2318" s="21"/>
      <c r="L2318" s="21"/>
      <c r="M2318" s="21"/>
      <c r="N2318" s="21"/>
      <c r="O2318" s="21"/>
      <c r="P2318" s="21"/>
      <c r="Q2318" s="21"/>
      <c r="R2318" s="21"/>
      <c r="S2318" s="21"/>
      <c r="T2318" s="21"/>
      <c r="U2318" s="21"/>
      <c r="V2318" s="21"/>
      <c r="W2318" s="21"/>
      <c r="X2318" s="21"/>
      <c r="Y2318" s="21"/>
      <c r="Z2318" s="21"/>
      <c r="AA2318" s="21"/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W2318" s="296"/>
      <c r="CY2318" s="296"/>
    </row>
    <row r="2319" spans="3:103" s="19" customFormat="1" ht="12">
      <c r="C2319" s="21"/>
      <c r="D2319" s="21"/>
      <c r="E2319" s="21"/>
      <c r="F2319" s="21"/>
      <c r="G2319" s="21"/>
      <c r="H2319" s="21"/>
      <c r="I2319" s="21"/>
      <c r="J2319" s="21"/>
      <c r="K2319" s="21"/>
      <c r="L2319" s="21"/>
      <c r="M2319" s="21"/>
      <c r="N2319" s="21"/>
      <c r="O2319" s="21"/>
      <c r="P2319" s="21"/>
      <c r="Q2319" s="21"/>
      <c r="R2319" s="21"/>
      <c r="S2319" s="21"/>
      <c r="T2319" s="21"/>
      <c r="U2319" s="21"/>
      <c r="V2319" s="21"/>
      <c r="W2319" s="21"/>
      <c r="X2319" s="21"/>
      <c r="Y2319" s="21"/>
      <c r="Z2319" s="21"/>
      <c r="AA2319" s="21"/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W2319" s="296"/>
      <c r="CY2319" s="296"/>
    </row>
    <row r="2320" spans="3:103" s="19" customFormat="1" ht="12">
      <c r="C2320" s="21"/>
      <c r="D2320" s="21"/>
      <c r="E2320" s="21"/>
      <c r="F2320" s="21"/>
      <c r="G2320" s="21"/>
      <c r="H2320" s="21"/>
      <c r="I2320" s="21"/>
      <c r="J2320" s="21"/>
      <c r="K2320" s="21"/>
      <c r="L2320" s="21"/>
      <c r="M2320" s="21"/>
      <c r="N2320" s="21"/>
      <c r="O2320" s="21"/>
      <c r="P2320" s="21"/>
      <c r="Q2320" s="21"/>
      <c r="R2320" s="21"/>
      <c r="S2320" s="21"/>
      <c r="T2320" s="21"/>
      <c r="U2320" s="21"/>
      <c r="V2320" s="21"/>
      <c r="W2320" s="21"/>
      <c r="X2320" s="21"/>
      <c r="Y2320" s="21"/>
      <c r="Z2320" s="21"/>
      <c r="AA2320" s="21"/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W2320" s="296"/>
      <c r="CY2320" s="296"/>
    </row>
    <row r="2321" spans="3:103" s="19" customFormat="1" ht="12">
      <c r="C2321" s="21"/>
      <c r="D2321" s="21"/>
      <c r="E2321" s="21"/>
      <c r="F2321" s="21"/>
      <c r="G2321" s="21"/>
      <c r="H2321" s="21"/>
      <c r="I2321" s="21"/>
      <c r="J2321" s="21"/>
      <c r="K2321" s="21"/>
      <c r="L2321" s="21"/>
      <c r="M2321" s="21"/>
      <c r="N2321" s="21"/>
      <c r="O2321" s="21"/>
      <c r="P2321" s="21"/>
      <c r="Q2321" s="21"/>
      <c r="R2321" s="21"/>
      <c r="S2321" s="21"/>
      <c r="T2321" s="21"/>
      <c r="U2321" s="21"/>
      <c r="V2321" s="21"/>
      <c r="W2321" s="21"/>
      <c r="X2321" s="21"/>
      <c r="Y2321" s="21"/>
      <c r="Z2321" s="21"/>
      <c r="AA2321" s="21"/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W2321" s="296"/>
      <c r="CY2321" s="296"/>
    </row>
    <row r="2322" spans="3:103" s="19" customFormat="1" ht="12">
      <c r="C2322" s="21"/>
      <c r="D2322" s="21"/>
      <c r="E2322" s="21"/>
      <c r="F2322" s="21"/>
      <c r="G2322" s="21"/>
      <c r="H2322" s="21"/>
      <c r="I2322" s="21"/>
      <c r="J2322" s="21"/>
      <c r="K2322" s="21"/>
      <c r="L2322" s="21"/>
      <c r="M2322" s="21"/>
      <c r="N2322" s="21"/>
      <c r="O2322" s="21"/>
      <c r="P2322" s="21"/>
      <c r="Q2322" s="21"/>
      <c r="R2322" s="21"/>
      <c r="S2322" s="21"/>
      <c r="T2322" s="21"/>
      <c r="U2322" s="21"/>
      <c r="V2322" s="21"/>
      <c r="W2322" s="21"/>
      <c r="X2322" s="21"/>
      <c r="Y2322" s="21"/>
      <c r="Z2322" s="21"/>
      <c r="AA2322" s="21"/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W2322" s="296"/>
      <c r="CY2322" s="296"/>
    </row>
    <row r="2323" spans="3:103" s="19" customFormat="1" ht="12">
      <c r="C2323" s="21"/>
      <c r="D2323" s="21"/>
      <c r="E2323" s="21"/>
      <c r="F2323" s="21"/>
      <c r="G2323" s="21"/>
      <c r="H2323" s="21"/>
      <c r="I2323" s="21"/>
      <c r="J2323" s="21"/>
      <c r="K2323" s="21"/>
      <c r="L2323" s="21"/>
      <c r="M2323" s="21"/>
      <c r="N2323" s="21"/>
      <c r="O2323" s="21"/>
      <c r="P2323" s="21"/>
      <c r="Q2323" s="21"/>
      <c r="R2323" s="21"/>
      <c r="S2323" s="21"/>
      <c r="T2323" s="21"/>
      <c r="U2323" s="21"/>
      <c r="V2323" s="21"/>
      <c r="W2323" s="21"/>
      <c r="X2323" s="21"/>
      <c r="Y2323" s="21"/>
      <c r="Z2323" s="21"/>
      <c r="AA2323" s="21"/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W2323" s="296"/>
      <c r="CY2323" s="296"/>
    </row>
    <row r="2324" spans="3:103" s="19" customFormat="1" ht="12">
      <c r="C2324" s="21"/>
      <c r="D2324" s="21"/>
      <c r="E2324" s="21"/>
      <c r="F2324" s="21"/>
      <c r="G2324" s="21"/>
      <c r="H2324" s="21"/>
      <c r="I2324" s="21"/>
      <c r="J2324" s="21"/>
      <c r="K2324" s="21"/>
      <c r="L2324" s="21"/>
      <c r="M2324" s="21"/>
      <c r="N2324" s="21"/>
      <c r="O2324" s="21"/>
      <c r="P2324" s="21"/>
      <c r="Q2324" s="21"/>
      <c r="R2324" s="21"/>
      <c r="S2324" s="21"/>
      <c r="T2324" s="21"/>
      <c r="U2324" s="21"/>
      <c r="V2324" s="21"/>
      <c r="W2324" s="21"/>
      <c r="X2324" s="21"/>
      <c r="Y2324" s="21"/>
      <c r="Z2324" s="21"/>
      <c r="AA2324" s="21"/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W2324" s="296"/>
      <c r="CY2324" s="296"/>
    </row>
    <row r="2325" spans="3:103" s="19" customFormat="1" ht="12">
      <c r="C2325" s="21"/>
      <c r="D2325" s="21"/>
      <c r="E2325" s="21"/>
      <c r="F2325" s="21"/>
      <c r="G2325" s="21"/>
      <c r="H2325" s="21"/>
      <c r="I2325" s="21"/>
      <c r="J2325" s="21"/>
      <c r="K2325" s="21"/>
      <c r="L2325" s="21"/>
      <c r="M2325" s="21"/>
      <c r="N2325" s="21"/>
      <c r="O2325" s="21"/>
      <c r="P2325" s="21"/>
      <c r="Q2325" s="21"/>
      <c r="R2325" s="21"/>
      <c r="S2325" s="21"/>
      <c r="T2325" s="21"/>
      <c r="U2325" s="21"/>
      <c r="V2325" s="21"/>
      <c r="W2325" s="21"/>
      <c r="X2325" s="21"/>
      <c r="Y2325" s="21"/>
      <c r="Z2325" s="21"/>
      <c r="AA2325" s="21"/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W2325" s="296"/>
      <c r="CY2325" s="296"/>
    </row>
    <row r="2326" spans="3:103" s="19" customFormat="1" ht="12">
      <c r="C2326" s="21"/>
      <c r="D2326" s="21"/>
      <c r="E2326" s="21"/>
      <c r="F2326" s="21"/>
      <c r="G2326" s="21"/>
      <c r="H2326" s="21"/>
      <c r="I2326" s="21"/>
      <c r="J2326" s="21"/>
      <c r="K2326" s="21"/>
      <c r="L2326" s="21"/>
      <c r="M2326" s="21"/>
      <c r="N2326" s="21"/>
      <c r="O2326" s="21"/>
      <c r="P2326" s="21"/>
      <c r="Q2326" s="21"/>
      <c r="R2326" s="21"/>
      <c r="S2326" s="21"/>
      <c r="T2326" s="21"/>
      <c r="U2326" s="21"/>
      <c r="V2326" s="21"/>
      <c r="W2326" s="21"/>
      <c r="X2326" s="21"/>
      <c r="Y2326" s="21"/>
      <c r="Z2326" s="21"/>
      <c r="AA2326" s="21"/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W2326" s="296"/>
      <c r="CY2326" s="296"/>
    </row>
    <row r="2327" spans="3:103" s="19" customFormat="1" ht="12">
      <c r="C2327" s="21"/>
      <c r="D2327" s="21"/>
      <c r="E2327" s="21"/>
      <c r="F2327" s="21"/>
      <c r="G2327" s="21"/>
      <c r="H2327" s="21"/>
      <c r="I2327" s="21"/>
      <c r="J2327" s="21"/>
      <c r="K2327" s="21"/>
      <c r="L2327" s="21"/>
      <c r="M2327" s="21"/>
      <c r="N2327" s="21"/>
      <c r="O2327" s="21"/>
      <c r="P2327" s="21"/>
      <c r="Q2327" s="21"/>
      <c r="R2327" s="21"/>
      <c r="S2327" s="21"/>
      <c r="T2327" s="21"/>
      <c r="U2327" s="21"/>
      <c r="V2327" s="21"/>
      <c r="W2327" s="21"/>
      <c r="X2327" s="21"/>
      <c r="Y2327" s="21"/>
      <c r="Z2327" s="21"/>
      <c r="AA2327" s="21"/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W2327" s="296"/>
      <c r="CY2327" s="296"/>
    </row>
    <row r="2328" spans="3:103" s="19" customFormat="1" ht="12">
      <c r="C2328" s="21"/>
      <c r="D2328" s="21"/>
      <c r="E2328" s="21"/>
      <c r="F2328" s="21"/>
      <c r="G2328" s="21"/>
      <c r="H2328" s="21"/>
      <c r="I2328" s="21"/>
      <c r="J2328" s="21"/>
      <c r="K2328" s="21"/>
      <c r="L2328" s="21"/>
      <c r="M2328" s="21"/>
      <c r="N2328" s="21"/>
      <c r="O2328" s="21"/>
      <c r="P2328" s="21"/>
      <c r="Q2328" s="21"/>
      <c r="R2328" s="21"/>
      <c r="S2328" s="21"/>
      <c r="T2328" s="21"/>
      <c r="U2328" s="21"/>
      <c r="V2328" s="21"/>
      <c r="W2328" s="21"/>
      <c r="X2328" s="21"/>
      <c r="Y2328" s="21"/>
      <c r="Z2328" s="21"/>
      <c r="AA2328" s="21"/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W2328" s="296"/>
      <c r="CY2328" s="296"/>
    </row>
    <row r="2329" spans="3:103" s="19" customFormat="1" ht="12">
      <c r="C2329" s="21"/>
      <c r="D2329" s="21"/>
      <c r="E2329" s="21"/>
      <c r="F2329" s="21"/>
      <c r="G2329" s="21"/>
      <c r="H2329" s="21"/>
      <c r="I2329" s="21"/>
      <c r="J2329" s="21"/>
      <c r="K2329" s="21"/>
      <c r="L2329" s="21"/>
      <c r="M2329" s="21"/>
      <c r="N2329" s="21"/>
      <c r="O2329" s="21"/>
      <c r="P2329" s="21"/>
      <c r="Q2329" s="21"/>
      <c r="R2329" s="21"/>
      <c r="S2329" s="21"/>
      <c r="T2329" s="21"/>
      <c r="U2329" s="21"/>
      <c r="V2329" s="21"/>
      <c r="W2329" s="21"/>
      <c r="X2329" s="21"/>
      <c r="Y2329" s="21"/>
      <c r="Z2329" s="21"/>
      <c r="AA2329" s="21"/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W2329" s="296"/>
      <c r="CY2329" s="296"/>
    </row>
    <row r="2330" spans="3:103" s="19" customFormat="1" ht="12">
      <c r="C2330" s="21"/>
      <c r="D2330" s="21"/>
      <c r="E2330" s="21"/>
      <c r="F2330" s="21"/>
      <c r="G2330" s="21"/>
      <c r="H2330" s="21"/>
      <c r="I2330" s="21"/>
      <c r="J2330" s="21"/>
      <c r="K2330" s="21"/>
      <c r="L2330" s="21"/>
      <c r="M2330" s="21"/>
      <c r="N2330" s="21"/>
      <c r="O2330" s="21"/>
      <c r="P2330" s="21"/>
      <c r="Q2330" s="21"/>
      <c r="R2330" s="21"/>
      <c r="S2330" s="21"/>
      <c r="T2330" s="21"/>
      <c r="U2330" s="21"/>
      <c r="V2330" s="21"/>
      <c r="W2330" s="21"/>
      <c r="X2330" s="21"/>
      <c r="Y2330" s="21"/>
      <c r="Z2330" s="21"/>
      <c r="AA2330" s="21"/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W2330" s="296"/>
      <c r="CY2330" s="296"/>
    </row>
    <row r="2331" spans="3:103" s="19" customFormat="1" ht="12">
      <c r="C2331" s="21"/>
      <c r="D2331" s="21"/>
      <c r="E2331" s="21"/>
      <c r="F2331" s="21"/>
      <c r="G2331" s="21"/>
      <c r="H2331" s="21"/>
      <c r="I2331" s="21"/>
      <c r="J2331" s="21"/>
      <c r="K2331" s="21"/>
      <c r="L2331" s="21"/>
      <c r="M2331" s="21"/>
      <c r="N2331" s="21"/>
      <c r="O2331" s="21"/>
      <c r="P2331" s="21"/>
      <c r="Q2331" s="21"/>
      <c r="R2331" s="21"/>
      <c r="S2331" s="21"/>
      <c r="T2331" s="21"/>
      <c r="U2331" s="21"/>
      <c r="V2331" s="21"/>
      <c r="W2331" s="21"/>
      <c r="X2331" s="21"/>
      <c r="Y2331" s="21"/>
      <c r="Z2331" s="21"/>
      <c r="AA2331" s="21"/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W2331" s="296"/>
      <c r="CY2331" s="296"/>
    </row>
    <row r="2332" spans="3:103" s="19" customFormat="1" ht="12">
      <c r="C2332" s="21"/>
      <c r="D2332" s="21"/>
      <c r="E2332" s="21"/>
      <c r="F2332" s="21"/>
      <c r="G2332" s="21"/>
      <c r="H2332" s="21"/>
      <c r="I2332" s="21"/>
      <c r="J2332" s="21"/>
      <c r="K2332" s="21"/>
      <c r="L2332" s="21"/>
      <c r="M2332" s="21"/>
      <c r="N2332" s="21"/>
      <c r="O2332" s="21"/>
      <c r="P2332" s="21"/>
      <c r="Q2332" s="21"/>
      <c r="R2332" s="21"/>
      <c r="S2332" s="21"/>
      <c r="T2332" s="21"/>
      <c r="U2332" s="21"/>
      <c r="V2332" s="21"/>
      <c r="W2332" s="21"/>
      <c r="X2332" s="21"/>
      <c r="Y2332" s="21"/>
      <c r="Z2332" s="21"/>
      <c r="AA2332" s="21"/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W2332" s="296"/>
      <c r="CY2332" s="296"/>
    </row>
    <row r="2333" spans="3:103" s="19" customFormat="1" ht="12">
      <c r="C2333" s="21"/>
      <c r="D2333" s="21"/>
      <c r="E2333" s="21"/>
      <c r="F2333" s="21"/>
      <c r="G2333" s="21"/>
      <c r="H2333" s="21"/>
      <c r="I2333" s="21"/>
      <c r="J2333" s="21"/>
      <c r="K2333" s="21"/>
      <c r="L2333" s="21"/>
      <c r="M2333" s="21"/>
      <c r="N2333" s="21"/>
      <c r="O2333" s="21"/>
      <c r="P2333" s="21"/>
      <c r="Q2333" s="21"/>
      <c r="R2333" s="21"/>
      <c r="S2333" s="21"/>
      <c r="T2333" s="21"/>
      <c r="U2333" s="21"/>
      <c r="V2333" s="21"/>
      <c r="W2333" s="21"/>
      <c r="X2333" s="21"/>
      <c r="Y2333" s="21"/>
      <c r="Z2333" s="21"/>
      <c r="AA2333" s="21"/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W2333" s="296"/>
      <c r="CY2333" s="296"/>
    </row>
    <row r="2334" spans="3:103" s="19" customFormat="1" ht="12">
      <c r="C2334" s="21"/>
      <c r="D2334" s="21"/>
      <c r="E2334" s="21"/>
      <c r="F2334" s="21"/>
      <c r="G2334" s="21"/>
      <c r="H2334" s="21"/>
      <c r="I2334" s="21"/>
      <c r="J2334" s="21"/>
      <c r="K2334" s="21"/>
      <c r="L2334" s="21"/>
      <c r="M2334" s="21"/>
      <c r="N2334" s="21"/>
      <c r="O2334" s="21"/>
      <c r="P2334" s="21"/>
      <c r="Q2334" s="21"/>
      <c r="R2334" s="21"/>
      <c r="S2334" s="21"/>
      <c r="T2334" s="21"/>
      <c r="U2334" s="21"/>
      <c r="V2334" s="21"/>
      <c r="W2334" s="21"/>
      <c r="X2334" s="21"/>
      <c r="Y2334" s="21"/>
      <c r="Z2334" s="21"/>
      <c r="AA2334" s="21"/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W2334" s="296"/>
      <c r="CY2334" s="296"/>
    </row>
    <row r="2335" spans="3:103" s="19" customFormat="1" ht="12">
      <c r="C2335" s="21"/>
      <c r="D2335" s="21"/>
      <c r="E2335" s="21"/>
      <c r="F2335" s="21"/>
      <c r="G2335" s="21"/>
      <c r="H2335" s="21"/>
      <c r="I2335" s="21"/>
      <c r="J2335" s="21"/>
      <c r="K2335" s="21"/>
      <c r="L2335" s="21"/>
      <c r="M2335" s="21"/>
      <c r="N2335" s="21"/>
      <c r="O2335" s="21"/>
      <c r="P2335" s="21"/>
      <c r="Q2335" s="21"/>
      <c r="R2335" s="21"/>
      <c r="S2335" s="21"/>
      <c r="T2335" s="21"/>
      <c r="U2335" s="21"/>
      <c r="V2335" s="21"/>
      <c r="W2335" s="21"/>
      <c r="X2335" s="21"/>
      <c r="Y2335" s="21"/>
      <c r="Z2335" s="21"/>
      <c r="AA2335" s="21"/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W2335" s="296"/>
      <c r="CY2335" s="296"/>
    </row>
    <row r="2336" spans="3:103" s="19" customFormat="1" ht="12">
      <c r="C2336" s="21"/>
      <c r="D2336" s="21"/>
      <c r="E2336" s="21"/>
      <c r="F2336" s="21"/>
      <c r="G2336" s="21"/>
      <c r="H2336" s="21"/>
      <c r="I2336" s="21"/>
      <c r="J2336" s="21"/>
      <c r="K2336" s="21"/>
      <c r="L2336" s="21"/>
      <c r="M2336" s="21"/>
      <c r="N2336" s="21"/>
      <c r="O2336" s="21"/>
      <c r="P2336" s="21"/>
      <c r="Q2336" s="21"/>
      <c r="R2336" s="21"/>
      <c r="S2336" s="21"/>
      <c r="T2336" s="21"/>
      <c r="U2336" s="21"/>
      <c r="V2336" s="21"/>
      <c r="W2336" s="21"/>
      <c r="X2336" s="21"/>
      <c r="Y2336" s="21"/>
      <c r="Z2336" s="21"/>
      <c r="AA2336" s="21"/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W2336" s="296"/>
      <c r="CY2336" s="296"/>
    </row>
    <row r="2337" spans="3:103" s="19" customFormat="1" ht="12">
      <c r="C2337" s="21"/>
      <c r="D2337" s="21"/>
      <c r="E2337" s="21"/>
      <c r="F2337" s="21"/>
      <c r="G2337" s="21"/>
      <c r="H2337" s="21"/>
      <c r="I2337" s="21"/>
      <c r="J2337" s="21"/>
      <c r="K2337" s="21"/>
      <c r="L2337" s="21"/>
      <c r="M2337" s="21"/>
      <c r="N2337" s="21"/>
      <c r="O2337" s="21"/>
      <c r="P2337" s="21"/>
      <c r="Q2337" s="21"/>
      <c r="R2337" s="21"/>
      <c r="S2337" s="21"/>
      <c r="T2337" s="21"/>
      <c r="U2337" s="21"/>
      <c r="V2337" s="21"/>
      <c r="W2337" s="21"/>
      <c r="X2337" s="21"/>
      <c r="Y2337" s="21"/>
      <c r="Z2337" s="21"/>
      <c r="AA2337" s="21"/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W2337" s="296"/>
      <c r="CY2337" s="296"/>
    </row>
    <row r="2338" spans="3:103" s="19" customFormat="1" ht="12">
      <c r="C2338" s="21"/>
      <c r="D2338" s="21"/>
      <c r="E2338" s="21"/>
      <c r="F2338" s="21"/>
      <c r="G2338" s="21"/>
      <c r="H2338" s="21"/>
      <c r="I2338" s="21"/>
      <c r="J2338" s="21"/>
      <c r="K2338" s="21"/>
      <c r="L2338" s="21"/>
      <c r="M2338" s="21"/>
      <c r="N2338" s="21"/>
      <c r="O2338" s="21"/>
      <c r="P2338" s="21"/>
      <c r="Q2338" s="21"/>
      <c r="R2338" s="21"/>
      <c r="S2338" s="21"/>
      <c r="T2338" s="21"/>
      <c r="U2338" s="21"/>
      <c r="V2338" s="21"/>
      <c r="W2338" s="21"/>
      <c r="X2338" s="21"/>
      <c r="Y2338" s="21"/>
      <c r="Z2338" s="21"/>
      <c r="AA2338" s="21"/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W2338" s="296"/>
      <c r="CY2338" s="296"/>
    </row>
    <row r="2339" spans="3:103" s="19" customFormat="1" ht="12">
      <c r="C2339" s="21"/>
      <c r="D2339" s="21"/>
      <c r="E2339" s="21"/>
      <c r="F2339" s="21"/>
      <c r="G2339" s="21"/>
      <c r="H2339" s="21"/>
      <c r="I2339" s="21"/>
      <c r="J2339" s="21"/>
      <c r="K2339" s="21"/>
      <c r="L2339" s="21"/>
      <c r="M2339" s="21"/>
      <c r="N2339" s="21"/>
      <c r="O2339" s="21"/>
      <c r="P2339" s="21"/>
      <c r="Q2339" s="21"/>
      <c r="R2339" s="21"/>
      <c r="S2339" s="21"/>
      <c r="T2339" s="21"/>
      <c r="U2339" s="21"/>
      <c r="V2339" s="21"/>
      <c r="W2339" s="21"/>
      <c r="X2339" s="21"/>
      <c r="Y2339" s="21"/>
      <c r="Z2339" s="21"/>
      <c r="AA2339" s="21"/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W2339" s="296"/>
      <c r="CY2339" s="296"/>
    </row>
    <row r="2340" spans="3:103" s="19" customFormat="1" ht="12">
      <c r="C2340" s="21"/>
      <c r="D2340" s="21"/>
      <c r="E2340" s="21"/>
      <c r="F2340" s="21"/>
      <c r="G2340" s="21"/>
      <c r="H2340" s="21"/>
      <c r="I2340" s="21"/>
      <c r="J2340" s="21"/>
      <c r="K2340" s="21"/>
      <c r="L2340" s="21"/>
      <c r="M2340" s="21"/>
      <c r="N2340" s="21"/>
      <c r="O2340" s="21"/>
      <c r="P2340" s="21"/>
      <c r="Q2340" s="21"/>
      <c r="R2340" s="21"/>
      <c r="S2340" s="21"/>
      <c r="T2340" s="21"/>
      <c r="U2340" s="21"/>
      <c r="V2340" s="21"/>
      <c r="W2340" s="21"/>
      <c r="X2340" s="21"/>
      <c r="Y2340" s="21"/>
      <c r="Z2340" s="21"/>
      <c r="AA2340" s="21"/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W2340" s="296"/>
      <c r="CY2340" s="296"/>
    </row>
    <row r="2341" spans="3:103" s="19" customFormat="1" ht="12">
      <c r="C2341" s="21"/>
      <c r="D2341" s="21"/>
      <c r="E2341" s="21"/>
      <c r="F2341" s="21"/>
      <c r="G2341" s="21"/>
      <c r="H2341" s="21"/>
      <c r="I2341" s="21"/>
      <c r="J2341" s="21"/>
      <c r="K2341" s="21"/>
      <c r="L2341" s="21"/>
      <c r="M2341" s="21"/>
      <c r="N2341" s="21"/>
      <c r="O2341" s="21"/>
      <c r="P2341" s="21"/>
      <c r="Q2341" s="21"/>
      <c r="R2341" s="21"/>
      <c r="S2341" s="21"/>
      <c r="T2341" s="21"/>
      <c r="U2341" s="21"/>
      <c r="V2341" s="21"/>
      <c r="W2341" s="21"/>
      <c r="X2341" s="21"/>
      <c r="Y2341" s="21"/>
      <c r="Z2341" s="21"/>
      <c r="AA2341" s="21"/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W2341" s="296"/>
      <c r="CY2341" s="296"/>
    </row>
    <row r="2342" spans="3:103" s="19" customFormat="1" ht="12">
      <c r="C2342" s="21"/>
      <c r="D2342" s="21"/>
      <c r="E2342" s="21"/>
      <c r="F2342" s="21"/>
      <c r="G2342" s="21"/>
      <c r="H2342" s="21"/>
      <c r="I2342" s="21"/>
      <c r="J2342" s="21"/>
      <c r="K2342" s="21"/>
      <c r="L2342" s="21"/>
      <c r="M2342" s="21"/>
      <c r="N2342" s="21"/>
      <c r="O2342" s="21"/>
      <c r="P2342" s="21"/>
      <c r="Q2342" s="21"/>
      <c r="R2342" s="21"/>
      <c r="S2342" s="21"/>
      <c r="T2342" s="21"/>
      <c r="U2342" s="21"/>
      <c r="V2342" s="21"/>
      <c r="W2342" s="21"/>
      <c r="X2342" s="21"/>
      <c r="Y2342" s="21"/>
      <c r="Z2342" s="21"/>
      <c r="AA2342" s="21"/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W2342" s="296"/>
      <c r="CY2342" s="296"/>
    </row>
    <row r="2343" spans="3:103" s="19" customFormat="1" ht="12">
      <c r="C2343" s="21"/>
      <c r="D2343" s="21"/>
      <c r="E2343" s="21"/>
      <c r="F2343" s="21"/>
      <c r="G2343" s="21"/>
      <c r="H2343" s="21"/>
      <c r="I2343" s="21"/>
      <c r="J2343" s="21"/>
      <c r="K2343" s="21"/>
      <c r="L2343" s="21"/>
      <c r="M2343" s="21"/>
      <c r="N2343" s="21"/>
      <c r="O2343" s="21"/>
      <c r="P2343" s="21"/>
      <c r="Q2343" s="21"/>
      <c r="R2343" s="21"/>
      <c r="S2343" s="21"/>
      <c r="T2343" s="21"/>
      <c r="U2343" s="21"/>
      <c r="V2343" s="21"/>
      <c r="W2343" s="21"/>
      <c r="X2343" s="21"/>
      <c r="Y2343" s="21"/>
      <c r="Z2343" s="21"/>
      <c r="AA2343" s="21"/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W2343" s="296"/>
      <c r="CY2343" s="296"/>
    </row>
    <row r="2344" spans="3:103" s="19" customFormat="1" ht="12">
      <c r="C2344" s="21"/>
      <c r="D2344" s="21"/>
      <c r="E2344" s="21"/>
      <c r="F2344" s="21"/>
      <c r="G2344" s="21"/>
      <c r="H2344" s="21"/>
      <c r="I2344" s="21"/>
      <c r="J2344" s="21"/>
      <c r="K2344" s="21"/>
      <c r="L2344" s="21"/>
      <c r="M2344" s="21"/>
      <c r="N2344" s="21"/>
      <c r="O2344" s="21"/>
      <c r="P2344" s="21"/>
      <c r="Q2344" s="21"/>
      <c r="R2344" s="21"/>
      <c r="S2344" s="21"/>
      <c r="T2344" s="21"/>
      <c r="U2344" s="21"/>
      <c r="V2344" s="21"/>
      <c r="W2344" s="21"/>
      <c r="X2344" s="21"/>
      <c r="Y2344" s="21"/>
      <c r="Z2344" s="21"/>
      <c r="AA2344" s="21"/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W2344" s="296"/>
      <c r="CY2344" s="296"/>
    </row>
    <row r="2345" spans="3:103" s="19" customFormat="1" ht="12">
      <c r="C2345" s="21"/>
      <c r="D2345" s="21"/>
      <c r="E2345" s="21"/>
      <c r="F2345" s="21"/>
      <c r="G2345" s="21"/>
      <c r="H2345" s="21"/>
      <c r="I2345" s="21"/>
      <c r="J2345" s="21"/>
      <c r="K2345" s="21"/>
      <c r="L2345" s="21"/>
      <c r="M2345" s="21"/>
      <c r="N2345" s="21"/>
      <c r="O2345" s="21"/>
      <c r="P2345" s="21"/>
      <c r="Q2345" s="21"/>
      <c r="R2345" s="21"/>
      <c r="S2345" s="21"/>
      <c r="T2345" s="21"/>
      <c r="U2345" s="21"/>
      <c r="V2345" s="21"/>
      <c r="W2345" s="21"/>
      <c r="X2345" s="21"/>
      <c r="Y2345" s="21"/>
      <c r="Z2345" s="21"/>
      <c r="AA2345" s="21"/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W2345" s="296"/>
      <c r="CY2345" s="296"/>
    </row>
    <row r="2346" spans="3:103" s="19" customFormat="1" ht="12">
      <c r="C2346" s="21"/>
      <c r="D2346" s="21"/>
      <c r="E2346" s="21"/>
      <c r="F2346" s="21"/>
      <c r="G2346" s="21"/>
      <c r="H2346" s="21"/>
      <c r="I2346" s="21"/>
      <c r="J2346" s="21"/>
      <c r="K2346" s="21"/>
      <c r="L2346" s="21"/>
      <c r="M2346" s="21"/>
      <c r="N2346" s="21"/>
      <c r="O2346" s="21"/>
      <c r="P2346" s="21"/>
      <c r="Q2346" s="21"/>
      <c r="R2346" s="21"/>
      <c r="S2346" s="21"/>
      <c r="T2346" s="21"/>
      <c r="U2346" s="21"/>
      <c r="V2346" s="21"/>
      <c r="W2346" s="21"/>
      <c r="X2346" s="21"/>
      <c r="Y2346" s="21"/>
      <c r="Z2346" s="21"/>
      <c r="AA2346" s="21"/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W2346" s="296"/>
      <c r="CY2346" s="296"/>
    </row>
    <row r="2347" spans="3:103" s="19" customFormat="1" ht="12">
      <c r="C2347" s="21"/>
      <c r="D2347" s="21"/>
      <c r="E2347" s="21"/>
      <c r="F2347" s="21"/>
      <c r="G2347" s="21"/>
      <c r="H2347" s="21"/>
      <c r="I2347" s="21"/>
      <c r="J2347" s="21"/>
      <c r="K2347" s="21"/>
      <c r="L2347" s="21"/>
      <c r="M2347" s="21"/>
      <c r="N2347" s="21"/>
      <c r="O2347" s="21"/>
      <c r="P2347" s="21"/>
      <c r="Q2347" s="21"/>
      <c r="R2347" s="21"/>
      <c r="S2347" s="21"/>
      <c r="T2347" s="21"/>
      <c r="U2347" s="21"/>
      <c r="V2347" s="21"/>
      <c r="W2347" s="21"/>
      <c r="X2347" s="21"/>
      <c r="Y2347" s="21"/>
      <c r="Z2347" s="21"/>
      <c r="AA2347" s="21"/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W2347" s="296"/>
      <c r="CY2347" s="296"/>
    </row>
    <row r="2348" spans="3:103" s="19" customFormat="1" ht="12">
      <c r="C2348" s="21"/>
      <c r="D2348" s="21"/>
      <c r="E2348" s="21"/>
      <c r="F2348" s="21"/>
      <c r="G2348" s="21"/>
      <c r="H2348" s="21"/>
      <c r="I2348" s="21"/>
      <c r="J2348" s="21"/>
      <c r="K2348" s="21"/>
      <c r="L2348" s="21"/>
      <c r="M2348" s="21"/>
      <c r="N2348" s="21"/>
      <c r="O2348" s="21"/>
      <c r="P2348" s="21"/>
      <c r="Q2348" s="21"/>
      <c r="R2348" s="21"/>
      <c r="S2348" s="21"/>
      <c r="T2348" s="21"/>
      <c r="U2348" s="21"/>
      <c r="V2348" s="21"/>
      <c r="W2348" s="21"/>
      <c r="X2348" s="21"/>
      <c r="Y2348" s="21"/>
      <c r="Z2348" s="21"/>
      <c r="AA2348" s="21"/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W2348" s="296"/>
      <c r="CY2348" s="296"/>
    </row>
    <row r="2349" spans="3:103" s="19" customFormat="1" ht="12">
      <c r="C2349" s="21"/>
      <c r="D2349" s="21"/>
      <c r="E2349" s="21"/>
      <c r="F2349" s="21"/>
      <c r="G2349" s="21"/>
      <c r="H2349" s="21"/>
      <c r="I2349" s="21"/>
      <c r="J2349" s="21"/>
      <c r="K2349" s="21"/>
      <c r="L2349" s="21"/>
      <c r="M2349" s="21"/>
      <c r="N2349" s="21"/>
      <c r="O2349" s="21"/>
      <c r="P2349" s="21"/>
      <c r="Q2349" s="21"/>
      <c r="R2349" s="21"/>
      <c r="S2349" s="21"/>
      <c r="T2349" s="21"/>
      <c r="U2349" s="21"/>
      <c r="V2349" s="21"/>
      <c r="W2349" s="21"/>
      <c r="X2349" s="21"/>
      <c r="Y2349" s="21"/>
      <c r="Z2349" s="21"/>
      <c r="AA2349" s="21"/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W2349" s="296"/>
      <c r="CY2349" s="296"/>
    </row>
    <row r="2350" spans="3:103" s="19" customFormat="1" ht="12">
      <c r="C2350" s="21"/>
      <c r="D2350" s="21"/>
      <c r="E2350" s="21"/>
      <c r="F2350" s="21"/>
      <c r="G2350" s="21"/>
      <c r="H2350" s="21"/>
      <c r="I2350" s="21"/>
      <c r="J2350" s="21"/>
      <c r="K2350" s="21"/>
      <c r="L2350" s="21"/>
      <c r="M2350" s="21"/>
      <c r="N2350" s="21"/>
      <c r="O2350" s="21"/>
      <c r="P2350" s="21"/>
      <c r="Q2350" s="21"/>
      <c r="R2350" s="21"/>
      <c r="S2350" s="21"/>
      <c r="T2350" s="21"/>
      <c r="U2350" s="21"/>
      <c r="V2350" s="21"/>
      <c r="W2350" s="21"/>
      <c r="X2350" s="21"/>
      <c r="Y2350" s="21"/>
      <c r="Z2350" s="21"/>
      <c r="AA2350" s="21"/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W2350" s="296"/>
      <c r="CY2350" s="296"/>
    </row>
    <row r="2351" spans="3:103" s="19" customFormat="1" ht="12">
      <c r="C2351" s="21"/>
      <c r="D2351" s="21"/>
      <c r="E2351" s="21"/>
      <c r="F2351" s="21"/>
      <c r="G2351" s="21"/>
      <c r="H2351" s="21"/>
      <c r="I2351" s="21"/>
      <c r="J2351" s="21"/>
      <c r="K2351" s="21"/>
      <c r="L2351" s="21"/>
      <c r="M2351" s="21"/>
      <c r="N2351" s="21"/>
      <c r="O2351" s="21"/>
      <c r="P2351" s="21"/>
      <c r="Q2351" s="21"/>
      <c r="R2351" s="21"/>
      <c r="S2351" s="21"/>
      <c r="T2351" s="21"/>
      <c r="U2351" s="21"/>
      <c r="V2351" s="21"/>
      <c r="W2351" s="21"/>
      <c r="X2351" s="21"/>
      <c r="Y2351" s="21"/>
      <c r="Z2351" s="21"/>
      <c r="AA2351" s="21"/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W2351" s="296"/>
      <c r="CY2351" s="296"/>
    </row>
    <row r="2352" spans="3:103" s="19" customFormat="1" ht="12">
      <c r="C2352" s="21"/>
      <c r="D2352" s="21"/>
      <c r="E2352" s="21"/>
      <c r="F2352" s="21"/>
      <c r="G2352" s="21"/>
      <c r="H2352" s="21"/>
      <c r="I2352" s="21"/>
      <c r="J2352" s="21"/>
      <c r="K2352" s="21"/>
      <c r="L2352" s="21"/>
      <c r="M2352" s="21"/>
      <c r="N2352" s="21"/>
      <c r="O2352" s="21"/>
      <c r="P2352" s="21"/>
      <c r="Q2352" s="21"/>
      <c r="R2352" s="21"/>
      <c r="S2352" s="21"/>
      <c r="T2352" s="21"/>
      <c r="U2352" s="21"/>
      <c r="V2352" s="21"/>
      <c r="W2352" s="21"/>
      <c r="X2352" s="21"/>
      <c r="Y2352" s="21"/>
      <c r="Z2352" s="21"/>
      <c r="AA2352" s="21"/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W2352" s="296"/>
      <c r="CY2352" s="296"/>
    </row>
    <row r="2353" spans="3:103" s="19" customFormat="1" ht="12">
      <c r="C2353" s="21"/>
      <c r="D2353" s="21"/>
      <c r="E2353" s="21"/>
      <c r="F2353" s="21"/>
      <c r="G2353" s="21"/>
      <c r="H2353" s="21"/>
      <c r="I2353" s="21"/>
      <c r="J2353" s="21"/>
      <c r="K2353" s="21"/>
      <c r="L2353" s="21"/>
      <c r="M2353" s="21"/>
      <c r="N2353" s="21"/>
      <c r="O2353" s="21"/>
      <c r="P2353" s="21"/>
      <c r="Q2353" s="21"/>
      <c r="R2353" s="21"/>
      <c r="S2353" s="21"/>
      <c r="T2353" s="21"/>
      <c r="U2353" s="21"/>
      <c r="V2353" s="21"/>
      <c r="W2353" s="21"/>
      <c r="X2353" s="21"/>
      <c r="Y2353" s="21"/>
      <c r="Z2353" s="21"/>
      <c r="AA2353" s="21"/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W2353" s="296"/>
      <c r="CY2353" s="296"/>
    </row>
    <row r="2354" spans="3:103" s="19" customFormat="1" ht="12">
      <c r="C2354" s="21"/>
      <c r="D2354" s="21"/>
      <c r="E2354" s="21"/>
      <c r="F2354" s="21"/>
      <c r="G2354" s="21"/>
      <c r="H2354" s="21"/>
      <c r="I2354" s="21"/>
      <c r="J2354" s="21"/>
      <c r="K2354" s="21"/>
      <c r="L2354" s="21"/>
      <c r="M2354" s="21"/>
      <c r="N2354" s="21"/>
      <c r="O2354" s="21"/>
      <c r="P2354" s="21"/>
      <c r="Q2354" s="21"/>
      <c r="R2354" s="21"/>
      <c r="S2354" s="21"/>
      <c r="T2354" s="21"/>
      <c r="U2354" s="21"/>
      <c r="V2354" s="21"/>
      <c r="W2354" s="21"/>
      <c r="X2354" s="21"/>
      <c r="Y2354" s="21"/>
      <c r="Z2354" s="21"/>
      <c r="AA2354" s="21"/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W2354" s="296"/>
      <c r="CY2354" s="296"/>
    </row>
    <row r="2355" spans="3:103" s="19" customFormat="1" ht="12">
      <c r="C2355" s="21"/>
      <c r="D2355" s="21"/>
      <c r="E2355" s="21"/>
      <c r="F2355" s="21"/>
      <c r="G2355" s="21"/>
      <c r="H2355" s="21"/>
      <c r="I2355" s="21"/>
      <c r="J2355" s="21"/>
      <c r="K2355" s="21"/>
      <c r="L2355" s="21"/>
      <c r="M2355" s="21"/>
      <c r="N2355" s="21"/>
      <c r="O2355" s="21"/>
      <c r="P2355" s="21"/>
      <c r="Q2355" s="21"/>
      <c r="R2355" s="21"/>
      <c r="S2355" s="21"/>
      <c r="T2355" s="21"/>
      <c r="U2355" s="21"/>
      <c r="V2355" s="21"/>
      <c r="W2355" s="21"/>
      <c r="X2355" s="21"/>
      <c r="Y2355" s="21"/>
      <c r="Z2355" s="21"/>
      <c r="AA2355" s="21"/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W2355" s="296"/>
      <c r="CY2355" s="296"/>
    </row>
    <row r="2356" spans="3:103" s="19" customFormat="1" ht="12">
      <c r="C2356" s="21"/>
      <c r="D2356" s="21"/>
      <c r="E2356" s="21"/>
      <c r="F2356" s="21"/>
      <c r="G2356" s="21"/>
      <c r="H2356" s="21"/>
      <c r="I2356" s="21"/>
      <c r="J2356" s="21"/>
      <c r="K2356" s="21"/>
      <c r="L2356" s="21"/>
      <c r="M2356" s="21"/>
      <c r="N2356" s="21"/>
      <c r="O2356" s="21"/>
      <c r="P2356" s="21"/>
      <c r="Q2356" s="21"/>
      <c r="R2356" s="21"/>
      <c r="S2356" s="21"/>
      <c r="T2356" s="21"/>
      <c r="U2356" s="21"/>
      <c r="V2356" s="21"/>
      <c r="W2356" s="21"/>
      <c r="X2356" s="21"/>
      <c r="Y2356" s="21"/>
      <c r="Z2356" s="21"/>
      <c r="AA2356" s="21"/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W2356" s="296"/>
      <c r="CY2356" s="296"/>
    </row>
    <row r="2357" spans="3:103" s="19" customFormat="1" ht="12">
      <c r="C2357" s="21"/>
      <c r="D2357" s="21"/>
      <c r="E2357" s="21"/>
      <c r="F2357" s="21"/>
      <c r="G2357" s="21"/>
      <c r="H2357" s="21"/>
      <c r="I2357" s="21"/>
      <c r="J2357" s="21"/>
      <c r="K2357" s="21"/>
      <c r="L2357" s="21"/>
      <c r="M2357" s="21"/>
      <c r="N2357" s="21"/>
      <c r="O2357" s="21"/>
      <c r="P2357" s="21"/>
      <c r="Q2357" s="21"/>
      <c r="R2357" s="21"/>
      <c r="S2357" s="21"/>
      <c r="T2357" s="21"/>
      <c r="U2357" s="21"/>
      <c r="V2357" s="21"/>
      <c r="W2357" s="21"/>
      <c r="X2357" s="21"/>
      <c r="Y2357" s="21"/>
      <c r="Z2357" s="21"/>
      <c r="AA2357" s="21"/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W2357" s="296"/>
      <c r="CY2357" s="296"/>
    </row>
    <row r="2358" spans="3:103" s="19" customFormat="1" ht="12">
      <c r="C2358" s="21"/>
      <c r="D2358" s="21"/>
      <c r="E2358" s="21"/>
      <c r="F2358" s="21"/>
      <c r="G2358" s="21"/>
      <c r="H2358" s="21"/>
      <c r="I2358" s="21"/>
      <c r="J2358" s="21"/>
      <c r="K2358" s="21"/>
      <c r="L2358" s="21"/>
      <c r="M2358" s="21"/>
      <c r="N2358" s="21"/>
      <c r="O2358" s="21"/>
      <c r="P2358" s="21"/>
      <c r="Q2358" s="21"/>
      <c r="R2358" s="21"/>
      <c r="S2358" s="21"/>
      <c r="T2358" s="21"/>
      <c r="U2358" s="21"/>
      <c r="V2358" s="21"/>
      <c r="W2358" s="21"/>
      <c r="X2358" s="21"/>
      <c r="Y2358" s="21"/>
      <c r="Z2358" s="21"/>
      <c r="AA2358" s="21"/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W2358" s="296"/>
      <c r="CY2358" s="296"/>
    </row>
    <row r="2359" spans="3:103" s="19" customFormat="1" ht="12">
      <c r="C2359" s="21"/>
      <c r="D2359" s="21"/>
      <c r="E2359" s="21"/>
      <c r="F2359" s="21"/>
      <c r="G2359" s="21"/>
      <c r="H2359" s="21"/>
      <c r="I2359" s="21"/>
      <c r="J2359" s="21"/>
      <c r="K2359" s="21"/>
      <c r="L2359" s="21"/>
      <c r="M2359" s="21"/>
      <c r="N2359" s="21"/>
      <c r="O2359" s="21"/>
      <c r="P2359" s="21"/>
      <c r="Q2359" s="21"/>
      <c r="R2359" s="21"/>
      <c r="S2359" s="21"/>
      <c r="T2359" s="21"/>
      <c r="U2359" s="21"/>
      <c r="V2359" s="21"/>
      <c r="W2359" s="21"/>
      <c r="X2359" s="21"/>
      <c r="Y2359" s="21"/>
      <c r="Z2359" s="21"/>
      <c r="AA2359" s="21"/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W2359" s="296"/>
      <c r="CY2359" s="296"/>
    </row>
    <row r="2360" spans="3:103" s="19" customFormat="1" ht="12">
      <c r="C2360" s="21"/>
      <c r="D2360" s="21"/>
      <c r="E2360" s="21"/>
      <c r="F2360" s="21"/>
      <c r="G2360" s="21"/>
      <c r="H2360" s="21"/>
      <c r="I2360" s="21"/>
      <c r="J2360" s="21"/>
      <c r="K2360" s="21"/>
      <c r="L2360" s="21"/>
      <c r="M2360" s="21"/>
      <c r="N2360" s="21"/>
      <c r="O2360" s="21"/>
      <c r="P2360" s="21"/>
      <c r="Q2360" s="21"/>
      <c r="R2360" s="21"/>
      <c r="S2360" s="21"/>
      <c r="T2360" s="21"/>
      <c r="U2360" s="21"/>
      <c r="V2360" s="21"/>
      <c r="W2360" s="21"/>
      <c r="X2360" s="21"/>
      <c r="Y2360" s="21"/>
      <c r="Z2360" s="21"/>
      <c r="AA2360" s="21"/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W2360" s="296"/>
      <c r="CY2360" s="296"/>
    </row>
    <row r="2361" spans="3:103" s="19" customFormat="1" ht="12">
      <c r="C2361" s="21"/>
      <c r="D2361" s="21"/>
      <c r="E2361" s="21"/>
      <c r="F2361" s="21"/>
      <c r="G2361" s="21"/>
      <c r="H2361" s="21"/>
      <c r="I2361" s="21"/>
      <c r="J2361" s="21"/>
      <c r="K2361" s="21"/>
      <c r="L2361" s="21"/>
      <c r="M2361" s="21"/>
      <c r="N2361" s="21"/>
      <c r="O2361" s="21"/>
      <c r="P2361" s="21"/>
      <c r="Q2361" s="21"/>
      <c r="R2361" s="21"/>
      <c r="S2361" s="21"/>
      <c r="T2361" s="21"/>
      <c r="U2361" s="21"/>
      <c r="V2361" s="21"/>
      <c r="W2361" s="21"/>
      <c r="X2361" s="21"/>
      <c r="Y2361" s="21"/>
      <c r="Z2361" s="21"/>
      <c r="AA2361" s="21"/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W2361" s="296"/>
      <c r="CY2361" s="296"/>
    </row>
    <row r="2362" spans="3:103" s="19" customFormat="1" ht="12">
      <c r="C2362" s="21"/>
      <c r="D2362" s="21"/>
      <c r="E2362" s="21"/>
      <c r="F2362" s="21"/>
      <c r="G2362" s="21"/>
      <c r="H2362" s="21"/>
      <c r="I2362" s="21"/>
      <c r="J2362" s="21"/>
      <c r="K2362" s="21"/>
      <c r="L2362" s="21"/>
      <c r="M2362" s="21"/>
      <c r="N2362" s="21"/>
      <c r="O2362" s="21"/>
      <c r="P2362" s="21"/>
      <c r="Q2362" s="21"/>
      <c r="R2362" s="21"/>
      <c r="S2362" s="21"/>
      <c r="T2362" s="21"/>
      <c r="U2362" s="21"/>
      <c r="V2362" s="21"/>
      <c r="W2362" s="21"/>
      <c r="X2362" s="21"/>
      <c r="Y2362" s="21"/>
      <c r="Z2362" s="21"/>
      <c r="AA2362" s="21"/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W2362" s="296"/>
      <c r="CY2362" s="296"/>
    </row>
    <row r="2363" spans="3:103" s="19" customFormat="1" ht="12">
      <c r="C2363" s="21"/>
      <c r="D2363" s="21"/>
      <c r="E2363" s="21"/>
      <c r="F2363" s="21"/>
      <c r="G2363" s="21"/>
      <c r="H2363" s="21"/>
      <c r="I2363" s="21"/>
      <c r="J2363" s="21"/>
      <c r="K2363" s="21"/>
      <c r="L2363" s="21"/>
      <c r="M2363" s="21"/>
      <c r="N2363" s="21"/>
      <c r="O2363" s="21"/>
      <c r="P2363" s="21"/>
      <c r="Q2363" s="21"/>
      <c r="R2363" s="21"/>
      <c r="S2363" s="21"/>
      <c r="T2363" s="21"/>
      <c r="U2363" s="21"/>
      <c r="V2363" s="21"/>
      <c r="W2363" s="21"/>
      <c r="X2363" s="21"/>
      <c r="Y2363" s="21"/>
      <c r="Z2363" s="21"/>
      <c r="AA2363" s="21"/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W2363" s="296"/>
      <c r="CY2363" s="296"/>
    </row>
    <row r="2364" spans="3:103" s="19" customFormat="1" ht="12">
      <c r="C2364" s="21"/>
      <c r="D2364" s="21"/>
      <c r="E2364" s="21"/>
      <c r="F2364" s="21"/>
      <c r="G2364" s="21"/>
      <c r="H2364" s="21"/>
      <c r="I2364" s="21"/>
      <c r="J2364" s="21"/>
      <c r="K2364" s="21"/>
      <c r="L2364" s="21"/>
      <c r="M2364" s="21"/>
      <c r="N2364" s="21"/>
      <c r="O2364" s="21"/>
      <c r="P2364" s="21"/>
      <c r="Q2364" s="21"/>
      <c r="R2364" s="21"/>
      <c r="S2364" s="21"/>
      <c r="T2364" s="21"/>
      <c r="U2364" s="21"/>
      <c r="V2364" s="21"/>
      <c r="W2364" s="21"/>
      <c r="X2364" s="21"/>
      <c r="Y2364" s="21"/>
      <c r="Z2364" s="21"/>
      <c r="AA2364" s="21"/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W2364" s="296"/>
      <c r="CY2364" s="296"/>
    </row>
    <row r="2365" spans="3:103" s="19" customFormat="1" ht="12">
      <c r="C2365" s="21"/>
      <c r="D2365" s="21"/>
      <c r="E2365" s="21"/>
      <c r="F2365" s="21"/>
      <c r="G2365" s="21"/>
      <c r="H2365" s="21"/>
      <c r="I2365" s="21"/>
      <c r="J2365" s="21"/>
      <c r="K2365" s="21"/>
      <c r="L2365" s="21"/>
      <c r="M2365" s="21"/>
      <c r="N2365" s="21"/>
      <c r="O2365" s="21"/>
      <c r="P2365" s="21"/>
      <c r="Q2365" s="21"/>
      <c r="R2365" s="21"/>
      <c r="S2365" s="21"/>
      <c r="T2365" s="21"/>
      <c r="U2365" s="21"/>
      <c r="V2365" s="21"/>
      <c r="W2365" s="21"/>
      <c r="X2365" s="21"/>
      <c r="Y2365" s="21"/>
      <c r="Z2365" s="21"/>
      <c r="AA2365" s="21"/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W2365" s="296"/>
      <c r="CY2365" s="296"/>
    </row>
    <row r="2366" spans="3:103" s="19" customFormat="1" ht="12">
      <c r="C2366" s="21"/>
      <c r="D2366" s="21"/>
      <c r="E2366" s="21"/>
      <c r="F2366" s="21"/>
      <c r="G2366" s="21"/>
      <c r="H2366" s="21"/>
      <c r="I2366" s="21"/>
      <c r="J2366" s="21"/>
      <c r="K2366" s="21"/>
      <c r="L2366" s="21"/>
      <c r="M2366" s="21"/>
      <c r="N2366" s="21"/>
      <c r="O2366" s="21"/>
      <c r="P2366" s="21"/>
      <c r="Q2366" s="21"/>
      <c r="R2366" s="21"/>
      <c r="S2366" s="21"/>
      <c r="T2366" s="21"/>
      <c r="U2366" s="21"/>
      <c r="V2366" s="21"/>
      <c r="W2366" s="21"/>
      <c r="X2366" s="21"/>
      <c r="Y2366" s="21"/>
      <c r="Z2366" s="21"/>
      <c r="AA2366" s="21"/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W2366" s="296"/>
      <c r="CY2366" s="296"/>
    </row>
    <row r="2367" spans="3:103" s="19" customFormat="1" ht="12">
      <c r="C2367" s="21"/>
      <c r="D2367" s="21"/>
      <c r="E2367" s="21"/>
      <c r="F2367" s="21"/>
      <c r="G2367" s="21"/>
      <c r="H2367" s="21"/>
      <c r="I2367" s="21"/>
      <c r="J2367" s="21"/>
      <c r="K2367" s="21"/>
      <c r="L2367" s="21"/>
      <c r="M2367" s="21"/>
      <c r="N2367" s="21"/>
      <c r="O2367" s="21"/>
      <c r="P2367" s="21"/>
      <c r="Q2367" s="21"/>
      <c r="R2367" s="21"/>
      <c r="S2367" s="21"/>
      <c r="T2367" s="21"/>
      <c r="U2367" s="21"/>
      <c r="V2367" s="21"/>
      <c r="W2367" s="21"/>
      <c r="X2367" s="21"/>
      <c r="Y2367" s="21"/>
      <c r="Z2367" s="21"/>
      <c r="AA2367" s="21"/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W2367" s="296"/>
      <c r="CY2367" s="296"/>
    </row>
    <row r="2368" spans="3:103" s="19" customFormat="1" ht="12">
      <c r="C2368" s="21"/>
      <c r="D2368" s="21"/>
      <c r="E2368" s="21"/>
      <c r="F2368" s="21"/>
      <c r="G2368" s="21"/>
      <c r="H2368" s="21"/>
      <c r="I2368" s="21"/>
      <c r="J2368" s="21"/>
      <c r="K2368" s="21"/>
      <c r="L2368" s="21"/>
      <c r="M2368" s="21"/>
      <c r="N2368" s="21"/>
      <c r="O2368" s="21"/>
      <c r="P2368" s="21"/>
      <c r="Q2368" s="21"/>
      <c r="R2368" s="21"/>
      <c r="S2368" s="21"/>
      <c r="T2368" s="21"/>
      <c r="U2368" s="21"/>
      <c r="V2368" s="21"/>
      <c r="W2368" s="21"/>
      <c r="X2368" s="21"/>
      <c r="Y2368" s="21"/>
      <c r="Z2368" s="21"/>
      <c r="AA2368" s="21"/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W2368" s="296"/>
      <c r="CY2368" s="296"/>
    </row>
    <row r="2369" spans="3:103" s="19" customFormat="1" ht="12">
      <c r="C2369" s="21"/>
      <c r="D2369" s="21"/>
      <c r="E2369" s="21"/>
      <c r="F2369" s="21"/>
      <c r="G2369" s="21"/>
      <c r="H2369" s="21"/>
      <c r="I2369" s="21"/>
      <c r="J2369" s="21"/>
      <c r="K2369" s="21"/>
      <c r="L2369" s="21"/>
      <c r="M2369" s="21"/>
      <c r="N2369" s="21"/>
      <c r="O2369" s="21"/>
      <c r="P2369" s="21"/>
      <c r="Q2369" s="21"/>
      <c r="R2369" s="21"/>
      <c r="S2369" s="21"/>
      <c r="T2369" s="21"/>
      <c r="U2369" s="21"/>
      <c r="V2369" s="21"/>
      <c r="W2369" s="21"/>
      <c r="X2369" s="21"/>
      <c r="Y2369" s="21"/>
      <c r="Z2369" s="21"/>
      <c r="AA2369" s="21"/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W2369" s="296"/>
      <c r="CY2369" s="296"/>
    </row>
    <row r="2370" spans="3:103" s="19" customFormat="1" ht="12">
      <c r="C2370" s="21"/>
      <c r="D2370" s="21"/>
      <c r="E2370" s="21"/>
      <c r="F2370" s="21"/>
      <c r="G2370" s="21"/>
      <c r="H2370" s="21"/>
      <c r="I2370" s="21"/>
      <c r="J2370" s="21"/>
      <c r="K2370" s="21"/>
      <c r="L2370" s="21"/>
      <c r="M2370" s="21"/>
      <c r="N2370" s="21"/>
      <c r="O2370" s="21"/>
      <c r="P2370" s="21"/>
      <c r="Q2370" s="21"/>
      <c r="R2370" s="21"/>
      <c r="S2370" s="21"/>
      <c r="T2370" s="21"/>
      <c r="U2370" s="21"/>
      <c r="V2370" s="21"/>
      <c r="W2370" s="21"/>
      <c r="X2370" s="21"/>
      <c r="Y2370" s="21"/>
      <c r="Z2370" s="21"/>
      <c r="AA2370" s="21"/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W2370" s="296"/>
      <c r="CY2370" s="296"/>
    </row>
    <row r="2371" spans="3:103" s="19" customFormat="1" ht="12">
      <c r="C2371" s="21"/>
      <c r="D2371" s="21"/>
      <c r="E2371" s="21"/>
      <c r="F2371" s="21"/>
      <c r="G2371" s="21"/>
      <c r="H2371" s="21"/>
      <c r="I2371" s="21"/>
      <c r="J2371" s="21"/>
      <c r="K2371" s="21"/>
      <c r="L2371" s="21"/>
      <c r="M2371" s="21"/>
      <c r="N2371" s="21"/>
      <c r="O2371" s="21"/>
      <c r="P2371" s="21"/>
      <c r="Q2371" s="21"/>
      <c r="R2371" s="21"/>
      <c r="S2371" s="21"/>
      <c r="T2371" s="21"/>
      <c r="U2371" s="21"/>
      <c r="V2371" s="21"/>
      <c r="W2371" s="21"/>
      <c r="X2371" s="21"/>
      <c r="Y2371" s="21"/>
      <c r="Z2371" s="21"/>
      <c r="AA2371" s="21"/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W2371" s="296"/>
      <c r="CY2371" s="296"/>
    </row>
    <row r="2372" spans="3:103" s="19" customFormat="1" ht="12">
      <c r="C2372" s="21"/>
      <c r="D2372" s="21"/>
      <c r="E2372" s="21"/>
      <c r="F2372" s="21"/>
      <c r="G2372" s="21"/>
      <c r="H2372" s="21"/>
      <c r="I2372" s="21"/>
      <c r="J2372" s="21"/>
      <c r="K2372" s="21"/>
      <c r="L2372" s="21"/>
      <c r="M2372" s="21"/>
      <c r="N2372" s="21"/>
      <c r="O2372" s="21"/>
      <c r="P2372" s="21"/>
      <c r="Q2372" s="21"/>
      <c r="R2372" s="21"/>
      <c r="S2372" s="21"/>
      <c r="T2372" s="21"/>
      <c r="U2372" s="21"/>
      <c r="V2372" s="21"/>
      <c r="W2372" s="21"/>
      <c r="X2372" s="21"/>
      <c r="Y2372" s="21"/>
      <c r="Z2372" s="21"/>
      <c r="AA2372" s="21"/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W2372" s="296"/>
      <c r="CY2372" s="296"/>
    </row>
    <row r="2373" spans="3:103" s="19" customFormat="1" ht="12">
      <c r="C2373" s="21"/>
      <c r="D2373" s="21"/>
      <c r="E2373" s="21"/>
      <c r="F2373" s="21"/>
      <c r="G2373" s="21"/>
      <c r="H2373" s="21"/>
      <c r="I2373" s="21"/>
      <c r="J2373" s="21"/>
      <c r="K2373" s="21"/>
      <c r="L2373" s="21"/>
      <c r="M2373" s="21"/>
      <c r="N2373" s="21"/>
      <c r="O2373" s="21"/>
      <c r="P2373" s="21"/>
      <c r="Q2373" s="21"/>
      <c r="R2373" s="21"/>
      <c r="S2373" s="21"/>
      <c r="T2373" s="21"/>
      <c r="U2373" s="21"/>
      <c r="V2373" s="21"/>
      <c r="W2373" s="21"/>
      <c r="X2373" s="21"/>
      <c r="Y2373" s="21"/>
      <c r="Z2373" s="21"/>
      <c r="AA2373" s="21"/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W2373" s="296"/>
      <c r="CY2373" s="296"/>
    </row>
    <row r="2374" spans="3:103" s="19" customFormat="1" ht="12">
      <c r="C2374" s="21"/>
      <c r="D2374" s="21"/>
      <c r="E2374" s="21"/>
      <c r="F2374" s="21"/>
      <c r="G2374" s="21"/>
      <c r="H2374" s="21"/>
      <c r="I2374" s="21"/>
      <c r="J2374" s="21"/>
      <c r="K2374" s="21"/>
      <c r="L2374" s="21"/>
      <c r="M2374" s="21"/>
      <c r="N2374" s="21"/>
      <c r="O2374" s="21"/>
      <c r="P2374" s="21"/>
      <c r="Q2374" s="21"/>
      <c r="R2374" s="21"/>
      <c r="S2374" s="21"/>
      <c r="T2374" s="21"/>
      <c r="U2374" s="21"/>
      <c r="V2374" s="21"/>
      <c r="W2374" s="21"/>
      <c r="X2374" s="21"/>
      <c r="Y2374" s="21"/>
      <c r="Z2374" s="21"/>
      <c r="AA2374" s="21"/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W2374" s="296"/>
      <c r="CY2374" s="296"/>
    </row>
    <row r="2375" spans="3:103" s="19" customFormat="1" ht="12">
      <c r="C2375" s="21"/>
      <c r="D2375" s="21"/>
      <c r="E2375" s="21"/>
      <c r="F2375" s="21"/>
      <c r="G2375" s="21"/>
      <c r="H2375" s="21"/>
      <c r="I2375" s="21"/>
      <c r="J2375" s="21"/>
      <c r="K2375" s="21"/>
      <c r="L2375" s="21"/>
      <c r="M2375" s="21"/>
      <c r="N2375" s="21"/>
      <c r="O2375" s="21"/>
      <c r="P2375" s="21"/>
      <c r="Q2375" s="21"/>
      <c r="R2375" s="21"/>
      <c r="S2375" s="21"/>
      <c r="T2375" s="21"/>
      <c r="U2375" s="21"/>
      <c r="V2375" s="21"/>
      <c r="W2375" s="21"/>
      <c r="X2375" s="21"/>
      <c r="Y2375" s="21"/>
      <c r="Z2375" s="21"/>
      <c r="AA2375" s="21"/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W2375" s="296"/>
      <c r="CY2375" s="296"/>
    </row>
    <row r="2376" spans="3:103" s="19" customFormat="1" ht="12">
      <c r="C2376" s="21"/>
      <c r="D2376" s="21"/>
      <c r="E2376" s="21"/>
      <c r="F2376" s="21"/>
      <c r="G2376" s="21"/>
      <c r="H2376" s="21"/>
      <c r="I2376" s="21"/>
      <c r="J2376" s="21"/>
      <c r="K2376" s="21"/>
      <c r="L2376" s="21"/>
      <c r="M2376" s="21"/>
      <c r="N2376" s="21"/>
      <c r="O2376" s="21"/>
      <c r="P2376" s="21"/>
      <c r="Q2376" s="21"/>
      <c r="R2376" s="21"/>
      <c r="S2376" s="21"/>
      <c r="T2376" s="21"/>
      <c r="U2376" s="21"/>
      <c r="V2376" s="21"/>
      <c r="W2376" s="21"/>
      <c r="X2376" s="21"/>
      <c r="Y2376" s="21"/>
      <c r="Z2376" s="21"/>
      <c r="AA2376" s="21"/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W2376" s="296"/>
      <c r="CY2376" s="296"/>
    </row>
    <row r="2377" spans="3:103" s="19" customFormat="1" ht="12">
      <c r="C2377" s="21"/>
      <c r="D2377" s="21"/>
      <c r="E2377" s="21"/>
      <c r="F2377" s="21"/>
      <c r="G2377" s="21"/>
      <c r="H2377" s="21"/>
      <c r="I2377" s="21"/>
      <c r="J2377" s="21"/>
      <c r="K2377" s="21"/>
      <c r="L2377" s="21"/>
      <c r="M2377" s="21"/>
      <c r="N2377" s="21"/>
      <c r="O2377" s="21"/>
      <c r="P2377" s="21"/>
      <c r="Q2377" s="21"/>
      <c r="R2377" s="21"/>
      <c r="S2377" s="21"/>
      <c r="T2377" s="21"/>
      <c r="U2377" s="21"/>
      <c r="V2377" s="21"/>
      <c r="W2377" s="21"/>
      <c r="X2377" s="21"/>
      <c r="Y2377" s="21"/>
      <c r="Z2377" s="21"/>
      <c r="AA2377" s="21"/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W2377" s="296"/>
      <c r="CY2377" s="296"/>
    </row>
    <row r="2378" spans="3:103" s="19" customFormat="1" ht="12">
      <c r="C2378" s="21"/>
      <c r="D2378" s="21"/>
      <c r="E2378" s="21"/>
      <c r="F2378" s="21"/>
      <c r="G2378" s="21"/>
      <c r="H2378" s="21"/>
      <c r="I2378" s="21"/>
      <c r="J2378" s="21"/>
      <c r="K2378" s="21"/>
      <c r="L2378" s="21"/>
      <c r="M2378" s="21"/>
      <c r="N2378" s="21"/>
      <c r="O2378" s="21"/>
      <c r="P2378" s="21"/>
      <c r="Q2378" s="21"/>
      <c r="R2378" s="21"/>
      <c r="S2378" s="21"/>
      <c r="T2378" s="21"/>
      <c r="U2378" s="21"/>
      <c r="V2378" s="21"/>
      <c r="W2378" s="21"/>
      <c r="X2378" s="21"/>
      <c r="Y2378" s="21"/>
      <c r="Z2378" s="21"/>
      <c r="AA2378" s="21"/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W2378" s="296"/>
      <c r="CY2378" s="296"/>
    </row>
    <row r="2379" spans="3:103" s="19" customFormat="1" ht="12">
      <c r="C2379" s="21"/>
      <c r="D2379" s="21"/>
      <c r="E2379" s="21"/>
      <c r="F2379" s="21"/>
      <c r="G2379" s="21"/>
      <c r="H2379" s="21"/>
      <c r="I2379" s="21"/>
      <c r="J2379" s="21"/>
      <c r="K2379" s="21"/>
      <c r="L2379" s="21"/>
      <c r="M2379" s="21"/>
      <c r="N2379" s="21"/>
      <c r="O2379" s="21"/>
      <c r="P2379" s="21"/>
      <c r="Q2379" s="21"/>
      <c r="R2379" s="21"/>
      <c r="S2379" s="21"/>
      <c r="T2379" s="21"/>
      <c r="U2379" s="21"/>
      <c r="V2379" s="21"/>
      <c r="W2379" s="21"/>
      <c r="X2379" s="21"/>
      <c r="Y2379" s="21"/>
      <c r="Z2379" s="21"/>
      <c r="AA2379" s="21"/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W2379" s="296"/>
      <c r="CY2379" s="296"/>
    </row>
    <row r="2380" spans="3:103" s="19" customFormat="1" ht="12">
      <c r="C2380" s="21"/>
      <c r="D2380" s="21"/>
      <c r="E2380" s="21"/>
      <c r="F2380" s="21"/>
      <c r="G2380" s="21"/>
      <c r="H2380" s="21"/>
      <c r="I2380" s="21"/>
      <c r="J2380" s="21"/>
      <c r="K2380" s="21"/>
      <c r="L2380" s="21"/>
      <c r="M2380" s="21"/>
      <c r="N2380" s="21"/>
      <c r="O2380" s="21"/>
      <c r="P2380" s="21"/>
      <c r="Q2380" s="21"/>
      <c r="R2380" s="21"/>
      <c r="S2380" s="21"/>
      <c r="T2380" s="21"/>
      <c r="U2380" s="21"/>
      <c r="V2380" s="21"/>
      <c r="W2380" s="21"/>
      <c r="X2380" s="21"/>
      <c r="Y2380" s="21"/>
      <c r="Z2380" s="21"/>
      <c r="AA2380" s="21"/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W2380" s="296"/>
      <c r="CY2380" s="296"/>
    </row>
    <row r="2381" spans="3:103" s="19" customFormat="1" ht="12">
      <c r="C2381" s="21"/>
      <c r="D2381" s="21"/>
      <c r="E2381" s="21"/>
      <c r="F2381" s="21"/>
      <c r="G2381" s="21"/>
      <c r="H2381" s="21"/>
      <c r="I2381" s="21"/>
      <c r="J2381" s="21"/>
      <c r="K2381" s="21"/>
      <c r="L2381" s="21"/>
      <c r="M2381" s="21"/>
      <c r="N2381" s="21"/>
      <c r="O2381" s="21"/>
      <c r="P2381" s="21"/>
      <c r="Q2381" s="21"/>
      <c r="R2381" s="21"/>
      <c r="S2381" s="21"/>
      <c r="T2381" s="21"/>
      <c r="U2381" s="21"/>
      <c r="V2381" s="21"/>
      <c r="W2381" s="21"/>
      <c r="X2381" s="21"/>
      <c r="Y2381" s="21"/>
      <c r="Z2381" s="21"/>
      <c r="AA2381" s="21"/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W2381" s="296"/>
      <c r="CY2381" s="296"/>
    </row>
    <row r="2382" spans="3:103" s="19" customFormat="1" ht="12">
      <c r="C2382" s="21"/>
      <c r="D2382" s="21"/>
      <c r="E2382" s="21"/>
      <c r="F2382" s="21"/>
      <c r="G2382" s="21"/>
      <c r="H2382" s="21"/>
      <c r="I2382" s="21"/>
      <c r="J2382" s="21"/>
      <c r="K2382" s="21"/>
      <c r="L2382" s="21"/>
      <c r="M2382" s="21"/>
      <c r="N2382" s="21"/>
      <c r="O2382" s="21"/>
      <c r="P2382" s="21"/>
      <c r="Q2382" s="21"/>
      <c r="R2382" s="21"/>
      <c r="S2382" s="21"/>
      <c r="T2382" s="21"/>
      <c r="U2382" s="21"/>
      <c r="V2382" s="21"/>
      <c r="W2382" s="21"/>
      <c r="X2382" s="21"/>
      <c r="Y2382" s="21"/>
      <c r="Z2382" s="21"/>
      <c r="AA2382" s="21"/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W2382" s="296"/>
      <c r="CY2382" s="296"/>
    </row>
    <row r="2383" spans="3:103" s="19" customFormat="1" ht="12">
      <c r="C2383" s="21"/>
      <c r="D2383" s="21"/>
      <c r="E2383" s="21"/>
      <c r="F2383" s="21"/>
      <c r="G2383" s="21"/>
      <c r="H2383" s="21"/>
      <c r="I2383" s="21"/>
      <c r="J2383" s="21"/>
      <c r="K2383" s="21"/>
      <c r="L2383" s="21"/>
      <c r="M2383" s="21"/>
      <c r="N2383" s="21"/>
      <c r="O2383" s="21"/>
      <c r="P2383" s="21"/>
      <c r="Q2383" s="21"/>
      <c r="R2383" s="21"/>
      <c r="S2383" s="21"/>
      <c r="T2383" s="21"/>
      <c r="U2383" s="21"/>
      <c r="V2383" s="21"/>
      <c r="W2383" s="21"/>
      <c r="X2383" s="21"/>
      <c r="Y2383" s="21"/>
      <c r="Z2383" s="21"/>
      <c r="AA2383" s="21"/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W2383" s="296"/>
      <c r="CY2383" s="296"/>
    </row>
    <row r="2384" spans="3:103" s="19" customFormat="1" ht="12">
      <c r="C2384" s="21"/>
      <c r="D2384" s="21"/>
      <c r="E2384" s="21"/>
      <c r="F2384" s="21"/>
      <c r="G2384" s="21"/>
      <c r="H2384" s="21"/>
      <c r="I2384" s="21"/>
      <c r="J2384" s="21"/>
      <c r="K2384" s="21"/>
      <c r="L2384" s="21"/>
      <c r="M2384" s="21"/>
      <c r="N2384" s="21"/>
      <c r="O2384" s="21"/>
      <c r="P2384" s="21"/>
      <c r="Q2384" s="21"/>
      <c r="R2384" s="21"/>
      <c r="S2384" s="21"/>
      <c r="T2384" s="21"/>
      <c r="U2384" s="21"/>
      <c r="V2384" s="21"/>
      <c r="W2384" s="21"/>
      <c r="X2384" s="21"/>
      <c r="Y2384" s="21"/>
      <c r="Z2384" s="21"/>
      <c r="AA2384" s="21"/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W2384" s="296"/>
      <c r="CY2384" s="296"/>
    </row>
    <row r="2385" spans="3:103" s="19" customFormat="1" ht="12">
      <c r="C2385" s="21"/>
      <c r="D2385" s="21"/>
      <c r="E2385" s="21"/>
      <c r="F2385" s="21"/>
      <c r="G2385" s="21"/>
      <c r="H2385" s="21"/>
      <c r="I2385" s="21"/>
      <c r="J2385" s="21"/>
      <c r="K2385" s="21"/>
      <c r="L2385" s="21"/>
      <c r="M2385" s="21"/>
      <c r="N2385" s="21"/>
      <c r="O2385" s="21"/>
      <c r="P2385" s="21"/>
      <c r="Q2385" s="21"/>
      <c r="R2385" s="21"/>
      <c r="S2385" s="21"/>
      <c r="T2385" s="21"/>
      <c r="U2385" s="21"/>
      <c r="V2385" s="21"/>
      <c r="W2385" s="21"/>
      <c r="X2385" s="21"/>
      <c r="Y2385" s="21"/>
      <c r="Z2385" s="21"/>
      <c r="AA2385" s="21"/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W2385" s="296"/>
      <c r="CY2385" s="296"/>
    </row>
    <row r="2386" spans="3:103" s="19" customFormat="1" ht="12">
      <c r="C2386" s="21"/>
      <c r="D2386" s="21"/>
      <c r="E2386" s="21"/>
      <c r="F2386" s="21"/>
      <c r="G2386" s="21"/>
      <c r="H2386" s="21"/>
      <c r="I2386" s="21"/>
      <c r="J2386" s="21"/>
      <c r="K2386" s="21"/>
      <c r="L2386" s="21"/>
      <c r="M2386" s="21"/>
      <c r="N2386" s="21"/>
      <c r="O2386" s="21"/>
      <c r="P2386" s="21"/>
      <c r="Q2386" s="21"/>
      <c r="R2386" s="21"/>
      <c r="S2386" s="21"/>
      <c r="T2386" s="21"/>
      <c r="U2386" s="21"/>
      <c r="V2386" s="21"/>
      <c r="W2386" s="21"/>
      <c r="X2386" s="21"/>
      <c r="Y2386" s="21"/>
      <c r="Z2386" s="21"/>
      <c r="AA2386" s="21"/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W2386" s="296"/>
      <c r="CY2386" s="296"/>
    </row>
    <row r="2387" spans="3:103" s="19" customFormat="1" ht="12">
      <c r="C2387" s="21"/>
      <c r="D2387" s="21"/>
      <c r="E2387" s="21"/>
      <c r="F2387" s="21"/>
      <c r="G2387" s="21"/>
      <c r="H2387" s="21"/>
      <c r="I2387" s="21"/>
      <c r="J2387" s="21"/>
      <c r="K2387" s="21"/>
      <c r="L2387" s="21"/>
      <c r="M2387" s="21"/>
      <c r="N2387" s="21"/>
      <c r="O2387" s="21"/>
      <c r="P2387" s="21"/>
      <c r="Q2387" s="21"/>
      <c r="R2387" s="21"/>
      <c r="S2387" s="21"/>
      <c r="T2387" s="21"/>
      <c r="U2387" s="21"/>
      <c r="V2387" s="21"/>
      <c r="W2387" s="21"/>
      <c r="X2387" s="21"/>
      <c r="Y2387" s="21"/>
      <c r="Z2387" s="21"/>
      <c r="AA2387" s="21"/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W2387" s="296"/>
      <c r="CY2387" s="296"/>
    </row>
    <row r="2388" spans="3:103" s="19" customFormat="1" ht="12">
      <c r="C2388" s="21"/>
      <c r="D2388" s="21"/>
      <c r="E2388" s="21"/>
      <c r="F2388" s="21"/>
      <c r="G2388" s="21"/>
      <c r="H2388" s="21"/>
      <c r="I2388" s="21"/>
      <c r="J2388" s="21"/>
      <c r="K2388" s="21"/>
      <c r="L2388" s="21"/>
      <c r="M2388" s="21"/>
      <c r="N2388" s="21"/>
      <c r="O2388" s="21"/>
      <c r="P2388" s="21"/>
      <c r="Q2388" s="21"/>
      <c r="R2388" s="21"/>
      <c r="S2388" s="21"/>
      <c r="T2388" s="21"/>
      <c r="U2388" s="21"/>
      <c r="V2388" s="21"/>
      <c r="W2388" s="21"/>
      <c r="X2388" s="21"/>
      <c r="Y2388" s="21"/>
      <c r="Z2388" s="21"/>
      <c r="AA2388" s="21"/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W2388" s="296"/>
      <c r="CY2388" s="296"/>
    </row>
    <row r="2389" spans="3:103" s="19" customFormat="1" ht="12">
      <c r="C2389" s="21"/>
      <c r="D2389" s="21"/>
      <c r="E2389" s="21"/>
      <c r="F2389" s="21"/>
      <c r="G2389" s="21"/>
      <c r="H2389" s="21"/>
      <c r="I2389" s="21"/>
      <c r="J2389" s="21"/>
      <c r="K2389" s="21"/>
      <c r="L2389" s="21"/>
      <c r="M2389" s="21"/>
      <c r="N2389" s="21"/>
      <c r="O2389" s="21"/>
      <c r="P2389" s="21"/>
      <c r="Q2389" s="21"/>
      <c r="R2389" s="21"/>
      <c r="S2389" s="21"/>
      <c r="T2389" s="21"/>
      <c r="U2389" s="21"/>
      <c r="V2389" s="21"/>
      <c r="W2389" s="21"/>
      <c r="X2389" s="21"/>
      <c r="Y2389" s="21"/>
      <c r="Z2389" s="21"/>
      <c r="AA2389" s="21"/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W2389" s="296"/>
      <c r="CY2389" s="296"/>
    </row>
    <row r="2390" spans="3:103" s="19" customFormat="1" ht="12">
      <c r="C2390" s="21"/>
      <c r="D2390" s="21"/>
      <c r="E2390" s="21"/>
      <c r="F2390" s="21"/>
      <c r="G2390" s="21"/>
      <c r="H2390" s="21"/>
      <c r="I2390" s="21"/>
      <c r="J2390" s="21"/>
      <c r="K2390" s="21"/>
      <c r="L2390" s="21"/>
      <c r="M2390" s="21"/>
      <c r="N2390" s="21"/>
      <c r="O2390" s="21"/>
      <c r="P2390" s="21"/>
      <c r="Q2390" s="21"/>
      <c r="R2390" s="21"/>
      <c r="S2390" s="21"/>
      <c r="T2390" s="21"/>
      <c r="U2390" s="21"/>
      <c r="V2390" s="21"/>
      <c r="W2390" s="21"/>
      <c r="X2390" s="21"/>
      <c r="Y2390" s="21"/>
      <c r="Z2390" s="21"/>
      <c r="AA2390" s="21"/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W2390" s="296"/>
      <c r="CY2390" s="296"/>
    </row>
    <row r="2391" spans="3:103" s="19" customFormat="1" ht="12">
      <c r="C2391" s="21"/>
      <c r="D2391" s="21"/>
      <c r="E2391" s="21"/>
      <c r="F2391" s="21"/>
      <c r="G2391" s="21"/>
      <c r="H2391" s="21"/>
      <c r="I2391" s="21"/>
      <c r="J2391" s="21"/>
      <c r="K2391" s="21"/>
      <c r="L2391" s="21"/>
      <c r="M2391" s="21"/>
      <c r="N2391" s="21"/>
      <c r="O2391" s="21"/>
      <c r="P2391" s="21"/>
      <c r="Q2391" s="21"/>
      <c r="R2391" s="21"/>
      <c r="S2391" s="21"/>
      <c r="T2391" s="21"/>
      <c r="U2391" s="21"/>
      <c r="V2391" s="21"/>
      <c r="W2391" s="21"/>
      <c r="X2391" s="21"/>
      <c r="Y2391" s="21"/>
      <c r="Z2391" s="21"/>
      <c r="AA2391" s="21"/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W2391" s="296"/>
      <c r="CY2391" s="296"/>
    </row>
    <row r="2392" spans="3:103" s="19" customFormat="1" ht="12">
      <c r="C2392" s="21"/>
      <c r="D2392" s="21"/>
      <c r="E2392" s="21"/>
      <c r="F2392" s="21"/>
      <c r="G2392" s="21"/>
      <c r="H2392" s="21"/>
      <c r="I2392" s="21"/>
      <c r="J2392" s="21"/>
      <c r="K2392" s="21"/>
      <c r="L2392" s="21"/>
      <c r="M2392" s="21"/>
      <c r="N2392" s="21"/>
      <c r="O2392" s="21"/>
      <c r="P2392" s="21"/>
      <c r="Q2392" s="21"/>
      <c r="R2392" s="21"/>
      <c r="S2392" s="21"/>
      <c r="T2392" s="21"/>
      <c r="U2392" s="21"/>
      <c r="V2392" s="21"/>
      <c r="W2392" s="21"/>
      <c r="X2392" s="21"/>
      <c r="Y2392" s="21"/>
      <c r="Z2392" s="21"/>
      <c r="AA2392" s="21"/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W2392" s="296"/>
      <c r="CY2392" s="296"/>
    </row>
    <row r="2393" spans="3:103" s="19" customFormat="1" ht="12">
      <c r="C2393" s="21"/>
      <c r="D2393" s="21"/>
      <c r="E2393" s="21"/>
      <c r="F2393" s="21"/>
      <c r="G2393" s="21"/>
      <c r="H2393" s="21"/>
      <c r="I2393" s="21"/>
      <c r="J2393" s="21"/>
      <c r="K2393" s="21"/>
      <c r="L2393" s="21"/>
      <c r="M2393" s="21"/>
      <c r="N2393" s="21"/>
      <c r="O2393" s="21"/>
      <c r="P2393" s="21"/>
      <c r="Q2393" s="21"/>
      <c r="R2393" s="21"/>
      <c r="S2393" s="21"/>
      <c r="T2393" s="21"/>
      <c r="U2393" s="21"/>
      <c r="V2393" s="21"/>
      <c r="W2393" s="21"/>
      <c r="X2393" s="21"/>
      <c r="Y2393" s="21"/>
      <c r="Z2393" s="21"/>
      <c r="AA2393" s="21"/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W2393" s="296"/>
      <c r="CY2393" s="296"/>
    </row>
    <row r="2394" spans="3:103" s="19" customFormat="1" ht="12">
      <c r="C2394" s="21"/>
      <c r="D2394" s="21"/>
      <c r="E2394" s="21"/>
      <c r="F2394" s="21"/>
      <c r="G2394" s="21"/>
      <c r="H2394" s="21"/>
      <c r="I2394" s="21"/>
      <c r="J2394" s="21"/>
      <c r="K2394" s="21"/>
      <c r="L2394" s="21"/>
      <c r="M2394" s="21"/>
      <c r="N2394" s="21"/>
      <c r="O2394" s="21"/>
      <c r="P2394" s="21"/>
      <c r="Q2394" s="21"/>
      <c r="R2394" s="21"/>
      <c r="S2394" s="21"/>
      <c r="T2394" s="21"/>
      <c r="U2394" s="21"/>
      <c r="V2394" s="21"/>
      <c r="W2394" s="21"/>
      <c r="X2394" s="21"/>
      <c r="Y2394" s="21"/>
      <c r="Z2394" s="21"/>
      <c r="AA2394" s="21"/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W2394" s="296"/>
      <c r="CY2394" s="296"/>
    </row>
    <row r="2395" spans="3:103" s="19" customFormat="1" ht="12">
      <c r="C2395" s="21"/>
      <c r="D2395" s="21"/>
      <c r="E2395" s="21"/>
      <c r="F2395" s="21"/>
      <c r="G2395" s="21"/>
      <c r="H2395" s="21"/>
      <c r="I2395" s="21"/>
      <c r="J2395" s="21"/>
      <c r="K2395" s="21"/>
      <c r="L2395" s="21"/>
      <c r="M2395" s="21"/>
      <c r="N2395" s="21"/>
      <c r="O2395" s="21"/>
      <c r="P2395" s="21"/>
      <c r="Q2395" s="21"/>
      <c r="R2395" s="21"/>
      <c r="S2395" s="21"/>
      <c r="T2395" s="21"/>
      <c r="U2395" s="21"/>
      <c r="V2395" s="21"/>
      <c r="W2395" s="21"/>
      <c r="X2395" s="21"/>
      <c r="Y2395" s="21"/>
      <c r="Z2395" s="21"/>
      <c r="AA2395" s="21"/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W2395" s="296"/>
      <c r="CY2395" s="296"/>
    </row>
    <row r="2396" spans="3:103" s="19" customFormat="1" ht="12">
      <c r="C2396" s="21"/>
      <c r="D2396" s="21"/>
      <c r="E2396" s="21"/>
      <c r="F2396" s="21"/>
      <c r="G2396" s="21"/>
      <c r="H2396" s="21"/>
      <c r="I2396" s="21"/>
      <c r="J2396" s="21"/>
      <c r="K2396" s="21"/>
      <c r="L2396" s="21"/>
      <c r="M2396" s="21"/>
      <c r="N2396" s="21"/>
      <c r="O2396" s="21"/>
      <c r="P2396" s="21"/>
      <c r="Q2396" s="21"/>
      <c r="R2396" s="21"/>
      <c r="S2396" s="21"/>
      <c r="T2396" s="21"/>
      <c r="U2396" s="21"/>
      <c r="V2396" s="21"/>
      <c r="W2396" s="21"/>
      <c r="X2396" s="21"/>
      <c r="Y2396" s="21"/>
      <c r="Z2396" s="21"/>
      <c r="AA2396" s="21"/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W2396" s="296"/>
      <c r="CY2396" s="296"/>
    </row>
    <row r="2397" spans="3:103" s="19" customFormat="1" ht="12">
      <c r="C2397" s="21"/>
      <c r="D2397" s="21"/>
      <c r="E2397" s="21"/>
      <c r="F2397" s="21"/>
      <c r="G2397" s="21"/>
      <c r="H2397" s="21"/>
      <c r="I2397" s="21"/>
      <c r="J2397" s="21"/>
      <c r="K2397" s="21"/>
      <c r="L2397" s="21"/>
      <c r="M2397" s="21"/>
      <c r="N2397" s="21"/>
      <c r="O2397" s="21"/>
      <c r="P2397" s="21"/>
      <c r="Q2397" s="21"/>
      <c r="R2397" s="21"/>
      <c r="S2397" s="21"/>
      <c r="T2397" s="21"/>
      <c r="U2397" s="21"/>
      <c r="V2397" s="21"/>
      <c r="W2397" s="21"/>
      <c r="X2397" s="21"/>
      <c r="Y2397" s="21"/>
      <c r="Z2397" s="21"/>
      <c r="AA2397" s="21"/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W2397" s="296"/>
      <c r="CY2397" s="296"/>
    </row>
    <row r="2398" spans="3:103" s="19" customFormat="1" ht="12">
      <c r="C2398" s="21"/>
      <c r="D2398" s="21"/>
      <c r="E2398" s="21"/>
      <c r="F2398" s="21"/>
      <c r="G2398" s="21"/>
      <c r="H2398" s="21"/>
      <c r="I2398" s="21"/>
      <c r="J2398" s="21"/>
      <c r="K2398" s="21"/>
      <c r="L2398" s="21"/>
      <c r="M2398" s="21"/>
      <c r="N2398" s="21"/>
      <c r="O2398" s="21"/>
      <c r="P2398" s="21"/>
      <c r="Q2398" s="21"/>
      <c r="R2398" s="21"/>
      <c r="S2398" s="21"/>
      <c r="T2398" s="21"/>
      <c r="U2398" s="21"/>
      <c r="V2398" s="21"/>
      <c r="W2398" s="21"/>
      <c r="X2398" s="21"/>
      <c r="Y2398" s="21"/>
      <c r="Z2398" s="21"/>
      <c r="AA2398" s="21"/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W2398" s="296"/>
      <c r="CY2398" s="296"/>
    </row>
    <row r="2399" spans="3:103" s="19" customFormat="1" ht="12">
      <c r="C2399" s="21"/>
      <c r="D2399" s="21"/>
      <c r="E2399" s="21"/>
      <c r="F2399" s="21"/>
      <c r="G2399" s="21"/>
      <c r="H2399" s="21"/>
      <c r="I2399" s="21"/>
      <c r="J2399" s="21"/>
      <c r="K2399" s="21"/>
      <c r="L2399" s="21"/>
      <c r="M2399" s="21"/>
      <c r="N2399" s="21"/>
      <c r="O2399" s="21"/>
      <c r="P2399" s="21"/>
      <c r="Q2399" s="21"/>
      <c r="R2399" s="21"/>
      <c r="S2399" s="21"/>
      <c r="T2399" s="21"/>
      <c r="U2399" s="21"/>
      <c r="V2399" s="21"/>
      <c r="W2399" s="21"/>
      <c r="X2399" s="21"/>
      <c r="Y2399" s="21"/>
      <c r="Z2399" s="21"/>
      <c r="AA2399" s="21"/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W2399" s="296"/>
      <c r="CY2399" s="296"/>
    </row>
    <row r="2400" spans="3:103" s="19" customFormat="1" ht="12">
      <c r="C2400" s="21"/>
      <c r="D2400" s="21"/>
      <c r="E2400" s="21"/>
      <c r="F2400" s="21"/>
      <c r="G2400" s="21"/>
      <c r="H2400" s="21"/>
      <c r="I2400" s="21"/>
      <c r="J2400" s="21"/>
      <c r="K2400" s="21"/>
      <c r="L2400" s="21"/>
      <c r="M2400" s="21"/>
      <c r="N2400" s="21"/>
      <c r="O2400" s="21"/>
      <c r="P2400" s="21"/>
      <c r="Q2400" s="21"/>
      <c r="R2400" s="21"/>
      <c r="S2400" s="21"/>
      <c r="T2400" s="21"/>
      <c r="U2400" s="21"/>
      <c r="V2400" s="21"/>
      <c r="W2400" s="21"/>
      <c r="X2400" s="21"/>
      <c r="Y2400" s="21"/>
      <c r="Z2400" s="21"/>
      <c r="AA2400" s="21"/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W2400" s="296"/>
      <c r="CY2400" s="296"/>
    </row>
    <row r="2401" spans="3:103" s="19" customFormat="1" ht="12">
      <c r="C2401" s="21"/>
      <c r="D2401" s="21"/>
      <c r="E2401" s="21"/>
      <c r="F2401" s="21"/>
      <c r="G2401" s="21"/>
      <c r="H2401" s="21"/>
      <c r="I2401" s="21"/>
      <c r="J2401" s="21"/>
      <c r="K2401" s="21"/>
      <c r="L2401" s="21"/>
      <c r="M2401" s="21"/>
      <c r="N2401" s="21"/>
      <c r="O2401" s="21"/>
      <c r="P2401" s="21"/>
      <c r="Q2401" s="21"/>
      <c r="R2401" s="21"/>
      <c r="S2401" s="21"/>
      <c r="T2401" s="21"/>
      <c r="U2401" s="21"/>
      <c r="V2401" s="21"/>
      <c r="W2401" s="21"/>
      <c r="X2401" s="21"/>
      <c r="Y2401" s="21"/>
      <c r="Z2401" s="21"/>
      <c r="AA2401" s="21"/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W2401" s="296"/>
      <c r="CY2401" s="296"/>
    </row>
    <row r="2402" spans="3:103" s="19" customFormat="1" ht="12">
      <c r="C2402" s="21"/>
      <c r="D2402" s="21"/>
      <c r="E2402" s="21"/>
      <c r="F2402" s="21"/>
      <c r="G2402" s="21"/>
      <c r="H2402" s="21"/>
      <c r="I2402" s="21"/>
      <c r="J2402" s="21"/>
      <c r="K2402" s="21"/>
      <c r="L2402" s="21"/>
      <c r="M2402" s="21"/>
      <c r="N2402" s="21"/>
      <c r="O2402" s="21"/>
      <c r="P2402" s="21"/>
      <c r="Q2402" s="21"/>
      <c r="R2402" s="21"/>
      <c r="S2402" s="21"/>
      <c r="T2402" s="21"/>
      <c r="U2402" s="21"/>
      <c r="V2402" s="21"/>
      <c r="W2402" s="21"/>
      <c r="X2402" s="21"/>
      <c r="Y2402" s="21"/>
      <c r="Z2402" s="21"/>
      <c r="AA2402" s="21"/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W2402" s="296"/>
      <c r="CY2402" s="296"/>
    </row>
    <row r="2403" spans="3:103" s="19" customFormat="1" ht="12">
      <c r="C2403" s="21"/>
      <c r="D2403" s="21"/>
      <c r="E2403" s="21"/>
      <c r="F2403" s="21"/>
      <c r="G2403" s="21"/>
      <c r="H2403" s="21"/>
      <c r="I2403" s="21"/>
      <c r="J2403" s="21"/>
      <c r="K2403" s="21"/>
      <c r="L2403" s="21"/>
      <c r="M2403" s="21"/>
      <c r="N2403" s="21"/>
      <c r="O2403" s="21"/>
      <c r="P2403" s="21"/>
      <c r="Q2403" s="21"/>
      <c r="R2403" s="21"/>
      <c r="S2403" s="21"/>
      <c r="T2403" s="21"/>
      <c r="U2403" s="21"/>
      <c r="V2403" s="21"/>
      <c r="W2403" s="21"/>
      <c r="X2403" s="21"/>
      <c r="Y2403" s="21"/>
      <c r="Z2403" s="21"/>
      <c r="AA2403" s="21"/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W2403" s="296"/>
      <c r="CY2403" s="296"/>
    </row>
    <row r="2404" spans="3:103" s="19" customFormat="1" ht="12">
      <c r="C2404" s="21"/>
      <c r="D2404" s="21"/>
      <c r="E2404" s="21"/>
      <c r="F2404" s="21"/>
      <c r="G2404" s="21"/>
      <c r="H2404" s="21"/>
      <c r="I2404" s="21"/>
      <c r="J2404" s="21"/>
      <c r="K2404" s="21"/>
      <c r="L2404" s="21"/>
      <c r="M2404" s="21"/>
      <c r="N2404" s="21"/>
      <c r="O2404" s="21"/>
      <c r="P2404" s="21"/>
      <c r="Q2404" s="21"/>
      <c r="R2404" s="21"/>
      <c r="S2404" s="21"/>
      <c r="T2404" s="21"/>
      <c r="U2404" s="21"/>
      <c r="V2404" s="21"/>
      <c r="W2404" s="21"/>
      <c r="X2404" s="21"/>
      <c r="Y2404" s="21"/>
      <c r="Z2404" s="21"/>
      <c r="AA2404" s="21"/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W2404" s="296"/>
      <c r="CY2404" s="296"/>
    </row>
    <row r="2405" spans="3:103" s="19" customFormat="1" ht="12">
      <c r="C2405" s="21"/>
      <c r="D2405" s="21"/>
      <c r="E2405" s="21"/>
      <c r="F2405" s="21"/>
      <c r="G2405" s="21"/>
      <c r="H2405" s="21"/>
      <c r="I2405" s="21"/>
      <c r="J2405" s="21"/>
      <c r="K2405" s="21"/>
      <c r="L2405" s="21"/>
      <c r="M2405" s="21"/>
      <c r="N2405" s="21"/>
      <c r="O2405" s="21"/>
      <c r="P2405" s="21"/>
      <c r="Q2405" s="21"/>
      <c r="R2405" s="21"/>
      <c r="S2405" s="21"/>
      <c r="T2405" s="21"/>
      <c r="U2405" s="21"/>
      <c r="V2405" s="21"/>
      <c r="W2405" s="21"/>
      <c r="X2405" s="21"/>
      <c r="Y2405" s="21"/>
      <c r="Z2405" s="21"/>
      <c r="AA2405" s="21"/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W2405" s="296"/>
      <c r="CY2405" s="296"/>
    </row>
    <row r="2406" spans="3:103" s="19" customFormat="1" ht="12">
      <c r="C2406" s="21"/>
      <c r="D2406" s="21"/>
      <c r="E2406" s="21"/>
      <c r="F2406" s="21"/>
      <c r="G2406" s="21"/>
      <c r="H2406" s="21"/>
      <c r="I2406" s="21"/>
      <c r="J2406" s="21"/>
      <c r="K2406" s="21"/>
      <c r="L2406" s="21"/>
      <c r="M2406" s="21"/>
      <c r="N2406" s="21"/>
      <c r="O2406" s="21"/>
      <c r="P2406" s="21"/>
      <c r="Q2406" s="21"/>
      <c r="R2406" s="21"/>
      <c r="S2406" s="21"/>
      <c r="T2406" s="21"/>
      <c r="U2406" s="21"/>
      <c r="V2406" s="21"/>
      <c r="W2406" s="21"/>
      <c r="X2406" s="21"/>
      <c r="Y2406" s="21"/>
      <c r="Z2406" s="21"/>
      <c r="AA2406" s="21"/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W2406" s="296"/>
      <c r="CY2406" s="296"/>
    </row>
    <row r="2407" spans="3:103" s="19" customFormat="1" ht="12">
      <c r="C2407" s="21"/>
      <c r="D2407" s="21"/>
      <c r="E2407" s="21"/>
      <c r="F2407" s="21"/>
      <c r="G2407" s="21"/>
      <c r="H2407" s="21"/>
      <c r="I2407" s="21"/>
      <c r="J2407" s="21"/>
      <c r="K2407" s="21"/>
      <c r="L2407" s="21"/>
      <c r="M2407" s="21"/>
      <c r="N2407" s="21"/>
      <c r="O2407" s="21"/>
      <c r="P2407" s="21"/>
      <c r="Q2407" s="21"/>
      <c r="R2407" s="21"/>
      <c r="S2407" s="21"/>
      <c r="T2407" s="21"/>
      <c r="U2407" s="21"/>
      <c r="V2407" s="21"/>
      <c r="W2407" s="21"/>
      <c r="X2407" s="21"/>
      <c r="Y2407" s="21"/>
      <c r="Z2407" s="21"/>
      <c r="AA2407" s="21"/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W2407" s="296"/>
      <c r="CY2407" s="296"/>
    </row>
    <row r="2408" spans="3:103" s="19" customFormat="1" ht="12">
      <c r="C2408" s="21"/>
      <c r="D2408" s="21"/>
      <c r="E2408" s="21"/>
      <c r="F2408" s="21"/>
      <c r="G2408" s="21"/>
      <c r="H2408" s="21"/>
      <c r="I2408" s="21"/>
      <c r="J2408" s="21"/>
      <c r="K2408" s="21"/>
      <c r="L2408" s="21"/>
      <c r="M2408" s="21"/>
      <c r="N2408" s="21"/>
      <c r="O2408" s="21"/>
      <c r="P2408" s="21"/>
      <c r="Q2408" s="21"/>
      <c r="R2408" s="21"/>
      <c r="S2408" s="21"/>
      <c r="T2408" s="21"/>
      <c r="U2408" s="21"/>
      <c r="V2408" s="21"/>
      <c r="W2408" s="21"/>
      <c r="X2408" s="21"/>
      <c r="Y2408" s="21"/>
      <c r="Z2408" s="21"/>
      <c r="AA2408" s="21"/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W2408" s="296"/>
      <c r="CY2408" s="296"/>
    </row>
    <row r="2409" spans="3:103" s="19" customFormat="1" ht="12">
      <c r="C2409" s="21"/>
      <c r="D2409" s="21"/>
      <c r="E2409" s="21"/>
      <c r="F2409" s="21"/>
      <c r="G2409" s="21"/>
      <c r="H2409" s="21"/>
      <c r="I2409" s="21"/>
      <c r="J2409" s="21"/>
      <c r="K2409" s="21"/>
      <c r="L2409" s="21"/>
      <c r="M2409" s="21"/>
      <c r="N2409" s="21"/>
      <c r="O2409" s="21"/>
      <c r="P2409" s="21"/>
      <c r="Q2409" s="21"/>
      <c r="R2409" s="21"/>
      <c r="S2409" s="21"/>
      <c r="T2409" s="21"/>
      <c r="U2409" s="21"/>
      <c r="V2409" s="21"/>
      <c r="W2409" s="21"/>
      <c r="X2409" s="21"/>
      <c r="Y2409" s="21"/>
      <c r="Z2409" s="21"/>
      <c r="AA2409" s="21"/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W2409" s="296"/>
      <c r="CY2409" s="296"/>
    </row>
    <row r="2410" spans="3:103" s="19" customFormat="1" ht="12">
      <c r="C2410" s="21"/>
      <c r="D2410" s="21"/>
      <c r="E2410" s="21"/>
      <c r="F2410" s="21"/>
      <c r="G2410" s="21"/>
      <c r="H2410" s="21"/>
      <c r="I2410" s="21"/>
      <c r="J2410" s="21"/>
      <c r="K2410" s="21"/>
      <c r="L2410" s="21"/>
      <c r="M2410" s="21"/>
      <c r="N2410" s="21"/>
      <c r="O2410" s="21"/>
      <c r="P2410" s="21"/>
      <c r="Q2410" s="21"/>
      <c r="R2410" s="21"/>
      <c r="S2410" s="21"/>
      <c r="T2410" s="21"/>
      <c r="U2410" s="21"/>
      <c r="V2410" s="21"/>
      <c r="W2410" s="21"/>
      <c r="X2410" s="21"/>
      <c r="Y2410" s="21"/>
      <c r="Z2410" s="21"/>
      <c r="AA2410" s="21"/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W2410" s="296"/>
      <c r="CY2410" s="296"/>
    </row>
    <row r="2411" spans="3:103" s="19" customFormat="1" ht="12">
      <c r="C2411" s="21"/>
      <c r="D2411" s="21"/>
      <c r="E2411" s="21"/>
      <c r="F2411" s="21"/>
      <c r="G2411" s="21"/>
      <c r="H2411" s="21"/>
      <c r="I2411" s="21"/>
      <c r="J2411" s="21"/>
      <c r="K2411" s="21"/>
      <c r="L2411" s="21"/>
      <c r="M2411" s="21"/>
      <c r="N2411" s="21"/>
      <c r="O2411" s="21"/>
      <c r="P2411" s="21"/>
      <c r="Q2411" s="21"/>
      <c r="R2411" s="21"/>
      <c r="S2411" s="21"/>
      <c r="T2411" s="21"/>
      <c r="U2411" s="21"/>
      <c r="V2411" s="21"/>
      <c r="W2411" s="21"/>
      <c r="X2411" s="21"/>
      <c r="Y2411" s="21"/>
      <c r="Z2411" s="21"/>
      <c r="AA2411" s="21"/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W2411" s="296"/>
      <c r="CY2411" s="296"/>
    </row>
    <row r="2412" spans="3:103" s="19" customFormat="1" ht="12">
      <c r="C2412" s="21"/>
      <c r="D2412" s="21"/>
      <c r="E2412" s="21"/>
      <c r="F2412" s="21"/>
      <c r="G2412" s="21"/>
      <c r="H2412" s="21"/>
      <c r="I2412" s="21"/>
      <c r="J2412" s="21"/>
      <c r="K2412" s="21"/>
      <c r="L2412" s="21"/>
      <c r="M2412" s="21"/>
      <c r="N2412" s="21"/>
      <c r="O2412" s="21"/>
      <c r="P2412" s="21"/>
      <c r="Q2412" s="21"/>
      <c r="R2412" s="21"/>
      <c r="S2412" s="21"/>
      <c r="T2412" s="21"/>
      <c r="U2412" s="21"/>
      <c r="V2412" s="21"/>
      <c r="W2412" s="21"/>
      <c r="X2412" s="21"/>
      <c r="Y2412" s="21"/>
      <c r="Z2412" s="21"/>
      <c r="AA2412" s="21"/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W2412" s="296"/>
      <c r="CY2412" s="296"/>
    </row>
    <row r="2413" spans="3:103" s="19" customFormat="1" ht="12">
      <c r="C2413" s="21"/>
      <c r="D2413" s="21"/>
      <c r="E2413" s="21"/>
      <c r="F2413" s="21"/>
      <c r="G2413" s="21"/>
      <c r="H2413" s="21"/>
      <c r="I2413" s="21"/>
      <c r="J2413" s="21"/>
      <c r="K2413" s="21"/>
      <c r="L2413" s="21"/>
      <c r="M2413" s="21"/>
      <c r="N2413" s="21"/>
      <c r="O2413" s="21"/>
      <c r="P2413" s="21"/>
      <c r="Q2413" s="21"/>
      <c r="R2413" s="21"/>
      <c r="S2413" s="21"/>
      <c r="T2413" s="21"/>
      <c r="U2413" s="21"/>
      <c r="V2413" s="21"/>
      <c r="W2413" s="21"/>
      <c r="X2413" s="21"/>
      <c r="Y2413" s="21"/>
      <c r="Z2413" s="21"/>
      <c r="AA2413" s="21"/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W2413" s="296"/>
      <c r="CY2413" s="296"/>
    </row>
    <row r="2414" spans="3:103" s="19" customFormat="1" ht="12">
      <c r="C2414" s="21"/>
      <c r="D2414" s="21"/>
      <c r="E2414" s="21"/>
      <c r="F2414" s="21"/>
      <c r="G2414" s="21"/>
      <c r="H2414" s="21"/>
      <c r="I2414" s="21"/>
      <c r="J2414" s="21"/>
      <c r="K2414" s="21"/>
      <c r="L2414" s="21"/>
      <c r="M2414" s="21"/>
      <c r="N2414" s="21"/>
      <c r="O2414" s="21"/>
      <c r="P2414" s="21"/>
      <c r="Q2414" s="21"/>
      <c r="R2414" s="21"/>
      <c r="S2414" s="21"/>
      <c r="T2414" s="21"/>
      <c r="U2414" s="21"/>
      <c r="V2414" s="21"/>
      <c r="W2414" s="21"/>
      <c r="X2414" s="21"/>
      <c r="Y2414" s="21"/>
      <c r="Z2414" s="21"/>
      <c r="AA2414" s="21"/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W2414" s="296"/>
      <c r="CY2414" s="296"/>
    </row>
    <row r="2415" spans="3:103" s="19" customFormat="1" ht="12">
      <c r="C2415" s="21"/>
      <c r="D2415" s="21"/>
      <c r="E2415" s="21"/>
      <c r="F2415" s="21"/>
      <c r="G2415" s="21"/>
      <c r="H2415" s="21"/>
      <c r="I2415" s="21"/>
      <c r="J2415" s="21"/>
      <c r="K2415" s="21"/>
      <c r="L2415" s="21"/>
      <c r="M2415" s="21"/>
      <c r="N2415" s="21"/>
      <c r="O2415" s="21"/>
      <c r="P2415" s="21"/>
      <c r="Q2415" s="21"/>
      <c r="R2415" s="21"/>
      <c r="S2415" s="21"/>
      <c r="T2415" s="21"/>
      <c r="U2415" s="21"/>
      <c r="V2415" s="21"/>
      <c r="W2415" s="21"/>
      <c r="X2415" s="21"/>
      <c r="Y2415" s="21"/>
      <c r="Z2415" s="21"/>
      <c r="AA2415" s="21"/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W2415" s="296"/>
      <c r="CY2415" s="296"/>
    </row>
    <row r="2416" spans="3:103" s="19" customFormat="1" ht="12">
      <c r="C2416" s="21"/>
      <c r="D2416" s="21"/>
      <c r="E2416" s="21"/>
      <c r="F2416" s="21"/>
      <c r="G2416" s="21"/>
      <c r="H2416" s="21"/>
      <c r="I2416" s="21"/>
      <c r="J2416" s="21"/>
      <c r="K2416" s="21"/>
      <c r="L2416" s="21"/>
      <c r="M2416" s="21"/>
      <c r="N2416" s="21"/>
      <c r="O2416" s="21"/>
      <c r="P2416" s="21"/>
      <c r="Q2416" s="21"/>
      <c r="R2416" s="21"/>
      <c r="S2416" s="21"/>
      <c r="T2416" s="21"/>
      <c r="U2416" s="21"/>
      <c r="V2416" s="21"/>
      <c r="W2416" s="21"/>
      <c r="X2416" s="21"/>
      <c r="Y2416" s="21"/>
      <c r="Z2416" s="21"/>
      <c r="AA2416" s="21"/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W2416" s="296"/>
      <c r="CY2416" s="296"/>
    </row>
    <row r="2417" spans="3:103" s="19" customFormat="1" ht="12">
      <c r="C2417" s="21"/>
      <c r="D2417" s="21"/>
      <c r="E2417" s="21"/>
      <c r="F2417" s="21"/>
      <c r="G2417" s="21"/>
      <c r="H2417" s="21"/>
      <c r="I2417" s="21"/>
      <c r="J2417" s="21"/>
      <c r="K2417" s="21"/>
      <c r="L2417" s="21"/>
      <c r="M2417" s="21"/>
      <c r="N2417" s="21"/>
      <c r="O2417" s="21"/>
      <c r="P2417" s="21"/>
      <c r="Q2417" s="21"/>
      <c r="R2417" s="21"/>
      <c r="S2417" s="21"/>
      <c r="T2417" s="21"/>
      <c r="U2417" s="21"/>
      <c r="V2417" s="21"/>
      <c r="W2417" s="21"/>
      <c r="X2417" s="21"/>
      <c r="Y2417" s="21"/>
      <c r="Z2417" s="21"/>
      <c r="AA2417" s="21"/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W2417" s="296"/>
      <c r="CY2417" s="296"/>
    </row>
    <row r="2418" spans="3:103" s="19" customFormat="1" ht="12">
      <c r="C2418" s="21"/>
      <c r="D2418" s="21"/>
      <c r="E2418" s="21"/>
      <c r="F2418" s="21"/>
      <c r="G2418" s="21"/>
      <c r="H2418" s="21"/>
      <c r="I2418" s="21"/>
      <c r="J2418" s="21"/>
      <c r="K2418" s="21"/>
      <c r="L2418" s="21"/>
      <c r="M2418" s="21"/>
      <c r="N2418" s="21"/>
      <c r="O2418" s="21"/>
      <c r="P2418" s="21"/>
      <c r="Q2418" s="21"/>
      <c r="R2418" s="21"/>
      <c r="S2418" s="21"/>
      <c r="T2418" s="21"/>
      <c r="U2418" s="21"/>
      <c r="V2418" s="21"/>
      <c r="W2418" s="21"/>
      <c r="X2418" s="21"/>
      <c r="Y2418" s="21"/>
      <c r="Z2418" s="21"/>
      <c r="AA2418" s="21"/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W2418" s="296"/>
      <c r="CY2418" s="296"/>
    </row>
    <row r="2419" spans="3:103" s="19" customFormat="1" ht="12">
      <c r="C2419" s="21"/>
      <c r="D2419" s="21"/>
      <c r="E2419" s="21"/>
      <c r="F2419" s="21"/>
      <c r="G2419" s="21"/>
      <c r="H2419" s="21"/>
      <c r="I2419" s="21"/>
      <c r="J2419" s="21"/>
      <c r="K2419" s="21"/>
      <c r="L2419" s="21"/>
      <c r="M2419" s="21"/>
      <c r="N2419" s="21"/>
      <c r="O2419" s="21"/>
      <c r="P2419" s="21"/>
      <c r="Q2419" s="21"/>
      <c r="R2419" s="21"/>
      <c r="S2419" s="21"/>
      <c r="T2419" s="21"/>
      <c r="U2419" s="21"/>
      <c r="V2419" s="21"/>
      <c r="W2419" s="21"/>
      <c r="X2419" s="21"/>
      <c r="Y2419" s="21"/>
      <c r="Z2419" s="21"/>
      <c r="AA2419" s="21"/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W2419" s="296"/>
      <c r="CY2419" s="296"/>
    </row>
    <row r="2420" spans="3:103" s="19" customFormat="1" ht="12">
      <c r="C2420" s="21"/>
      <c r="D2420" s="21"/>
      <c r="E2420" s="21"/>
      <c r="F2420" s="21"/>
      <c r="G2420" s="21"/>
      <c r="H2420" s="21"/>
      <c r="I2420" s="21"/>
      <c r="J2420" s="21"/>
      <c r="K2420" s="21"/>
      <c r="L2420" s="21"/>
      <c r="M2420" s="21"/>
      <c r="N2420" s="21"/>
      <c r="O2420" s="21"/>
      <c r="P2420" s="21"/>
      <c r="Q2420" s="21"/>
      <c r="R2420" s="21"/>
      <c r="S2420" s="21"/>
      <c r="T2420" s="21"/>
      <c r="U2420" s="21"/>
      <c r="V2420" s="21"/>
      <c r="W2420" s="21"/>
      <c r="X2420" s="21"/>
      <c r="Y2420" s="21"/>
      <c r="Z2420" s="21"/>
      <c r="AA2420" s="21"/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W2420" s="296"/>
      <c r="CY2420" s="296"/>
    </row>
    <row r="2421" spans="3:103" s="19" customFormat="1" ht="12">
      <c r="C2421" s="21"/>
      <c r="D2421" s="21"/>
      <c r="E2421" s="21"/>
      <c r="F2421" s="21"/>
      <c r="G2421" s="21"/>
      <c r="H2421" s="21"/>
      <c r="I2421" s="21"/>
      <c r="J2421" s="21"/>
      <c r="K2421" s="21"/>
      <c r="L2421" s="21"/>
      <c r="M2421" s="21"/>
      <c r="N2421" s="21"/>
      <c r="O2421" s="21"/>
      <c r="P2421" s="21"/>
      <c r="Q2421" s="21"/>
      <c r="R2421" s="21"/>
      <c r="S2421" s="21"/>
      <c r="T2421" s="21"/>
      <c r="U2421" s="21"/>
      <c r="V2421" s="21"/>
      <c r="W2421" s="21"/>
      <c r="X2421" s="21"/>
      <c r="Y2421" s="21"/>
      <c r="Z2421" s="21"/>
      <c r="AA2421" s="21"/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W2421" s="296"/>
      <c r="CY2421" s="296"/>
    </row>
    <row r="2422" spans="3:103" s="19" customFormat="1" ht="12">
      <c r="C2422" s="21"/>
      <c r="D2422" s="21"/>
      <c r="E2422" s="21"/>
      <c r="F2422" s="21"/>
      <c r="G2422" s="21"/>
      <c r="H2422" s="21"/>
      <c r="I2422" s="21"/>
      <c r="J2422" s="21"/>
      <c r="K2422" s="21"/>
      <c r="L2422" s="21"/>
      <c r="M2422" s="21"/>
      <c r="N2422" s="21"/>
      <c r="O2422" s="21"/>
      <c r="P2422" s="21"/>
      <c r="Q2422" s="21"/>
      <c r="R2422" s="21"/>
      <c r="S2422" s="21"/>
      <c r="T2422" s="21"/>
      <c r="U2422" s="21"/>
      <c r="V2422" s="21"/>
      <c r="W2422" s="21"/>
      <c r="X2422" s="21"/>
      <c r="Y2422" s="21"/>
      <c r="Z2422" s="21"/>
      <c r="AA2422" s="21"/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W2422" s="296"/>
      <c r="CY2422" s="296"/>
    </row>
    <row r="2423" spans="3:103" s="19" customFormat="1" ht="12">
      <c r="C2423" s="21"/>
      <c r="D2423" s="21"/>
      <c r="E2423" s="21"/>
      <c r="F2423" s="21"/>
      <c r="G2423" s="21"/>
      <c r="H2423" s="21"/>
      <c r="I2423" s="21"/>
      <c r="J2423" s="21"/>
      <c r="K2423" s="21"/>
      <c r="L2423" s="21"/>
      <c r="M2423" s="21"/>
      <c r="N2423" s="21"/>
      <c r="O2423" s="21"/>
      <c r="P2423" s="21"/>
      <c r="Q2423" s="21"/>
      <c r="R2423" s="21"/>
      <c r="S2423" s="21"/>
      <c r="T2423" s="21"/>
      <c r="U2423" s="21"/>
      <c r="V2423" s="21"/>
      <c r="W2423" s="21"/>
      <c r="X2423" s="21"/>
      <c r="Y2423" s="21"/>
      <c r="Z2423" s="21"/>
      <c r="AA2423" s="21"/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W2423" s="296"/>
      <c r="CY2423" s="296"/>
    </row>
    <row r="2424" spans="3:103" s="19" customFormat="1" ht="12">
      <c r="C2424" s="21"/>
      <c r="D2424" s="21"/>
      <c r="E2424" s="21"/>
      <c r="F2424" s="21"/>
      <c r="G2424" s="21"/>
      <c r="H2424" s="21"/>
      <c r="I2424" s="21"/>
      <c r="J2424" s="21"/>
      <c r="K2424" s="21"/>
      <c r="L2424" s="21"/>
      <c r="M2424" s="21"/>
      <c r="N2424" s="21"/>
      <c r="O2424" s="21"/>
      <c r="P2424" s="21"/>
      <c r="Q2424" s="21"/>
      <c r="R2424" s="21"/>
      <c r="S2424" s="21"/>
      <c r="T2424" s="21"/>
      <c r="U2424" s="21"/>
      <c r="V2424" s="21"/>
      <c r="W2424" s="21"/>
      <c r="X2424" s="21"/>
      <c r="Y2424" s="21"/>
      <c r="Z2424" s="21"/>
      <c r="AA2424" s="21"/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W2424" s="296"/>
      <c r="CY2424" s="296"/>
    </row>
    <row r="2425" spans="3:103" s="19" customFormat="1" ht="12">
      <c r="C2425" s="21"/>
      <c r="D2425" s="21"/>
      <c r="E2425" s="21"/>
      <c r="F2425" s="21"/>
      <c r="G2425" s="21"/>
      <c r="H2425" s="21"/>
      <c r="I2425" s="21"/>
      <c r="J2425" s="21"/>
      <c r="K2425" s="21"/>
      <c r="L2425" s="21"/>
      <c r="M2425" s="21"/>
      <c r="N2425" s="21"/>
      <c r="O2425" s="21"/>
      <c r="P2425" s="21"/>
      <c r="Q2425" s="21"/>
      <c r="R2425" s="21"/>
      <c r="S2425" s="21"/>
      <c r="T2425" s="21"/>
      <c r="U2425" s="21"/>
      <c r="V2425" s="21"/>
      <c r="W2425" s="21"/>
      <c r="X2425" s="21"/>
      <c r="Y2425" s="21"/>
      <c r="Z2425" s="21"/>
      <c r="AA2425" s="21"/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W2425" s="296"/>
      <c r="CY2425" s="296"/>
    </row>
    <row r="2426" spans="3:103" s="19" customFormat="1" ht="12">
      <c r="C2426" s="21"/>
      <c r="D2426" s="21"/>
      <c r="E2426" s="21"/>
      <c r="F2426" s="21"/>
      <c r="G2426" s="21"/>
      <c r="H2426" s="21"/>
      <c r="I2426" s="21"/>
      <c r="J2426" s="21"/>
      <c r="K2426" s="21"/>
      <c r="L2426" s="21"/>
      <c r="M2426" s="21"/>
      <c r="N2426" s="21"/>
      <c r="O2426" s="21"/>
      <c r="P2426" s="21"/>
      <c r="Q2426" s="21"/>
      <c r="R2426" s="21"/>
      <c r="S2426" s="21"/>
      <c r="T2426" s="21"/>
      <c r="U2426" s="21"/>
      <c r="V2426" s="21"/>
      <c r="W2426" s="21"/>
      <c r="X2426" s="21"/>
      <c r="Y2426" s="21"/>
      <c r="Z2426" s="21"/>
      <c r="AA2426" s="21"/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W2426" s="296"/>
      <c r="CY2426" s="296"/>
    </row>
    <row r="2427" spans="3:103" s="19" customFormat="1" ht="12">
      <c r="C2427" s="21"/>
      <c r="D2427" s="21"/>
      <c r="E2427" s="21"/>
      <c r="F2427" s="21"/>
      <c r="G2427" s="21"/>
      <c r="H2427" s="21"/>
      <c r="I2427" s="21"/>
      <c r="J2427" s="21"/>
      <c r="K2427" s="21"/>
      <c r="L2427" s="21"/>
      <c r="M2427" s="21"/>
      <c r="N2427" s="21"/>
      <c r="O2427" s="21"/>
      <c r="P2427" s="21"/>
      <c r="Q2427" s="21"/>
      <c r="R2427" s="21"/>
      <c r="S2427" s="21"/>
      <c r="T2427" s="21"/>
      <c r="U2427" s="21"/>
      <c r="V2427" s="21"/>
      <c r="W2427" s="21"/>
      <c r="X2427" s="21"/>
      <c r="Y2427" s="21"/>
      <c r="Z2427" s="21"/>
      <c r="AA2427" s="21"/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W2427" s="296"/>
      <c r="CY2427" s="296"/>
    </row>
    <row r="2428" spans="3:103" s="19" customFormat="1" ht="12">
      <c r="C2428" s="21"/>
      <c r="D2428" s="21"/>
      <c r="E2428" s="21"/>
      <c r="F2428" s="21"/>
      <c r="G2428" s="21"/>
      <c r="H2428" s="21"/>
      <c r="I2428" s="21"/>
      <c r="J2428" s="21"/>
      <c r="K2428" s="21"/>
      <c r="L2428" s="21"/>
      <c r="M2428" s="21"/>
      <c r="N2428" s="21"/>
      <c r="O2428" s="21"/>
      <c r="P2428" s="21"/>
      <c r="Q2428" s="21"/>
      <c r="R2428" s="21"/>
      <c r="S2428" s="21"/>
      <c r="T2428" s="21"/>
      <c r="U2428" s="21"/>
      <c r="V2428" s="21"/>
      <c r="W2428" s="21"/>
      <c r="X2428" s="21"/>
      <c r="Y2428" s="21"/>
      <c r="Z2428" s="21"/>
      <c r="AA2428" s="21"/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W2428" s="296"/>
      <c r="CY2428" s="296"/>
    </row>
    <row r="2429" spans="3:103" s="19" customFormat="1" ht="12">
      <c r="C2429" s="21"/>
      <c r="D2429" s="21"/>
      <c r="E2429" s="21"/>
      <c r="F2429" s="21"/>
      <c r="G2429" s="21"/>
      <c r="H2429" s="21"/>
      <c r="I2429" s="21"/>
      <c r="J2429" s="21"/>
      <c r="K2429" s="21"/>
      <c r="L2429" s="21"/>
      <c r="M2429" s="21"/>
      <c r="N2429" s="21"/>
      <c r="O2429" s="21"/>
      <c r="P2429" s="21"/>
      <c r="Q2429" s="21"/>
      <c r="R2429" s="21"/>
      <c r="S2429" s="21"/>
      <c r="T2429" s="21"/>
      <c r="U2429" s="21"/>
      <c r="V2429" s="21"/>
      <c r="W2429" s="21"/>
      <c r="X2429" s="21"/>
      <c r="Y2429" s="21"/>
      <c r="Z2429" s="21"/>
      <c r="AA2429" s="21"/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W2429" s="296"/>
      <c r="CY2429" s="296"/>
    </row>
    <row r="2430" spans="3:103" s="19" customFormat="1" ht="12">
      <c r="C2430" s="21"/>
      <c r="D2430" s="21"/>
      <c r="E2430" s="21"/>
      <c r="F2430" s="21"/>
      <c r="G2430" s="21"/>
      <c r="H2430" s="21"/>
      <c r="I2430" s="21"/>
      <c r="J2430" s="21"/>
      <c r="K2430" s="21"/>
      <c r="L2430" s="21"/>
      <c r="M2430" s="21"/>
      <c r="N2430" s="21"/>
      <c r="O2430" s="21"/>
      <c r="P2430" s="21"/>
      <c r="Q2430" s="21"/>
      <c r="R2430" s="21"/>
      <c r="S2430" s="21"/>
      <c r="T2430" s="21"/>
      <c r="U2430" s="21"/>
      <c r="V2430" s="21"/>
      <c r="W2430" s="21"/>
      <c r="X2430" s="21"/>
      <c r="Y2430" s="21"/>
      <c r="Z2430" s="21"/>
      <c r="AA2430" s="21"/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W2430" s="296"/>
      <c r="CY2430" s="296"/>
    </row>
    <row r="2431" spans="3:103" s="19" customFormat="1" ht="12">
      <c r="C2431" s="21"/>
      <c r="D2431" s="21"/>
      <c r="E2431" s="21"/>
      <c r="F2431" s="21"/>
      <c r="G2431" s="21"/>
      <c r="H2431" s="21"/>
      <c r="I2431" s="21"/>
      <c r="J2431" s="21"/>
      <c r="K2431" s="21"/>
      <c r="L2431" s="21"/>
      <c r="M2431" s="21"/>
      <c r="N2431" s="21"/>
      <c r="O2431" s="21"/>
      <c r="P2431" s="21"/>
      <c r="Q2431" s="21"/>
      <c r="R2431" s="21"/>
      <c r="S2431" s="21"/>
      <c r="T2431" s="21"/>
      <c r="U2431" s="21"/>
      <c r="V2431" s="21"/>
      <c r="W2431" s="21"/>
      <c r="X2431" s="21"/>
      <c r="Y2431" s="21"/>
      <c r="Z2431" s="21"/>
      <c r="AA2431" s="21"/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W2431" s="296"/>
      <c r="CY2431" s="296"/>
    </row>
    <row r="2432" spans="3:103" s="19" customFormat="1" ht="12">
      <c r="C2432" s="21"/>
      <c r="D2432" s="21"/>
      <c r="E2432" s="21"/>
      <c r="F2432" s="21"/>
      <c r="G2432" s="21"/>
      <c r="H2432" s="21"/>
      <c r="I2432" s="21"/>
      <c r="J2432" s="21"/>
      <c r="K2432" s="21"/>
      <c r="L2432" s="21"/>
      <c r="M2432" s="21"/>
      <c r="N2432" s="21"/>
      <c r="O2432" s="21"/>
      <c r="P2432" s="21"/>
      <c r="Q2432" s="21"/>
      <c r="R2432" s="21"/>
      <c r="S2432" s="21"/>
      <c r="T2432" s="21"/>
      <c r="U2432" s="21"/>
      <c r="V2432" s="21"/>
      <c r="W2432" s="21"/>
      <c r="X2432" s="21"/>
      <c r="Y2432" s="21"/>
      <c r="Z2432" s="21"/>
      <c r="AA2432" s="21"/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W2432" s="296"/>
      <c r="CY2432" s="296"/>
    </row>
    <row r="2433" spans="3:103" s="19" customFormat="1" ht="12">
      <c r="C2433" s="21"/>
      <c r="D2433" s="21"/>
      <c r="E2433" s="21"/>
      <c r="F2433" s="21"/>
      <c r="G2433" s="21"/>
      <c r="H2433" s="21"/>
      <c r="I2433" s="21"/>
      <c r="J2433" s="21"/>
      <c r="K2433" s="21"/>
      <c r="L2433" s="21"/>
      <c r="M2433" s="21"/>
      <c r="N2433" s="21"/>
      <c r="O2433" s="21"/>
      <c r="P2433" s="21"/>
      <c r="Q2433" s="21"/>
      <c r="R2433" s="21"/>
      <c r="S2433" s="21"/>
      <c r="T2433" s="21"/>
      <c r="U2433" s="21"/>
      <c r="V2433" s="21"/>
      <c r="W2433" s="21"/>
      <c r="X2433" s="21"/>
      <c r="Y2433" s="21"/>
      <c r="Z2433" s="21"/>
      <c r="AA2433" s="21"/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W2433" s="296"/>
      <c r="CY2433" s="296"/>
    </row>
    <row r="2434" spans="3:103" s="19" customFormat="1" ht="12">
      <c r="C2434" s="21"/>
      <c r="D2434" s="21"/>
      <c r="E2434" s="21"/>
      <c r="F2434" s="21"/>
      <c r="G2434" s="21"/>
      <c r="H2434" s="21"/>
      <c r="I2434" s="21"/>
      <c r="J2434" s="21"/>
      <c r="K2434" s="21"/>
      <c r="L2434" s="21"/>
      <c r="M2434" s="21"/>
      <c r="N2434" s="21"/>
      <c r="O2434" s="21"/>
      <c r="P2434" s="21"/>
      <c r="Q2434" s="21"/>
      <c r="R2434" s="21"/>
      <c r="S2434" s="21"/>
      <c r="T2434" s="21"/>
      <c r="U2434" s="21"/>
      <c r="V2434" s="21"/>
      <c r="W2434" s="21"/>
      <c r="X2434" s="21"/>
      <c r="Y2434" s="21"/>
      <c r="Z2434" s="21"/>
      <c r="AA2434" s="21"/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W2434" s="296"/>
      <c r="CY2434" s="296"/>
    </row>
    <row r="2435" spans="3:103" s="19" customFormat="1" ht="12">
      <c r="C2435" s="21"/>
      <c r="D2435" s="21"/>
      <c r="E2435" s="21"/>
      <c r="F2435" s="21"/>
      <c r="G2435" s="21"/>
      <c r="H2435" s="21"/>
      <c r="I2435" s="21"/>
      <c r="J2435" s="21"/>
      <c r="K2435" s="21"/>
      <c r="L2435" s="21"/>
      <c r="M2435" s="21"/>
      <c r="N2435" s="21"/>
      <c r="O2435" s="21"/>
      <c r="P2435" s="21"/>
      <c r="Q2435" s="21"/>
      <c r="R2435" s="21"/>
      <c r="S2435" s="21"/>
      <c r="T2435" s="21"/>
      <c r="U2435" s="21"/>
      <c r="V2435" s="21"/>
      <c r="W2435" s="21"/>
      <c r="X2435" s="21"/>
      <c r="Y2435" s="21"/>
      <c r="Z2435" s="21"/>
      <c r="AA2435" s="21"/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W2435" s="296"/>
      <c r="CY2435" s="296"/>
    </row>
    <row r="2436" spans="3:103" s="19" customFormat="1" ht="12">
      <c r="C2436" s="21"/>
      <c r="D2436" s="21"/>
      <c r="E2436" s="21"/>
      <c r="F2436" s="21"/>
      <c r="G2436" s="21"/>
      <c r="H2436" s="21"/>
      <c r="I2436" s="21"/>
      <c r="J2436" s="21"/>
      <c r="K2436" s="21"/>
      <c r="L2436" s="21"/>
      <c r="M2436" s="21"/>
      <c r="N2436" s="21"/>
      <c r="O2436" s="21"/>
      <c r="P2436" s="21"/>
      <c r="Q2436" s="21"/>
      <c r="R2436" s="21"/>
      <c r="S2436" s="21"/>
      <c r="T2436" s="21"/>
      <c r="U2436" s="21"/>
      <c r="V2436" s="21"/>
      <c r="W2436" s="21"/>
      <c r="X2436" s="21"/>
      <c r="Y2436" s="21"/>
      <c r="Z2436" s="21"/>
      <c r="AA2436" s="21"/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W2436" s="296"/>
      <c r="CY2436" s="296"/>
    </row>
    <row r="2437" spans="3:103" s="19" customFormat="1" ht="12">
      <c r="C2437" s="21"/>
      <c r="D2437" s="21"/>
      <c r="E2437" s="21"/>
      <c r="F2437" s="21"/>
      <c r="G2437" s="21"/>
      <c r="H2437" s="21"/>
      <c r="I2437" s="21"/>
      <c r="J2437" s="21"/>
      <c r="K2437" s="21"/>
      <c r="L2437" s="21"/>
      <c r="M2437" s="21"/>
      <c r="N2437" s="21"/>
      <c r="O2437" s="21"/>
      <c r="P2437" s="21"/>
      <c r="Q2437" s="21"/>
      <c r="R2437" s="21"/>
      <c r="S2437" s="21"/>
      <c r="T2437" s="21"/>
      <c r="U2437" s="21"/>
      <c r="V2437" s="21"/>
      <c r="W2437" s="21"/>
      <c r="X2437" s="21"/>
      <c r="Y2437" s="21"/>
      <c r="Z2437" s="21"/>
      <c r="AA2437" s="21"/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W2437" s="296"/>
      <c r="CY2437" s="296"/>
    </row>
    <row r="2438" spans="3:103" s="19" customFormat="1" ht="12">
      <c r="C2438" s="21"/>
      <c r="D2438" s="21"/>
      <c r="E2438" s="21"/>
      <c r="F2438" s="21"/>
      <c r="G2438" s="21"/>
      <c r="H2438" s="21"/>
      <c r="I2438" s="21"/>
      <c r="J2438" s="21"/>
      <c r="K2438" s="21"/>
      <c r="L2438" s="21"/>
      <c r="M2438" s="21"/>
      <c r="N2438" s="21"/>
      <c r="O2438" s="21"/>
      <c r="P2438" s="21"/>
      <c r="Q2438" s="21"/>
      <c r="R2438" s="21"/>
      <c r="S2438" s="21"/>
      <c r="T2438" s="21"/>
      <c r="U2438" s="21"/>
      <c r="V2438" s="21"/>
      <c r="W2438" s="21"/>
      <c r="X2438" s="21"/>
      <c r="Y2438" s="21"/>
      <c r="Z2438" s="21"/>
      <c r="AA2438" s="21"/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W2438" s="296"/>
      <c r="CY2438" s="296"/>
    </row>
    <row r="2439" spans="3:103" s="19" customFormat="1" ht="12">
      <c r="C2439" s="21"/>
      <c r="D2439" s="21"/>
      <c r="E2439" s="21"/>
      <c r="F2439" s="21"/>
      <c r="G2439" s="21"/>
      <c r="H2439" s="21"/>
      <c r="I2439" s="21"/>
      <c r="J2439" s="21"/>
      <c r="K2439" s="21"/>
      <c r="L2439" s="21"/>
      <c r="M2439" s="21"/>
      <c r="N2439" s="21"/>
      <c r="O2439" s="21"/>
      <c r="P2439" s="21"/>
      <c r="Q2439" s="21"/>
      <c r="R2439" s="21"/>
      <c r="S2439" s="21"/>
      <c r="T2439" s="21"/>
      <c r="U2439" s="21"/>
      <c r="V2439" s="21"/>
      <c r="W2439" s="21"/>
      <c r="X2439" s="21"/>
      <c r="Y2439" s="21"/>
      <c r="Z2439" s="21"/>
      <c r="AA2439" s="21"/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W2439" s="296"/>
      <c r="CY2439" s="296"/>
    </row>
    <row r="2440" spans="3:103" s="19" customFormat="1" ht="12">
      <c r="C2440" s="21"/>
      <c r="D2440" s="21"/>
      <c r="E2440" s="21"/>
      <c r="F2440" s="21"/>
      <c r="G2440" s="21"/>
      <c r="H2440" s="21"/>
      <c r="I2440" s="21"/>
      <c r="J2440" s="21"/>
      <c r="K2440" s="21"/>
      <c r="L2440" s="21"/>
      <c r="M2440" s="21"/>
      <c r="N2440" s="21"/>
      <c r="O2440" s="21"/>
      <c r="P2440" s="21"/>
      <c r="Q2440" s="21"/>
      <c r="R2440" s="21"/>
      <c r="S2440" s="21"/>
      <c r="T2440" s="21"/>
      <c r="U2440" s="21"/>
      <c r="V2440" s="21"/>
      <c r="W2440" s="21"/>
      <c r="X2440" s="21"/>
      <c r="Y2440" s="21"/>
      <c r="Z2440" s="21"/>
      <c r="AA2440" s="21"/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W2440" s="296"/>
      <c r="CY2440" s="296"/>
    </row>
    <row r="2441" spans="3:103" s="19" customFormat="1" ht="12">
      <c r="C2441" s="21"/>
      <c r="D2441" s="21"/>
      <c r="E2441" s="21"/>
      <c r="F2441" s="21"/>
      <c r="G2441" s="21"/>
      <c r="H2441" s="21"/>
      <c r="I2441" s="21"/>
      <c r="J2441" s="21"/>
      <c r="K2441" s="21"/>
      <c r="L2441" s="21"/>
      <c r="M2441" s="21"/>
      <c r="N2441" s="21"/>
      <c r="O2441" s="21"/>
      <c r="P2441" s="21"/>
      <c r="Q2441" s="21"/>
      <c r="R2441" s="21"/>
      <c r="S2441" s="21"/>
      <c r="T2441" s="21"/>
      <c r="U2441" s="21"/>
      <c r="V2441" s="21"/>
      <c r="W2441" s="21"/>
      <c r="X2441" s="21"/>
      <c r="Y2441" s="21"/>
      <c r="Z2441" s="21"/>
      <c r="AA2441" s="21"/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W2441" s="296"/>
      <c r="CY2441" s="296"/>
    </row>
    <row r="2442" spans="3:103" s="19" customFormat="1" ht="12">
      <c r="C2442" s="21"/>
      <c r="D2442" s="21"/>
      <c r="E2442" s="21"/>
      <c r="F2442" s="21"/>
      <c r="G2442" s="21"/>
      <c r="H2442" s="21"/>
      <c r="I2442" s="21"/>
      <c r="J2442" s="21"/>
      <c r="K2442" s="21"/>
      <c r="L2442" s="21"/>
      <c r="M2442" s="21"/>
      <c r="N2442" s="21"/>
      <c r="O2442" s="21"/>
      <c r="P2442" s="21"/>
      <c r="Q2442" s="21"/>
      <c r="R2442" s="21"/>
      <c r="S2442" s="21"/>
      <c r="T2442" s="21"/>
      <c r="U2442" s="21"/>
      <c r="V2442" s="21"/>
      <c r="W2442" s="21"/>
      <c r="X2442" s="21"/>
      <c r="Y2442" s="21"/>
      <c r="Z2442" s="21"/>
      <c r="AA2442" s="21"/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W2442" s="296"/>
      <c r="CY2442" s="296"/>
    </row>
    <row r="2443" spans="3:103" s="19" customFormat="1" ht="12">
      <c r="C2443" s="21"/>
      <c r="D2443" s="21"/>
      <c r="E2443" s="21"/>
      <c r="F2443" s="21"/>
      <c r="G2443" s="21"/>
      <c r="H2443" s="21"/>
      <c r="I2443" s="21"/>
      <c r="J2443" s="21"/>
      <c r="K2443" s="21"/>
      <c r="L2443" s="21"/>
      <c r="M2443" s="21"/>
      <c r="N2443" s="21"/>
      <c r="O2443" s="21"/>
      <c r="P2443" s="21"/>
      <c r="Q2443" s="21"/>
      <c r="R2443" s="21"/>
      <c r="S2443" s="21"/>
      <c r="T2443" s="21"/>
      <c r="U2443" s="21"/>
      <c r="V2443" s="21"/>
      <c r="W2443" s="21"/>
      <c r="X2443" s="21"/>
      <c r="Y2443" s="21"/>
      <c r="Z2443" s="21"/>
      <c r="AA2443" s="21"/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W2443" s="296"/>
      <c r="CY2443" s="296"/>
    </row>
    <row r="2444" spans="3:103" s="19" customFormat="1" ht="12">
      <c r="C2444" s="21"/>
      <c r="D2444" s="21"/>
      <c r="E2444" s="21"/>
      <c r="F2444" s="21"/>
      <c r="G2444" s="21"/>
      <c r="H2444" s="21"/>
      <c r="I2444" s="21"/>
      <c r="J2444" s="21"/>
      <c r="K2444" s="21"/>
      <c r="L2444" s="21"/>
      <c r="M2444" s="21"/>
      <c r="N2444" s="21"/>
      <c r="O2444" s="21"/>
      <c r="P2444" s="21"/>
      <c r="Q2444" s="21"/>
      <c r="R2444" s="21"/>
      <c r="S2444" s="21"/>
      <c r="T2444" s="21"/>
      <c r="U2444" s="21"/>
      <c r="V2444" s="21"/>
      <c r="W2444" s="21"/>
      <c r="X2444" s="21"/>
      <c r="Y2444" s="21"/>
      <c r="Z2444" s="21"/>
      <c r="AA2444" s="21"/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W2444" s="296"/>
      <c r="CY2444" s="296"/>
    </row>
    <row r="2445" spans="3:103" s="19" customFormat="1" ht="12">
      <c r="C2445" s="21"/>
      <c r="D2445" s="21"/>
      <c r="E2445" s="21"/>
      <c r="F2445" s="21"/>
      <c r="G2445" s="21"/>
      <c r="H2445" s="21"/>
      <c r="I2445" s="21"/>
      <c r="J2445" s="21"/>
      <c r="K2445" s="21"/>
      <c r="L2445" s="21"/>
      <c r="M2445" s="21"/>
      <c r="N2445" s="21"/>
      <c r="O2445" s="21"/>
      <c r="P2445" s="21"/>
      <c r="Q2445" s="21"/>
      <c r="R2445" s="21"/>
      <c r="S2445" s="21"/>
      <c r="T2445" s="21"/>
      <c r="U2445" s="21"/>
      <c r="V2445" s="21"/>
      <c r="W2445" s="21"/>
      <c r="X2445" s="21"/>
      <c r="Y2445" s="21"/>
      <c r="Z2445" s="21"/>
      <c r="AA2445" s="21"/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W2445" s="296"/>
      <c r="CY2445" s="296"/>
    </row>
    <row r="2446" spans="3:103" s="19" customFormat="1" ht="12">
      <c r="C2446" s="21"/>
      <c r="D2446" s="21"/>
      <c r="E2446" s="21"/>
      <c r="F2446" s="21"/>
      <c r="G2446" s="21"/>
      <c r="H2446" s="21"/>
      <c r="I2446" s="21"/>
      <c r="J2446" s="21"/>
      <c r="K2446" s="21"/>
      <c r="L2446" s="21"/>
      <c r="M2446" s="21"/>
      <c r="N2446" s="21"/>
      <c r="O2446" s="21"/>
      <c r="P2446" s="21"/>
      <c r="Q2446" s="21"/>
      <c r="R2446" s="21"/>
      <c r="S2446" s="21"/>
      <c r="T2446" s="21"/>
      <c r="U2446" s="21"/>
      <c r="V2446" s="21"/>
      <c r="W2446" s="21"/>
      <c r="X2446" s="21"/>
      <c r="Y2446" s="21"/>
      <c r="Z2446" s="21"/>
      <c r="AA2446" s="21"/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W2446" s="296"/>
      <c r="CY2446" s="296"/>
    </row>
    <row r="2447" spans="3:103" s="19" customFormat="1" ht="12">
      <c r="C2447" s="21"/>
      <c r="D2447" s="21"/>
      <c r="E2447" s="21"/>
      <c r="F2447" s="21"/>
      <c r="G2447" s="21"/>
      <c r="H2447" s="21"/>
      <c r="I2447" s="21"/>
      <c r="J2447" s="21"/>
      <c r="K2447" s="21"/>
      <c r="L2447" s="21"/>
      <c r="M2447" s="21"/>
      <c r="N2447" s="21"/>
      <c r="O2447" s="21"/>
      <c r="P2447" s="21"/>
      <c r="Q2447" s="21"/>
      <c r="R2447" s="21"/>
      <c r="S2447" s="21"/>
      <c r="T2447" s="21"/>
      <c r="U2447" s="21"/>
      <c r="V2447" s="21"/>
      <c r="W2447" s="21"/>
      <c r="X2447" s="21"/>
      <c r="Y2447" s="21"/>
      <c r="Z2447" s="21"/>
      <c r="AA2447" s="21"/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W2447" s="296"/>
      <c r="CY2447" s="296"/>
    </row>
    <row r="2448" spans="3:103" s="19" customFormat="1" ht="12">
      <c r="C2448" s="21"/>
      <c r="D2448" s="21"/>
      <c r="E2448" s="21"/>
      <c r="F2448" s="21"/>
      <c r="G2448" s="21"/>
      <c r="H2448" s="21"/>
      <c r="I2448" s="21"/>
      <c r="J2448" s="21"/>
      <c r="K2448" s="21"/>
      <c r="L2448" s="21"/>
      <c r="M2448" s="21"/>
      <c r="N2448" s="21"/>
      <c r="O2448" s="21"/>
      <c r="P2448" s="21"/>
      <c r="Q2448" s="21"/>
      <c r="R2448" s="21"/>
      <c r="S2448" s="21"/>
      <c r="T2448" s="21"/>
      <c r="U2448" s="21"/>
      <c r="V2448" s="21"/>
      <c r="W2448" s="21"/>
      <c r="X2448" s="21"/>
      <c r="Y2448" s="21"/>
      <c r="Z2448" s="21"/>
      <c r="AA2448" s="21"/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W2448" s="296"/>
      <c r="CY2448" s="296"/>
    </row>
    <row r="2449" spans="3:103" s="19" customFormat="1" ht="12">
      <c r="C2449" s="21"/>
      <c r="D2449" s="21"/>
      <c r="E2449" s="21"/>
      <c r="F2449" s="21"/>
      <c r="G2449" s="21"/>
      <c r="H2449" s="21"/>
      <c r="I2449" s="21"/>
      <c r="J2449" s="21"/>
      <c r="K2449" s="21"/>
      <c r="L2449" s="21"/>
      <c r="M2449" s="21"/>
      <c r="N2449" s="21"/>
      <c r="O2449" s="21"/>
      <c r="P2449" s="21"/>
      <c r="Q2449" s="21"/>
      <c r="R2449" s="21"/>
      <c r="S2449" s="21"/>
      <c r="T2449" s="21"/>
      <c r="U2449" s="21"/>
      <c r="V2449" s="21"/>
      <c r="W2449" s="21"/>
      <c r="X2449" s="21"/>
      <c r="Y2449" s="21"/>
      <c r="Z2449" s="21"/>
      <c r="AA2449" s="21"/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W2449" s="296"/>
      <c r="CY2449" s="296"/>
    </row>
    <row r="2450" spans="3:103" s="19" customFormat="1" ht="12">
      <c r="C2450" s="21"/>
      <c r="D2450" s="21"/>
      <c r="E2450" s="21"/>
      <c r="F2450" s="21"/>
      <c r="G2450" s="21"/>
      <c r="H2450" s="21"/>
      <c r="I2450" s="21"/>
      <c r="J2450" s="21"/>
      <c r="K2450" s="21"/>
      <c r="L2450" s="21"/>
      <c r="M2450" s="21"/>
      <c r="N2450" s="21"/>
      <c r="O2450" s="21"/>
      <c r="P2450" s="21"/>
      <c r="Q2450" s="21"/>
      <c r="R2450" s="21"/>
      <c r="S2450" s="21"/>
      <c r="T2450" s="21"/>
      <c r="U2450" s="21"/>
      <c r="V2450" s="21"/>
      <c r="W2450" s="21"/>
      <c r="X2450" s="21"/>
      <c r="Y2450" s="21"/>
      <c r="Z2450" s="21"/>
      <c r="AA2450" s="21"/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W2450" s="296"/>
      <c r="CY2450" s="296"/>
    </row>
    <row r="2451" spans="3:103" s="19" customFormat="1" ht="12">
      <c r="C2451" s="21"/>
      <c r="D2451" s="21"/>
      <c r="E2451" s="21"/>
      <c r="F2451" s="21"/>
      <c r="G2451" s="21"/>
      <c r="H2451" s="21"/>
      <c r="I2451" s="21"/>
      <c r="J2451" s="21"/>
      <c r="K2451" s="21"/>
      <c r="L2451" s="21"/>
      <c r="M2451" s="21"/>
      <c r="N2451" s="21"/>
      <c r="O2451" s="21"/>
      <c r="P2451" s="21"/>
      <c r="Q2451" s="21"/>
      <c r="R2451" s="21"/>
      <c r="S2451" s="21"/>
      <c r="T2451" s="21"/>
      <c r="U2451" s="21"/>
      <c r="V2451" s="21"/>
      <c r="W2451" s="21"/>
      <c r="X2451" s="21"/>
      <c r="Y2451" s="21"/>
      <c r="Z2451" s="21"/>
      <c r="AA2451" s="21"/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W2451" s="296"/>
      <c r="CY2451" s="296"/>
    </row>
    <row r="2452" spans="3:103" s="19" customFormat="1" ht="12">
      <c r="C2452" s="21"/>
      <c r="D2452" s="21"/>
      <c r="E2452" s="21"/>
      <c r="F2452" s="21"/>
      <c r="G2452" s="21"/>
      <c r="H2452" s="21"/>
      <c r="I2452" s="21"/>
      <c r="J2452" s="21"/>
      <c r="K2452" s="21"/>
      <c r="L2452" s="21"/>
      <c r="M2452" s="21"/>
      <c r="N2452" s="21"/>
      <c r="O2452" s="21"/>
      <c r="P2452" s="21"/>
      <c r="Q2452" s="21"/>
      <c r="R2452" s="21"/>
      <c r="S2452" s="21"/>
      <c r="T2452" s="21"/>
      <c r="U2452" s="21"/>
      <c r="V2452" s="21"/>
      <c r="W2452" s="21"/>
      <c r="X2452" s="21"/>
      <c r="Y2452" s="21"/>
      <c r="Z2452" s="21"/>
      <c r="AA2452" s="21"/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W2452" s="296"/>
      <c r="CY2452" s="296"/>
    </row>
    <row r="2453" spans="3:103" s="19" customFormat="1" ht="12">
      <c r="C2453" s="21"/>
      <c r="D2453" s="21"/>
      <c r="E2453" s="21"/>
      <c r="F2453" s="21"/>
      <c r="G2453" s="21"/>
      <c r="H2453" s="21"/>
      <c r="I2453" s="21"/>
      <c r="J2453" s="21"/>
      <c r="K2453" s="21"/>
      <c r="L2453" s="21"/>
      <c r="M2453" s="21"/>
      <c r="N2453" s="21"/>
      <c r="O2453" s="21"/>
      <c r="P2453" s="21"/>
      <c r="Q2453" s="21"/>
      <c r="R2453" s="21"/>
      <c r="S2453" s="21"/>
      <c r="T2453" s="21"/>
      <c r="U2453" s="21"/>
      <c r="V2453" s="21"/>
      <c r="W2453" s="21"/>
      <c r="X2453" s="21"/>
      <c r="Y2453" s="21"/>
      <c r="Z2453" s="21"/>
      <c r="AA2453" s="21"/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W2453" s="296"/>
      <c r="CY2453" s="296"/>
    </row>
    <row r="2454" spans="3:103" s="19" customFormat="1" ht="12">
      <c r="C2454" s="21"/>
      <c r="D2454" s="21"/>
      <c r="E2454" s="21"/>
      <c r="F2454" s="21"/>
      <c r="G2454" s="21"/>
      <c r="H2454" s="21"/>
      <c r="I2454" s="21"/>
      <c r="J2454" s="21"/>
      <c r="K2454" s="21"/>
      <c r="L2454" s="21"/>
      <c r="M2454" s="21"/>
      <c r="N2454" s="21"/>
      <c r="O2454" s="21"/>
      <c r="P2454" s="21"/>
      <c r="Q2454" s="21"/>
      <c r="R2454" s="21"/>
      <c r="S2454" s="21"/>
      <c r="T2454" s="21"/>
      <c r="U2454" s="21"/>
      <c r="V2454" s="21"/>
      <c r="W2454" s="21"/>
      <c r="X2454" s="21"/>
      <c r="Y2454" s="21"/>
      <c r="Z2454" s="21"/>
      <c r="AA2454" s="21"/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W2454" s="296"/>
      <c r="CY2454" s="296"/>
    </row>
    <row r="2455" spans="3:103" s="19" customFormat="1" ht="12">
      <c r="C2455" s="21"/>
      <c r="D2455" s="21"/>
      <c r="E2455" s="21"/>
      <c r="F2455" s="21"/>
      <c r="G2455" s="21"/>
      <c r="H2455" s="21"/>
      <c r="I2455" s="21"/>
      <c r="J2455" s="21"/>
      <c r="K2455" s="21"/>
      <c r="L2455" s="21"/>
      <c r="M2455" s="21"/>
      <c r="N2455" s="21"/>
      <c r="O2455" s="21"/>
      <c r="P2455" s="21"/>
      <c r="Q2455" s="21"/>
      <c r="R2455" s="21"/>
      <c r="S2455" s="21"/>
      <c r="T2455" s="21"/>
      <c r="U2455" s="21"/>
      <c r="V2455" s="21"/>
      <c r="W2455" s="21"/>
      <c r="X2455" s="21"/>
      <c r="Y2455" s="21"/>
      <c r="Z2455" s="21"/>
      <c r="AA2455" s="21"/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W2455" s="296"/>
      <c r="CY2455" s="296"/>
    </row>
    <row r="2456" spans="3:103" s="19" customFormat="1" ht="12">
      <c r="C2456" s="21"/>
      <c r="D2456" s="21"/>
      <c r="E2456" s="21"/>
      <c r="F2456" s="21"/>
      <c r="G2456" s="21"/>
      <c r="H2456" s="21"/>
      <c r="I2456" s="21"/>
      <c r="J2456" s="21"/>
      <c r="K2456" s="21"/>
      <c r="L2456" s="21"/>
      <c r="M2456" s="21"/>
      <c r="N2456" s="21"/>
      <c r="O2456" s="21"/>
      <c r="P2456" s="21"/>
      <c r="Q2456" s="21"/>
      <c r="R2456" s="21"/>
      <c r="S2456" s="21"/>
      <c r="T2456" s="21"/>
      <c r="U2456" s="21"/>
      <c r="V2456" s="21"/>
      <c r="W2456" s="21"/>
      <c r="X2456" s="21"/>
      <c r="Y2456" s="21"/>
      <c r="Z2456" s="21"/>
      <c r="AA2456" s="21"/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W2456" s="296"/>
      <c r="CY2456" s="296"/>
    </row>
    <row r="2457" spans="3:103" s="19" customFormat="1" ht="12">
      <c r="C2457" s="21"/>
      <c r="D2457" s="21"/>
      <c r="E2457" s="21"/>
      <c r="F2457" s="21"/>
      <c r="G2457" s="21"/>
      <c r="H2457" s="21"/>
      <c r="I2457" s="21"/>
      <c r="J2457" s="21"/>
      <c r="K2457" s="21"/>
      <c r="L2457" s="21"/>
      <c r="M2457" s="21"/>
      <c r="N2457" s="21"/>
      <c r="O2457" s="21"/>
      <c r="P2457" s="21"/>
      <c r="Q2457" s="21"/>
      <c r="R2457" s="21"/>
      <c r="S2457" s="21"/>
      <c r="T2457" s="21"/>
      <c r="U2457" s="21"/>
      <c r="V2457" s="21"/>
      <c r="W2457" s="21"/>
      <c r="X2457" s="21"/>
      <c r="Y2457" s="21"/>
      <c r="Z2457" s="21"/>
      <c r="AA2457" s="21"/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W2457" s="296"/>
      <c r="CY2457" s="296"/>
    </row>
    <row r="2458" spans="3:103" s="19" customFormat="1" ht="12">
      <c r="C2458" s="21"/>
      <c r="D2458" s="21"/>
      <c r="E2458" s="21"/>
      <c r="F2458" s="21"/>
      <c r="G2458" s="21"/>
      <c r="H2458" s="21"/>
      <c r="I2458" s="21"/>
      <c r="J2458" s="21"/>
      <c r="K2458" s="21"/>
      <c r="L2458" s="21"/>
      <c r="M2458" s="21"/>
      <c r="N2458" s="21"/>
      <c r="O2458" s="21"/>
      <c r="P2458" s="21"/>
      <c r="Q2458" s="21"/>
      <c r="R2458" s="21"/>
      <c r="S2458" s="21"/>
      <c r="T2458" s="21"/>
      <c r="U2458" s="21"/>
      <c r="V2458" s="21"/>
      <c r="W2458" s="21"/>
      <c r="X2458" s="21"/>
      <c r="Y2458" s="21"/>
      <c r="Z2458" s="21"/>
      <c r="AA2458" s="21"/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W2458" s="296"/>
      <c r="CY2458" s="296"/>
    </row>
    <row r="2459" spans="3:103" s="19" customFormat="1" ht="12">
      <c r="C2459" s="21"/>
      <c r="D2459" s="21"/>
      <c r="E2459" s="21"/>
      <c r="F2459" s="21"/>
      <c r="G2459" s="21"/>
      <c r="H2459" s="21"/>
      <c r="I2459" s="21"/>
      <c r="J2459" s="21"/>
      <c r="K2459" s="21"/>
      <c r="L2459" s="21"/>
      <c r="M2459" s="21"/>
      <c r="N2459" s="21"/>
      <c r="O2459" s="21"/>
      <c r="P2459" s="21"/>
      <c r="Q2459" s="21"/>
      <c r="R2459" s="21"/>
      <c r="S2459" s="21"/>
      <c r="T2459" s="21"/>
      <c r="U2459" s="21"/>
      <c r="V2459" s="21"/>
      <c r="W2459" s="21"/>
      <c r="X2459" s="21"/>
      <c r="Y2459" s="21"/>
      <c r="Z2459" s="21"/>
      <c r="AA2459" s="21"/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W2459" s="296"/>
      <c r="CY2459" s="296"/>
    </row>
    <row r="2460" spans="3:103" s="19" customFormat="1" ht="12">
      <c r="C2460" s="21"/>
      <c r="D2460" s="21"/>
      <c r="E2460" s="21"/>
      <c r="F2460" s="21"/>
      <c r="G2460" s="21"/>
      <c r="H2460" s="21"/>
      <c r="I2460" s="21"/>
      <c r="J2460" s="21"/>
      <c r="K2460" s="21"/>
      <c r="L2460" s="21"/>
      <c r="M2460" s="21"/>
      <c r="N2460" s="21"/>
      <c r="O2460" s="21"/>
      <c r="P2460" s="21"/>
      <c r="Q2460" s="21"/>
      <c r="R2460" s="21"/>
      <c r="S2460" s="21"/>
      <c r="T2460" s="21"/>
      <c r="U2460" s="21"/>
      <c r="V2460" s="21"/>
      <c r="W2460" s="21"/>
      <c r="X2460" s="21"/>
      <c r="Y2460" s="21"/>
      <c r="Z2460" s="21"/>
      <c r="AA2460" s="21"/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W2460" s="296"/>
      <c r="CY2460" s="296"/>
    </row>
    <row r="2461" spans="3:103" s="19" customFormat="1" ht="12">
      <c r="C2461" s="21"/>
      <c r="D2461" s="21"/>
      <c r="E2461" s="21"/>
      <c r="F2461" s="21"/>
      <c r="G2461" s="21"/>
      <c r="H2461" s="21"/>
      <c r="I2461" s="21"/>
      <c r="J2461" s="21"/>
      <c r="K2461" s="21"/>
      <c r="L2461" s="21"/>
      <c r="M2461" s="21"/>
      <c r="N2461" s="21"/>
      <c r="O2461" s="21"/>
      <c r="P2461" s="21"/>
      <c r="Q2461" s="21"/>
      <c r="R2461" s="21"/>
      <c r="S2461" s="21"/>
      <c r="T2461" s="21"/>
      <c r="U2461" s="21"/>
      <c r="V2461" s="21"/>
      <c r="W2461" s="21"/>
      <c r="X2461" s="21"/>
      <c r="Y2461" s="21"/>
      <c r="Z2461" s="21"/>
      <c r="AA2461" s="21"/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W2461" s="296"/>
      <c r="CY2461" s="296"/>
    </row>
    <row r="2462" spans="3:103" s="19" customFormat="1" ht="12">
      <c r="C2462" s="21"/>
      <c r="D2462" s="21"/>
      <c r="E2462" s="21"/>
      <c r="F2462" s="21"/>
      <c r="G2462" s="21"/>
      <c r="H2462" s="21"/>
      <c r="I2462" s="21"/>
      <c r="J2462" s="21"/>
      <c r="K2462" s="21"/>
      <c r="L2462" s="21"/>
      <c r="M2462" s="21"/>
      <c r="N2462" s="21"/>
      <c r="O2462" s="21"/>
      <c r="P2462" s="21"/>
      <c r="Q2462" s="21"/>
      <c r="R2462" s="21"/>
      <c r="S2462" s="21"/>
      <c r="T2462" s="21"/>
      <c r="U2462" s="21"/>
      <c r="V2462" s="21"/>
      <c r="W2462" s="21"/>
      <c r="X2462" s="21"/>
      <c r="Y2462" s="21"/>
      <c r="Z2462" s="21"/>
      <c r="AA2462" s="21"/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W2462" s="296"/>
      <c r="CY2462" s="296"/>
    </row>
    <row r="2463" spans="3:103" s="19" customFormat="1" ht="12">
      <c r="C2463" s="21"/>
      <c r="D2463" s="21"/>
      <c r="E2463" s="21"/>
      <c r="F2463" s="21"/>
      <c r="G2463" s="21"/>
      <c r="H2463" s="21"/>
      <c r="I2463" s="21"/>
      <c r="J2463" s="21"/>
      <c r="K2463" s="21"/>
      <c r="L2463" s="21"/>
      <c r="M2463" s="21"/>
      <c r="N2463" s="21"/>
      <c r="O2463" s="21"/>
      <c r="P2463" s="21"/>
      <c r="Q2463" s="21"/>
      <c r="R2463" s="21"/>
      <c r="S2463" s="21"/>
      <c r="T2463" s="21"/>
      <c r="U2463" s="21"/>
      <c r="V2463" s="21"/>
      <c r="W2463" s="21"/>
      <c r="X2463" s="21"/>
      <c r="Y2463" s="21"/>
      <c r="Z2463" s="21"/>
      <c r="AA2463" s="21"/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W2463" s="296"/>
      <c r="CY2463" s="296"/>
    </row>
    <row r="2464" spans="3:103" s="19" customFormat="1" ht="12">
      <c r="C2464" s="21"/>
      <c r="D2464" s="21"/>
      <c r="E2464" s="21"/>
      <c r="F2464" s="21"/>
      <c r="G2464" s="21"/>
      <c r="H2464" s="21"/>
      <c r="I2464" s="21"/>
      <c r="J2464" s="21"/>
      <c r="K2464" s="21"/>
      <c r="L2464" s="21"/>
      <c r="M2464" s="21"/>
      <c r="N2464" s="21"/>
      <c r="O2464" s="21"/>
      <c r="P2464" s="21"/>
      <c r="Q2464" s="21"/>
      <c r="R2464" s="21"/>
      <c r="S2464" s="21"/>
      <c r="T2464" s="21"/>
      <c r="U2464" s="21"/>
      <c r="V2464" s="21"/>
      <c r="W2464" s="21"/>
      <c r="X2464" s="21"/>
      <c r="Y2464" s="21"/>
      <c r="Z2464" s="21"/>
      <c r="AA2464" s="21"/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W2464" s="296"/>
      <c r="CY2464" s="296"/>
    </row>
    <row r="2465" spans="3:103" s="19" customFormat="1" ht="12">
      <c r="C2465" s="21"/>
      <c r="D2465" s="21"/>
      <c r="E2465" s="21"/>
      <c r="F2465" s="21"/>
      <c r="G2465" s="21"/>
      <c r="H2465" s="21"/>
      <c r="I2465" s="21"/>
      <c r="J2465" s="21"/>
      <c r="K2465" s="21"/>
      <c r="L2465" s="21"/>
      <c r="M2465" s="21"/>
      <c r="N2465" s="21"/>
      <c r="O2465" s="21"/>
      <c r="P2465" s="21"/>
      <c r="Q2465" s="21"/>
      <c r="R2465" s="21"/>
      <c r="S2465" s="21"/>
      <c r="T2465" s="21"/>
      <c r="U2465" s="21"/>
      <c r="V2465" s="21"/>
      <c r="W2465" s="21"/>
      <c r="X2465" s="21"/>
      <c r="Y2465" s="21"/>
      <c r="Z2465" s="21"/>
      <c r="AA2465" s="21"/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W2465" s="296"/>
      <c r="CY2465" s="296"/>
    </row>
    <row r="2466" spans="3:103" s="19" customFormat="1" ht="12">
      <c r="C2466" s="21"/>
      <c r="D2466" s="21"/>
      <c r="E2466" s="21"/>
      <c r="F2466" s="21"/>
      <c r="G2466" s="21"/>
      <c r="H2466" s="21"/>
      <c r="I2466" s="21"/>
      <c r="J2466" s="21"/>
      <c r="K2466" s="21"/>
      <c r="L2466" s="21"/>
      <c r="M2466" s="21"/>
      <c r="N2466" s="21"/>
      <c r="O2466" s="21"/>
      <c r="P2466" s="21"/>
      <c r="Q2466" s="21"/>
      <c r="R2466" s="21"/>
      <c r="S2466" s="21"/>
      <c r="T2466" s="21"/>
      <c r="U2466" s="21"/>
      <c r="V2466" s="21"/>
      <c r="W2466" s="21"/>
      <c r="X2466" s="21"/>
      <c r="Y2466" s="21"/>
      <c r="Z2466" s="21"/>
      <c r="AA2466" s="21"/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W2466" s="296"/>
      <c r="CY2466" s="296"/>
    </row>
    <row r="2467" spans="3:103" s="19" customFormat="1" ht="12">
      <c r="C2467" s="21"/>
      <c r="D2467" s="21"/>
      <c r="E2467" s="21"/>
      <c r="F2467" s="21"/>
      <c r="G2467" s="21"/>
      <c r="H2467" s="21"/>
      <c r="I2467" s="21"/>
      <c r="J2467" s="21"/>
      <c r="K2467" s="21"/>
      <c r="L2467" s="21"/>
      <c r="M2467" s="21"/>
      <c r="N2467" s="21"/>
      <c r="O2467" s="21"/>
      <c r="P2467" s="21"/>
      <c r="Q2467" s="21"/>
      <c r="R2467" s="21"/>
      <c r="S2467" s="21"/>
      <c r="T2467" s="21"/>
      <c r="U2467" s="21"/>
      <c r="V2467" s="21"/>
      <c r="W2467" s="21"/>
      <c r="X2467" s="21"/>
      <c r="Y2467" s="21"/>
      <c r="Z2467" s="21"/>
      <c r="AA2467" s="21"/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W2467" s="296"/>
      <c r="CY2467" s="296"/>
    </row>
    <row r="2468" spans="3:103" s="19" customFormat="1" ht="12">
      <c r="C2468" s="21"/>
      <c r="D2468" s="21"/>
      <c r="E2468" s="21"/>
      <c r="F2468" s="21"/>
      <c r="G2468" s="21"/>
      <c r="H2468" s="21"/>
      <c r="I2468" s="21"/>
      <c r="J2468" s="21"/>
      <c r="K2468" s="21"/>
      <c r="L2468" s="21"/>
      <c r="M2468" s="21"/>
      <c r="N2468" s="21"/>
      <c r="O2468" s="21"/>
      <c r="P2468" s="21"/>
      <c r="Q2468" s="21"/>
      <c r="R2468" s="21"/>
      <c r="S2468" s="21"/>
      <c r="T2468" s="21"/>
      <c r="U2468" s="21"/>
      <c r="V2468" s="21"/>
      <c r="W2468" s="21"/>
      <c r="X2468" s="21"/>
      <c r="Y2468" s="21"/>
      <c r="Z2468" s="21"/>
      <c r="AA2468" s="21"/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W2468" s="296"/>
      <c r="CY2468" s="296"/>
    </row>
    <row r="2469" spans="3:103" s="19" customFormat="1" ht="12">
      <c r="C2469" s="21"/>
      <c r="D2469" s="21"/>
      <c r="E2469" s="21"/>
      <c r="F2469" s="21"/>
      <c r="G2469" s="21"/>
      <c r="H2469" s="21"/>
      <c r="I2469" s="21"/>
      <c r="J2469" s="21"/>
      <c r="K2469" s="21"/>
      <c r="L2469" s="21"/>
      <c r="M2469" s="21"/>
      <c r="N2469" s="21"/>
      <c r="O2469" s="21"/>
      <c r="P2469" s="21"/>
      <c r="Q2469" s="21"/>
      <c r="R2469" s="21"/>
      <c r="S2469" s="21"/>
      <c r="T2469" s="21"/>
      <c r="U2469" s="21"/>
      <c r="V2469" s="21"/>
      <c r="W2469" s="21"/>
      <c r="X2469" s="21"/>
      <c r="Y2469" s="21"/>
      <c r="Z2469" s="21"/>
      <c r="AA2469" s="21"/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W2469" s="296"/>
      <c r="CY2469" s="296"/>
    </row>
    <row r="2470" spans="3:103" s="19" customFormat="1" ht="12">
      <c r="C2470" s="21"/>
      <c r="D2470" s="21"/>
      <c r="E2470" s="21"/>
      <c r="F2470" s="21"/>
      <c r="G2470" s="21"/>
      <c r="H2470" s="21"/>
      <c r="I2470" s="21"/>
      <c r="J2470" s="21"/>
      <c r="K2470" s="21"/>
      <c r="L2470" s="21"/>
      <c r="M2470" s="21"/>
      <c r="N2470" s="21"/>
      <c r="O2470" s="21"/>
      <c r="P2470" s="21"/>
      <c r="Q2470" s="21"/>
      <c r="R2470" s="21"/>
      <c r="S2470" s="21"/>
      <c r="T2470" s="21"/>
      <c r="U2470" s="21"/>
      <c r="V2470" s="21"/>
      <c r="W2470" s="21"/>
      <c r="X2470" s="21"/>
      <c r="Y2470" s="21"/>
      <c r="Z2470" s="21"/>
      <c r="AA2470" s="21"/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W2470" s="296"/>
      <c r="CY2470" s="296"/>
    </row>
    <row r="2471" spans="3:103" s="19" customFormat="1" ht="12">
      <c r="C2471" s="21"/>
      <c r="D2471" s="21"/>
      <c r="E2471" s="21"/>
      <c r="F2471" s="21"/>
      <c r="G2471" s="21"/>
      <c r="H2471" s="21"/>
      <c r="I2471" s="21"/>
      <c r="J2471" s="21"/>
      <c r="K2471" s="21"/>
      <c r="L2471" s="21"/>
      <c r="M2471" s="21"/>
      <c r="N2471" s="21"/>
      <c r="O2471" s="21"/>
      <c r="P2471" s="21"/>
      <c r="Q2471" s="21"/>
      <c r="R2471" s="21"/>
      <c r="S2471" s="21"/>
      <c r="T2471" s="21"/>
      <c r="U2471" s="21"/>
      <c r="V2471" s="21"/>
      <c r="W2471" s="21"/>
      <c r="X2471" s="21"/>
      <c r="Y2471" s="21"/>
      <c r="Z2471" s="21"/>
      <c r="AA2471" s="21"/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W2471" s="296"/>
      <c r="CY2471" s="296"/>
    </row>
    <row r="2472" spans="3:103" s="19" customFormat="1" ht="12">
      <c r="C2472" s="21"/>
      <c r="D2472" s="21"/>
      <c r="E2472" s="21"/>
      <c r="F2472" s="21"/>
      <c r="G2472" s="21"/>
      <c r="H2472" s="21"/>
      <c r="I2472" s="21"/>
      <c r="J2472" s="21"/>
      <c r="K2472" s="21"/>
      <c r="L2472" s="21"/>
      <c r="M2472" s="21"/>
      <c r="N2472" s="21"/>
      <c r="O2472" s="21"/>
      <c r="P2472" s="21"/>
      <c r="Q2472" s="21"/>
      <c r="R2472" s="21"/>
      <c r="S2472" s="21"/>
      <c r="T2472" s="21"/>
      <c r="U2472" s="21"/>
      <c r="V2472" s="21"/>
      <c r="W2472" s="21"/>
      <c r="X2472" s="21"/>
      <c r="Y2472" s="21"/>
      <c r="Z2472" s="21"/>
      <c r="AA2472" s="21"/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W2472" s="296"/>
      <c r="CY2472" s="296"/>
    </row>
    <row r="2473" spans="3:103" s="19" customFormat="1" ht="12">
      <c r="C2473" s="21"/>
      <c r="D2473" s="21"/>
      <c r="E2473" s="21"/>
      <c r="F2473" s="21"/>
      <c r="G2473" s="21"/>
      <c r="H2473" s="21"/>
      <c r="I2473" s="21"/>
      <c r="J2473" s="21"/>
      <c r="K2473" s="21"/>
      <c r="L2473" s="21"/>
      <c r="M2473" s="21"/>
      <c r="N2473" s="21"/>
      <c r="O2473" s="21"/>
      <c r="P2473" s="21"/>
      <c r="Q2473" s="21"/>
      <c r="R2473" s="21"/>
      <c r="S2473" s="21"/>
      <c r="T2473" s="21"/>
      <c r="U2473" s="21"/>
      <c r="V2473" s="21"/>
      <c r="W2473" s="21"/>
      <c r="X2473" s="21"/>
      <c r="Y2473" s="21"/>
      <c r="Z2473" s="21"/>
      <c r="AA2473" s="21"/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W2473" s="296"/>
      <c r="CY2473" s="296"/>
    </row>
    <row r="2474" spans="3:103" s="19" customFormat="1" ht="12">
      <c r="C2474" s="21"/>
      <c r="D2474" s="21"/>
      <c r="E2474" s="21"/>
      <c r="F2474" s="21"/>
      <c r="G2474" s="21"/>
      <c r="H2474" s="21"/>
      <c r="I2474" s="21"/>
      <c r="J2474" s="21"/>
      <c r="K2474" s="21"/>
      <c r="L2474" s="21"/>
      <c r="M2474" s="21"/>
      <c r="N2474" s="21"/>
      <c r="O2474" s="21"/>
      <c r="P2474" s="21"/>
      <c r="Q2474" s="21"/>
      <c r="R2474" s="21"/>
      <c r="S2474" s="21"/>
      <c r="T2474" s="21"/>
      <c r="U2474" s="21"/>
      <c r="V2474" s="21"/>
      <c r="W2474" s="21"/>
      <c r="X2474" s="21"/>
      <c r="Y2474" s="21"/>
      <c r="Z2474" s="21"/>
      <c r="AA2474" s="21"/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W2474" s="296"/>
      <c r="CY2474" s="296"/>
    </row>
    <row r="2475" spans="3:103" s="19" customFormat="1" ht="12">
      <c r="C2475" s="21"/>
      <c r="D2475" s="21"/>
      <c r="E2475" s="21"/>
      <c r="F2475" s="21"/>
      <c r="G2475" s="21"/>
      <c r="H2475" s="21"/>
      <c r="I2475" s="21"/>
      <c r="J2475" s="21"/>
      <c r="K2475" s="21"/>
      <c r="L2475" s="21"/>
      <c r="M2475" s="21"/>
      <c r="N2475" s="21"/>
      <c r="O2475" s="21"/>
      <c r="P2475" s="21"/>
      <c r="Q2475" s="21"/>
      <c r="R2475" s="21"/>
      <c r="S2475" s="21"/>
      <c r="T2475" s="21"/>
      <c r="U2475" s="21"/>
      <c r="V2475" s="21"/>
      <c r="W2475" s="21"/>
      <c r="X2475" s="21"/>
      <c r="Y2475" s="21"/>
      <c r="Z2475" s="21"/>
      <c r="AA2475" s="21"/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W2475" s="296"/>
      <c r="CY2475" s="296"/>
    </row>
    <row r="2476" spans="3:103" s="19" customFormat="1" ht="12">
      <c r="C2476" s="21"/>
      <c r="D2476" s="21"/>
      <c r="E2476" s="21"/>
      <c r="F2476" s="21"/>
      <c r="G2476" s="21"/>
      <c r="H2476" s="21"/>
      <c r="I2476" s="21"/>
      <c r="J2476" s="21"/>
      <c r="K2476" s="21"/>
      <c r="L2476" s="21"/>
      <c r="M2476" s="21"/>
      <c r="N2476" s="21"/>
      <c r="O2476" s="21"/>
      <c r="P2476" s="21"/>
      <c r="Q2476" s="21"/>
      <c r="R2476" s="21"/>
      <c r="S2476" s="21"/>
      <c r="T2476" s="21"/>
      <c r="U2476" s="21"/>
      <c r="V2476" s="21"/>
      <c r="W2476" s="21"/>
      <c r="X2476" s="21"/>
      <c r="Y2476" s="21"/>
      <c r="Z2476" s="21"/>
      <c r="AA2476" s="21"/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W2476" s="296"/>
      <c r="CY2476" s="296"/>
    </row>
    <row r="2477" spans="3:103" s="19" customFormat="1" ht="12">
      <c r="C2477" s="21"/>
      <c r="D2477" s="21"/>
      <c r="E2477" s="21"/>
      <c r="F2477" s="21"/>
      <c r="G2477" s="21"/>
      <c r="H2477" s="21"/>
      <c r="I2477" s="21"/>
      <c r="J2477" s="21"/>
      <c r="K2477" s="21"/>
      <c r="L2477" s="21"/>
      <c r="M2477" s="21"/>
      <c r="N2477" s="21"/>
      <c r="O2477" s="21"/>
      <c r="P2477" s="21"/>
      <c r="Q2477" s="21"/>
      <c r="R2477" s="21"/>
      <c r="S2477" s="21"/>
      <c r="T2477" s="21"/>
      <c r="U2477" s="21"/>
      <c r="V2477" s="21"/>
      <c r="W2477" s="21"/>
      <c r="X2477" s="21"/>
      <c r="Y2477" s="21"/>
      <c r="Z2477" s="21"/>
      <c r="AA2477" s="21"/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W2477" s="296"/>
      <c r="CY2477" s="296"/>
    </row>
    <row r="2478" spans="3:103" s="19" customFormat="1" ht="12">
      <c r="C2478" s="21"/>
      <c r="D2478" s="21"/>
      <c r="E2478" s="21"/>
      <c r="F2478" s="21"/>
      <c r="G2478" s="21"/>
      <c r="H2478" s="21"/>
      <c r="I2478" s="21"/>
      <c r="J2478" s="21"/>
      <c r="K2478" s="21"/>
      <c r="L2478" s="21"/>
      <c r="M2478" s="21"/>
      <c r="N2478" s="21"/>
      <c r="O2478" s="21"/>
      <c r="P2478" s="21"/>
      <c r="Q2478" s="21"/>
      <c r="R2478" s="21"/>
      <c r="S2478" s="21"/>
      <c r="T2478" s="21"/>
      <c r="U2478" s="21"/>
      <c r="V2478" s="21"/>
      <c r="W2478" s="21"/>
      <c r="X2478" s="21"/>
      <c r="Y2478" s="21"/>
      <c r="Z2478" s="21"/>
      <c r="AA2478" s="21"/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W2478" s="296"/>
      <c r="CY2478" s="296"/>
    </row>
    <row r="2479" spans="3:103" s="19" customFormat="1" ht="12">
      <c r="C2479" s="21"/>
      <c r="D2479" s="21"/>
      <c r="E2479" s="21"/>
      <c r="F2479" s="21"/>
      <c r="G2479" s="21"/>
      <c r="H2479" s="21"/>
      <c r="I2479" s="21"/>
      <c r="J2479" s="21"/>
      <c r="K2479" s="21"/>
      <c r="L2479" s="21"/>
      <c r="M2479" s="21"/>
      <c r="N2479" s="21"/>
      <c r="O2479" s="21"/>
      <c r="P2479" s="21"/>
      <c r="Q2479" s="21"/>
      <c r="R2479" s="21"/>
      <c r="S2479" s="21"/>
      <c r="T2479" s="21"/>
      <c r="U2479" s="21"/>
      <c r="V2479" s="21"/>
      <c r="W2479" s="21"/>
      <c r="X2479" s="21"/>
      <c r="Y2479" s="21"/>
      <c r="Z2479" s="21"/>
      <c r="AA2479" s="21"/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W2479" s="296"/>
      <c r="CY2479" s="296"/>
    </row>
    <row r="2480" spans="3:103" s="19" customFormat="1" ht="12">
      <c r="C2480" s="21"/>
      <c r="D2480" s="21"/>
      <c r="E2480" s="21"/>
      <c r="F2480" s="21"/>
      <c r="G2480" s="21"/>
      <c r="H2480" s="21"/>
      <c r="I2480" s="21"/>
      <c r="J2480" s="21"/>
      <c r="K2480" s="21"/>
      <c r="L2480" s="21"/>
      <c r="M2480" s="21"/>
      <c r="N2480" s="21"/>
      <c r="O2480" s="21"/>
      <c r="P2480" s="21"/>
      <c r="Q2480" s="21"/>
      <c r="R2480" s="21"/>
      <c r="S2480" s="21"/>
      <c r="T2480" s="21"/>
      <c r="U2480" s="21"/>
      <c r="V2480" s="21"/>
      <c r="W2480" s="21"/>
      <c r="X2480" s="21"/>
      <c r="Y2480" s="21"/>
      <c r="Z2480" s="21"/>
      <c r="AA2480" s="21"/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W2480" s="296"/>
      <c r="CY2480" s="296"/>
    </row>
    <row r="2481" spans="3:103" s="19" customFormat="1" ht="12">
      <c r="C2481" s="21"/>
      <c r="D2481" s="21"/>
      <c r="E2481" s="21"/>
      <c r="F2481" s="21"/>
      <c r="G2481" s="21"/>
      <c r="H2481" s="21"/>
      <c r="I2481" s="21"/>
      <c r="J2481" s="21"/>
      <c r="K2481" s="21"/>
      <c r="L2481" s="21"/>
      <c r="M2481" s="21"/>
      <c r="N2481" s="21"/>
      <c r="O2481" s="21"/>
      <c r="P2481" s="21"/>
      <c r="Q2481" s="21"/>
      <c r="R2481" s="21"/>
      <c r="S2481" s="21"/>
      <c r="T2481" s="21"/>
      <c r="U2481" s="21"/>
      <c r="V2481" s="21"/>
      <c r="W2481" s="21"/>
      <c r="X2481" s="21"/>
      <c r="Y2481" s="21"/>
      <c r="Z2481" s="21"/>
      <c r="AA2481" s="21"/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W2481" s="296"/>
      <c r="CY2481" s="296"/>
    </row>
    <row r="2482" spans="3:103" s="19" customFormat="1" ht="12">
      <c r="C2482" s="21"/>
      <c r="D2482" s="21"/>
      <c r="E2482" s="21"/>
      <c r="F2482" s="21"/>
      <c r="G2482" s="21"/>
      <c r="H2482" s="21"/>
      <c r="I2482" s="21"/>
      <c r="J2482" s="21"/>
      <c r="K2482" s="21"/>
      <c r="L2482" s="21"/>
      <c r="M2482" s="21"/>
      <c r="N2482" s="21"/>
      <c r="O2482" s="21"/>
      <c r="P2482" s="21"/>
      <c r="Q2482" s="21"/>
      <c r="R2482" s="21"/>
      <c r="S2482" s="21"/>
      <c r="T2482" s="21"/>
      <c r="U2482" s="21"/>
      <c r="V2482" s="21"/>
      <c r="W2482" s="21"/>
      <c r="X2482" s="21"/>
      <c r="Y2482" s="21"/>
      <c r="Z2482" s="21"/>
      <c r="AA2482" s="21"/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W2482" s="296"/>
      <c r="CY2482" s="296"/>
    </row>
    <row r="2483" spans="3:103" s="19" customFormat="1" ht="12">
      <c r="C2483" s="21"/>
      <c r="D2483" s="21"/>
      <c r="E2483" s="21"/>
      <c r="F2483" s="21"/>
      <c r="G2483" s="21"/>
      <c r="H2483" s="21"/>
      <c r="I2483" s="21"/>
      <c r="J2483" s="21"/>
      <c r="K2483" s="21"/>
      <c r="L2483" s="21"/>
      <c r="M2483" s="21"/>
      <c r="N2483" s="21"/>
      <c r="O2483" s="21"/>
      <c r="P2483" s="21"/>
      <c r="Q2483" s="21"/>
      <c r="R2483" s="21"/>
      <c r="S2483" s="21"/>
      <c r="T2483" s="21"/>
      <c r="U2483" s="21"/>
      <c r="V2483" s="21"/>
      <c r="W2483" s="21"/>
      <c r="X2483" s="21"/>
      <c r="Y2483" s="21"/>
      <c r="Z2483" s="21"/>
      <c r="AA2483" s="21"/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W2483" s="296"/>
      <c r="CY2483" s="296"/>
    </row>
    <row r="2484" spans="3:103" s="19" customFormat="1" ht="12">
      <c r="C2484" s="21"/>
      <c r="D2484" s="21"/>
      <c r="E2484" s="21"/>
      <c r="F2484" s="21"/>
      <c r="G2484" s="21"/>
      <c r="H2484" s="21"/>
      <c r="I2484" s="21"/>
      <c r="J2484" s="21"/>
      <c r="K2484" s="21"/>
      <c r="L2484" s="21"/>
      <c r="M2484" s="21"/>
      <c r="N2484" s="21"/>
      <c r="O2484" s="21"/>
      <c r="P2484" s="21"/>
      <c r="Q2484" s="21"/>
      <c r="R2484" s="21"/>
      <c r="S2484" s="21"/>
      <c r="T2484" s="21"/>
      <c r="U2484" s="21"/>
      <c r="V2484" s="21"/>
      <c r="W2484" s="21"/>
      <c r="X2484" s="21"/>
      <c r="Y2484" s="21"/>
      <c r="Z2484" s="21"/>
      <c r="AA2484" s="21"/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W2484" s="296"/>
      <c r="CY2484" s="296"/>
    </row>
    <row r="2485" spans="3:103" s="19" customFormat="1" ht="12">
      <c r="C2485" s="21"/>
      <c r="D2485" s="21"/>
      <c r="E2485" s="21"/>
      <c r="F2485" s="21"/>
      <c r="G2485" s="21"/>
      <c r="H2485" s="21"/>
      <c r="I2485" s="21"/>
      <c r="J2485" s="21"/>
      <c r="K2485" s="21"/>
      <c r="L2485" s="21"/>
      <c r="M2485" s="21"/>
      <c r="N2485" s="21"/>
      <c r="O2485" s="21"/>
      <c r="P2485" s="21"/>
      <c r="Q2485" s="21"/>
      <c r="R2485" s="21"/>
      <c r="S2485" s="21"/>
      <c r="T2485" s="21"/>
      <c r="U2485" s="21"/>
      <c r="V2485" s="21"/>
      <c r="W2485" s="21"/>
      <c r="X2485" s="21"/>
      <c r="Y2485" s="21"/>
      <c r="Z2485" s="21"/>
      <c r="AA2485" s="21"/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W2485" s="296"/>
      <c r="CY2485" s="296"/>
    </row>
    <row r="2486" spans="3:103" s="19" customFormat="1" ht="12">
      <c r="C2486" s="21"/>
      <c r="D2486" s="21"/>
      <c r="E2486" s="21"/>
      <c r="F2486" s="21"/>
      <c r="G2486" s="21"/>
      <c r="H2486" s="21"/>
      <c r="I2486" s="21"/>
      <c r="J2486" s="21"/>
      <c r="K2486" s="21"/>
      <c r="L2486" s="21"/>
      <c r="M2486" s="21"/>
      <c r="N2486" s="21"/>
      <c r="O2486" s="21"/>
      <c r="P2486" s="21"/>
      <c r="Q2486" s="21"/>
      <c r="R2486" s="21"/>
      <c r="S2486" s="21"/>
      <c r="T2486" s="21"/>
      <c r="U2486" s="21"/>
      <c r="V2486" s="21"/>
      <c r="W2486" s="21"/>
      <c r="X2486" s="21"/>
      <c r="Y2486" s="21"/>
      <c r="Z2486" s="21"/>
      <c r="AA2486" s="21"/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W2486" s="296"/>
      <c r="CY2486" s="296"/>
    </row>
    <row r="2487" spans="3:103" s="19" customFormat="1" ht="12">
      <c r="C2487" s="21"/>
      <c r="D2487" s="21"/>
      <c r="E2487" s="21"/>
      <c r="F2487" s="21"/>
      <c r="G2487" s="21"/>
      <c r="H2487" s="21"/>
      <c r="I2487" s="21"/>
      <c r="J2487" s="21"/>
      <c r="K2487" s="21"/>
      <c r="L2487" s="21"/>
      <c r="M2487" s="21"/>
      <c r="N2487" s="21"/>
      <c r="O2487" s="21"/>
      <c r="P2487" s="21"/>
      <c r="Q2487" s="21"/>
      <c r="R2487" s="21"/>
      <c r="S2487" s="21"/>
      <c r="T2487" s="21"/>
      <c r="U2487" s="21"/>
      <c r="V2487" s="21"/>
      <c r="W2487" s="21"/>
      <c r="X2487" s="21"/>
      <c r="Y2487" s="21"/>
      <c r="Z2487" s="21"/>
      <c r="AA2487" s="21"/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W2487" s="296"/>
      <c r="CY2487" s="296"/>
    </row>
    <row r="2488" spans="3:103" s="19" customFormat="1" ht="12">
      <c r="C2488" s="21"/>
      <c r="D2488" s="21"/>
      <c r="E2488" s="21"/>
      <c r="F2488" s="21"/>
      <c r="G2488" s="21"/>
      <c r="H2488" s="21"/>
      <c r="I2488" s="21"/>
      <c r="J2488" s="21"/>
      <c r="K2488" s="21"/>
      <c r="L2488" s="21"/>
      <c r="M2488" s="21"/>
      <c r="N2488" s="21"/>
      <c r="O2488" s="21"/>
      <c r="P2488" s="21"/>
      <c r="Q2488" s="21"/>
      <c r="R2488" s="21"/>
      <c r="S2488" s="21"/>
      <c r="T2488" s="21"/>
      <c r="U2488" s="21"/>
      <c r="V2488" s="21"/>
      <c r="W2488" s="21"/>
      <c r="X2488" s="21"/>
      <c r="Y2488" s="21"/>
      <c r="Z2488" s="21"/>
      <c r="AA2488" s="21"/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W2488" s="296"/>
      <c r="CY2488" s="296"/>
    </row>
    <row r="2489" spans="3:103" s="19" customFormat="1" ht="12">
      <c r="C2489" s="21"/>
      <c r="D2489" s="21"/>
      <c r="E2489" s="21"/>
      <c r="F2489" s="21"/>
      <c r="G2489" s="21"/>
      <c r="H2489" s="21"/>
      <c r="I2489" s="21"/>
      <c r="J2489" s="21"/>
      <c r="K2489" s="21"/>
      <c r="L2489" s="21"/>
      <c r="M2489" s="21"/>
      <c r="N2489" s="21"/>
      <c r="O2489" s="21"/>
      <c r="P2489" s="21"/>
      <c r="Q2489" s="21"/>
      <c r="R2489" s="21"/>
      <c r="S2489" s="21"/>
      <c r="T2489" s="21"/>
      <c r="U2489" s="21"/>
      <c r="V2489" s="21"/>
      <c r="W2489" s="21"/>
      <c r="X2489" s="21"/>
      <c r="Y2489" s="21"/>
      <c r="Z2489" s="21"/>
      <c r="AA2489" s="21"/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W2489" s="296"/>
      <c r="CY2489" s="296"/>
    </row>
    <row r="2490" spans="3:103" s="19" customFormat="1" ht="12">
      <c r="C2490" s="21"/>
      <c r="D2490" s="21"/>
      <c r="E2490" s="21"/>
      <c r="F2490" s="21"/>
      <c r="G2490" s="21"/>
      <c r="H2490" s="21"/>
      <c r="I2490" s="21"/>
      <c r="J2490" s="21"/>
      <c r="K2490" s="21"/>
      <c r="L2490" s="21"/>
      <c r="M2490" s="21"/>
      <c r="N2490" s="21"/>
      <c r="O2490" s="21"/>
      <c r="P2490" s="21"/>
      <c r="Q2490" s="21"/>
      <c r="R2490" s="21"/>
      <c r="S2490" s="21"/>
      <c r="T2490" s="21"/>
      <c r="U2490" s="21"/>
      <c r="V2490" s="21"/>
      <c r="W2490" s="21"/>
      <c r="X2490" s="21"/>
      <c r="Y2490" s="21"/>
      <c r="Z2490" s="21"/>
      <c r="AA2490" s="21"/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W2490" s="296"/>
      <c r="CY2490" s="296"/>
    </row>
    <row r="2491" spans="3:103" s="19" customFormat="1" ht="12">
      <c r="C2491" s="21"/>
      <c r="D2491" s="21"/>
      <c r="E2491" s="21"/>
      <c r="F2491" s="21"/>
      <c r="G2491" s="21"/>
      <c r="H2491" s="21"/>
      <c r="I2491" s="21"/>
      <c r="J2491" s="21"/>
      <c r="K2491" s="21"/>
      <c r="L2491" s="21"/>
      <c r="M2491" s="21"/>
      <c r="N2491" s="21"/>
      <c r="O2491" s="21"/>
      <c r="P2491" s="21"/>
      <c r="Q2491" s="21"/>
      <c r="R2491" s="21"/>
      <c r="S2491" s="21"/>
      <c r="T2491" s="21"/>
      <c r="U2491" s="21"/>
      <c r="V2491" s="21"/>
      <c r="W2491" s="21"/>
      <c r="X2491" s="21"/>
      <c r="Y2491" s="21"/>
      <c r="Z2491" s="21"/>
      <c r="AA2491" s="21"/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W2491" s="296"/>
      <c r="CY2491" s="296"/>
    </row>
    <row r="2492" spans="3:103" s="19" customFormat="1" ht="12">
      <c r="C2492" s="21"/>
      <c r="D2492" s="21"/>
      <c r="E2492" s="21"/>
      <c r="F2492" s="21"/>
      <c r="G2492" s="21"/>
      <c r="H2492" s="21"/>
      <c r="I2492" s="21"/>
      <c r="J2492" s="21"/>
      <c r="K2492" s="21"/>
      <c r="L2492" s="21"/>
      <c r="M2492" s="21"/>
      <c r="N2492" s="21"/>
      <c r="O2492" s="21"/>
      <c r="P2492" s="21"/>
      <c r="Q2492" s="21"/>
      <c r="R2492" s="21"/>
      <c r="S2492" s="21"/>
      <c r="T2492" s="21"/>
      <c r="U2492" s="21"/>
      <c r="V2492" s="21"/>
      <c r="W2492" s="21"/>
      <c r="X2492" s="21"/>
      <c r="Y2492" s="21"/>
      <c r="Z2492" s="21"/>
      <c r="AA2492" s="21"/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W2492" s="296"/>
      <c r="CY2492" s="296"/>
    </row>
    <row r="2493" spans="3:103" s="19" customFormat="1" ht="12">
      <c r="C2493" s="21"/>
      <c r="D2493" s="21"/>
      <c r="E2493" s="21"/>
      <c r="F2493" s="21"/>
      <c r="G2493" s="21"/>
      <c r="H2493" s="21"/>
      <c r="I2493" s="21"/>
      <c r="J2493" s="21"/>
      <c r="K2493" s="21"/>
      <c r="L2493" s="21"/>
      <c r="M2493" s="21"/>
      <c r="N2493" s="21"/>
      <c r="O2493" s="21"/>
      <c r="P2493" s="21"/>
      <c r="Q2493" s="21"/>
      <c r="R2493" s="21"/>
      <c r="S2493" s="21"/>
      <c r="T2493" s="21"/>
      <c r="U2493" s="21"/>
      <c r="V2493" s="21"/>
      <c r="W2493" s="21"/>
      <c r="X2493" s="21"/>
      <c r="Y2493" s="21"/>
      <c r="Z2493" s="21"/>
      <c r="AA2493" s="21"/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W2493" s="296"/>
      <c r="CY2493" s="296"/>
    </row>
    <row r="2494" spans="3:103" s="19" customFormat="1" ht="12">
      <c r="C2494" s="21"/>
      <c r="D2494" s="21"/>
      <c r="E2494" s="21"/>
      <c r="F2494" s="21"/>
      <c r="G2494" s="21"/>
      <c r="H2494" s="21"/>
      <c r="I2494" s="21"/>
      <c r="J2494" s="21"/>
      <c r="K2494" s="21"/>
      <c r="L2494" s="21"/>
      <c r="M2494" s="21"/>
      <c r="N2494" s="21"/>
      <c r="O2494" s="21"/>
      <c r="P2494" s="21"/>
      <c r="Q2494" s="21"/>
      <c r="R2494" s="21"/>
      <c r="S2494" s="21"/>
      <c r="T2494" s="21"/>
      <c r="U2494" s="21"/>
      <c r="V2494" s="21"/>
      <c r="W2494" s="21"/>
      <c r="X2494" s="21"/>
      <c r="Y2494" s="21"/>
      <c r="Z2494" s="21"/>
      <c r="AA2494" s="21"/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W2494" s="296"/>
      <c r="CY2494" s="296"/>
    </row>
    <row r="2495" spans="3:103" s="19" customFormat="1" ht="12">
      <c r="C2495" s="21"/>
      <c r="D2495" s="21"/>
      <c r="E2495" s="21"/>
      <c r="F2495" s="21"/>
      <c r="G2495" s="21"/>
      <c r="H2495" s="21"/>
      <c r="I2495" s="21"/>
      <c r="J2495" s="21"/>
      <c r="K2495" s="21"/>
      <c r="L2495" s="21"/>
      <c r="M2495" s="21"/>
      <c r="N2495" s="21"/>
      <c r="O2495" s="21"/>
      <c r="P2495" s="21"/>
      <c r="Q2495" s="21"/>
      <c r="R2495" s="21"/>
      <c r="S2495" s="21"/>
      <c r="T2495" s="21"/>
      <c r="U2495" s="21"/>
      <c r="V2495" s="21"/>
      <c r="W2495" s="21"/>
      <c r="X2495" s="21"/>
      <c r="Y2495" s="21"/>
      <c r="Z2495" s="21"/>
      <c r="AA2495" s="21"/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W2495" s="296"/>
      <c r="CY2495" s="296"/>
    </row>
    <row r="2496" spans="3:103" s="19" customFormat="1" ht="12">
      <c r="C2496" s="21"/>
      <c r="D2496" s="21"/>
      <c r="E2496" s="21"/>
      <c r="F2496" s="21"/>
      <c r="G2496" s="21"/>
      <c r="H2496" s="21"/>
      <c r="I2496" s="21"/>
      <c r="J2496" s="21"/>
      <c r="K2496" s="21"/>
      <c r="L2496" s="21"/>
      <c r="M2496" s="21"/>
      <c r="N2496" s="21"/>
      <c r="O2496" s="21"/>
      <c r="P2496" s="21"/>
      <c r="Q2496" s="21"/>
      <c r="R2496" s="21"/>
      <c r="S2496" s="21"/>
      <c r="T2496" s="21"/>
      <c r="U2496" s="21"/>
      <c r="V2496" s="21"/>
      <c r="W2496" s="21"/>
      <c r="X2496" s="21"/>
      <c r="Y2496" s="21"/>
      <c r="Z2496" s="21"/>
      <c r="AA2496" s="21"/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W2496" s="296"/>
      <c r="CY2496" s="296"/>
    </row>
    <row r="2497" spans="3:103" s="19" customFormat="1" ht="12">
      <c r="C2497" s="21"/>
      <c r="D2497" s="21"/>
      <c r="E2497" s="21"/>
      <c r="F2497" s="21"/>
      <c r="G2497" s="21"/>
      <c r="H2497" s="21"/>
      <c r="I2497" s="21"/>
      <c r="J2497" s="21"/>
      <c r="K2497" s="21"/>
      <c r="L2497" s="21"/>
      <c r="M2497" s="21"/>
      <c r="N2497" s="21"/>
      <c r="O2497" s="21"/>
      <c r="P2497" s="21"/>
      <c r="Q2497" s="21"/>
      <c r="R2497" s="21"/>
      <c r="S2497" s="21"/>
      <c r="T2497" s="21"/>
      <c r="U2497" s="21"/>
      <c r="V2497" s="21"/>
      <c r="W2497" s="21"/>
      <c r="X2497" s="21"/>
      <c r="Y2497" s="21"/>
      <c r="Z2497" s="21"/>
      <c r="AA2497" s="21"/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W2497" s="296"/>
      <c r="CY2497" s="296"/>
    </row>
    <row r="2498" spans="3:103" s="19" customFormat="1" ht="12">
      <c r="C2498" s="21"/>
      <c r="D2498" s="21"/>
      <c r="E2498" s="21"/>
      <c r="F2498" s="21"/>
      <c r="G2498" s="21"/>
      <c r="H2498" s="21"/>
      <c r="I2498" s="21"/>
      <c r="J2498" s="21"/>
      <c r="K2498" s="21"/>
      <c r="L2498" s="21"/>
      <c r="M2498" s="21"/>
      <c r="N2498" s="21"/>
      <c r="O2498" s="21"/>
      <c r="P2498" s="21"/>
      <c r="Q2498" s="21"/>
      <c r="R2498" s="21"/>
      <c r="S2498" s="21"/>
      <c r="T2498" s="21"/>
      <c r="U2498" s="21"/>
      <c r="V2498" s="21"/>
      <c r="W2498" s="21"/>
      <c r="X2498" s="21"/>
      <c r="Y2498" s="21"/>
      <c r="Z2498" s="21"/>
      <c r="AA2498" s="21"/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W2498" s="296"/>
      <c r="CY2498" s="296"/>
    </row>
    <row r="2499" spans="3:103" s="19" customFormat="1" ht="12">
      <c r="C2499" s="21"/>
      <c r="D2499" s="21"/>
      <c r="E2499" s="21"/>
      <c r="F2499" s="21"/>
      <c r="G2499" s="21"/>
      <c r="H2499" s="21"/>
      <c r="I2499" s="21"/>
      <c r="J2499" s="21"/>
      <c r="K2499" s="21"/>
      <c r="L2499" s="21"/>
      <c r="M2499" s="21"/>
      <c r="N2499" s="21"/>
      <c r="O2499" s="21"/>
      <c r="P2499" s="21"/>
      <c r="Q2499" s="21"/>
      <c r="R2499" s="21"/>
      <c r="S2499" s="21"/>
      <c r="T2499" s="21"/>
      <c r="U2499" s="21"/>
      <c r="V2499" s="21"/>
      <c r="W2499" s="21"/>
      <c r="X2499" s="21"/>
      <c r="Y2499" s="21"/>
      <c r="Z2499" s="21"/>
      <c r="AA2499" s="21"/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W2499" s="296"/>
      <c r="CY2499" s="296"/>
    </row>
    <row r="2500" spans="3:103" s="19" customFormat="1" ht="12">
      <c r="C2500" s="21"/>
      <c r="D2500" s="21"/>
      <c r="E2500" s="21"/>
      <c r="F2500" s="21"/>
      <c r="G2500" s="21"/>
      <c r="H2500" s="21"/>
      <c r="I2500" s="21"/>
      <c r="J2500" s="21"/>
      <c r="K2500" s="21"/>
      <c r="L2500" s="21"/>
      <c r="M2500" s="21"/>
      <c r="N2500" s="21"/>
      <c r="O2500" s="21"/>
      <c r="P2500" s="21"/>
      <c r="Q2500" s="21"/>
      <c r="R2500" s="21"/>
      <c r="S2500" s="21"/>
      <c r="T2500" s="21"/>
      <c r="U2500" s="21"/>
      <c r="V2500" s="21"/>
      <c r="W2500" s="21"/>
      <c r="X2500" s="21"/>
      <c r="Y2500" s="21"/>
      <c r="Z2500" s="21"/>
      <c r="AA2500" s="21"/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W2500" s="296"/>
      <c r="CY2500" s="296"/>
    </row>
    <row r="2501" spans="3:103" s="19" customFormat="1" ht="12">
      <c r="C2501" s="21"/>
      <c r="D2501" s="21"/>
      <c r="E2501" s="21"/>
      <c r="F2501" s="21"/>
      <c r="G2501" s="21"/>
      <c r="H2501" s="21"/>
      <c r="I2501" s="21"/>
      <c r="J2501" s="21"/>
      <c r="K2501" s="21"/>
      <c r="L2501" s="21"/>
      <c r="M2501" s="21"/>
      <c r="N2501" s="21"/>
      <c r="O2501" s="21"/>
      <c r="P2501" s="21"/>
      <c r="Q2501" s="21"/>
      <c r="R2501" s="21"/>
      <c r="S2501" s="21"/>
      <c r="T2501" s="21"/>
      <c r="U2501" s="21"/>
      <c r="V2501" s="21"/>
      <c r="W2501" s="21"/>
      <c r="X2501" s="21"/>
      <c r="Y2501" s="21"/>
      <c r="Z2501" s="21"/>
      <c r="AA2501" s="21"/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W2501" s="296"/>
      <c r="CY2501" s="296"/>
    </row>
    <row r="2502" spans="3:103" s="19" customFormat="1" ht="12">
      <c r="C2502" s="21"/>
      <c r="D2502" s="21"/>
      <c r="E2502" s="21"/>
      <c r="F2502" s="21"/>
      <c r="G2502" s="21"/>
      <c r="H2502" s="21"/>
      <c r="I2502" s="21"/>
      <c r="J2502" s="21"/>
      <c r="K2502" s="21"/>
      <c r="L2502" s="21"/>
      <c r="M2502" s="21"/>
      <c r="N2502" s="21"/>
      <c r="O2502" s="21"/>
      <c r="P2502" s="21"/>
      <c r="Q2502" s="21"/>
      <c r="R2502" s="21"/>
      <c r="S2502" s="21"/>
      <c r="T2502" s="21"/>
      <c r="U2502" s="21"/>
      <c r="V2502" s="21"/>
      <c r="W2502" s="21"/>
      <c r="X2502" s="21"/>
      <c r="Y2502" s="21"/>
      <c r="Z2502" s="21"/>
      <c r="AA2502" s="21"/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W2502" s="296"/>
      <c r="CY2502" s="296"/>
    </row>
    <row r="2503" spans="3:103" s="19" customFormat="1" ht="12">
      <c r="C2503" s="21"/>
      <c r="D2503" s="21"/>
      <c r="E2503" s="21"/>
      <c r="F2503" s="21"/>
      <c r="G2503" s="21"/>
      <c r="H2503" s="21"/>
      <c r="I2503" s="21"/>
      <c r="J2503" s="21"/>
      <c r="K2503" s="21"/>
      <c r="L2503" s="21"/>
      <c r="M2503" s="21"/>
      <c r="N2503" s="21"/>
      <c r="O2503" s="21"/>
      <c r="P2503" s="21"/>
      <c r="Q2503" s="21"/>
      <c r="R2503" s="21"/>
      <c r="S2503" s="21"/>
      <c r="T2503" s="21"/>
      <c r="U2503" s="21"/>
      <c r="V2503" s="21"/>
      <c r="W2503" s="21"/>
      <c r="X2503" s="21"/>
      <c r="Y2503" s="21"/>
      <c r="Z2503" s="21"/>
      <c r="AA2503" s="21"/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W2503" s="296"/>
      <c r="CY2503" s="296"/>
    </row>
    <row r="2504" spans="3:103" s="19" customFormat="1" ht="12">
      <c r="C2504" s="21"/>
      <c r="D2504" s="21"/>
      <c r="E2504" s="21"/>
      <c r="F2504" s="21"/>
      <c r="G2504" s="21"/>
      <c r="H2504" s="21"/>
      <c r="I2504" s="21"/>
      <c r="J2504" s="21"/>
      <c r="K2504" s="21"/>
      <c r="L2504" s="21"/>
      <c r="M2504" s="21"/>
      <c r="N2504" s="21"/>
      <c r="O2504" s="21"/>
      <c r="P2504" s="21"/>
      <c r="Q2504" s="21"/>
      <c r="R2504" s="21"/>
      <c r="S2504" s="21"/>
      <c r="T2504" s="21"/>
      <c r="U2504" s="21"/>
      <c r="V2504" s="21"/>
      <c r="W2504" s="21"/>
      <c r="X2504" s="21"/>
      <c r="Y2504" s="21"/>
      <c r="Z2504" s="21"/>
      <c r="AA2504" s="21"/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W2504" s="296"/>
      <c r="CY2504" s="296"/>
    </row>
    <row r="2505" spans="3:103" s="19" customFormat="1" ht="12">
      <c r="C2505" s="21"/>
      <c r="D2505" s="21"/>
      <c r="E2505" s="21"/>
      <c r="F2505" s="21"/>
      <c r="G2505" s="21"/>
      <c r="H2505" s="21"/>
      <c r="I2505" s="21"/>
      <c r="J2505" s="21"/>
      <c r="K2505" s="21"/>
      <c r="L2505" s="21"/>
      <c r="M2505" s="21"/>
      <c r="N2505" s="21"/>
      <c r="O2505" s="21"/>
      <c r="P2505" s="21"/>
      <c r="Q2505" s="21"/>
      <c r="R2505" s="21"/>
      <c r="S2505" s="21"/>
      <c r="T2505" s="21"/>
      <c r="U2505" s="21"/>
      <c r="V2505" s="21"/>
      <c r="W2505" s="21"/>
      <c r="X2505" s="21"/>
      <c r="Y2505" s="21"/>
      <c r="Z2505" s="21"/>
      <c r="AA2505" s="21"/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W2505" s="296"/>
      <c r="CY2505" s="296"/>
    </row>
    <row r="2506" spans="3:103" s="19" customFormat="1" ht="12">
      <c r="C2506" s="21"/>
      <c r="D2506" s="21"/>
      <c r="E2506" s="21"/>
      <c r="F2506" s="21"/>
      <c r="G2506" s="21"/>
      <c r="H2506" s="21"/>
      <c r="I2506" s="21"/>
      <c r="J2506" s="21"/>
      <c r="K2506" s="21"/>
      <c r="L2506" s="21"/>
      <c r="M2506" s="21"/>
      <c r="N2506" s="21"/>
      <c r="O2506" s="21"/>
      <c r="P2506" s="21"/>
      <c r="Q2506" s="21"/>
      <c r="R2506" s="21"/>
      <c r="S2506" s="21"/>
      <c r="T2506" s="21"/>
      <c r="U2506" s="21"/>
      <c r="V2506" s="21"/>
      <c r="W2506" s="21"/>
      <c r="X2506" s="21"/>
      <c r="Y2506" s="21"/>
      <c r="Z2506" s="21"/>
      <c r="AA2506" s="21"/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W2506" s="296"/>
      <c r="CY2506" s="296"/>
    </row>
    <row r="2507" spans="3:103" s="19" customFormat="1" ht="12">
      <c r="C2507" s="21"/>
      <c r="D2507" s="21"/>
      <c r="E2507" s="21"/>
      <c r="F2507" s="21"/>
      <c r="G2507" s="21"/>
      <c r="H2507" s="21"/>
      <c r="I2507" s="21"/>
      <c r="J2507" s="21"/>
      <c r="K2507" s="21"/>
      <c r="L2507" s="21"/>
      <c r="M2507" s="21"/>
      <c r="N2507" s="21"/>
      <c r="O2507" s="21"/>
      <c r="P2507" s="21"/>
      <c r="Q2507" s="21"/>
      <c r="R2507" s="21"/>
      <c r="S2507" s="21"/>
      <c r="T2507" s="21"/>
      <c r="U2507" s="21"/>
      <c r="V2507" s="21"/>
      <c r="W2507" s="21"/>
      <c r="X2507" s="21"/>
      <c r="Y2507" s="21"/>
      <c r="Z2507" s="21"/>
      <c r="AA2507" s="21"/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W2507" s="296"/>
      <c r="CY2507" s="296"/>
    </row>
    <row r="2508" spans="3:103" s="19" customFormat="1" ht="12">
      <c r="C2508" s="21"/>
      <c r="D2508" s="21"/>
      <c r="E2508" s="21"/>
      <c r="F2508" s="21"/>
      <c r="G2508" s="21"/>
      <c r="H2508" s="21"/>
      <c r="I2508" s="21"/>
      <c r="J2508" s="21"/>
      <c r="K2508" s="21"/>
      <c r="L2508" s="21"/>
      <c r="M2508" s="21"/>
      <c r="N2508" s="21"/>
      <c r="O2508" s="21"/>
      <c r="P2508" s="21"/>
      <c r="Q2508" s="21"/>
      <c r="R2508" s="21"/>
      <c r="S2508" s="21"/>
      <c r="T2508" s="21"/>
      <c r="U2508" s="21"/>
      <c r="V2508" s="21"/>
      <c r="W2508" s="21"/>
      <c r="X2508" s="21"/>
      <c r="Y2508" s="21"/>
      <c r="Z2508" s="21"/>
      <c r="AA2508" s="21"/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W2508" s="296"/>
      <c r="CY2508" s="296"/>
    </row>
    <row r="2509" spans="3:103" s="19" customFormat="1" ht="12">
      <c r="C2509" s="21"/>
      <c r="D2509" s="21"/>
      <c r="E2509" s="21"/>
      <c r="F2509" s="21"/>
      <c r="G2509" s="21"/>
      <c r="H2509" s="21"/>
      <c r="I2509" s="21"/>
      <c r="J2509" s="21"/>
      <c r="K2509" s="21"/>
      <c r="L2509" s="21"/>
      <c r="M2509" s="21"/>
      <c r="N2509" s="21"/>
      <c r="O2509" s="21"/>
      <c r="P2509" s="21"/>
      <c r="Q2509" s="21"/>
      <c r="R2509" s="21"/>
      <c r="S2509" s="21"/>
      <c r="T2509" s="21"/>
      <c r="U2509" s="21"/>
      <c r="V2509" s="21"/>
      <c r="W2509" s="21"/>
      <c r="X2509" s="21"/>
      <c r="Y2509" s="21"/>
      <c r="Z2509" s="21"/>
      <c r="AA2509" s="21"/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W2509" s="296"/>
      <c r="CY2509" s="296"/>
    </row>
    <row r="2510" spans="3:103" s="19" customFormat="1" ht="12">
      <c r="C2510" s="21"/>
      <c r="D2510" s="21"/>
      <c r="E2510" s="21"/>
      <c r="F2510" s="21"/>
      <c r="G2510" s="21"/>
      <c r="H2510" s="21"/>
      <c r="I2510" s="21"/>
      <c r="J2510" s="21"/>
      <c r="K2510" s="21"/>
      <c r="L2510" s="21"/>
      <c r="M2510" s="21"/>
      <c r="N2510" s="21"/>
      <c r="O2510" s="21"/>
      <c r="P2510" s="21"/>
      <c r="Q2510" s="21"/>
      <c r="R2510" s="21"/>
      <c r="S2510" s="21"/>
      <c r="T2510" s="21"/>
      <c r="U2510" s="21"/>
      <c r="V2510" s="21"/>
      <c r="W2510" s="21"/>
      <c r="X2510" s="21"/>
      <c r="Y2510" s="21"/>
      <c r="Z2510" s="21"/>
      <c r="AA2510" s="21"/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W2510" s="296"/>
      <c r="CY2510" s="296"/>
    </row>
    <row r="2511" spans="3:103" s="19" customFormat="1" ht="12">
      <c r="C2511" s="21"/>
      <c r="D2511" s="21"/>
      <c r="E2511" s="21"/>
      <c r="F2511" s="21"/>
      <c r="G2511" s="21"/>
      <c r="H2511" s="21"/>
      <c r="I2511" s="21"/>
      <c r="J2511" s="21"/>
      <c r="K2511" s="21"/>
      <c r="L2511" s="21"/>
      <c r="M2511" s="21"/>
      <c r="N2511" s="21"/>
      <c r="O2511" s="21"/>
      <c r="P2511" s="21"/>
      <c r="Q2511" s="21"/>
      <c r="R2511" s="21"/>
      <c r="S2511" s="21"/>
      <c r="T2511" s="21"/>
      <c r="U2511" s="21"/>
      <c r="V2511" s="21"/>
      <c r="W2511" s="21"/>
      <c r="X2511" s="21"/>
      <c r="Y2511" s="21"/>
      <c r="Z2511" s="21"/>
      <c r="AA2511" s="21"/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W2511" s="296"/>
      <c r="CY2511" s="296"/>
    </row>
    <row r="2512" spans="3:103" s="19" customFormat="1" ht="12">
      <c r="C2512" s="21"/>
      <c r="D2512" s="21"/>
      <c r="E2512" s="21"/>
      <c r="F2512" s="21"/>
      <c r="G2512" s="21"/>
      <c r="H2512" s="21"/>
      <c r="I2512" s="21"/>
      <c r="J2512" s="21"/>
      <c r="K2512" s="21"/>
      <c r="L2512" s="21"/>
      <c r="M2512" s="21"/>
      <c r="N2512" s="21"/>
      <c r="O2512" s="21"/>
      <c r="P2512" s="21"/>
      <c r="Q2512" s="21"/>
      <c r="R2512" s="21"/>
      <c r="S2512" s="21"/>
      <c r="T2512" s="21"/>
      <c r="U2512" s="21"/>
      <c r="V2512" s="21"/>
      <c r="W2512" s="21"/>
      <c r="X2512" s="21"/>
      <c r="Y2512" s="21"/>
      <c r="Z2512" s="21"/>
      <c r="AA2512" s="21"/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W2512" s="296"/>
      <c r="CY2512" s="296"/>
    </row>
    <row r="2513" spans="3:103" s="19" customFormat="1" ht="12">
      <c r="C2513" s="21"/>
      <c r="D2513" s="21"/>
      <c r="E2513" s="21"/>
      <c r="F2513" s="21"/>
      <c r="G2513" s="21"/>
      <c r="H2513" s="21"/>
      <c r="I2513" s="21"/>
      <c r="J2513" s="21"/>
      <c r="K2513" s="21"/>
      <c r="L2513" s="21"/>
      <c r="M2513" s="21"/>
      <c r="N2513" s="21"/>
      <c r="O2513" s="21"/>
      <c r="P2513" s="21"/>
      <c r="Q2513" s="21"/>
      <c r="R2513" s="21"/>
      <c r="S2513" s="21"/>
      <c r="T2513" s="21"/>
      <c r="U2513" s="21"/>
      <c r="V2513" s="21"/>
      <c r="W2513" s="21"/>
      <c r="X2513" s="21"/>
      <c r="Y2513" s="21"/>
      <c r="Z2513" s="21"/>
      <c r="AA2513" s="21"/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W2513" s="296"/>
      <c r="CY2513" s="296"/>
    </row>
    <row r="2514" spans="3:103" s="19" customFormat="1" ht="12">
      <c r="C2514" s="21"/>
      <c r="D2514" s="21"/>
      <c r="E2514" s="21"/>
      <c r="F2514" s="21"/>
      <c r="G2514" s="21"/>
      <c r="H2514" s="21"/>
      <c r="I2514" s="21"/>
      <c r="J2514" s="21"/>
      <c r="K2514" s="21"/>
      <c r="L2514" s="21"/>
      <c r="M2514" s="21"/>
      <c r="N2514" s="21"/>
      <c r="O2514" s="21"/>
      <c r="P2514" s="21"/>
      <c r="Q2514" s="21"/>
      <c r="R2514" s="21"/>
      <c r="S2514" s="21"/>
      <c r="T2514" s="21"/>
      <c r="U2514" s="21"/>
      <c r="V2514" s="21"/>
      <c r="W2514" s="21"/>
      <c r="X2514" s="21"/>
      <c r="Y2514" s="21"/>
      <c r="Z2514" s="21"/>
      <c r="AA2514" s="21"/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W2514" s="296"/>
      <c r="CY2514" s="296"/>
    </row>
    <row r="2515" spans="3:103" s="19" customFormat="1" ht="12">
      <c r="C2515" s="21"/>
      <c r="D2515" s="21"/>
      <c r="E2515" s="21"/>
      <c r="F2515" s="21"/>
      <c r="G2515" s="21"/>
      <c r="H2515" s="21"/>
      <c r="I2515" s="21"/>
      <c r="J2515" s="21"/>
      <c r="K2515" s="21"/>
      <c r="L2515" s="21"/>
      <c r="M2515" s="21"/>
      <c r="N2515" s="21"/>
      <c r="O2515" s="21"/>
      <c r="P2515" s="21"/>
      <c r="Q2515" s="21"/>
      <c r="R2515" s="21"/>
      <c r="S2515" s="21"/>
      <c r="T2515" s="21"/>
      <c r="U2515" s="21"/>
      <c r="V2515" s="21"/>
      <c r="W2515" s="21"/>
      <c r="X2515" s="21"/>
      <c r="Y2515" s="21"/>
      <c r="Z2515" s="21"/>
      <c r="AA2515" s="21"/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W2515" s="296"/>
      <c r="CY2515" s="296"/>
    </row>
    <row r="2516" spans="3:103" s="19" customFormat="1" ht="12">
      <c r="C2516" s="21"/>
      <c r="D2516" s="21"/>
      <c r="E2516" s="21"/>
      <c r="F2516" s="21"/>
      <c r="G2516" s="21"/>
      <c r="H2516" s="21"/>
      <c r="I2516" s="21"/>
      <c r="J2516" s="21"/>
      <c r="K2516" s="21"/>
      <c r="L2516" s="21"/>
      <c r="M2516" s="21"/>
      <c r="N2516" s="21"/>
      <c r="O2516" s="21"/>
      <c r="P2516" s="21"/>
      <c r="Q2516" s="21"/>
      <c r="R2516" s="21"/>
      <c r="S2516" s="21"/>
      <c r="T2516" s="21"/>
      <c r="U2516" s="21"/>
      <c r="V2516" s="21"/>
      <c r="W2516" s="21"/>
      <c r="X2516" s="21"/>
      <c r="Y2516" s="21"/>
      <c r="Z2516" s="21"/>
      <c r="AA2516" s="21"/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W2516" s="296"/>
      <c r="CY2516" s="296"/>
    </row>
    <row r="2517" spans="3:103" s="19" customFormat="1" ht="12">
      <c r="C2517" s="21"/>
      <c r="D2517" s="21"/>
      <c r="E2517" s="21"/>
      <c r="F2517" s="21"/>
      <c r="G2517" s="21"/>
      <c r="H2517" s="21"/>
      <c r="I2517" s="21"/>
      <c r="J2517" s="21"/>
      <c r="K2517" s="21"/>
      <c r="L2517" s="21"/>
      <c r="M2517" s="21"/>
      <c r="N2517" s="21"/>
      <c r="O2517" s="21"/>
      <c r="P2517" s="21"/>
      <c r="Q2517" s="21"/>
      <c r="R2517" s="21"/>
      <c r="S2517" s="21"/>
      <c r="T2517" s="21"/>
      <c r="U2517" s="21"/>
      <c r="V2517" s="21"/>
      <c r="W2517" s="21"/>
      <c r="X2517" s="21"/>
      <c r="Y2517" s="21"/>
      <c r="Z2517" s="21"/>
      <c r="AA2517" s="21"/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W2517" s="296"/>
      <c r="CY2517" s="296"/>
    </row>
    <row r="2518" spans="3:103" s="19" customFormat="1" ht="12">
      <c r="C2518" s="21"/>
      <c r="D2518" s="21"/>
      <c r="E2518" s="21"/>
      <c r="F2518" s="21"/>
      <c r="G2518" s="21"/>
      <c r="H2518" s="21"/>
      <c r="I2518" s="21"/>
      <c r="J2518" s="21"/>
      <c r="K2518" s="21"/>
      <c r="L2518" s="21"/>
      <c r="M2518" s="21"/>
      <c r="N2518" s="21"/>
      <c r="O2518" s="21"/>
      <c r="P2518" s="21"/>
      <c r="Q2518" s="21"/>
      <c r="R2518" s="21"/>
      <c r="S2518" s="21"/>
      <c r="T2518" s="21"/>
      <c r="U2518" s="21"/>
      <c r="V2518" s="21"/>
      <c r="W2518" s="21"/>
      <c r="X2518" s="21"/>
      <c r="Y2518" s="21"/>
      <c r="Z2518" s="21"/>
      <c r="AA2518" s="21"/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W2518" s="296"/>
      <c r="CY2518" s="296"/>
    </row>
    <row r="2519" spans="3:103" s="19" customFormat="1" ht="12">
      <c r="C2519" s="21"/>
      <c r="D2519" s="21"/>
      <c r="E2519" s="21"/>
      <c r="F2519" s="21"/>
      <c r="G2519" s="21"/>
      <c r="H2519" s="21"/>
      <c r="I2519" s="21"/>
      <c r="J2519" s="21"/>
      <c r="K2519" s="21"/>
      <c r="L2519" s="21"/>
      <c r="M2519" s="21"/>
      <c r="N2519" s="21"/>
      <c r="O2519" s="21"/>
      <c r="P2519" s="21"/>
      <c r="Q2519" s="21"/>
      <c r="R2519" s="21"/>
      <c r="S2519" s="21"/>
      <c r="T2519" s="21"/>
      <c r="U2519" s="21"/>
      <c r="V2519" s="21"/>
      <c r="W2519" s="21"/>
      <c r="X2519" s="21"/>
      <c r="Y2519" s="21"/>
      <c r="Z2519" s="21"/>
      <c r="AA2519" s="21"/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W2519" s="296"/>
      <c r="CY2519" s="296"/>
    </row>
    <row r="2520" spans="3:103" s="19" customFormat="1" ht="12">
      <c r="C2520" s="21"/>
      <c r="D2520" s="21"/>
      <c r="E2520" s="21"/>
      <c r="F2520" s="21"/>
      <c r="G2520" s="21"/>
      <c r="H2520" s="21"/>
      <c r="I2520" s="21"/>
      <c r="J2520" s="21"/>
      <c r="K2520" s="21"/>
      <c r="L2520" s="21"/>
      <c r="M2520" s="21"/>
      <c r="N2520" s="21"/>
      <c r="O2520" s="21"/>
      <c r="P2520" s="21"/>
      <c r="Q2520" s="21"/>
      <c r="R2520" s="21"/>
      <c r="S2520" s="21"/>
      <c r="T2520" s="21"/>
      <c r="U2520" s="21"/>
      <c r="V2520" s="21"/>
      <c r="W2520" s="21"/>
      <c r="X2520" s="21"/>
      <c r="Y2520" s="21"/>
      <c r="Z2520" s="21"/>
      <c r="AA2520" s="21"/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W2520" s="296"/>
      <c r="CY2520" s="296"/>
    </row>
    <row r="2521" spans="3:103" s="19" customFormat="1" ht="12">
      <c r="C2521" s="21"/>
      <c r="D2521" s="21"/>
      <c r="E2521" s="21"/>
      <c r="F2521" s="21"/>
      <c r="G2521" s="21"/>
      <c r="H2521" s="21"/>
      <c r="I2521" s="21"/>
      <c r="J2521" s="21"/>
      <c r="K2521" s="21"/>
      <c r="L2521" s="21"/>
      <c r="M2521" s="21"/>
      <c r="N2521" s="21"/>
      <c r="O2521" s="21"/>
      <c r="P2521" s="21"/>
      <c r="Q2521" s="21"/>
      <c r="R2521" s="21"/>
      <c r="S2521" s="21"/>
      <c r="T2521" s="21"/>
      <c r="U2521" s="21"/>
      <c r="V2521" s="21"/>
      <c r="W2521" s="21"/>
      <c r="X2521" s="21"/>
      <c r="Y2521" s="21"/>
      <c r="Z2521" s="21"/>
      <c r="AA2521" s="21"/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W2521" s="296"/>
      <c r="CY2521" s="296"/>
    </row>
    <row r="2522" spans="3:103" s="19" customFormat="1" ht="12">
      <c r="C2522" s="21"/>
      <c r="D2522" s="21"/>
      <c r="E2522" s="21"/>
      <c r="F2522" s="21"/>
      <c r="G2522" s="21"/>
      <c r="H2522" s="21"/>
      <c r="I2522" s="21"/>
      <c r="J2522" s="21"/>
      <c r="K2522" s="21"/>
      <c r="L2522" s="21"/>
      <c r="M2522" s="21"/>
      <c r="N2522" s="21"/>
      <c r="O2522" s="21"/>
      <c r="P2522" s="21"/>
      <c r="Q2522" s="21"/>
      <c r="R2522" s="21"/>
      <c r="S2522" s="21"/>
      <c r="T2522" s="21"/>
      <c r="U2522" s="21"/>
      <c r="V2522" s="21"/>
      <c r="W2522" s="21"/>
      <c r="X2522" s="21"/>
      <c r="Y2522" s="21"/>
      <c r="Z2522" s="21"/>
      <c r="AA2522" s="21"/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W2522" s="296"/>
      <c r="CY2522" s="296"/>
    </row>
    <row r="2523" spans="3:103" s="19" customFormat="1" ht="12">
      <c r="C2523" s="21"/>
      <c r="D2523" s="21"/>
      <c r="E2523" s="21"/>
      <c r="F2523" s="21"/>
      <c r="G2523" s="21"/>
      <c r="H2523" s="21"/>
      <c r="I2523" s="21"/>
      <c r="J2523" s="21"/>
      <c r="K2523" s="21"/>
      <c r="L2523" s="21"/>
      <c r="M2523" s="21"/>
      <c r="N2523" s="21"/>
      <c r="O2523" s="21"/>
      <c r="P2523" s="21"/>
      <c r="Q2523" s="21"/>
      <c r="R2523" s="21"/>
      <c r="S2523" s="21"/>
      <c r="T2523" s="21"/>
      <c r="U2523" s="21"/>
      <c r="V2523" s="21"/>
      <c r="W2523" s="21"/>
      <c r="X2523" s="21"/>
      <c r="Y2523" s="21"/>
      <c r="Z2523" s="21"/>
      <c r="AA2523" s="21"/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W2523" s="296"/>
      <c r="CY2523" s="296"/>
    </row>
    <row r="2524" spans="3:103" s="19" customFormat="1" ht="12">
      <c r="C2524" s="21"/>
      <c r="D2524" s="21"/>
      <c r="E2524" s="21"/>
      <c r="F2524" s="21"/>
      <c r="G2524" s="21"/>
      <c r="H2524" s="21"/>
      <c r="I2524" s="21"/>
      <c r="J2524" s="21"/>
      <c r="K2524" s="21"/>
      <c r="L2524" s="21"/>
      <c r="M2524" s="21"/>
      <c r="N2524" s="21"/>
      <c r="O2524" s="21"/>
      <c r="P2524" s="21"/>
      <c r="Q2524" s="21"/>
      <c r="R2524" s="21"/>
      <c r="S2524" s="21"/>
      <c r="T2524" s="21"/>
      <c r="U2524" s="21"/>
      <c r="V2524" s="21"/>
      <c r="W2524" s="21"/>
      <c r="X2524" s="21"/>
      <c r="Y2524" s="21"/>
      <c r="Z2524" s="21"/>
      <c r="AA2524" s="21"/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W2524" s="296"/>
      <c r="CY2524" s="296"/>
    </row>
    <row r="2525" spans="3:103" s="19" customFormat="1" ht="12">
      <c r="C2525" s="21"/>
      <c r="D2525" s="21"/>
      <c r="E2525" s="21"/>
      <c r="F2525" s="21"/>
      <c r="G2525" s="21"/>
      <c r="H2525" s="21"/>
      <c r="I2525" s="21"/>
      <c r="J2525" s="21"/>
      <c r="K2525" s="21"/>
      <c r="L2525" s="21"/>
      <c r="M2525" s="21"/>
      <c r="N2525" s="21"/>
      <c r="O2525" s="21"/>
      <c r="P2525" s="21"/>
      <c r="Q2525" s="21"/>
      <c r="R2525" s="21"/>
      <c r="S2525" s="21"/>
      <c r="T2525" s="21"/>
      <c r="U2525" s="21"/>
      <c r="V2525" s="21"/>
      <c r="W2525" s="21"/>
      <c r="X2525" s="21"/>
      <c r="Y2525" s="21"/>
      <c r="Z2525" s="21"/>
      <c r="AA2525" s="21"/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W2525" s="296"/>
      <c r="CY2525" s="296"/>
    </row>
  </sheetData>
  <phoneticPr fontId="11" type="noConversion"/>
  <pageMargins left="0.75" right="0.75" top="1" bottom="1" header="0.5" footer="0.5"/>
  <pageSetup paperSize="9" orientation="portrait" horizontalDpi="300" verticalDpi="300" r:id="rId1"/>
  <headerFooter alignWithMargins="0"/>
  <customProperties>
    <customPr name="Qube.Worksheet.Visibility" r:id="rId2"/>
    <customPr name="SHEET_UNIQUE_ID" r:id="rId3"/>
  </customProperties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98A8-3BC0-4034-9A14-E744713B99E8}">
  <sheetPr>
    <pageSetUpPr autoPageBreaks="0"/>
  </sheetPr>
  <dimension ref="B2:BG78"/>
  <sheetViews>
    <sheetView tabSelected="1" topLeftCell="R1" workbookViewId="0">
      <selection activeCell="W15" sqref="W15:W16"/>
    </sheetView>
  </sheetViews>
  <sheetFormatPr defaultColWidth="9" defaultRowHeight="12.75" outlineLevelRow="1" outlineLevelCol="1"/>
  <cols>
    <col min="1" max="1" width="9" style="702"/>
    <col min="2" max="2" width="34.75" style="702" bestFit="1" customWidth="1"/>
    <col min="3" max="10" width="9" style="702" hidden="1" customWidth="1" outlineLevel="1"/>
    <col min="11" max="11" width="9" style="702" collapsed="1"/>
    <col min="12" max="12" width="9" style="702"/>
    <col min="13" max="13" width="12.5" style="702" bestFit="1" customWidth="1"/>
    <col min="14" max="19" width="9" style="702"/>
    <col min="20" max="20" width="9" style="804"/>
    <col min="21" max="21" width="9" style="703"/>
    <col min="22" max="30" width="9" style="702"/>
    <col min="31" max="38" width="9" style="702" hidden="1" customWidth="1" outlineLevel="1"/>
    <col min="39" max="39" width="9" style="702" collapsed="1"/>
    <col min="40" max="44" width="9" style="702" hidden="1" customWidth="1" outlineLevel="1"/>
    <col min="45" max="45" width="9" style="702" collapsed="1"/>
    <col min="46" max="47" width="9" style="702"/>
    <col min="48" max="48" width="9.25" style="703" bestFit="1" customWidth="1"/>
    <col min="49" max="49" width="9.25" style="702" bestFit="1" customWidth="1"/>
    <col min="50" max="53" width="9" style="702"/>
    <col min="54" max="57" width="9" style="702" customWidth="1" outlineLevel="1"/>
    <col min="58" max="16384" width="9" style="702"/>
  </cols>
  <sheetData>
    <row r="2" spans="2:57">
      <c r="C2" s="3" t="str">
        <f>Model!AH1</f>
        <v>1H17A</v>
      </c>
      <c r="D2" s="3" t="str">
        <f>Model!AI1</f>
        <v>2H17A</v>
      </c>
      <c r="E2" s="3" t="str">
        <f>Model!AJ1</f>
        <v>1H18A</v>
      </c>
      <c r="F2" s="3" t="str">
        <f>Model!AK1</f>
        <v>2H18A</v>
      </c>
      <c r="G2" s="3" t="str">
        <f>Model!AL1</f>
        <v>1H19A</v>
      </c>
      <c r="H2" s="3" t="str">
        <f>Model!AM1</f>
        <v>2H19A</v>
      </c>
      <c r="I2" s="3" t="str">
        <f>Model!AN1</f>
        <v>1H20A</v>
      </c>
      <c r="J2" s="3" t="str">
        <f>Model!AO1</f>
        <v>2H20A</v>
      </c>
      <c r="K2" s="3" t="str">
        <f>Model!AP1</f>
        <v>1H21A</v>
      </c>
      <c r="L2" s="3" t="str">
        <f>Model!AQ1</f>
        <v>2H21A</v>
      </c>
      <c r="M2" s="3" t="str">
        <f>Model!AR1</f>
        <v>1H22A</v>
      </c>
      <c r="N2" s="3" t="str">
        <f>Model!AS1</f>
        <v>2H22A</v>
      </c>
      <c r="O2" s="3" t="str">
        <f>Model!AT1</f>
        <v>1H23A</v>
      </c>
      <c r="P2" s="3" t="str">
        <f>Model!AU1</f>
        <v>2H23A</v>
      </c>
      <c r="Q2" s="3" t="str">
        <f>Model!AV1</f>
        <v>1H24A</v>
      </c>
      <c r="R2" s="3" t="str">
        <f>Model!AW1</f>
        <v>2H24A</v>
      </c>
      <c r="S2" s="3" t="str">
        <f>Model!AX1</f>
        <v>1H25A</v>
      </c>
      <c r="T2" s="801" t="str">
        <f>Model!AY1</f>
        <v>2H25A</v>
      </c>
      <c r="U2" s="4" t="str">
        <f>Model!AZ1</f>
        <v>1H26A</v>
      </c>
      <c r="V2" s="3" t="str">
        <f>Model!BA1</f>
        <v>2H26E</v>
      </c>
      <c r="W2" s="3" t="str">
        <f>Model!BB1</f>
        <v>1H27E</v>
      </c>
      <c r="X2" s="3" t="str">
        <f>Model!BC1</f>
        <v>2H27E</v>
      </c>
      <c r="Y2" s="3" t="str">
        <f>Model!BD1</f>
        <v>1H28E</v>
      </c>
      <c r="Z2" s="3" t="str">
        <f>Model!BE1</f>
        <v>2H28E</v>
      </c>
      <c r="AA2" s="3" t="str">
        <f>Model!BF1</f>
        <v>1H29E</v>
      </c>
      <c r="AB2" s="3" t="str">
        <f>Model!BG1</f>
        <v>2H29E</v>
      </c>
      <c r="AC2" s="3" t="str">
        <f>Model!BH1</f>
        <v>1H30E</v>
      </c>
      <c r="AD2" s="3" t="str">
        <f>Model!BI1</f>
        <v>2H30E</v>
      </c>
      <c r="AE2" s="3" t="str">
        <f>Model!BJ1</f>
        <v>1H31E</v>
      </c>
      <c r="AF2" s="3" t="str">
        <f>Model!BK1</f>
        <v>2H31E</v>
      </c>
      <c r="AG2" s="3" t="str">
        <f>Model!BL1</f>
        <v>1H32E</v>
      </c>
      <c r="AH2" s="3" t="str">
        <f>Model!BM1</f>
        <v>2H32E</v>
      </c>
      <c r="AI2" s="3" t="str">
        <f>Model!BN1</f>
        <v>1H33E</v>
      </c>
      <c r="AJ2" s="3" t="str">
        <f>Model!BO1</f>
        <v>2H33E</v>
      </c>
      <c r="AK2" s="3" t="str">
        <f>Model!BP1</f>
        <v>1H34E</v>
      </c>
      <c r="AL2" s="3" t="str">
        <f>Model!BQ1</f>
        <v>2H34E</v>
      </c>
      <c r="AN2" s="3" t="str">
        <f>Model!CR1</f>
        <v>FY17A</v>
      </c>
      <c r="AO2" s="3" t="str">
        <f>Model!CS1</f>
        <v>FY18A</v>
      </c>
      <c r="AP2" s="3" t="str">
        <f>Model!CT1</f>
        <v>FY19A</v>
      </c>
      <c r="AQ2" s="3" t="str">
        <f>Model!CU1</f>
        <v>FY20A</v>
      </c>
      <c r="AR2" s="3" t="str">
        <f>Model!CV1</f>
        <v>FY21A</v>
      </c>
      <c r="AS2" s="3" t="str">
        <f>Model!CW1</f>
        <v>FY22A</v>
      </c>
      <c r="AT2" s="3" t="str">
        <f>Model!CX1</f>
        <v>FY23A</v>
      </c>
      <c r="AU2" s="3" t="str">
        <f>Model!CY1</f>
        <v>FY24A</v>
      </c>
      <c r="AV2" s="4" t="str">
        <f>Model!CZ1</f>
        <v>FY25A</v>
      </c>
      <c r="AW2" s="3" t="str">
        <f>Model!DA1</f>
        <v>FY26E</v>
      </c>
      <c r="AX2" s="3" t="str">
        <f>Model!DB1</f>
        <v>FY27E</v>
      </c>
      <c r="AY2" s="3" t="str">
        <f>Model!DC1</f>
        <v>FY28E</v>
      </c>
      <c r="AZ2" s="3" t="str">
        <f>Model!DD1</f>
        <v>FY29E</v>
      </c>
      <c r="BA2" s="3" t="str">
        <f>Model!DE1</f>
        <v>FY30E</v>
      </c>
      <c r="BB2" s="3" t="str">
        <f>Model!DF1</f>
        <v>FY31E</v>
      </c>
      <c r="BC2" s="3" t="str">
        <f>Model!DG1</f>
        <v>FY32E</v>
      </c>
      <c r="BD2" s="3" t="str">
        <f>Model!DH1</f>
        <v>FY33E</v>
      </c>
      <c r="BE2" s="3" t="str">
        <f>Model!DI1</f>
        <v>FY34E</v>
      </c>
    </row>
    <row r="3" spans="2:57">
      <c r="C3" s="7">
        <f>Model!AH3</f>
        <v>42735</v>
      </c>
      <c r="D3" s="7">
        <f>Model!AI3</f>
        <v>42916</v>
      </c>
      <c r="E3" s="7">
        <f>Model!AJ3</f>
        <v>43100</v>
      </c>
      <c r="F3" s="7">
        <f>Model!AK3</f>
        <v>43281</v>
      </c>
      <c r="G3" s="7">
        <f>Model!AL3</f>
        <v>43465</v>
      </c>
      <c r="H3" s="7">
        <f>Model!AM3</f>
        <v>43646</v>
      </c>
      <c r="I3" s="7">
        <f>Model!AN3</f>
        <v>43830</v>
      </c>
      <c r="J3" s="7">
        <f>Model!AO3</f>
        <v>44012</v>
      </c>
      <c r="K3" s="7">
        <f>Model!AP3</f>
        <v>44196</v>
      </c>
      <c r="L3" s="7">
        <f>Model!AQ3</f>
        <v>44377</v>
      </c>
      <c r="M3" s="7">
        <f>Model!AR3</f>
        <v>44561</v>
      </c>
      <c r="N3" s="7">
        <f>Model!AS3</f>
        <v>44742</v>
      </c>
      <c r="O3" s="7">
        <f>Model!AT3</f>
        <v>44926</v>
      </c>
      <c r="P3" s="7">
        <f>Model!AU3</f>
        <v>45107</v>
      </c>
      <c r="Q3" s="7">
        <f>Model!AV3</f>
        <v>45291</v>
      </c>
      <c r="R3" s="7">
        <f>Model!AW3</f>
        <v>45473</v>
      </c>
      <c r="S3" s="7">
        <f>Model!AX3</f>
        <v>45657</v>
      </c>
      <c r="T3" s="802">
        <f>Model!AY3</f>
        <v>45838</v>
      </c>
      <c r="U3" s="8">
        <f>Model!AZ3</f>
        <v>46022</v>
      </c>
      <c r="V3" s="7">
        <f>Model!BA3</f>
        <v>46203</v>
      </c>
      <c r="W3" s="7">
        <f>Model!BB3</f>
        <v>46387</v>
      </c>
      <c r="X3" s="7">
        <f>Model!BC3</f>
        <v>46568</v>
      </c>
      <c r="Y3" s="7">
        <f>Model!BD3</f>
        <v>46752</v>
      </c>
      <c r="Z3" s="7">
        <f>Model!BE3</f>
        <v>46934</v>
      </c>
      <c r="AA3" s="7">
        <f>Model!BF3</f>
        <v>47118</v>
      </c>
      <c r="AB3" s="7">
        <f>Model!BG3</f>
        <v>47299</v>
      </c>
      <c r="AC3" s="7">
        <f>Model!BH3</f>
        <v>47483</v>
      </c>
      <c r="AD3" s="7">
        <f>Model!BI3</f>
        <v>47664</v>
      </c>
      <c r="AE3" s="7">
        <f>Model!BJ3</f>
        <v>47848</v>
      </c>
      <c r="AF3" s="7">
        <f>Model!BK3</f>
        <v>48029</v>
      </c>
      <c r="AG3" s="7">
        <f>Model!BL3</f>
        <v>48213</v>
      </c>
      <c r="AH3" s="7">
        <f>Model!BM3</f>
        <v>48395</v>
      </c>
      <c r="AI3" s="7">
        <f>Model!BN3</f>
        <v>48579</v>
      </c>
      <c r="AJ3" s="7">
        <f>Model!BO3</f>
        <v>48760</v>
      </c>
      <c r="AK3" s="7">
        <f>Model!BP3</f>
        <v>48944</v>
      </c>
      <c r="AL3" s="7">
        <f>Model!BQ3</f>
        <v>49125</v>
      </c>
      <c r="AN3" s="7">
        <f>Model!CR3</f>
        <v>42916</v>
      </c>
      <c r="AO3" s="7">
        <f>Model!CS3</f>
        <v>43281</v>
      </c>
      <c r="AP3" s="7">
        <f>Model!CT3</f>
        <v>43646</v>
      </c>
      <c r="AQ3" s="7">
        <f>Model!CU3</f>
        <v>44012</v>
      </c>
      <c r="AR3" s="7">
        <f>Model!CV3</f>
        <v>44377</v>
      </c>
      <c r="AS3" s="7">
        <f>Model!CW3</f>
        <v>44742</v>
      </c>
      <c r="AT3" s="7">
        <f>Model!CX3</f>
        <v>45107</v>
      </c>
      <c r="AU3" s="7">
        <f>Model!CY3</f>
        <v>45473</v>
      </c>
      <c r="AV3" s="8">
        <f>Model!CZ3</f>
        <v>45838</v>
      </c>
      <c r="AW3" s="7">
        <f>Model!DA3</f>
        <v>46203</v>
      </c>
      <c r="AX3" s="7">
        <f>Model!DB3</f>
        <v>46568</v>
      </c>
      <c r="AY3" s="7">
        <f>Model!DC3</f>
        <v>46934</v>
      </c>
      <c r="AZ3" s="7">
        <f>Model!DD3</f>
        <v>47299</v>
      </c>
      <c r="BA3" s="7">
        <f>Model!DE3</f>
        <v>47664</v>
      </c>
      <c r="BB3" s="7">
        <f>Model!DF3</f>
        <v>48029</v>
      </c>
      <c r="BC3" s="7">
        <f>Model!DG3</f>
        <v>48395</v>
      </c>
      <c r="BD3" s="7">
        <f>Model!DH3</f>
        <v>48760</v>
      </c>
      <c r="BE3" s="7">
        <f>Model!DI3</f>
        <v>49125</v>
      </c>
    </row>
    <row r="4" spans="2:57">
      <c r="C4" s="14">
        <f>Model!AH5</f>
        <v>1.9836956521739131</v>
      </c>
      <c r="D4" s="14">
        <f>Model!AI5</f>
        <v>2.0165745856353592</v>
      </c>
      <c r="E4" s="14">
        <f>Model!AJ5</f>
        <v>1.9836956521739131</v>
      </c>
      <c r="F4" s="14">
        <f>Model!AK5</f>
        <v>2.0165745856353592</v>
      </c>
      <c r="G4" s="14">
        <f>Model!AL5</f>
        <v>1.9836956521739131</v>
      </c>
      <c r="H4" s="14">
        <f>Model!AM5</f>
        <v>2.0165745856353592</v>
      </c>
      <c r="I4" s="14">
        <f>Model!AN5</f>
        <v>1.9891304347826086</v>
      </c>
      <c r="J4" s="14">
        <f>Model!AO5</f>
        <v>2.0109890109890109</v>
      </c>
      <c r="K4" s="14">
        <f>Model!AP5</f>
        <v>1.9836956521739131</v>
      </c>
      <c r="L4" s="14">
        <f>Model!AQ5</f>
        <v>2.0165745856353592</v>
      </c>
      <c r="M4" s="14">
        <f>Model!AR5</f>
        <v>1.9836956521739131</v>
      </c>
      <c r="N4" s="14">
        <f>Model!AS5</f>
        <v>2.0165745856353592</v>
      </c>
      <c r="O4" s="14">
        <f>Model!AT5</f>
        <v>1.9836956521739131</v>
      </c>
      <c r="P4" s="14">
        <f>Model!AU5</f>
        <v>2.0165745856353592</v>
      </c>
      <c r="Q4" s="14">
        <f>Model!AV5</f>
        <v>1.9891304347826086</v>
      </c>
      <c r="R4" s="14">
        <f>Model!AW5</f>
        <v>2.0109890109890109</v>
      </c>
      <c r="S4" s="14">
        <f>Model!AX5</f>
        <v>1.9836956521739131</v>
      </c>
      <c r="T4" s="803">
        <f>Model!AY5</f>
        <v>2.0165745856353592</v>
      </c>
      <c r="U4" s="15">
        <f>Model!AZ5</f>
        <v>1.9836956521739131</v>
      </c>
      <c r="V4" s="14">
        <f>Model!BA5</f>
        <v>2.0165745856353592</v>
      </c>
      <c r="W4" s="14">
        <f>Model!BB5</f>
        <v>1.9836956521739131</v>
      </c>
      <c r="X4" s="14">
        <f>Model!BC5</f>
        <v>2.0165745856353592</v>
      </c>
      <c r="Y4" s="14">
        <f>Model!BD5</f>
        <v>1.9891304347826086</v>
      </c>
      <c r="Z4" s="14">
        <f>Model!BE5</f>
        <v>2.0109890109890109</v>
      </c>
      <c r="AA4" s="14">
        <f>Model!BF5</f>
        <v>1.9836956521739131</v>
      </c>
      <c r="AB4" s="14">
        <f>Model!BG5</f>
        <v>2.0165745856353592</v>
      </c>
      <c r="AC4" s="14">
        <f>Model!BH5</f>
        <v>1.9836956521739131</v>
      </c>
      <c r="AD4" s="14">
        <f>Model!BI5</f>
        <v>2.0165745856353592</v>
      </c>
      <c r="AE4" s="14">
        <f>Model!BJ5</f>
        <v>1.9836956521739131</v>
      </c>
      <c r="AF4" s="14">
        <f>Model!BK5</f>
        <v>2.0165745856353592</v>
      </c>
      <c r="AG4" s="14">
        <f>Model!BL5</f>
        <v>1.9891304347826086</v>
      </c>
      <c r="AH4" s="14">
        <f>Model!BM5</f>
        <v>2.0109890109890109</v>
      </c>
      <c r="AI4" s="14">
        <f>Model!BN5</f>
        <v>1.9836956521739131</v>
      </c>
      <c r="AJ4" s="14">
        <f>Model!BO5</f>
        <v>2.0165745856353592</v>
      </c>
      <c r="AK4" s="14">
        <f>Model!BP5</f>
        <v>1.9836956521739131</v>
      </c>
      <c r="AL4" s="14">
        <f>Model!BQ5</f>
        <v>2.0165745856353592</v>
      </c>
      <c r="AN4" s="14">
        <f>Model!CR5</f>
        <v>1</v>
      </c>
      <c r="AO4" s="14">
        <f>Model!CS5</f>
        <v>1</v>
      </c>
      <c r="AP4" s="14">
        <f>Model!CT5</f>
        <v>1</v>
      </c>
      <c r="AQ4" s="14">
        <f>Model!CU5</f>
        <v>1</v>
      </c>
      <c r="AR4" s="14">
        <f>Model!CV5</f>
        <v>1</v>
      </c>
      <c r="AS4" s="14">
        <f>Model!CW5</f>
        <v>1</v>
      </c>
      <c r="AT4" s="14">
        <f>Model!CX5</f>
        <v>1</v>
      </c>
      <c r="AU4" s="14">
        <f>Model!CY5</f>
        <v>1</v>
      </c>
      <c r="AV4" s="15">
        <f>Model!CZ5</f>
        <v>1</v>
      </c>
      <c r="AW4" s="14">
        <f>Model!DA5</f>
        <v>1</v>
      </c>
      <c r="AX4" s="14">
        <f>Model!DB5</f>
        <v>1</v>
      </c>
      <c r="AY4" s="14">
        <f>Model!DC5</f>
        <v>1</v>
      </c>
      <c r="AZ4" s="14">
        <f>Model!DD5</f>
        <v>1</v>
      </c>
      <c r="BA4" s="14">
        <f>Model!DE5</f>
        <v>1</v>
      </c>
      <c r="BB4" s="14">
        <f>Model!DF5</f>
        <v>1</v>
      </c>
      <c r="BC4" s="14">
        <f>Model!DG5</f>
        <v>1</v>
      </c>
      <c r="BD4" s="14">
        <f>Model!DH5</f>
        <v>1</v>
      </c>
      <c r="BE4" s="14">
        <f>Model!DI5</f>
        <v>1</v>
      </c>
    </row>
    <row r="5" spans="2:57" ht="15.95" customHeight="1">
      <c r="B5" s="701" t="s">
        <v>2630</v>
      </c>
    </row>
    <row r="6" spans="2:57" ht="15.95" customHeight="1">
      <c r="B6" s="702" t="s">
        <v>582</v>
      </c>
      <c r="C6" s="704">
        <f>Model!AH379</f>
        <v>0</v>
      </c>
      <c r="D6" s="704">
        <f>Model!AI379</f>
        <v>0</v>
      </c>
      <c r="E6" s="704">
        <f>Model!AJ379</f>
        <v>0</v>
      </c>
      <c r="F6" s="704">
        <f>Model!AK379</f>
        <v>0</v>
      </c>
      <c r="G6" s="704">
        <f>Model!AL379</f>
        <v>0</v>
      </c>
      <c r="H6" s="704">
        <f>Model!AM379</f>
        <v>0</v>
      </c>
      <c r="I6" s="704">
        <f>Model!AN379</f>
        <v>0</v>
      </c>
      <c r="J6" s="704">
        <f>Model!AO379</f>
        <v>0</v>
      </c>
      <c r="K6" s="704">
        <f>Model!AP379</f>
        <v>55.5</v>
      </c>
      <c r="L6" s="704">
        <f>Model!AQ379</f>
        <v>70.900000000000006</v>
      </c>
      <c r="M6" s="704">
        <f>Model!AR379</f>
        <v>99</v>
      </c>
      <c r="N6" s="704">
        <f>Model!AS379</f>
        <v>122.9</v>
      </c>
      <c r="O6" s="704">
        <f>Model!AT379</f>
        <v>241.8</v>
      </c>
      <c r="P6" s="704">
        <f>Model!AU379</f>
        <v>332.4</v>
      </c>
      <c r="Q6" s="704">
        <f>Model!AV379</f>
        <v>432.20000000000005</v>
      </c>
      <c r="R6" s="704">
        <f>Model!AW379</f>
        <v>478.10000000000008</v>
      </c>
      <c r="S6" s="704">
        <f>Model!AX379</f>
        <v>525</v>
      </c>
      <c r="T6" s="805">
        <f>Model!AY379</f>
        <v>534.9</v>
      </c>
      <c r="U6" s="705">
        <f>Model!AZ379</f>
        <v>558.5</v>
      </c>
      <c r="V6" s="704">
        <f>Model!BA379</f>
        <v>632.83269416117139</v>
      </c>
      <c r="W6" s="704">
        <f>Model!BB379</f>
        <v>707.88649158789417</v>
      </c>
      <c r="X6" s="704">
        <f>Model!BC379</f>
        <v>717.18661082904566</v>
      </c>
      <c r="Y6" s="704">
        <f>Model!BD379</f>
        <v>758.98216775020546</v>
      </c>
      <c r="Z6" s="704">
        <f>Model!BE379</f>
        <v>803.70378452494276</v>
      </c>
      <c r="AA6" s="704">
        <f>Model!BF379</f>
        <v>859.06946759315042</v>
      </c>
      <c r="AB6" s="704">
        <f>Model!BG379</f>
        <v>900.28495640922301</v>
      </c>
      <c r="AC6" s="704">
        <f>Model!BH379</f>
        <v>956.50481730093327</v>
      </c>
      <c r="AD6" s="704">
        <f>Model!BI379</f>
        <v>992.8049412239817</v>
      </c>
      <c r="AE6" s="704">
        <f>Model!BJ379</f>
        <v>1045.37861985522</v>
      </c>
      <c r="AF6" s="704">
        <f>Model!BK379</f>
        <v>1076.5366253957222</v>
      </c>
      <c r="AG6" s="704">
        <f>Model!BL379</f>
        <v>1121.2646874596883</v>
      </c>
      <c r="AH6" s="704">
        <f>Model!BM379</f>
        <v>1151.7728980830054</v>
      </c>
      <c r="AI6" s="704">
        <f>Model!BN379</f>
        <v>1194.0740667924183</v>
      </c>
      <c r="AJ6" s="704">
        <f>Model!BO379</f>
        <v>1214.5712159797686</v>
      </c>
      <c r="AK6" s="704">
        <f>Model!BP379</f>
        <v>1262.3731588899313</v>
      </c>
      <c r="AL6" s="704">
        <f>Model!BQ379</f>
        <v>1284.0892957310236</v>
      </c>
      <c r="AN6" s="704">
        <f>Model!CR379</f>
        <v>0</v>
      </c>
      <c r="AO6" s="704">
        <f>Model!CS379</f>
        <v>0</v>
      </c>
      <c r="AP6" s="704">
        <f>Model!CT379</f>
        <v>6.2619999999999996</v>
      </c>
      <c r="AQ6" s="704">
        <f>Model!CU379</f>
        <v>42.580712977099239</v>
      </c>
      <c r="AR6" s="704">
        <f>Model!CV379</f>
        <v>129.43661380152167</v>
      </c>
      <c r="AS6" s="704">
        <f>Model!CW379</f>
        <v>221.9</v>
      </c>
      <c r="AT6" s="704">
        <f>Model!CX379</f>
        <v>574.20000000000005</v>
      </c>
      <c r="AU6" s="704">
        <f>Model!CY379</f>
        <v>910.30000000000018</v>
      </c>
      <c r="AV6" s="705">
        <f>Model!CZ379</f>
        <v>1059.9000000000001</v>
      </c>
      <c r="AW6" s="704">
        <f>Model!DA379</f>
        <v>1191.3326941611713</v>
      </c>
      <c r="AX6" s="704">
        <f>Model!DB379</f>
        <v>1425.0731024169399</v>
      </c>
      <c r="AY6" s="704">
        <f>Model!DC379</f>
        <v>1562.6859522751483</v>
      </c>
      <c r="AZ6" s="704">
        <f>Model!DD379</f>
        <v>1759.3544240023734</v>
      </c>
      <c r="BA6" s="704">
        <f>Model!DE379</f>
        <v>1949.309758524915</v>
      </c>
      <c r="BB6" s="704">
        <f>Model!DF379</f>
        <v>2121.9152452509425</v>
      </c>
      <c r="BC6" s="704">
        <f>Model!DG379</f>
        <v>2273.0375855426937</v>
      </c>
      <c r="BD6" s="704">
        <f>Model!DH379</f>
        <v>2408.6452827721869</v>
      </c>
      <c r="BE6" s="704">
        <f>Model!DI379</f>
        <v>2546.4624546209552</v>
      </c>
    </row>
    <row r="7" spans="2:57" ht="15.95" customHeight="1">
      <c r="B7" s="702" t="s">
        <v>481</v>
      </c>
      <c r="C7" s="704">
        <f>Model!AH380</f>
        <v>0</v>
      </c>
      <c r="D7" s="704">
        <f>Model!AI380</f>
        <v>0</v>
      </c>
      <c r="E7" s="704">
        <f>Model!AJ380</f>
        <v>0</v>
      </c>
      <c r="F7" s="704">
        <f>Model!AK380</f>
        <v>0</v>
      </c>
      <c r="G7" s="704">
        <f>Model!AL380</f>
        <v>0</v>
      </c>
      <c r="H7" s="704">
        <f>Model!AM380</f>
        <v>0</v>
      </c>
      <c r="I7" s="704">
        <f>Model!AN380</f>
        <v>0</v>
      </c>
      <c r="J7" s="704">
        <f>Model!AO380</f>
        <v>0</v>
      </c>
      <c r="K7" s="704">
        <f>Model!AP380</f>
        <v>-20.5</v>
      </c>
      <c r="L7" s="704">
        <f>Model!AQ380</f>
        <v>-21.400000000000006</v>
      </c>
      <c r="M7" s="704">
        <f>Model!AR380</f>
        <v>-25.5</v>
      </c>
      <c r="N7" s="704">
        <f>Model!AS380</f>
        <v>-26.600000000000009</v>
      </c>
      <c r="O7" s="704">
        <f>Model!AT380</f>
        <v>-78.800000000000011</v>
      </c>
      <c r="P7" s="704">
        <f>Model!AU380</f>
        <v>-147.79999999999998</v>
      </c>
      <c r="Q7" s="704">
        <f>Model!AV380</f>
        <v>-237.00000000000006</v>
      </c>
      <c r="R7" s="704">
        <f>Model!AW380</f>
        <v>-287.30000000000007</v>
      </c>
      <c r="S7" s="704">
        <f>Model!AX380</f>
        <v>-332</v>
      </c>
      <c r="T7" s="805">
        <f>Model!AY380</f>
        <v>-320.59999999999991</v>
      </c>
      <c r="U7" s="705">
        <f>Model!AZ380</f>
        <v>-323</v>
      </c>
      <c r="V7" s="704">
        <f>Model!BA380</f>
        <v>-371.6768133346236</v>
      </c>
      <c r="W7" s="704">
        <f>Model!BB380</f>
        <v>-422.20137819041128</v>
      </c>
      <c r="X7" s="704">
        <f>Model!BC380</f>
        <v>-414.28514364695934</v>
      </c>
      <c r="Y7" s="704">
        <f>Model!BD380</f>
        <v>-431.00520247381598</v>
      </c>
      <c r="Z7" s="704">
        <f>Model!BE380</f>
        <v>-455.39855391049468</v>
      </c>
      <c r="AA7" s="704">
        <f>Model!BF380</f>
        <v>-486.79883213606945</v>
      </c>
      <c r="AB7" s="704">
        <f>Model!BG380</f>
        <v>-510.40000266037379</v>
      </c>
      <c r="AC7" s="704">
        <f>Model!BH380</f>
        <v>-542.7379641975815</v>
      </c>
      <c r="AD7" s="704">
        <f>Model!BI380</f>
        <v>-563.79132156307628</v>
      </c>
      <c r="AE7" s="704">
        <f>Model!BJ380</f>
        <v>-594.39874669750759</v>
      </c>
      <c r="AF7" s="704">
        <f>Model!BK380</f>
        <v>-612.67391004348917</v>
      </c>
      <c r="AG7" s="704">
        <f>Model!BL380</f>
        <v>-638.97002233808837</v>
      </c>
      <c r="AH7" s="704">
        <f>Model!BM380</f>
        <v>-657.07254631547789</v>
      </c>
      <c r="AI7" s="704">
        <f>Model!BN380</f>
        <v>-682.16252019395381</v>
      </c>
      <c r="AJ7" s="704">
        <f>Model!BO380</f>
        <v>-694.73324047868073</v>
      </c>
      <c r="AK7" s="704">
        <f>Model!BP380</f>
        <v>-723.10796456408718</v>
      </c>
      <c r="AL7" s="704">
        <f>Model!BQ380</f>
        <v>-736.51312604020859</v>
      </c>
      <c r="AN7" s="704">
        <f>Model!CR380</f>
        <v>0</v>
      </c>
      <c r="AO7" s="704">
        <f>Model!CS380</f>
        <v>0</v>
      </c>
      <c r="AP7" s="704">
        <f>Model!CT380</f>
        <v>0</v>
      </c>
      <c r="AQ7" s="704">
        <f>Model!CU380</f>
        <v>0</v>
      </c>
      <c r="AR7" s="704">
        <f>Model!CV380</f>
        <v>0</v>
      </c>
      <c r="AS7" s="704">
        <f>Model!CW380</f>
        <v>-52.100000000000009</v>
      </c>
      <c r="AT7" s="704">
        <f>Model!CX380</f>
        <v>-226.6</v>
      </c>
      <c r="AU7" s="704">
        <f>Model!CY380</f>
        <v>-524.30000000000018</v>
      </c>
      <c r="AV7" s="705">
        <f>Model!CZ380</f>
        <v>-652.59999999999991</v>
      </c>
      <c r="AW7" s="704">
        <f>Model!DA380</f>
        <v>-694.6768133346236</v>
      </c>
      <c r="AX7" s="704">
        <f>Model!DB380</f>
        <v>-836.48652183737067</v>
      </c>
      <c r="AY7" s="704">
        <f>Model!DC380</f>
        <v>-886.40375638431067</v>
      </c>
      <c r="AZ7" s="704">
        <f>Model!DD380</f>
        <v>-997.19883479644318</v>
      </c>
      <c r="BA7" s="704">
        <f>Model!DE380</f>
        <v>-1106.5292857606578</v>
      </c>
      <c r="BB7" s="704">
        <f>Model!DF380</f>
        <v>-1207.0726567409968</v>
      </c>
      <c r="BC7" s="704">
        <f>Model!DG380</f>
        <v>-1296.0425686535664</v>
      </c>
      <c r="BD7" s="704">
        <f>Model!DH380</f>
        <v>-1376.8957606726344</v>
      </c>
      <c r="BE7" s="704">
        <f>Model!DI380</f>
        <v>-1459.6210906042957</v>
      </c>
    </row>
    <row r="8" spans="2:57" ht="15.95" customHeight="1">
      <c r="B8" s="700" t="s">
        <v>2627</v>
      </c>
      <c r="C8" s="706">
        <f>Model!AH381</f>
        <v>0</v>
      </c>
      <c r="D8" s="706">
        <f>Model!AI381</f>
        <v>0</v>
      </c>
      <c r="E8" s="706">
        <f>Model!AJ381</f>
        <v>0</v>
      </c>
      <c r="F8" s="706">
        <f>Model!AK381</f>
        <v>0</v>
      </c>
      <c r="G8" s="706">
        <f>Model!AL381</f>
        <v>0</v>
      </c>
      <c r="H8" s="706">
        <f>Model!AM381</f>
        <v>0</v>
      </c>
      <c r="I8" s="706">
        <f>Model!AN381</f>
        <v>0</v>
      </c>
      <c r="J8" s="706">
        <f>Model!AO381</f>
        <v>0</v>
      </c>
      <c r="K8" s="706">
        <f>Model!AP381</f>
        <v>35</v>
      </c>
      <c r="L8" s="706">
        <f>Model!AQ381</f>
        <v>49.5</v>
      </c>
      <c r="M8" s="706">
        <f>Model!AR381</f>
        <v>73.5</v>
      </c>
      <c r="N8" s="706">
        <f>Model!AS381</f>
        <v>96.3</v>
      </c>
      <c r="O8" s="706">
        <f>Model!AT381</f>
        <v>163</v>
      </c>
      <c r="P8" s="706">
        <f>Model!AU381</f>
        <v>184.6</v>
      </c>
      <c r="Q8" s="706">
        <f>Model!AV381</f>
        <v>195.2</v>
      </c>
      <c r="R8" s="706">
        <f>Model!AW381</f>
        <v>190.8</v>
      </c>
      <c r="S8" s="706">
        <f>Model!AX381</f>
        <v>193</v>
      </c>
      <c r="T8" s="806">
        <f>Model!AY381</f>
        <v>214.30000000000004</v>
      </c>
      <c r="U8" s="707">
        <f>Model!AZ381</f>
        <v>235.49999999999997</v>
      </c>
      <c r="V8" s="706">
        <f>Model!BA381</f>
        <v>261.15588082654779</v>
      </c>
      <c r="W8" s="706">
        <f>Model!BB381</f>
        <v>285.68511339748289</v>
      </c>
      <c r="X8" s="706">
        <f>Model!BC381</f>
        <v>302.90146718208632</v>
      </c>
      <c r="Y8" s="706">
        <f>Model!BD381</f>
        <v>327.97696527638948</v>
      </c>
      <c r="Z8" s="706">
        <f>Model!BE381</f>
        <v>348.30523061444808</v>
      </c>
      <c r="AA8" s="706">
        <f>Model!BF381</f>
        <v>372.27063545708097</v>
      </c>
      <c r="AB8" s="706">
        <f>Model!BG381</f>
        <v>389.88495374884923</v>
      </c>
      <c r="AC8" s="706">
        <f>Model!BH381</f>
        <v>413.76685310335176</v>
      </c>
      <c r="AD8" s="706">
        <f>Model!BI381</f>
        <v>429.01361966090548</v>
      </c>
      <c r="AE8" s="706">
        <f>Model!BJ381</f>
        <v>450.9798731577124</v>
      </c>
      <c r="AF8" s="706">
        <f>Model!BK381</f>
        <v>463.86271535223307</v>
      </c>
      <c r="AG8" s="706">
        <f>Model!BL381</f>
        <v>482.29466512159991</v>
      </c>
      <c r="AH8" s="706">
        <f>Model!BM381</f>
        <v>494.70035176752748</v>
      </c>
      <c r="AI8" s="706">
        <f>Model!BN381</f>
        <v>511.9115465984645</v>
      </c>
      <c r="AJ8" s="706">
        <f>Model!BO381</f>
        <v>519.83797550108784</v>
      </c>
      <c r="AK8" s="706">
        <f>Model!BP381</f>
        <v>539.26519432584416</v>
      </c>
      <c r="AL8" s="706">
        <f>Model!BQ381</f>
        <v>547.57616969081505</v>
      </c>
      <c r="AN8" s="706">
        <f>Model!CR381</f>
        <v>0</v>
      </c>
      <c r="AO8" s="706">
        <f>Model!CS381</f>
        <v>0</v>
      </c>
      <c r="AP8" s="706">
        <f>Model!CT381</f>
        <v>0.85799999999999998</v>
      </c>
      <c r="AQ8" s="706">
        <f>Model!CU381</f>
        <v>27.84</v>
      </c>
      <c r="AR8" s="706">
        <f>Model!CV381</f>
        <v>84.5</v>
      </c>
      <c r="AS8" s="706">
        <f>Model!CW381</f>
        <v>169.8</v>
      </c>
      <c r="AT8" s="706">
        <f>Model!CX381</f>
        <v>347.6</v>
      </c>
      <c r="AU8" s="706">
        <f>Model!CY381</f>
        <v>386</v>
      </c>
      <c r="AV8" s="707">
        <f>Model!CZ381</f>
        <v>407.30000000000007</v>
      </c>
      <c r="AW8" s="706">
        <f>Model!DA381</f>
        <v>496.65588082654779</v>
      </c>
      <c r="AX8" s="706">
        <f>Model!DB381</f>
        <v>588.58658057956927</v>
      </c>
      <c r="AY8" s="706">
        <f>Model!DC381</f>
        <v>676.28219589083756</v>
      </c>
      <c r="AZ8" s="706">
        <f>Model!DD381</f>
        <v>762.15558920593026</v>
      </c>
      <c r="BA8" s="706">
        <f>Model!DE381</f>
        <v>842.78047276425718</v>
      </c>
      <c r="BB8" s="706">
        <f>Model!DF381</f>
        <v>914.84258850994547</v>
      </c>
      <c r="BC8" s="706">
        <f>Model!DG381</f>
        <v>976.99501688912733</v>
      </c>
      <c r="BD8" s="706">
        <f>Model!DH381</f>
        <v>1031.7495220995525</v>
      </c>
      <c r="BE8" s="706">
        <f>Model!DI381</f>
        <v>1086.8413640166591</v>
      </c>
    </row>
    <row r="9" spans="2:57" ht="15.95" hidden="1" customHeight="1" outlineLevel="1">
      <c r="B9" s="708" t="s">
        <v>2631</v>
      </c>
      <c r="C9" s="709"/>
      <c r="D9" s="709"/>
      <c r="E9" s="709"/>
      <c r="F9" s="709"/>
      <c r="G9" s="709"/>
      <c r="H9" s="709"/>
      <c r="I9" s="709"/>
      <c r="J9" s="709"/>
      <c r="K9" s="709"/>
      <c r="L9" s="709"/>
      <c r="M9" s="709"/>
      <c r="N9" s="710">
        <f>N8/M8-1</f>
        <v>0.31020408163265301</v>
      </c>
      <c r="O9" s="710">
        <f t="shared" ref="O9:AL9" si="0">O8/N8-1</f>
        <v>0.69262720664589827</v>
      </c>
      <c r="P9" s="710">
        <f t="shared" si="0"/>
        <v>0.13251533742331278</v>
      </c>
      <c r="Q9" s="710">
        <f t="shared" si="0"/>
        <v>5.7421451787649014E-2</v>
      </c>
      <c r="R9" s="710">
        <f t="shared" si="0"/>
        <v>-2.2540983606557208E-2</v>
      </c>
      <c r="S9" s="710">
        <f t="shared" si="0"/>
        <v>1.1530398322851187E-2</v>
      </c>
      <c r="T9" s="807">
        <f t="shared" si="0"/>
        <v>0.11036269430051826</v>
      </c>
      <c r="U9" s="711">
        <f t="shared" si="0"/>
        <v>9.8926738217451904E-2</v>
      </c>
      <c r="V9" s="710">
        <f t="shared" si="0"/>
        <v>0.10894216911485266</v>
      </c>
      <c r="W9" s="710">
        <f t="shared" si="0"/>
        <v>9.3925637413567298E-2</v>
      </c>
      <c r="X9" s="710">
        <f t="shared" si="0"/>
        <v>6.0263391325713789E-2</v>
      </c>
      <c r="Y9" s="710">
        <f t="shared" si="0"/>
        <v>8.2784340160456438E-2</v>
      </c>
      <c r="Z9" s="710">
        <f t="shared" si="0"/>
        <v>6.1980771487801789E-2</v>
      </c>
      <c r="AA9" s="710">
        <f t="shared" si="0"/>
        <v>6.8805756377402938E-2</v>
      </c>
      <c r="AB9" s="710">
        <f t="shared" si="0"/>
        <v>4.7315894980921813E-2</v>
      </c>
      <c r="AC9" s="710">
        <f t="shared" si="0"/>
        <v>6.1253708625766734E-2</v>
      </c>
      <c r="AD9" s="710">
        <f t="shared" si="0"/>
        <v>3.6848690133584272E-2</v>
      </c>
      <c r="AE9" s="710">
        <f t="shared" si="0"/>
        <v>5.1201762578468202E-2</v>
      </c>
      <c r="AF9" s="710">
        <f t="shared" si="0"/>
        <v>2.8566335132245158E-2</v>
      </c>
      <c r="AG9" s="710">
        <f t="shared" si="0"/>
        <v>3.9735786385354466E-2</v>
      </c>
      <c r="AH9" s="710">
        <f t="shared" si="0"/>
        <v>2.572221412152631E-2</v>
      </c>
      <c r="AI9" s="710">
        <f t="shared" si="0"/>
        <v>3.479115138981137E-2</v>
      </c>
      <c r="AJ9" s="710">
        <f t="shared" si="0"/>
        <v>1.548398147158947E-2</v>
      </c>
      <c r="AK9" s="710">
        <f t="shared" si="0"/>
        <v>3.7371680678060848E-2</v>
      </c>
      <c r="AL9" s="710">
        <f t="shared" si="0"/>
        <v>1.5411666564834947E-2</v>
      </c>
      <c r="AM9" s="710"/>
      <c r="AN9" s="710" t="e">
        <f t="shared" ref="AN9:BA9" si="1">AN8/AM8-1</f>
        <v>#DIV/0!</v>
      </c>
      <c r="AO9" s="710" t="e">
        <f t="shared" si="1"/>
        <v>#DIV/0!</v>
      </c>
      <c r="AP9" s="710" t="e">
        <f t="shared" si="1"/>
        <v>#DIV/0!</v>
      </c>
      <c r="AQ9" s="710">
        <f t="shared" si="1"/>
        <v>31.447552447552447</v>
      </c>
      <c r="AR9" s="710">
        <f t="shared" si="1"/>
        <v>2.0352011494252875</v>
      </c>
      <c r="AS9" s="710">
        <f t="shared" si="1"/>
        <v>1.0094674556213019</v>
      </c>
      <c r="AT9" s="710">
        <f t="shared" si="1"/>
        <v>1.0471142520612484</v>
      </c>
      <c r="AU9" s="710">
        <f t="shared" si="1"/>
        <v>0.1104718066743382</v>
      </c>
      <c r="AV9" s="711">
        <f t="shared" si="1"/>
        <v>5.5181347150259352E-2</v>
      </c>
      <c r="AW9" s="710">
        <f t="shared" si="1"/>
        <v>0.21938590922304857</v>
      </c>
      <c r="AX9" s="710">
        <f t="shared" si="1"/>
        <v>0.18509938833308093</v>
      </c>
      <c r="AY9" s="710">
        <f t="shared" si="1"/>
        <v>0.1489935690088553</v>
      </c>
      <c r="AZ9" s="710">
        <f t="shared" si="1"/>
        <v>0.12697863974073043</v>
      </c>
      <c r="BA9" s="710">
        <f t="shared" si="1"/>
        <v>0.1057853339924042</v>
      </c>
      <c r="BB9" s="709"/>
      <c r="BC9" s="709"/>
      <c r="BD9" s="709"/>
      <c r="BE9" s="709"/>
    </row>
    <row r="10" spans="2:57" ht="15.95" customHeight="1" collapsed="1">
      <c r="AW10" s="712"/>
    </row>
    <row r="11" spans="2:57" ht="15.95" customHeight="1">
      <c r="B11" s="702" t="s">
        <v>2632</v>
      </c>
      <c r="C11" s="704">
        <f>SUM(Model!AH395:AH396)</f>
        <v>0</v>
      </c>
      <c r="D11" s="704">
        <f>SUM(Model!AI395:AI396)</f>
        <v>0</v>
      </c>
      <c r="E11" s="704">
        <f>SUM(Model!AJ395:AJ396)</f>
        <v>0</v>
      </c>
      <c r="F11" s="704">
        <f>SUM(Model!AK395:AK396)</f>
        <v>0</v>
      </c>
      <c r="G11" s="704">
        <f>SUM(Model!AL395:AL396)</f>
        <v>0</v>
      </c>
      <c r="H11" s="704">
        <f>SUM(Model!AM395:AM396)</f>
        <v>0</v>
      </c>
      <c r="I11" s="704">
        <f>SUM(Model!AN395:AN396)</f>
        <v>0</v>
      </c>
      <c r="J11" s="704">
        <f>SUM(Model!AO395:AO396)</f>
        <v>0</v>
      </c>
      <c r="K11" s="704">
        <f>SUM(Model!AP395:AP396)</f>
        <v>0.4</v>
      </c>
      <c r="L11" s="704">
        <f>SUM(Model!AQ395:AQ396)</f>
        <v>0.60000000000000009</v>
      </c>
      <c r="M11" s="704">
        <f>SUM(Model!AR395:AR396)</f>
        <v>0.4</v>
      </c>
      <c r="N11" s="704">
        <f>SUM(Model!AS395:AS396)</f>
        <v>2.8</v>
      </c>
      <c r="O11" s="704">
        <f>SUM(Model!AT395:AT396)</f>
        <v>1.2</v>
      </c>
      <c r="P11" s="704">
        <f>SUM(Model!AU395:AU396)</f>
        <v>1.7</v>
      </c>
      <c r="Q11" s="704">
        <f>SUM(Model!AV395:AV396)</f>
        <v>2.6</v>
      </c>
      <c r="R11" s="704">
        <f>SUM(Model!AW395:AW396)</f>
        <v>3.6</v>
      </c>
      <c r="S11" s="704">
        <f>SUM(Model!AX395:AX396)</f>
        <v>4.4000000000000004</v>
      </c>
      <c r="T11" s="805">
        <f>SUM(Model!AY395:AY396)</f>
        <v>4.8</v>
      </c>
      <c r="U11" s="705">
        <f>SUM(Model!AZ395:AZ396)</f>
        <v>6.1</v>
      </c>
      <c r="V11" s="704">
        <f>SUM(Model!BA395:BA396)</f>
        <v>6.6095036773366989</v>
      </c>
      <c r="W11" s="704">
        <f>SUM(Model!BB395:BB396)</f>
        <v>7.3610062181883835</v>
      </c>
      <c r="X11" s="704">
        <f>SUM(Model!BC395:BC396)</f>
        <v>7.910065168703353</v>
      </c>
      <c r="Y11" s="704">
        <f>SUM(Model!BD395:BD396)</f>
        <v>8.7414120075058719</v>
      </c>
      <c r="Z11" s="704">
        <f>SUM(Model!BE395:BE396)</f>
        <v>9.4140945600338899</v>
      </c>
      <c r="AA11" s="704">
        <f>SUM(Model!BF395:BF396)</f>
        <v>10.364424821896167</v>
      </c>
      <c r="AB11" s="704">
        <f>SUM(Model!BG395:BG396)</f>
        <v>11.05339351030104</v>
      </c>
      <c r="AC11" s="704">
        <f>SUM(Model!BH395:BH396)</f>
        <v>12.125084500077378</v>
      </c>
      <c r="AD11" s="704">
        <f>SUM(Model!BI395:BI396)</f>
        <v>12.822918890552058</v>
      </c>
      <c r="AE11" s="704">
        <f>SUM(Model!BJ395:BJ396)</f>
        <v>13.947840911626351</v>
      </c>
      <c r="AF11" s="704">
        <f>SUM(Model!BK395:BK396)</f>
        <v>14.626473123798441</v>
      </c>
      <c r="AG11" s="704">
        <f>SUM(Model!BL395:BL396)</f>
        <v>14.96346666833648</v>
      </c>
      <c r="AH11" s="704">
        <f>SUM(Model!BM395:BM396)</f>
        <v>14.878228726083956</v>
      </c>
      <c r="AI11" s="704">
        <f>SUM(Model!BN395:BN396)</f>
        <v>15.123157590142599</v>
      </c>
      <c r="AJ11" s="704">
        <f>SUM(Model!BO395:BO396)</f>
        <v>14.88642562980192</v>
      </c>
      <c r="AK11" s="704">
        <f>SUM(Model!BP395:BP396)</f>
        <v>15.140121863483822</v>
      </c>
      <c r="AL11" s="704">
        <f>SUM(Model!BQ395:BQ396)</f>
        <v>14.903409242690135</v>
      </c>
      <c r="AN11" s="704">
        <f>SUM(Model!CR395:CR396)</f>
        <v>0</v>
      </c>
      <c r="AO11" s="704">
        <f>SUM(Model!CS395:CS396)</f>
        <v>0</v>
      </c>
      <c r="AP11" s="704">
        <f>SUM(Model!CT395:CT396)</f>
        <v>0.498</v>
      </c>
      <c r="AQ11" s="704">
        <f>SUM(Model!CU395:CU396)</f>
        <v>0.41599999999999998</v>
      </c>
      <c r="AR11" s="704">
        <f>SUM(Model!CV395:CV396)</f>
        <v>1</v>
      </c>
      <c r="AS11" s="704">
        <f>SUM(Model!CW395:CW396)</f>
        <v>3.1999999999999997</v>
      </c>
      <c r="AT11" s="704">
        <f>SUM(Model!CX395:CX396)</f>
        <v>2.9</v>
      </c>
      <c r="AU11" s="704">
        <f>SUM(Model!CY395:CY396)</f>
        <v>6.2</v>
      </c>
      <c r="AV11" s="705">
        <f>SUM(Model!CZ395:CZ396)</f>
        <v>9.1999999999999993</v>
      </c>
      <c r="AW11" s="704">
        <f>SUM(Model!DA395:DA396)</f>
        <v>12.709503677336699</v>
      </c>
      <c r="AX11" s="704">
        <f>SUM(Model!DB395:DB396)</f>
        <v>15.271071386891737</v>
      </c>
      <c r="AY11" s="704">
        <f>SUM(Model!DC395:DC396)</f>
        <v>18.15550656753976</v>
      </c>
      <c r="AZ11" s="704">
        <f>SUM(Model!DD395:DD396)</f>
        <v>21.417818332197207</v>
      </c>
      <c r="BA11" s="704">
        <f>SUM(Model!DE395:DE396)</f>
        <v>24.948003390629438</v>
      </c>
      <c r="BB11" s="704">
        <f>SUM(Model!DF395:DF396)</f>
        <v>28.574314035424791</v>
      </c>
      <c r="BC11" s="704">
        <f>SUM(Model!DG395:DG396)</f>
        <v>29.841695394420434</v>
      </c>
      <c r="BD11" s="704">
        <f>SUM(Model!DH395:DH396)</f>
        <v>30.009583219944517</v>
      </c>
      <c r="BE11" s="704">
        <f>SUM(Model!DI395:DI396)</f>
        <v>30.043531106173958</v>
      </c>
    </row>
    <row r="12" spans="2:57" ht="15.95" customHeight="1">
      <c r="B12" s="702" t="s">
        <v>2633</v>
      </c>
      <c r="C12" s="704">
        <f>Model!AH397</f>
        <v>0</v>
      </c>
      <c r="D12" s="704">
        <f>Model!AI397</f>
        <v>0</v>
      </c>
      <c r="E12" s="704">
        <f>Model!AJ397</f>
        <v>0</v>
      </c>
      <c r="F12" s="704">
        <f>Model!AK397</f>
        <v>0</v>
      </c>
      <c r="G12" s="704">
        <f>Model!AL397</f>
        <v>0</v>
      </c>
      <c r="H12" s="704">
        <f>Model!AM397</f>
        <v>0</v>
      </c>
      <c r="I12" s="704">
        <f>Model!AN397</f>
        <v>0</v>
      </c>
      <c r="J12" s="704">
        <f>Model!AO397</f>
        <v>0</v>
      </c>
      <c r="K12" s="704">
        <f>Model!AP397</f>
        <v>0</v>
      </c>
      <c r="L12" s="704">
        <f>Model!AQ397</f>
        <v>0</v>
      </c>
      <c r="M12" s="704">
        <f>Model!AR397</f>
        <v>0</v>
      </c>
      <c r="N12" s="704">
        <f>Model!AS397</f>
        <v>0</v>
      </c>
      <c r="O12" s="704">
        <f>Model!AT397</f>
        <v>0</v>
      </c>
      <c r="P12" s="704">
        <f>Model!AU397</f>
        <v>0</v>
      </c>
      <c r="Q12" s="704">
        <f>Model!AV397</f>
        <v>0</v>
      </c>
      <c r="R12" s="704">
        <f>Model!AW397</f>
        <v>0</v>
      </c>
      <c r="S12" s="704">
        <f>Model!AX397</f>
        <v>0</v>
      </c>
      <c r="T12" s="805">
        <f>Model!AY397</f>
        <v>0</v>
      </c>
      <c r="U12" s="705">
        <f>Model!AZ397</f>
        <v>0</v>
      </c>
      <c r="V12" s="704">
        <f>Model!BA397</f>
        <v>0</v>
      </c>
      <c r="W12" s="704">
        <f>Model!BB397</f>
        <v>0</v>
      </c>
      <c r="X12" s="704">
        <f>Model!BC397</f>
        <v>0</v>
      </c>
      <c r="Y12" s="704">
        <f>Model!BD397</f>
        <v>0</v>
      </c>
      <c r="Z12" s="704">
        <f>Model!BE397</f>
        <v>0</v>
      </c>
      <c r="AA12" s="704">
        <f>Model!BF397</f>
        <v>0</v>
      </c>
      <c r="AB12" s="704">
        <f>Model!BG397</f>
        <v>0</v>
      </c>
      <c r="AC12" s="704">
        <f>Model!BH397</f>
        <v>0</v>
      </c>
      <c r="AD12" s="704">
        <f>Model!BI397</f>
        <v>0</v>
      </c>
      <c r="AE12" s="704">
        <f>Model!BJ397</f>
        <v>0</v>
      </c>
      <c r="AF12" s="704">
        <f>Model!BK397</f>
        <v>0</v>
      </c>
      <c r="AG12" s="704">
        <f>Model!BL397</f>
        <v>0</v>
      </c>
      <c r="AH12" s="704">
        <f>Model!BM397</f>
        <v>0</v>
      </c>
      <c r="AI12" s="704">
        <f>Model!BN397</f>
        <v>0</v>
      </c>
      <c r="AJ12" s="704">
        <f>Model!BO397</f>
        <v>0</v>
      </c>
      <c r="AK12" s="704">
        <f>Model!BP397</f>
        <v>0</v>
      </c>
      <c r="AL12" s="704">
        <f>Model!BQ397</f>
        <v>0</v>
      </c>
      <c r="AN12" s="704">
        <f>Model!CR397</f>
        <v>0</v>
      </c>
      <c r="AO12" s="704">
        <f>Model!CS397</f>
        <v>0</v>
      </c>
      <c r="AP12" s="704">
        <f>Model!CT397</f>
        <v>0</v>
      </c>
      <c r="AQ12" s="704">
        <f>Model!CU397</f>
        <v>0</v>
      </c>
      <c r="AR12" s="704">
        <f>Model!CV397</f>
        <v>0</v>
      </c>
      <c r="AS12" s="704">
        <f>Model!CW397</f>
        <v>0</v>
      </c>
      <c r="AT12" s="704">
        <f>Model!CX397</f>
        <v>0</v>
      </c>
      <c r="AU12" s="704">
        <f>Model!CY397</f>
        <v>0</v>
      </c>
      <c r="AV12" s="705">
        <f>Model!CZ397</f>
        <v>0</v>
      </c>
      <c r="AW12" s="704">
        <f>Model!DA397</f>
        <v>0</v>
      </c>
      <c r="AX12" s="704">
        <f>Model!DB397</f>
        <v>0</v>
      </c>
      <c r="AY12" s="704">
        <f>Model!DC397</f>
        <v>0</v>
      </c>
      <c r="AZ12" s="704">
        <f>Model!DD397</f>
        <v>0</v>
      </c>
      <c r="BA12" s="704">
        <f>Model!DE397</f>
        <v>0</v>
      </c>
      <c r="BB12" s="704">
        <f>Model!DF397</f>
        <v>0</v>
      </c>
      <c r="BC12" s="704">
        <f>Model!DG397</f>
        <v>0</v>
      </c>
      <c r="BD12" s="704">
        <f>Model!DH397</f>
        <v>0</v>
      </c>
      <c r="BE12" s="704">
        <f>Model!DI397</f>
        <v>0</v>
      </c>
    </row>
    <row r="13" spans="2:57" ht="15.95" customHeight="1">
      <c r="B13" s="702" t="s">
        <v>2634</v>
      </c>
      <c r="C13" s="704">
        <f>Model!AH398</f>
        <v>0</v>
      </c>
      <c r="D13" s="704">
        <f>Model!AI398</f>
        <v>0</v>
      </c>
      <c r="E13" s="704">
        <f>Model!AJ398</f>
        <v>0</v>
      </c>
      <c r="F13" s="704">
        <f>Model!AK398</f>
        <v>0</v>
      </c>
      <c r="G13" s="704">
        <f>Model!AL398</f>
        <v>0</v>
      </c>
      <c r="H13" s="704">
        <f>Model!AM398</f>
        <v>0</v>
      </c>
      <c r="I13" s="704">
        <f>Model!AN398</f>
        <v>0</v>
      </c>
      <c r="J13" s="704">
        <f>Model!AO398</f>
        <v>0</v>
      </c>
      <c r="K13" s="704">
        <f>Model!AP398</f>
        <v>0</v>
      </c>
      <c r="L13" s="704">
        <f>Model!AQ398</f>
        <v>0</v>
      </c>
      <c r="M13" s="704">
        <f>Model!AR398</f>
        <v>0</v>
      </c>
      <c r="N13" s="704">
        <f>Model!AS398</f>
        <v>0</v>
      </c>
      <c r="O13" s="704">
        <f>Model!AT398</f>
        <v>0</v>
      </c>
      <c r="P13" s="704">
        <f>Model!AU398</f>
        <v>0</v>
      </c>
      <c r="Q13" s="704">
        <f>Model!AV398</f>
        <v>0</v>
      </c>
      <c r="R13" s="704">
        <f>Model!AW398</f>
        <v>0</v>
      </c>
      <c r="S13" s="704">
        <f>Model!AX398</f>
        <v>0</v>
      </c>
      <c r="T13" s="805">
        <f>Model!AY398</f>
        <v>0</v>
      </c>
      <c r="U13" s="705">
        <f>Model!AZ398</f>
        <v>0</v>
      </c>
      <c r="V13" s="704">
        <f>Model!BA398</f>
        <v>0</v>
      </c>
      <c r="W13" s="704">
        <f>Model!BB398</f>
        <v>0</v>
      </c>
      <c r="X13" s="704">
        <f>Model!BC398</f>
        <v>0</v>
      </c>
      <c r="Y13" s="704">
        <f>Model!BD398</f>
        <v>0</v>
      </c>
      <c r="Z13" s="704">
        <f>Model!BE398</f>
        <v>0</v>
      </c>
      <c r="AA13" s="704">
        <f>Model!BF398</f>
        <v>0</v>
      </c>
      <c r="AB13" s="704">
        <f>Model!BG398</f>
        <v>0</v>
      </c>
      <c r="AC13" s="704">
        <f>Model!BH398</f>
        <v>0</v>
      </c>
      <c r="AD13" s="704">
        <f>Model!BI398</f>
        <v>0</v>
      </c>
      <c r="AE13" s="704">
        <f>Model!BJ398</f>
        <v>0</v>
      </c>
      <c r="AF13" s="704">
        <f>Model!BK398</f>
        <v>0</v>
      </c>
      <c r="AG13" s="704">
        <f>Model!BL398</f>
        <v>0</v>
      </c>
      <c r="AH13" s="704">
        <f>Model!BM398</f>
        <v>0</v>
      </c>
      <c r="AI13" s="704">
        <f>Model!BN398</f>
        <v>0</v>
      </c>
      <c r="AJ13" s="704">
        <f>Model!BO398</f>
        <v>0</v>
      </c>
      <c r="AK13" s="704">
        <f>Model!BP398</f>
        <v>0</v>
      </c>
      <c r="AL13" s="704">
        <f>Model!BQ398</f>
        <v>0</v>
      </c>
      <c r="AN13" s="704">
        <f>Model!CR398</f>
        <v>0</v>
      </c>
      <c r="AO13" s="704">
        <f>Model!CS398</f>
        <v>0</v>
      </c>
      <c r="AP13" s="704">
        <f>Model!CT398</f>
        <v>0</v>
      </c>
      <c r="AQ13" s="704">
        <f>Model!CU398</f>
        <v>0</v>
      </c>
      <c r="AR13" s="704">
        <f>Model!CV398</f>
        <v>0</v>
      </c>
      <c r="AS13" s="704">
        <f>Model!CW398</f>
        <v>0</v>
      </c>
      <c r="AT13" s="704">
        <f>Model!CX398</f>
        <v>0</v>
      </c>
      <c r="AU13" s="704">
        <f>Model!CY398</f>
        <v>0</v>
      </c>
      <c r="AV13" s="705">
        <f>Model!CZ398</f>
        <v>0</v>
      </c>
      <c r="AW13" s="704">
        <f>Model!DA398</f>
        <v>0</v>
      </c>
      <c r="AX13" s="704">
        <f>Model!DB398</f>
        <v>0</v>
      </c>
      <c r="AY13" s="704">
        <f>Model!DC398</f>
        <v>0</v>
      </c>
      <c r="AZ13" s="704">
        <f>Model!DD398</f>
        <v>0</v>
      </c>
      <c r="BA13" s="704">
        <f>Model!DE398</f>
        <v>0</v>
      </c>
      <c r="BB13" s="704">
        <f>Model!DF398</f>
        <v>0</v>
      </c>
      <c r="BC13" s="704">
        <f>Model!DG398</f>
        <v>0</v>
      </c>
      <c r="BD13" s="704">
        <f>Model!DH398</f>
        <v>0</v>
      </c>
      <c r="BE13" s="704">
        <f>Model!DI398</f>
        <v>0</v>
      </c>
    </row>
    <row r="14" spans="2:57" ht="15.95" customHeight="1">
      <c r="B14" s="702" t="s">
        <v>655</v>
      </c>
      <c r="C14" s="704">
        <f>Model!AH405</f>
        <v>0</v>
      </c>
      <c r="D14" s="704">
        <f>Model!AI405</f>
        <v>0</v>
      </c>
      <c r="E14" s="704">
        <f>Model!AJ405</f>
        <v>0</v>
      </c>
      <c r="F14" s="704">
        <f>Model!AK405</f>
        <v>0</v>
      </c>
      <c r="G14" s="704">
        <f>Model!AL405</f>
        <v>0</v>
      </c>
      <c r="H14" s="704">
        <f>Model!AM405</f>
        <v>0</v>
      </c>
      <c r="I14" s="704">
        <f>Model!AN405</f>
        <v>0</v>
      </c>
      <c r="J14" s="704">
        <f>Model!AO405</f>
        <v>0</v>
      </c>
      <c r="K14" s="704">
        <f>Model!AP405</f>
        <v>0</v>
      </c>
      <c r="L14" s="704">
        <f>Model!AQ405</f>
        <v>0</v>
      </c>
      <c r="M14" s="704">
        <f>Model!AR405</f>
        <v>0</v>
      </c>
      <c r="N14" s="704">
        <f>Model!AS405</f>
        <v>0</v>
      </c>
      <c r="O14" s="704">
        <f>Model!AT405</f>
        <v>1.0000000000000002</v>
      </c>
      <c r="P14" s="704">
        <f>Model!AU405</f>
        <v>1.5000000000000002</v>
      </c>
      <c r="Q14" s="704">
        <f>Model!AV405</f>
        <v>2.1999999999999997</v>
      </c>
      <c r="R14" s="704">
        <f>Model!AW405</f>
        <v>2.3000000000000003</v>
      </c>
      <c r="S14" s="704">
        <f>Model!AX405</f>
        <v>3.5</v>
      </c>
      <c r="T14" s="805">
        <f>Model!AY405</f>
        <v>2.9000000000000004</v>
      </c>
      <c r="U14" s="705">
        <f>Model!AZ405</f>
        <v>4.0999999999999996</v>
      </c>
      <c r="V14" s="704">
        <f>Model!BA405</f>
        <v>4.2229999999999999</v>
      </c>
      <c r="W14" s="704">
        <f>Model!BB405</f>
        <v>4.3496899999999998</v>
      </c>
      <c r="X14" s="704">
        <f>Model!BC405</f>
        <v>4.4801807</v>
      </c>
      <c r="Y14" s="704">
        <f>Model!BD405</f>
        <v>4.6145861210000003</v>
      </c>
      <c r="Z14" s="704">
        <f>Model!BE405</f>
        <v>4.7530237046300003</v>
      </c>
      <c r="AA14" s="704">
        <f>Model!BF405</f>
        <v>4.8956144157689003</v>
      </c>
      <c r="AB14" s="704">
        <f>Model!BG405</f>
        <v>5.0424828482419679</v>
      </c>
      <c r="AC14" s="704">
        <f>Model!BH405</f>
        <v>5.1937573336892271</v>
      </c>
      <c r="AD14" s="704">
        <f>Model!BI405</f>
        <v>5.349570053699904</v>
      </c>
      <c r="AE14" s="704">
        <f>Model!BJ405</f>
        <v>5.5100571553109017</v>
      </c>
      <c r="AF14" s="704">
        <f>Model!BK405</f>
        <v>5.6753588699702293</v>
      </c>
      <c r="AG14" s="704">
        <f>Model!BL405</f>
        <v>5.845619636069336</v>
      </c>
      <c r="AH14" s="704">
        <f>Model!BM405</f>
        <v>6.0209882251514166</v>
      </c>
      <c r="AI14" s="704">
        <f>Model!BN405</f>
        <v>6.2016178719059596</v>
      </c>
      <c r="AJ14" s="704">
        <f>Model!BO405</f>
        <v>6.3876664080631382</v>
      </c>
      <c r="AK14" s="704">
        <f>Model!BP405</f>
        <v>6.5792964003050329</v>
      </c>
      <c r="AL14" s="704">
        <f>Model!BQ405</f>
        <v>6.7766752923141844</v>
      </c>
      <c r="AN14" s="704">
        <f>Model!CR405</f>
        <v>0</v>
      </c>
      <c r="AO14" s="704">
        <f>Model!CS405</f>
        <v>0</v>
      </c>
      <c r="AP14" s="704">
        <f>Model!CT405</f>
        <v>0</v>
      </c>
      <c r="AQ14" s="704">
        <f>Model!CU405</f>
        <v>0</v>
      </c>
      <c r="AR14" s="704">
        <f>Model!CV405</f>
        <v>0</v>
      </c>
      <c r="AS14" s="704">
        <f>Model!CW405</f>
        <v>0</v>
      </c>
      <c r="AT14" s="704">
        <f>Model!CX405</f>
        <v>2.5000000000000004</v>
      </c>
      <c r="AU14" s="704">
        <f>Model!CY405</f>
        <v>4.5</v>
      </c>
      <c r="AV14" s="705">
        <f>Model!CZ405</f>
        <v>6.4</v>
      </c>
      <c r="AW14" s="704">
        <f>Model!DA405</f>
        <v>8.3230000000000004</v>
      </c>
      <c r="AX14" s="704">
        <f>Model!DB405</f>
        <v>8.8298707000000007</v>
      </c>
      <c r="AY14" s="704">
        <f>Model!DC405</f>
        <v>9.3676098256300016</v>
      </c>
      <c r="AZ14" s="704">
        <f>Model!DD405</f>
        <v>9.9380972640108673</v>
      </c>
      <c r="BA14" s="704">
        <f>Model!DE405</f>
        <v>10.54332738738913</v>
      </c>
      <c r="BB14" s="704">
        <f>Model!DF405</f>
        <v>11.185416025281132</v>
      </c>
      <c r="BC14" s="704">
        <f>Model!DG405</f>
        <v>11.866607861220754</v>
      </c>
      <c r="BD14" s="704">
        <f>Model!DH405</f>
        <v>12.589284279969098</v>
      </c>
      <c r="BE14" s="704">
        <f>Model!DI405</f>
        <v>13.355971692619217</v>
      </c>
    </row>
    <row r="15" spans="2:57" ht="15.95" customHeight="1">
      <c r="B15" s="700" t="s">
        <v>2635</v>
      </c>
      <c r="C15" s="706">
        <f>Model!AH406</f>
        <v>0</v>
      </c>
      <c r="D15" s="706">
        <f>Model!AI406</f>
        <v>0</v>
      </c>
      <c r="E15" s="706">
        <f>Model!AJ406</f>
        <v>0</v>
      </c>
      <c r="F15" s="706">
        <f>Model!AK406</f>
        <v>0</v>
      </c>
      <c r="G15" s="706">
        <f>Model!AL406</f>
        <v>0</v>
      </c>
      <c r="H15" s="706">
        <f>Model!AM406</f>
        <v>0</v>
      </c>
      <c r="I15" s="706">
        <f>Model!AN406</f>
        <v>0</v>
      </c>
      <c r="J15" s="706">
        <f>Model!AO406</f>
        <v>0</v>
      </c>
      <c r="K15" s="706">
        <f>Model!AP406</f>
        <v>0.40000000000000036</v>
      </c>
      <c r="L15" s="706">
        <f>Model!AQ406</f>
        <v>0.6</v>
      </c>
      <c r="M15" s="706">
        <f>Model!AR406</f>
        <v>0.4</v>
      </c>
      <c r="N15" s="706">
        <f>Model!AS406</f>
        <v>2.8</v>
      </c>
      <c r="O15" s="706">
        <f>Model!AT406</f>
        <v>2.2000000000000002</v>
      </c>
      <c r="P15" s="706">
        <f>Model!AU406</f>
        <v>3.2</v>
      </c>
      <c r="Q15" s="706">
        <f>Model!AV406</f>
        <v>4.8</v>
      </c>
      <c r="R15" s="706">
        <f>Model!AW406</f>
        <v>5.9</v>
      </c>
      <c r="S15" s="706">
        <f>Model!AX406</f>
        <v>7.9</v>
      </c>
      <c r="T15" s="806">
        <f>Model!AY406</f>
        <v>7.7</v>
      </c>
      <c r="U15" s="707">
        <f>Model!AZ406</f>
        <v>10.199999999999999</v>
      </c>
      <c r="V15" s="706">
        <f>Model!BA406</f>
        <v>10.8325036773367</v>
      </c>
      <c r="W15" s="706">
        <f>Model!BB406</f>
        <v>11.710696218188383</v>
      </c>
      <c r="X15" s="706">
        <f>Model!BC406</f>
        <v>12.390245868703353</v>
      </c>
      <c r="Y15" s="706">
        <f>Model!BD406</f>
        <v>13.355998128505872</v>
      </c>
      <c r="Z15" s="706">
        <f>Model!BE406</f>
        <v>14.167118264663891</v>
      </c>
      <c r="AA15" s="706">
        <f>Model!BF406</f>
        <v>15.260039237665067</v>
      </c>
      <c r="AB15" s="706">
        <f>Model!BG406</f>
        <v>16.095876358543009</v>
      </c>
      <c r="AC15" s="706">
        <f>Model!BH406</f>
        <v>17.318841833766605</v>
      </c>
      <c r="AD15" s="706">
        <f>Model!BI406</f>
        <v>18.172488944251963</v>
      </c>
      <c r="AE15" s="706">
        <f>Model!BJ406</f>
        <v>19.457898066937254</v>
      </c>
      <c r="AF15" s="706">
        <f>Model!BK406</f>
        <v>20.301831993768669</v>
      </c>
      <c r="AG15" s="706">
        <f>Model!BL406</f>
        <v>20.809086304405817</v>
      </c>
      <c r="AH15" s="706">
        <f>Model!BM406</f>
        <v>20.899216951235374</v>
      </c>
      <c r="AI15" s="706">
        <f>Model!BN406</f>
        <v>21.324775462048557</v>
      </c>
      <c r="AJ15" s="706">
        <f>Model!BO406</f>
        <v>21.27409203786506</v>
      </c>
      <c r="AK15" s="706">
        <f>Model!BP406</f>
        <v>21.719418263788853</v>
      </c>
      <c r="AL15" s="706">
        <f>Model!BQ406</f>
        <v>21.680084535004319</v>
      </c>
      <c r="AN15" s="706">
        <f>Model!CR406</f>
        <v>0</v>
      </c>
      <c r="AO15" s="706">
        <f>Model!CS406</f>
        <v>0</v>
      </c>
      <c r="AP15" s="706">
        <f>Model!CT406</f>
        <v>0.498</v>
      </c>
      <c r="AQ15" s="706">
        <f>Model!CU406</f>
        <v>0.41599999999999998</v>
      </c>
      <c r="AR15" s="706">
        <f>Model!CV406</f>
        <v>1.0000000000000004</v>
      </c>
      <c r="AS15" s="706">
        <f>Model!CW406</f>
        <v>3.1999999999999997</v>
      </c>
      <c r="AT15" s="706">
        <f>Model!CX406</f>
        <v>5.4</v>
      </c>
      <c r="AU15" s="706">
        <f>Model!CY406</f>
        <v>10.7</v>
      </c>
      <c r="AV15" s="707">
        <f>Model!CZ406</f>
        <v>15.600000000000001</v>
      </c>
      <c r="AW15" s="706">
        <f>Model!DA406</f>
        <v>21.032503677336699</v>
      </c>
      <c r="AX15" s="706">
        <f>Model!DB406</f>
        <v>24.100942086891735</v>
      </c>
      <c r="AY15" s="706">
        <f>Model!DC406</f>
        <v>27.523116393169765</v>
      </c>
      <c r="AZ15" s="706">
        <f>Model!DD406</f>
        <v>31.355915596208078</v>
      </c>
      <c r="BA15" s="706">
        <f>Model!DE406</f>
        <v>35.491330778018565</v>
      </c>
      <c r="BB15" s="706">
        <f>Model!DF406</f>
        <v>39.75973006070592</v>
      </c>
      <c r="BC15" s="706">
        <f>Model!DG406</f>
        <v>41.708303255641191</v>
      </c>
      <c r="BD15" s="706">
        <f>Model!DH406</f>
        <v>42.598867499913617</v>
      </c>
      <c r="BE15" s="706">
        <f>Model!DI406</f>
        <v>43.399502798793172</v>
      </c>
    </row>
    <row r="16" spans="2:57" ht="15.95" customHeight="1">
      <c r="B16" s="702" t="s">
        <v>2636</v>
      </c>
      <c r="C16" s="704">
        <f>Model!AH407</f>
        <v>0</v>
      </c>
      <c r="D16" s="704">
        <f>Model!AI407</f>
        <v>0</v>
      </c>
      <c r="E16" s="704">
        <f>Model!AJ407</f>
        <v>0</v>
      </c>
      <c r="F16" s="704">
        <f>Model!AK407</f>
        <v>0</v>
      </c>
      <c r="G16" s="704">
        <f>Model!AL407</f>
        <v>0</v>
      </c>
      <c r="H16" s="704">
        <f>Model!AM407</f>
        <v>0</v>
      </c>
      <c r="I16" s="704">
        <f>Model!AN407</f>
        <v>0</v>
      </c>
      <c r="J16" s="704">
        <f>Model!AO407</f>
        <v>0</v>
      </c>
      <c r="K16" s="704">
        <f>Model!AP407</f>
        <v>4.3</v>
      </c>
      <c r="L16" s="704">
        <f>Model!AQ407</f>
        <v>0</v>
      </c>
      <c r="M16" s="704">
        <f>Model!AR407</f>
        <v>0</v>
      </c>
      <c r="N16" s="704">
        <f>Model!AS407</f>
        <v>0</v>
      </c>
      <c r="O16" s="704">
        <f>Model!AT407</f>
        <v>0</v>
      </c>
      <c r="P16" s="704">
        <f>Model!AU407</f>
        <v>0</v>
      </c>
      <c r="Q16" s="704">
        <f>Model!AV407</f>
        <v>0</v>
      </c>
      <c r="R16" s="704">
        <f>Model!AW407</f>
        <v>0</v>
      </c>
      <c r="S16" s="704">
        <f>Model!AX407</f>
        <v>0</v>
      </c>
      <c r="T16" s="805">
        <f>Model!AY407</f>
        <v>0</v>
      </c>
      <c r="U16" s="705">
        <f>Model!AZ407</f>
        <v>0</v>
      </c>
      <c r="V16" s="704">
        <f>Model!BA407</f>
        <v>0</v>
      </c>
      <c r="W16" s="704">
        <f>Model!BB407</f>
        <v>0</v>
      </c>
      <c r="X16" s="704">
        <f>Model!BC407</f>
        <v>0</v>
      </c>
      <c r="Y16" s="704">
        <f>Model!BD407</f>
        <v>0</v>
      </c>
      <c r="Z16" s="704">
        <f>Model!BE407</f>
        <v>0</v>
      </c>
      <c r="AA16" s="704">
        <f>Model!BF407</f>
        <v>0</v>
      </c>
      <c r="AB16" s="704">
        <f>Model!BG407</f>
        <v>0</v>
      </c>
      <c r="AC16" s="704">
        <f>Model!BH407</f>
        <v>0</v>
      </c>
      <c r="AD16" s="704">
        <f>Model!BI407</f>
        <v>0</v>
      </c>
      <c r="AE16" s="704">
        <f>Model!BJ407</f>
        <v>0</v>
      </c>
      <c r="AF16" s="704">
        <f>Model!BK407</f>
        <v>0</v>
      </c>
      <c r="AG16" s="704">
        <f>Model!BL407</f>
        <v>0</v>
      </c>
      <c r="AH16" s="704">
        <f>Model!BM407</f>
        <v>0</v>
      </c>
      <c r="AI16" s="704">
        <f>Model!BN407</f>
        <v>0</v>
      </c>
      <c r="AJ16" s="704">
        <f>Model!BO407</f>
        <v>0</v>
      </c>
      <c r="AK16" s="704">
        <f>Model!BP407</f>
        <v>0</v>
      </c>
      <c r="AL16" s="704">
        <f>Model!BQ407</f>
        <v>0</v>
      </c>
      <c r="AN16" s="704">
        <f>Model!CR407</f>
        <v>0</v>
      </c>
      <c r="AO16" s="704">
        <f>Model!CS407</f>
        <v>0</v>
      </c>
      <c r="AP16" s="704">
        <f>Model!CT407</f>
        <v>0</v>
      </c>
      <c r="AQ16" s="704">
        <f>Model!CU407</f>
        <v>0</v>
      </c>
      <c r="AR16" s="704">
        <f>Model!CV407</f>
        <v>4.3</v>
      </c>
      <c r="AS16" s="704">
        <f>Model!CW407</f>
        <v>0</v>
      </c>
      <c r="AT16" s="704">
        <f>Model!CX407</f>
        <v>0</v>
      </c>
      <c r="AU16" s="704">
        <f>Model!CY407</f>
        <v>0</v>
      </c>
      <c r="AV16" s="705">
        <f>Model!CZ407</f>
        <v>0</v>
      </c>
      <c r="AW16" s="704">
        <f>Model!DA407</f>
        <v>0</v>
      </c>
      <c r="AX16" s="704">
        <f>Model!DB407</f>
        <v>0</v>
      </c>
      <c r="AY16" s="704">
        <f>Model!DC407</f>
        <v>0</v>
      </c>
      <c r="AZ16" s="704">
        <f>Model!DD407</f>
        <v>0</v>
      </c>
      <c r="BA16" s="704">
        <f>Model!DE407</f>
        <v>0</v>
      </c>
      <c r="BB16" s="704">
        <f>Model!DF407</f>
        <v>0</v>
      </c>
      <c r="BC16" s="704">
        <f>Model!DG407</f>
        <v>0</v>
      </c>
      <c r="BD16" s="704">
        <f>Model!DH407</f>
        <v>0</v>
      </c>
      <c r="BE16" s="704">
        <f>Model!DI407</f>
        <v>0</v>
      </c>
    </row>
    <row r="17" spans="2:57" ht="15.95" customHeight="1">
      <c r="B17" s="700" t="s">
        <v>2637</v>
      </c>
      <c r="C17" s="706">
        <f>Model!AH408</f>
        <v>0</v>
      </c>
      <c r="D17" s="706">
        <f>Model!AI408</f>
        <v>0</v>
      </c>
      <c r="E17" s="706">
        <f>Model!AJ408</f>
        <v>0</v>
      </c>
      <c r="F17" s="706">
        <f>Model!AK408</f>
        <v>0</v>
      </c>
      <c r="G17" s="706">
        <f>Model!AL408</f>
        <v>0</v>
      </c>
      <c r="H17" s="706">
        <f>Model!AM408</f>
        <v>0</v>
      </c>
      <c r="I17" s="706">
        <f>Model!AN408</f>
        <v>0</v>
      </c>
      <c r="J17" s="706">
        <f>Model!AO408</f>
        <v>0</v>
      </c>
      <c r="K17" s="706">
        <f>Model!AP408</f>
        <v>4.7</v>
      </c>
      <c r="L17" s="706">
        <f>Model!AQ408</f>
        <v>0.6</v>
      </c>
      <c r="M17" s="706">
        <f>Model!AR408</f>
        <v>0.4</v>
      </c>
      <c r="N17" s="706">
        <f>Model!AS408</f>
        <v>2.8</v>
      </c>
      <c r="O17" s="706">
        <f>Model!AT408</f>
        <v>2.2000000000000002</v>
      </c>
      <c r="P17" s="706">
        <f>Model!AU408</f>
        <v>3.2</v>
      </c>
      <c r="Q17" s="706">
        <f>Model!AV408</f>
        <v>4.8</v>
      </c>
      <c r="R17" s="706">
        <f>Model!AW408</f>
        <v>5.9</v>
      </c>
      <c r="S17" s="706">
        <f>Model!AX408</f>
        <v>7.9</v>
      </c>
      <c r="T17" s="806">
        <f>Model!AY408</f>
        <v>7.7</v>
      </c>
      <c r="U17" s="707">
        <f>Model!AZ408</f>
        <v>10.199999999999999</v>
      </c>
      <c r="V17" s="706">
        <f>Model!BA408</f>
        <v>10.8325036773367</v>
      </c>
      <c r="W17" s="706">
        <f>Model!BB408</f>
        <v>11.710696218188383</v>
      </c>
      <c r="X17" s="706">
        <f>Model!BC408</f>
        <v>12.390245868703353</v>
      </c>
      <c r="Y17" s="706">
        <f>Model!BD408</f>
        <v>13.355998128505872</v>
      </c>
      <c r="Z17" s="706">
        <f>Model!BE408</f>
        <v>14.167118264663891</v>
      </c>
      <c r="AA17" s="706">
        <f>Model!BF408</f>
        <v>15.260039237665067</v>
      </c>
      <c r="AB17" s="706">
        <f>Model!BG408</f>
        <v>16.095876358543009</v>
      </c>
      <c r="AC17" s="706">
        <f>Model!BH408</f>
        <v>17.318841833766605</v>
      </c>
      <c r="AD17" s="706">
        <f>Model!BI408</f>
        <v>18.172488944251963</v>
      </c>
      <c r="AE17" s="706">
        <f>Model!BJ408</f>
        <v>19.457898066937254</v>
      </c>
      <c r="AF17" s="706">
        <f>Model!BK408</f>
        <v>20.301831993768669</v>
      </c>
      <c r="AG17" s="706">
        <f>Model!BL408</f>
        <v>20.809086304405817</v>
      </c>
      <c r="AH17" s="706">
        <f>Model!BM408</f>
        <v>20.899216951235374</v>
      </c>
      <c r="AI17" s="706">
        <f>Model!BN408</f>
        <v>21.324775462048557</v>
      </c>
      <c r="AJ17" s="706">
        <f>Model!BO408</f>
        <v>21.27409203786506</v>
      </c>
      <c r="AK17" s="706">
        <f>Model!BP408</f>
        <v>21.719418263788853</v>
      </c>
      <c r="AL17" s="706">
        <f>Model!BQ408</f>
        <v>21.680084535004319</v>
      </c>
      <c r="AN17" s="706">
        <f>Model!CR408</f>
        <v>0</v>
      </c>
      <c r="AO17" s="706">
        <f>Model!CS408</f>
        <v>0</v>
      </c>
      <c r="AP17" s="706">
        <f>Model!CT408</f>
        <v>0.498</v>
      </c>
      <c r="AQ17" s="706">
        <f>Model!CU408</f>
        <v>0.41599999999999998</v>
      </c>
      <c r="AR17" s="706">
        <f>Model!CV408</f>
        <v>5.3</v>
      </c>
      <c r="AS17" s="706">
        <f>Model!CW408</f>
        <v>3.1999999999999997</v>
      </c>
      <c r="AT17" s="706">
        <f>Model!CX408</f>
        <v>5.4</v>
      </c>
      <c r="AU17" s="706">
        <f>Model!CY408</f>
        <v>10.7</v>
      </c>
      <c r="AV17" s="707">
        <f>Model!CZ408</f>
        <v>15.600000000000001</v>
      </c>
      <c r="AW17" s="706">
        <f>Model!DA408</f>
        <v>21.032503677336699</v>
      </c>
      <c r="AX17" s="706">
        <f>Model!DB408</f>
        <v>24.100942086891735</v>
      </c>
      <c r="AY17" s="706">
        <f>Model!DC408</f>
        <v>27.523116393169765</v>
      </c>
      <c r="AZ17" s="706">
        <f>Model!DD408</f>
        <v>31.355915596208078</v>
      </c>
      <c r="BA17" s="706">
        <f>Model!DE408</f>
        <v>35.491330778018565</v>
      </c>
      <c r="BB17" s="706">
        <f>Model!DF408</f>
        <v>39.75973006070592</v>
      </c>
      <c r="BC17" s="706">
        <f>Model!DG408</f>
        <v>41.708303255641191</v>
      </c>
      <c r="BD17" s="706">
        <f>Model!DH408</f>
        <v>42.598867499913617</v>
      </c>
      <c r="BE17" s="706">
        <f>Model!DI408</f>
        <v>43.399502798793172</v>
      </c>
    </row>
    <row r="18" spans="2:57" ht="15.95" customHeight="1"/>
    <row r="19" spans="2:57" ht="15.95" customHeight="1">
      <c r="B19" s="2" t="s">
        <v>636</v>
      </c>
      <c r="C19" s="52">
        <f>Model!AH426</f>
        <v>0</v>
      </c>
      <c r="D19" s="52">
        <f>Model!AI426</f>
        <v>0</v>
      </c>
      <c r="E19" s="52">
        <f>Model!AJ426</f>
        <v>0</v>
      </c>
      <c r="F19" s="52">
        <f>Model!AK426</f>
        <v>0</v>
      </c>
      <c r="G19" s="52">
        <f>Model!AL426</f>
        <v>0</v>
      </c>
      <c r="H19" s="52">
        <f>Model!AM426</f>
        <v>0</v>
      </c>
      <c r="I19" s="52">
        <f>Model!AN426</f>
        <v>0</v>
      </c>
      <c r="J19" s="52">
        <f>Model!AO426</f>
        <v>0</v>
      </c>
      <c r="K19" s="52">
        <f>Model!AP426</f>
        <v>39.700000000000003</v>
      </c>
      <c r="L19" s="52">
        <f>Model!AQ426</f>
        <v>50.1</v>
      </c>
      <c r="M19" s="52">
        <f>Model!AR426</f>
        <v>73.900000000000006</v>
      </c>
      <c r="N19" s="52">
        <f>Model!AS426</f>
        <v>99.1</v>
      </c>
      <c r="O19" s="52">
        <f>Model!AT426</f>
        <v>165.2</v>
      </c>
      <c r="P19" s="52">
        <f>Model!AU426</f>
        <v>187.79999999999998</v>
      </c>
      <c r="Q19" s="52">
        <f>Model!AV426</f>
        <v>200</v>
      </c>
      <c r="R19" s="52">
        <f>Model!AW426</f>
        <v>196.70000000000002</v>
      </c>
      <c r="S19" s="52">
        <f>Model!AX426</f>
        <v>200.9</v>
      </c>
      <c r="T19" s="808">
        <f>Model!AY426</f>
        <v>222.00000000000003</v>
      </c>
      <c r="U19" s="53">
        <f>Model!AZ426</f>
        <v>245.69999999999996</v>
      </c>
      <c r="V19" s="52">
        <f>Model!BA426</f>
        <v>271.9883845038845</v>
      </c>
      <c r="W19" s="52">
        <f>Model!BB426</f>
        <v>297.39580961567128</v>
      </c>
      <c r="X19" s="52">
        <f>Model!BC426</f>
        <v>315.29171305078967</v>
      </c>
      <c r="Y19" s="52">
        <f>Model!BD426</f>
        <v>341.33296340489534</v>
      </c>
      <c r="Z19" s="52">
        <f>Model!BE426</f>
        <v>362.47234887911196</v>
      </c>
      <c r="AA19" s="52">
        <f>Model!BF426</f>
        <v>387.53067469474604</v>
      </c>
      <c r="AB19" s="52">
        <f>Model!BG426</f>
        <v>405.98083010739225</v>
      </c>
      <c r="AC19" s="52">
        <f>Model!BH426</f>
        <v>431.08569493711838</v>
      </c>
      <c r="AD19" s="52">
        <f>Model!BI426</f>
        <v>447.18610860515741</v>
      </c>
      <c r="AE19" s="52">
        <f>Model!BJ426</f>
        <v>470.43777122464968</v>
      </c>
      <c r="AF19" s="52">
        <f>Model!BK426</f>
        <v>484.16454734600171</v>
      </c>
      <c r="AG19" s="52">
        <f>Model!BL426</f>
        <v>503.10375142600572</v>
      </c>
      <c r="AH19" s="52">
        <f>Model!BM426</f>
        <v>515.59956871876284</v>
      </c>
      <c r="AI19" s="52">
        <f>Model!BN426</f>
        <v>533.23632206051309</v>
      </c>
      <c r="AJ19" s="52">
        <f>Model!BO426</f>
        <v>541.11206753895294</v>
      </c>
      <c r="AK19" s="52">
        <f>Model!BP426</f>
        <v>560.984612589633</v>
      </c>
      <c r="AL19" s="52">
        <f>Model!BQ426</f>
        <v>569.25625422581936</v>
      </c>
      <c r="AN19" s="52">
        <f>Model!CR426</f>
        <v>0</v>
      </c>
      <c r="AO19" s="52">
        <f>Model!CS426</f>
        <v>0</v>
      </c>
      <c r="AP19" s="52">
        <f>Model!CT426</f>
        <v>1.3559999999999999</v>
      </c>
      <c r="AQ19" s="52">
        <f>Model!CU426</f>
        <v>28.256</v>
      </c>
      <c r="AR19" s="52">
        <f>Model!CV426</f>
        <v>89.8</v>
      </c>
      <c r="AS19" s="52">
        <f>Model!CW426</f>
        <v>173</v>
      </c>
      <c r="AT19" s="52">
        <f>Model!CX426</f>
        <v>353</v>
      </c>
      <c r="AU19" s="52">
        <f>Model!CY426</f>
        <v>396.7</v>
      </c>
      <c r="AV19" s="53">
        <f>Model!CZ426</f>
        <v>422.90000000000009</v>
      </c>
      <c r="AW19" s="52">
        <f>Model!DA426</f>
        <v>517.68838450388444</v>
      </c>
      <c r="AX19" s="52">
        <f>Model!DB426</f>
        <v>612.68752266646106</v>
      </c>
      <c r="AY19" s="52">
        <f>Model!DC426</f>
        <v>703.8053122840073</v>
      </c>
      <c r="AZ19" s="52">
        <f>Model!DD426</f>
        <v>793.51150480213835</v>
      </c>
      <c r="BA19" s="52">
        <f>Model!DE426</f>
        <v>878.27180354227573</v>
      </c>
      <c r="BB19" s="52">
        <f>Model!DF426</f>
        <v>954.60231857065139</v>
      </c>
      <c r="BC19" s="52">
        <f>Model!DG426</f>
        <v>1018.7033201447686</v>
      </c>
      <c r="BD19" s="52">
        <f>Model!DH426</f>
        <v>1074.3483895994661</v>
      </c>
      <c r="BE19" s="52">
        <f>Model!DI426</f>
        <v>1130.2408668154524</v>
      </c>
    </row>
    <row r="20" spans="2:57" ht="15.95" customHeight="1" outlineLevel="1">
      <c r="B20" s="708" t="s">
        <v>2631</v>
      </c>
      <c r="C20" s="709"/>
      <c r="D20" s="709"/>
      <c r="E20" s="709"/>
      <c r="F20" s="709"/>
      <c r="G20" s="709"/>
      <c r="H20" s="709"/>
      <c r="I20" s="709"/>
      <c r="J20" s="709"/>
      <c r="K20" s="709"/>
      <c r="L20" s="709"/>
      <c r="M20" s="709"/>
      <c r="N20" s="710">
        <f>N19/M19-1</f>
        <v>0.34100135317997271</v>
      </c>
      <c r="O20" s="710">
        <f t="shared" ref="O20:BA20" si="2">O19/N19-1</f>
        <v>0.66700302724520677</v>
      </c>
      <c r="P20" s="710">
        <f t="shared" si="2"/>
        <v>0.13680387409200967</v>
      </c>
      <c r="Q20" s="710">
        <f t="shared" si="2"/>
        <v>6.4962726304579332E-2</v>
      </c>
      <c r="R20" s="710">
        <f t="shared" si="2"/>
        <v>-1.6499999999999959E-2</v>
      </c>
      <c r="S20" s="710">
        <f t="shared" si="2"/>
        <v>2.1352313167259718E-2</v>
      </c>
      <c r="T20" s="807">
        <f t="shared" si="2"/>
        <v>0.10502737680438035</v>
      </c>
      <c r="U20" s="711">
        <f t="shared" si="2"/>
        <v>0.10675675675675644</v>
      </c>
      <c r="V20" s="710">
        <f t="shared" si="2"/>
        <v>0.10699383192464196</v>
      </c>
      <c r="W20" s="710">
        <f t="shared" si="2"/>
        <v>9.3413640285156863E-2</v>
      </c>
      <c r="X20" s="710">
        <f t="shared" si="2"/>
        <v>6.01753718663538E-2</v>
      </c>
      <c r="Y20" s="710">
        <f t="shared" si="2"/>
        <v>8.2594147819897712E-2</v>
      </c>
      <c r="Z20" s="710">
        <f t="shared" si="2"/>
        <v>6.1931860501678759E-2</v>
      </c>
      <c r="AA20" s="710">
        <f t="shared" si="2"/>
        <v>6.9131689336091373E-2</v>
      </c>
      <c r="AB20" s="710">
        <f t="shared" si="2"/>
        <v>4.7609535495942934E-2</v>
      </c>
      <c r="AC20" s="710">
        <f t="shared" si="2"/>
        <v>6.183756219003067E-2</v>
      </c>
      <c r="AD20" s="710">
        <f t="shared" si="2"/>
        <v>3.734852224773455E-2</v>
      </c>
      <c r="AE20" s="710">
        <f t="shared" si="2"/>
        <v>5.1995493983517882E-2</v>
      </c>
      <c r="AF20" s="710">
        <f t="shared" si="2"/>
        <v>2.9178728752196736E-2</v>
      </c>
      <c r="AG20" s="710">
        <f t="shared" si="2"/>
        <v>3.9117288086914392E-2</v>
      </c>
      <c r="AH20" s="710">
        <f t="shared" si="2"/>
        <v>2.4837456006516989E-2</v>
      </c>
      <c r="AI20" s="710">
        <f t="shared" si="2"/>
        <v>3.4206299639808924E-2</v>
      </c>
      <c r="AJ20" s="710">
        <f t="shared" si="2"/>
        <v>1.4769709325138658E-2</v>
      </c>
      <c r="AK20" s="710">
        <f t="shared" si="2"/>
        <v>3.6725377685740579E-2</v>
      </c>
      <c r="AL20" s="710">
        <f t="shared" si="2"/>
        <v>1.4744863674607034E-2</v>
      </c>
      <c r="AM20" s="710"/>
      <c r="AN20" s="710" t="e">
        <f t="shared" si="2"/>
        <v>#DIV/0!</v>
      </c>
      <c r="AO20" s="710" t="e">
        <f t="shared" si="2"/>
        <v>#DIV/0!</v>
      </c>
      <c r="AP20" s="710" t="e">
        <f t="shared" si="2"/>
        <v>#DIV/0!</v>
      </c>
      <c r="AQ20" s="710">
        <f t="shared" si="2"/>
        <v>19.837758112094399</v>
      </c>
      <c r="AR20" s="710">
        <f t="shared" si="2"/>
        <v>2.1780860702151754</v>
      </c>
      <c r="AS20" s="710">
        <f t="shared" si="2"/>
        <v>0.92650334075723828</v>
      </c>
      <c r="AT20" s="710">
        <f t="shared" si="2"/>
        <v>1.0404624277456649</v>
      </c>
      <c r="AU20" s="710">
        <f t="shared" si="2"/>
        <v>0.12379603399433425</v>
      </c>
      <c r="AV20" s="711">
        <f t="shared" si="2"/>
        <v>6.6044870178976867E-2</v>
      </c>
      <c r="AW20" s="710">
        <f t="shared" si="2"/>
        <v>0.22413900331966019</v>
      </c>
      <c r="AX20" s="710">
        <f t="shared" si="2"/>
        <v>0.18350641236352438</v>
      </c>
      <c r="AY20" s="710">
        <f t="shared" si="2"/>
        <v>0.14871820666592805</v>
      </c>
      <c r="AZ20" s="710">
        <f t="shared" si="2"/>
        <v>0.12745881702286987</v>
      </c>
      <c r="BA20" s="710">
        <f t="shared" si="2"/>
        <v>0.10681672316934132</v>
      </c>
      <c r="BB20" s="709"/>
      <c r="BC20" s="709"/>
      <c r="BD20" s="709"/>
      <c r="BE20" s="709"/>
    </row>
    <row r="21" spans="2:57" ht="15.95" customHeight="1">
      <c r="AW21" s="712"/>
    </row>
    <row r="22" spans="2:57" ht="15.95" customHeight="1">
      <c r="B22" s="702" t="s">
        <v>2638</v>
      </c>
      <c r="C22" s="704">
        <f>Model!AH432</f>
        <v>0</v>
      </c>
      <c r="D22" s="704">
        <f>Model!AI432</f>
        <v>0</v>
      </c>
      <c r="E22" s="704">
        <f>Model!AJ432</f>
        <v>0</v>
      </c>
      <c r="F22" s="704">
        <f>Model!AK432</f>
        <v>0</v>
      </c>
      <c r="G22" s="704">
        <f>Model!AL432</f>
        <v>0</v>
      </c>
      <c r="H22" s="704">
        <f>Model!AM432</f>
        <v>0</v>
      </c>
      <c r="I22" s="704">
        <f>Model!AN432</f>
        <v>0</v>
      </c>
      <c r="J22" s="704">
        <f>Model!AO432</f>
        <v>0</v>
      </c>
      <c r="K22" s="704">
        <f>-[3]JDO!C134</f>
        <v>-22.7</v>
      </c>
      <c r="L22" s="704">
        <f>-[3]JDO!D134</f>
        <v>-28.3</v>
      </c>
      <c r="M22" s="704">
        <f>-[3]JDO!E134</f>
        <v>-36.799999999999997</v>
      </c>
      <c r="N22" s="704">
        <f>-[3]JDO!F134</f>
        <v>-42.7</v>
      </c>
      <c r="O22" s="704">
        <f>-[3]JDO!G134</f>
        <v>-56.3</v>
      </c>
      <c r="P22" s="704">
        <f>-[3]JDO!H134</f>
        <v>-63</v>
      </c>
      <c r="Q22" s="704">
        <f>-[3]JDO!I134</f>
        <v>-64.8</v>
      </c>
      <c r="R22" s="704">
        <f>-[3]JDO!J134</f>
        <v>-64.400000000000006</v>
      </c>
      <c r="S22" s="704">
        <f>-[3]JDO!K134</f>
        <v>-71</v>
      </c>
      <c r="T22" s="805">
        <f>-[3]JDO!L134</f>
        <v>-61.8</v>
      </c>
      <c r="U22" s="705">
        <f>-[3]JDO!M134</f>
        <v>-71.8</v>
      </c>
      <c r="V22" s="704">
        <f>-[3]JDO!N134</f>
        <v>-74.414994260682263</v>
      </c>
      <c r="W22" s="704">
        <f>-[3]JDO!O134</f>
        <v>-79.84763078883735</v>
      </c>
      <c r="X22" s="704">
        <f>-[3]JDO!P134</f>
        <v>-82.420204117802626</v>
      </c>
      <c r="Y22" s="704">
        <f>-[3]JDO!Q134</f>
        <v>-87.324109060592647</v>
      </c>
      <c r="Z22" s="704">
        <f>-[3]JDO!R134</f>
        <v>-89.992995284146119</v>
      </c>
      <c r="AA22" s="704">
        <f>-[3]JDO!S134</f>
        <v>-95.212701637941933</v>
      </c>
      <c r="AB22" s="704">
        <f>-[3]JDO!T134</f>
        <v>-97.456626821560619</v>
      </c>
      <c r="AC22" s="704">
        <f>-[3]JDO!U134</f>
        <v>-103.26744849186105</v>
      </c>
      <c r="AD22" s="704">
        <f>-[3]JDO!V134</f>
        <v>-105.57706861741732</v>
      </c>
      <c r="AE22" s="704"/>
      <c r="AN22" s="704"/>
      <c r="AO22" s="704"/>
      <c r="AP22" s="704"/>
      <c r="AQ22" s="704"/>
      <c r="AR22" s="704"/>
      <c r="AS22" s="704">
        <f>-[3]JDO!AH134</f>
        <v>-79.5</v>
      </c>
      <c r="AT22" s="704">
        <f>-[3]JDO!AI134</f>
        <v>-119.3</v>
      </c>
      <c r="AU22" s="704">
        <f>-[3]JDO!AJ134</f>
        <v>-129.19999999999999</v>
      </c>
      <c r="AV22" s="705">
        <f>-[3]JDO!AK134</f>
        <v>-132.80000000000001</v>
      </c>
      <c r="AW22" s="704">
        <f>-[3]JDO!AL134</f>
        <v>-146.21499426068226</v>
      </c>
      <c r="AX22" s="704">
        <f>-[3]JDO!AM134</f>
        <v>-162.26783490663996</v>
      </c>
      <c r="AY22" s="704">
        <f>-[3]JDO!AN134</f>
        <v>-177.31710434473877</v>
      </c>
      <c r="AZ22" s="704">
        <f>-[3]JDO!AO134</f>
        <v>-192.66932845950254</v>
      </c>
      <c r="BA22" s="704">
        <f>-[3]JDO!AP134</f>
        <v>-208.84451710927837</v>
      </c>
      <c r="BB22" s="704"/>
      <c r="BC22" s="704"/>
      <c r="BD22" s="704"/>
      <c r="BE22" s="704"/>
    </row>
    <row r="23" spans="2:57" ht="15.95" customHeight="1">
      <c r="B23" s="702" t="s">
        <v>2639</v>
      </c>
      <c r="K23" s="704">
        <f>-[3]JDO!C135</f>
        <v>-4.4000000000000004</v>
      </c>
      <c r="L23" s="702">
        <f>-[3]JDO!D135</f>
        <v>-8.3000000000000007</v>
      </c>
      <c r="M23" s="704">
        <f>-[3]JDO!E135</f>
        <v>-8.5</v>
      </c>
      <c r="N23" s="704">
        <f>-[3]JDO!F135</f>
        <v>-9.9</v>
      </c>
      <c r="O23" s="704">
        <f>-[3]JDO!G135</f>
        <v>-10.4</v>
      </c>
      <c r="P23" s="704">
        <f>-[3]JDO!H135</f>
        <v>-14.2</v>
      </c>
      <c r="Q23" s="704">
        <f>-[3]JDO!I135</f>
        <v>-14.1</v>
      </c>
      <c r="R23" s="704">
        <f>-[3]JDO!J135</f>
        <v>-14.4</v>
      </c>
      <c r="S23" s="704">
        <f>-[3]JDO!K135</f>
        <v>-17.399999999999999</v>
      </c>
      <c r="T23" s="805">
        <f>-[3]JDO!L135</f>
        <v>-18.8</v>
      </c>
      <c r="U23" s="705">
        <f>-[3]JDO!M135</f>
        <v>-18.3</v>
      </c>
      <c r="V23" s="704">
        <f>-[3]JDO!N135</f>
        <v>-20.21</v>
      </c>
      <c r="W23" s="704">
        <f>-[3]JDO!O135</f>
        <v>-19.3065</v>
      </c>
      <c r="X23" s="704">
        <f>-[3]JDO!P135</f>
        <v>-21.018400000000003</v>
      </c>
      <c r="Y23" s="704">
        <f>-[3]JDO!Q135</f>
        <v>-19.982227499999997</v>
      </c>
      <c r="Z23" s="704">
        <f>-[3]JDO!R135</f>
        <v>-21.754044</v>
      </c>
      <c r="AA23" s="704">
        <f>-[3]JDO!S135</f>
        <v>-20.581694324999997</v>
      </c>
      <c r="AB23" s="704">
        <f>-[3]JDO!T135</f>
        <v>-22.406665320000002</v>
      </c>
      <c r="AC23" s="704">
        <f>-[3]JDO!U135</f>
        <v>-21.199145154749999</v>
      </c>
      <c r="AD23" s="704">
        <f>-[3]JDO!V135</f>
        <v>-23.078865279600002</v>
      </c>
      <c r="AS23" s="704">
        <f>-[3]JDO!AH135</f>
        <v>-18.399999999999999</v>
      </c>
      <c r="AT23" s="704">
        <f>-[3]JDO!AI135</f>
        <v>-24.6</v>
      </c>
      <c r="AU23" s="704">
        <f>-[3]JDO!AJ135</f>
        <v>-28.5</v>
      </c>
      <c r="AV23" s="705">
        <f>-[3]JDO!AK135</f>
        <v>-36.200000000000003</v>
      </c>
      <c r="AW23" s="704">
        <f>-[3]JDO!AL135</f>
        <v>-38.510000000000005</v>
      </c>
      <c r="AX23" s="704">
        <f>-[3]JDO!AM135</f>
        <v>-40.3249</v>
      </c>
      <c r="AY23" s="704">
        <f>-[3]JDO!AN135</f>
        <v>-41.736271500000001</v>
      </c>
      <c r="AZ23" s="704">
        <f>-[3]JDO!AO135</f>
        <v>-42.988359645000003</v>
      </c>
      <c r="BA23" s="704">
        <f>-[3]JDO!AP135</f>
        <v>-44.278010434350001</v>
      </c>
      <c r="BB23" s="704"/>
      <c r="BC23" s="704"/>
      <c r="BD23" s="704"/>
      <c r="BE23" s="704"/>
    </row>
    <row r="24" spans="2:57" ht="15.95" customHeight="1">
      <c r="B24" s="702" t="s">
        <v>2640</v>
      </c>
      <c r="K24" s="704">
        <f>-[3]JDO!C136</f>
        <v>-1.5</v>
      </c>
      <c r="L24" s="702">
        <f>-[3]JDO!D136</f>
        <v>-1.6</v>
      </c>
      <c r="M24" s="704">
        <f>-[3]JDO!E136</f>
        <v>-2.2000000000000002</v>
      </c>
      <c r="N24" s="704">
        <f>-[3]JDO!F136</f>
        <v>-2.4</v>
      </c>
      <c r="O24" s="704">
        <f>-[3]JDO!G136</f>
        <v>-3.2</v>
      </c>
      <c r="P24" s="704">
        <f>-[3]JDO!H136</f>
        <v>-4</v>
      </c>
      <c r="Q24" s="704">
        <f>-[3]JDO!I136</f>
        <v>-4.2</v>
      </c>
      <c r="R24" s="704">
        <f>-[3]JDO!J136</f>
        <v>-3.9</v>
      </c>
      <c r="S24" s="704">
        <f>-[3]JDO!K136</f>
        <v>-3.9</v>
      </c>
      <c r="T24" s="805">
        <f>-[3]JDO!L136</f>
        <v>-4.0999999999999996</v>
      </c>
      <c r="U24" s="705">
        <f>-[3]JDO!M136</f>
        <v>-4.4000000000000004</v>
      </c>
      <c r="V24" s="704">
        <f>-[3]JDO!N136</f>
        <v>-4.1654344827586236</v>
      </c>
      <c r="W24" s="704">
        <f>-[3]JDO!O136</f>
        <v>-4.5760000000000005</v>
      </c>
      <c r="X24" s="704">
        <f>-[3]JDO!P136</f>
        <v>-4.2903975172413826</v>
      </c>
      <c r="Y24" s="704">
        <f>-[3]JDO!Q136</f>
        <v>-4.7132800000000001</v>
      </c>
      <c r="Z24" s="704">
        <f>-[3]JDO!R136</f>
        <v>-4.4191094427586233</v>
      </c>
      <c r="AA24" s="704">
        <f>-[3]JDO!S136</f>
        <v>-4.8546783999999992</v>
      </c>
      <c r="AB24" s="704">
        <f>-[3]JDO!T136</f>
        <v>-4.5516827260413812</v>
      </c>
      <c r="AC24" s="704">
        <f>-[3]JDO!U136</f>
        <v>-5.000318752000001</v>
      </c>
      <c r="AD24" s="704">
        <f>-[3]JDO!V136</f>
        <v>-4.6882332078226234</v>
      </c>
      <c r="AS24" s="704">
        <f>-[3]JDO!AH136</f>
        <v>-4.5999999999999996</v>
      </c>
      <c r="AT24" s="704">
        <f>-[3]JDO!AI136</f>
        <v>-7.2</v>
      </c>
      <c r="AU24" s="704">
        <f>-[3]JDO!AJ136</f>
        <v>-8.1</v>
      </c>
      <c r="AV24" s="705">
        <f>-[3]JDO!AK136</f>
        <v>-8</v>
      </c>
      <c r="AW24" s="704">
        <f>-[3]JDO!AL136</f>
        <v>-8.565434482758624</v>
      </c>
      <c r="AX24" s="704">
        <f>-[3]JDO!AM136</f>
        <v>-8.8663975172413831</v>
      </c>
      <c r="AY24" s="704">
        <f>-[3]JDO!AN136</f>
        <v>-9.1323894427586225</v>
      </c>
      <c r="AZ24" s="704">
        <f>-[3]JDO!AO136</f>
        <v>-9.4063611260413804</v>
      </c>
      <c r="BA24" s="704">
        <f>-[3]JDO!AP136</f>
        <v>-9.6885519598226253</v>
      </c>
      <c r="BB24" s="704"/>
      <c r="BC24" s="704"/>
      <c r="BD24" s="704"/>
      <c r="BE24" s="704"/>
    </row>
    <row r="25" spans="2:57" ht="15.95" customHeight="1">
      <c r="B25" s="702" t="s">
        <v>269</v>
      </c>
      <c r="K25" s="704">
        <f>-[3]JDO!C137</f>
        <v>-9.1999999999999993</v>
      </c>
      <c r="L25" s="702">
        <f>-[3]JDO!D137</f>
        <v>-11.1</v>
      </c>
      <c r="M25" s="704">
        <f>-[3]JDO!E137</f>
        <v>-13.8</v>
      </c>
      <c r="N25" s="704">
        <f>-[3]JDO!F137</f>
        <v>-15.7</v>
      </c>
      <c r="O25" s="704">
        <f>-[3]JDO!G137</f>
        <v>-19.8</v>
      </c>
      <c r="P25" s="704">
        <f>-[3]JDO!H137</f>
        <v>-20</v>
      </c>
      <c r="Q25" s="704">
        <f>-[3]JDO!I137</f>
        <v>-22.7</v>
      </c>
      <c r="R25" s="704">
        <f>-[3]JDO!J137</f>
        <v>-28</v>
      </c>
      <c r="S25" s="704">
        <f>-[3]JDO!K137</f>
        <v>-23.1</v>
      </c>
      <c r="T25" s="805">
        <f>-[3]JDO!L137</f>
        <v>-21.800000000000011</v>
      </c>
      <c r="U25" s="705">
        <f>-[3]JDO!M137</f>
        <v>-24.6</v>
      </c>
      <c r="V25" s="704">
        <f>-[3]JDO!N137</f>
        <v>-23.288565517241391</v>
      </c>
      <c r="W25" s="704">
        <f>-[3]JDO!O137</f>
        <v>-25.584</v>
      </c>
      <c r="X25" s="704">
        <f>-[3]JDO!P137</f>
        <v>-23.987222482758636</v>
      </c>
      <c r="Y25" s="704">
        <f>-[3]JDO!Q137</f>
        <v>-26.351520000000001</v>
      </c>
      <c r="Z25" s="704">
        <f>-[3]JDO!R137</f>
        <v>-24.706839157241397</v>
      </c>
      <c r="AA25" s="704">
        <f>-[3]JDO!S137</f>
        <v>-27.142065599999999</v>
      </c>
      <c r="AB25" s="704">
        <f>-[3]JDO!T137</f>
        <v>-25.448044331958634</v>
      </c>
      <c r="AC25" s="704">
        <f>-[3]JDO!U137</f>
        <v>-27.956327568000006</v>
      </c>
      <c r="AD25" s="704">
        <f>-[3]JDO!V137</f>
        <v>-26.211485661917397</v>
      </c>
      <c r="AS25" s="704">
        <f>-[3]JDO!AH137</f>
        <v>-29.5</v>
      </c>
      <c r="AT25" s="704">
        <f>-[3]JDO!AI137</f>
        <v>-39.799999999999997</v>
      </c>
      <c r="AU25" s="704">
        <f>-[3]JDO!AJ137</f>
        <v>-50.7</v>
      </c>
      <c r="AV25" s="705">
        <f>-[3]JDO!AK137</f>
        <v>-44.900000000000013</v>
      </c>
      <c r="AW25" s="704">
        <f>-[3]JDO!AL137</f>
        <v>-47.888565517241389</v>
      </c>
      <c r="AX25" s="704">
        <f>-[3]JDO!AM137</f>
        <v>-49.571222482758635</v>
      </c>
      <c r="AY25" s="704">
        <f>-[3]JDO!AN137</f>
        <v>-51.058359157241398</v>
      </c>
      <c r="AZ25" s="704">
        <f>-[3]JDO!AO137</f>
        <v>-52.590109931958636</v>
      </c>
      <c r="BA25" s="704">
        <f>-[3]JDO!AP137</f>
        <v>-54.1678132299174</v>
      </c>
      <c r="BB25" s="704"/>
      <c r="BC25" s="704"/>
      <c r="BD25" s="704"/>
      <c r="BE25" s="704"/>
    </row>
    <row r="26" spans="2:57" ht="15.95" customHeight="1">
      <c r="B26" s="700" t="s">
        <v>2641</v>
      </c>
      <c r="C26" s="704">
        <f>Model!AH441</f>
        <v>0</v>
      </c>
      <c r="D26" s="704">
        <f>Model!AI441</f>
        <v>0</v>
      </c>
      <c r="E26" s="704">
        <f>Model!AJ441</f>
        <v>0</v>
      </c>
      <c r="F26" s="704">
        <f>Model!AK441</f>
        <v>0</v>
      </c>
      <c r="G26" s="704">
        <f>Model!AL441</f>
        <v>0</v>
      </c>
      <c r="H26" s="704">
        <f>Model!AM441</f>
        <v>0</v>
      </c>
      <c r="I26" s="704">
        <f>Model!AN441</f>
        <v>0</v>
      </c>
      <c r="J26" s="704">
        <f>Model!AO441</f>
        <v>0</v>
      </c>
      <c r="K26" s="704">
        <f>Model!AP441</f>
        <v>-37.799999999999997</v>
      </c>
      <c r="L26" s="704">
        <f>Model!AQ441</f>
        <v>-49.3</v>
      </c>
      <c r="M26" s="706">
        <f>Model!AR441</f>
        <v>-61.3</v>
      </c>
      <c r="N26" s="706">
        <f>Model!AS441</f>
        <v>-70.7</v>
      </c>
      <c r="O26" s="706">
        <f>Model!AT441</f>
        <v>-89.7</v>
      </c>
      <c r="P26" s="706">
        <f>Model!AU441</f>
        <v>-101.2</v>
      </c>
      <c r="Q26" s="706">
        <f>Model!AV441</f>
        <v>-105.8</v>
      </c>
      <c r="R26" s="706">
        <f>Model!AW441</f>
        <v>-116.5</v>
      </c>
      <c r="S26" s="706">
        <f>Model!AX441</f>
        <v>-115.4</v>
      </c>
      <c r="T26" s="806">
        <f>Model!AY441</f>
        <v>-106.4</v>
      </c>
      <c r="U26" s="707">
        <f>Model!AZ441</f>
        <v>-119.1</v>
      </c>
      <c r="V26" s="706">
        <f>Model!BA441</f>
        <v>-122.07899426068228</v>
      </c>
      <c r="W26" s="706">
        <f>Model!BB441</f>
        <v>-129.31413078883736</v>
      </c>
      <c r="X26" s="706">
        <f>Model!BC441</f>
        <v>-131.71622411780265</v>
      </c>
      <c r="Y26" s="706">
        <f>Model!BD441</f>
        <v>-138.37113656059265</v>
      </c>
      <c r="Z26" s="706">
        <f>Model!BE441</f>
        <v>-140.87298788414614</v>
      </c>
      <c r="AA26" s="706">
        <f>Model!BF441</f>
        <v>-147.79113996294194</v>
      </c>
      <c r="AB26" s="706">
        <f>Model!BG441</f>
        <v>-149.86301919956063</v>
      </c>
      <c r="AC26" s="706">
        <f>Model!BH441</f>
        <v>-157.42323996661105</v>
      </c>
      <c r="AD26" s="706">
        <f>Model!BI441</f>
        <v>-159.55565276675736</v>
      </c>
      <c r="AE26" s="706">
        <f>Model!BJ441</f>
        <v>-167.52695997404243</v>
      </c>
      <c r="AF26" s="706">
        <f>Model!BK441</f>
        <v>-169.20790956410244</v>
      </c>
      <c r="AG26" s="706">
        <f>Model!BL441</f>
        <v>-176.73350295442191</v>
      </c>
      <c r="AH26" s="706">
        <f>Model!BM441</f>
        <v>-178.59660647960956</v>
      </c>
      <c r="AI26" s="706">
        <f>Model!BN441</f>
        <v>-185.94225120182344</v>
      </c>
      <c r="AJ26" s="706">
        <f>Model!BO441</f>
        <v>-187.1789075851226</v>
      </c>
      <c r="AK26" s="706">
        <f>Model!BP441</f>
        <v>-195.78543307840869</v>
      </c>
      <c r="AL26" s="706">
        <f>Model!BQ441</f>
        <v>-197.62446556931926</v>
      </c>
      <c r="AM26" s="700"/>
      <c r="AN26" s="706">
        <f>Model!CR441</f>
        <v>0</v>
      </c>
      <c r="AO26" s="706">
        <f>Model!CS441</f>
        <v>0</v>
      </c>
      <c r="AP26" s="706">
        <f>Model!CT441</f>
        <v>-31.553999999999998</v>
      </c>
      <c r="AQ26" s="706">
        <f>Model!CU441</f>
        <v>-59.744</v>
      </c>
      <c r="AR26" s="706">
        <f>Model!CV441</f>
        <v>-87.1</v>
      </c>
      <c r="AS26" s="706">
        <f>Model!CW441</f>
        <v>-132</v>
      </c>
      <c r="AT26" s="706">
        <f>Model!CX441</f>
        <v>-190.9</v>
      </c>
      <c r="AU26" s="706">
        <f>Model!CY441</f>
        <v>-222.3</v>
      </c>
      <c r="AV26" s="707">
        <f>Model!CZ441</f>
        <v>-221.8</v>
      </c>
      <c r="AW26" s="706">
        <f>Model!DA441</f>
        <v>-241.17899426068226</v>
      </c>
      <c r="AX26" s="706">
        <f>Model!DB441</f>
        <v>-261.03035490664001</v>
      </c>
      <c r="AY26" s="706">
        <f>Model!DC441</f>
        <v>-279.24412444473876</v>
      </c>
      <c r="AZ26" s="706">
        <f>Model!DD441</f>
        <v>-297.65415916250254</v>
      </c>
      <c r="BA26" s="706">
        <f>Model!DE441</f>
        <v>-316.97889273336841</v>
      </c>
      <c r="BB26" s="706">
        <f>Model!DF441</f>
        <v>-336.73486953814484</v>
      </c>
      <c r="BC26" s="706">
        <f>Model!DG441</f>
        <v>-355.33010943403144</v>
      </c>
      <c r="BD26" s="706">
        <f>Model!DH441</f>
        <v>-373.12115878694601</v>
      </c>
      <c r="BE26" s="706">
        <f>Model!DI441</f>
        <v>-393.40989864772791</v>
      </c>
    </row>
    <row r="27" spans="2:57" ht="15.95" customHeight="1">
      <c r="B27" s="702" t="s">
        <v>2636</v>
      </c>
      <c r="C27" s="704">
        <f>Model!AH442</f>
        <v>0</v>
      </c>
      <c r="D27" s="704">
        <f>Model!AI442</f>
        <v>0</v>
      </c>
      <c r="E27" s="704">
        <f>Model!AJ442</f>
        <v>0</v>
      </c>
      <c r="F27" s="704">
        <f>Model!AK442</f>
        <v>0</v>
      </c>
      <c r="G27" s="704">
        <f>Model!AL442</f>
        <v>0</v>
      </c>
      <c r="H27" s="704">
        <f>Model!AM442</f>
        <v>0</v>
      </c>
      <c r="I27" s="704">
        <f>Model!AN442</f>
        <v>0</v>
      </c>
      <c r="J27" s="704">
        <f>Model!AO442</f>
        <v>0</v>
      </c>
      <c r="K27" s="704">
        <f>Model!AP442</f>
        <v>0</v>
      </c>
      <c r="L27" s="704">
        <f>Model!AQ442</f>
        <v>0</v>
      </c>
      <c r="M27" s="704">
        <f>Model!AR442</f>
        <v>0</v>
      </c>
      <c r="N27" s="704">
        <f>Model!AS442</f>
        <v>0</v>
      </c>
      <c r="O27" s="704">
        <f>Model!AT442</f>
        <v>0</v>
      </c>
      <c r="P27" s="704">
        <f>Model!AU442</f>
        <v>0</v>
      </c>
      <c r="Q27" s="704">
        <f>Model!AV442</f>
        <v>0</v>
      </c>
      <c r="R27" s="704">
        <f>Model!AW442</f>
        <v>0</v>
      </c>
      <c r="S27" s="704">
        <f>Model!AX442</f>
        <v>0</v>
      </c>
      <c r="T27" s="805">
        <f>Model!AY442</f>
        <v>0</v>
      </c>
      <c r="U27" s="705">
        <f>Model!AZ442</f>
        <v>0</v>
      </c>
      <c r="V27" s="704">
        <f>Model!BA442</f>
        <v>0</v>
      </c>
      <c r="W27" s="704">
        <f>Model!BB442</f>
        <v>0</v>
      </c>
      <c r="X27" s="704">
        <f>Model!BC442</f>
        <v>0</v>
      </c>
      <c r="Y27" s="704">
        <f>Model!BD442</f>
        <v>0</v>
      </c>
      <c r="Z27" s="704">
        <f>Model!BE442</f>
        <v>0</v>
      </c>
      <c r="AA27" s="704">
        <f>Model!BF442</f>
        <v>0</v>
      </c>
      <c r="AB27" s="704">
        <f>Model!BG442</f>
        <v>0</v>
      </c>
      <c r="AC27" s="704">
        <f>Model!BH442</f>
        <v>0</v>
      </c>
      <c r="AD27" s="704">
        <f>Model!BI442</f>
        <v>0</v>
      </c>
      <c r="AE27" s="704">
        <f>Model!BJ442</f>
        <v>0</v>
      </c>
      <c r="AF27" s="704">
        <f>Model!BK442</f>
        <v>0</v>
      </c>
      <c r="AG27" s="704">
        <f>Model!BL442</f>
        <v>0</v>
      </c>
      <c r="AH27" s="704">
        <f>Model!BM442</f>
        <v>0</v>
      </c>
      <c r="AI27" s="704">
        <f>Model!BN442</f>
        <v>0</v>
      </c>
      <c r="AJ27" s="704">
        <f>Model!BO442</f>
        <v>0</v>
      </c>
      <c r="AK27" s="704">
        <f>Model!BP442</f>
        <v>0</v>
      </c>
      <c r="AL27" s="704">
        <f>Model!BQ442</f>
        <v>0</v>
      </c>
      <c r="AN27" s="704">
        <f>Model!CR442</f>
        <v>0</v>
      </c>
      <c r="AO27" s="704">
        <f>Model!CS442</f>
        <v>0</v>
      </c>
      <c r="AP27" s="704">
        <f>Model!CT442</f>
        <v>0</v>
      </c>
      <c r="AQ27" s="704">
        <f>Model!CU442</f>
        <v>0</v>
      </c>
      <c r="AR27" s="704">
        <f>Model!CV442</f>
        <v>0</v>
      </c>
      <c r="AS27" s="704">
        <f>Model!CW442</f>
        <v>0</v>
      </c>
      <c r="AT27" s="704">
        <f>Model!CX442</f>
        <v>0</v>
      </c>
      <c r="AU27" s="704">
        <f>Model!CY442</f>
        <v>0</v>
      </c>
      <c r="AV27" s="705">
        <f>Model!CZ442</f>
        <v>0</v>
      </c>
      <c r="AW27" s="704">
        <f>Model!DA442</f>
        <v>0</v>
      </c>
      <c r="AX27" s="704">
        <f>Model!DB442</f>
        <v>0</v>
      </c>
      <c r="AY27" s="704">
        <f>Model!DC442</f>
        <v>0</v>
      </c>
      <c r="AZ27" s="704">
        <f>Model!DD442</f>
        <v>0</v>
      </c>
      <c r="BA27" s="704">
        <f>Model!DE442</f>
        <v>0</v>
      </c>
      <c r="BB27" s="704">
        <f>Model!DF442</f>
        <v>0</v>
      </c>
      <c r="BC27" s="704">
        <f>Model!DG442</f>
        <v>0</v>
      </c>
      <c r="BD27" s="704">
        <f>Model!DH442</f>
        <v>0</v>
      </c>
      <c r="BE27" s="704">
        <f>Model!DI442</f>
        <v>0</v>
      </c>
    </row>
    <row r="28" spans="2:57" ht="15.95" customHeight="1">
      <c r="B28" s="700" t="s">
        <v>2642</v>
      </c>
      <c r="C28" s="704">
        <f>Model!AH443</f>
        <v>0</v>
      </c>
      <c r="D28" s="704">
        <f>Model!AI443</f>
        <v>0</v>
      </c>
      <c r="E28" s="704">
        <f>Model!AJ443</f>
        <v>0</v>
      </c>
      <c r="F28" s="704">
        <f>Model!AK443</f>
        <v>0</v>
      </c>
      <c r="G28" s="704">
        <f>Model!AL443</f>
        <v>0</v>
      </c>
      <c r="H28" s="704">
        <f>Model!AM443</f>
        <v>0</v>
      </c>
      <c r="I28" s="704">
        <f>Model!AN443</f>
        <v>0</v>
      </c>
      <c r="J28" s="704">
        <f>Model!AO443</f>
        <v>0</v>
      </c>
      <c r="K28" s="704">
        <f>Model!AP443</f>
        <v>-37.799999999999997</v>
      </c>
      <c r="L28" s="704">
        <f>Model!AQ443</f>
        <v>-49.3</v>
      </c>
      <c r="M28" s="706">
        <f>Model!AR443</f>
        <v>-61.3</v>
      </c>
      <c r="N28" s="706">
        <f>Model!AS443</f>
        <v>-70.7</v>
      </c>
      <c r="O28" s="706">
        <f>Model!AT443</f>
        <v>-89.7</v>
      </c>
      <c r="P28" s="706">
        <f>Model!AU443</f>
        <v>-101.2</v>
      </c>
      <c r="Q28" s="706">
        <f>Model!AV443</f>
        <v>-105.8</v>
      </c>
      <c r="R28" s="706">
        <f>Model!AW443</f>
        <v>-116.5</v>
      </c>
      <c r="S28" s="706">
        <f>Model!AX443</f>
        <v>-115.4</v>
      </c>
      <c r="T28" s="806">
        <f>Model!AY443</f>
        <v>-106.4</v>
      </c>
      <c r="U28" s="707">
        <f>Model!AZ443</f>
        <v>-119.1</v>
      </c>
      <c r="V28" s="706">
        <f>Model!BA443</f>
        <v>-122.07899426068228</v>
      </c>
      <c r="W28" s="706">
        <f>Model!BB443</f>
        <v>-129.31413078883736</v>
      </c>
      <c r="X28" s="706">
        <f>Model!BC443</f>
        <v>-131.71622411780265</v>
      </c>
      <c r="Y28" s="706">
        <f>Model!BD443</f>
        <v>-138.37113656059265</v>
      </c>
      <c r="Z28" s="706">
        <f>Model!BE443</f>
        <v>-140.87298788414614</v>
      </c>
      <c r="AA28" s="706">
        <f>Model!BF443</f>
        <v>-147.79113996294194</v>
      </c>
      <c r="AB28" s="706">
        <f>Model!BG443</f>
        <v>-149.86301919956063</v>
      </c>
      <c r="AC28" s="706">
        <f>Model!BH443</f>
        <v>-157.42323996661105</v>
      </c>
      <c r="AD28" s="706">
        <f>Model!BI443</f>
        <v>-159.55565276675736</v>
      </c>
      <c r="AE28" s="706">
        <f>Model!BJ443</f>
        <v>-167.52695997404243</v>
      </c>
      <c r="AF28" s="706">
        <f>Model!BK443</f>
        <v>-169.20790956410244</v>
      </c>
      <c r="AG28" s="706">
        <f>Model!BL443</f>
        <v>-176.73350295442191</v>
      </c>
      <c r="AH28" s="706">
        <f>Model!BM443</f>
        <v>-178.59660647960956</v>
      </c>
      <c r="AI28" s="706">
        <f>Model!BN443</f>
        <v>-185.94225120182344</v>
      </c>
      <c r="AJ28" s="706">
        <f>Model!BO443</f>
        <v>-187.1789075851226</v>
      </c>
      <c r="AK28" s="706">
        <f>Model!BP443</f>
        <v>-195.78543307840869</v>
      </c>
      <c r="AL28" s="706">
        <f>Model!BQ443</f>
        <v>-197.62446556931926</v>
      </c>
      <c r="AM28" s="700"/>
      <c r="AN28" s="706">
        <f>Model!CR443</f>
        <v>0</v>
      </c>
      <c r="AO28" s="706">
        <f>Model!CS443</f>
        <v>0</v>
      </c>
      <c r="AP28" s="706">
        <f>Model!CT443</f>
        <v>-31.553999999999998</v>
      </c>
      <c r="AQ28" s="706">
        <f>Model!CU443</f>
        <v>-59.744</v>
      </c>
      <c r="AR28" s="706">
        <f>Model!CV443</f>
        <v>-87.1</v>
      </c>
      <c r="AS28" s="706">
        <f>Model!CW443</f>
        <v>-132</v>
      </c>
      <c r="AT28" s="706">
        <f>Model!CX443</f>
        <v>-190.9</v>
      </c>
      <c r="AU28" s="706">
        <f>Model!CY443</f>
        <v>-222.3</v>
      </c>
      <c r="AV28" s="707">
        <f>Model!CZ443</f>
        <v>-221.8</v>
      </c>
      <c r="AW28" s="706">
        <f>Model!DA443</f>
        <v>-241.17899426068226</v>
      </c>
      <c r="AX28" s="706">
        <f>Model!DB443</f>
        <v>-261.03035490664001</v>
      </c>
      <c r="AY28" s="706">
        <f>Model!DC443</f>
        <v>-279.24412444473876</v>
      </c>
      <c r="AZ28" s="706">
        <f>Model!DD443</f>
        <v>-297.65415916250254</v>
      </c>
      <c r="BA28" s="706">
        <f>Model!DE443</f>
        <v>-316.97889273336841</v>
      </c>
      <c r="BB28" s="706">
        <f>Model!DF443</f>
        <v>-336.73486953814484</v>
      </c>
      <c r="BC28" s="706">
        <f>Model!DG443</f>
        <v>-355.33010943403144</v>
      </c>
      <c r="BD28" s="706">
        <f>Model!DH443</f>
        <v>-373.12115878694601</v>
      </c>
      <c r="BE28" s="706">
        <f>Model!DI443</f>
        <v>-393.40989864772791</v>
      </c>
    </row>
    <row r="29" spans="2:57" ht="15.95" hidden="1" customHeight="1" outlineLevel="1">
      <c r="B29" s="708" t="s">
        <v>2643</v>
      </c>
      <c r="C29" s="704"/>
      <c r="D29" s="704"/>
      <c r="E29" s="704"/>
      <c r="F29" s="704"/>
      <c r="G29" s="704"/>
      <c r="H29" s="704"/>
      <c r="I29" s="704"/>
      <c r="J29" s="704"/>
      <c r="K29" s="704"/>
      <c r="L29" s="704"/>
      <c r="M29" s="706"/>
      <c r="N29" s="710">
        <f>(N26/M26)-1</f>
        <v>0.15334420880913546</v>
      </c>
      <c r="O29" s="710">
        <f t="shared" ref="O29:AD29" si="3">(O26/N26)-1</f>
        <v>0.26874115983026869</v>
      </c>
      <c r="P29" s="710">
        <f t="shared" si="3"/>
        <v>0.12820512820512819</v>
      </c>
      <c r="Q29" s="710">
        <f t="shared" si="3"/>
        <v>4.5454545454545414E-2</v>
      </c>
      <c r="R29" s="710">
        <f t="shared" si="3"/>
        <v>0.10113421550094515</v>
      </c>
      <c r="S29" s="710">
        <f t="shared" si="3"/>
        <v>-9.442060085836812E-3</v>
      </c>
      <c r="T29" s="807">
        <f t="shared" si="3"/>
        <v>-7.7989601386481811E-2</v>
      </c>
      <c r="U29" s="711">
        <f t="shared" si="3"/>
        <v>0.119360902255639</v>
      </c>
      <c r="V29" s="710">
        <f t="shared" si="3"/>
        <v>2.501254626937266E-2</v>
      </c>
      <c r="W29" s="710">
        <f t="shared" si="3"/>
        <v>5.9266023380774913E-2</v>
      </c>
      <c r="X29" s="710">
        <f t="shared" si="3"/>
        <v>1.8575644551079851E-2</v>
      </c>
      <c r="Y29" s="710">
        <f t="shared" si="3"/>
        <v>5.0524622060514446E-2</v>
      </c>
      <c r="Z29" s="710">
        <f t="shared" si="3"/>
        <v>1.80807311823874E-2</v>
      </c>
      <c r="AA29" s="710">
        <f t="shared" si="3"/>
        <v>4.9109145640364282E-2</v>
      </c>
      <c r="AB29" s="710">
        <f t="shared" si="3"/>
        <v>1.4018967829453111E-2</v>
      </c>
      <c r="AC29" s="710">
        <f t="shared" si="3"/>
        <v>5.0447540743744579E-2</v>
      </c>
      <c r="AD29" s="710">
        <f t="shared" si="3"/>
        <v>1.354573060876274E-2</v>
      </c>
      <c r="AE29" s="706"/>
      <c r="AF29" s="706"/>
      <c r="AG29" s="706"/>
      <c r="AH29" s="706"/>
      <c r="AI29" s="706"/>
      <c r="AJ29" s="706"/>
      <c r="AK29" s="706"/>
      <c r="AL29" s="706"/>
      <c r="AM29" s="700"/>
      <c r="AN29" s="706"/>
      <c r="AO29" s="706"/>
      <c r="AP29" s="706"/>
      <c r="AQ29" s="706"/>
      <c r="AR29" s="706"/>
      <c r="AS29" s="710">
        <f t="shared" ref="AS29:BA29" si="4">(AS26/AR26)-1</f>
        <v>0.51549942594718723</v>
      </c>
      <c r="AT29" s="710">
        <f t="shared" si="4"/>
        <v>0.44621212121212128</v>
      </c>
      <c r="AU29" s="710">
        <f t="shared" si="4"/>
        <v>0.16448402304871657</v>
      </c>
      <c r="AV29" s="711">
        <f t="shared" si="4"/>
        <v>-2.2492127755285862E-3</v>
      </c>
      <c r="AW29" s="710">
        <f t="shared" si="4"/>
        <v>8.73714799850418E-2</v>
      </c>
      <c r="AX29" s="710">
        <f t="shared" si="4"/>
        <v>8.2309658462631718E-2</v>
      </c>
      <c r="AY29" s="710">
        <f t="shared" si="4"/>
        <v>6.9776442454798415E-2</v>
      </c>
      <c r="AZ29" s="710">
        <f t="shared" si="4"/>
        <v>6.5928100562083758E-2</v>
      </c>
      <c r="BA29" s="710">
        <f t="shared" si="4"/>
        <v>6.4923445468523244E-2</v>
      </c>
      <c r="BB29" s="706"/>
      <c r="BC29" s="706"/>
      <c r="BD29" s="706"/>
      <c r="BE29" s="706"/>
    </row>
    <row r="30" spans="2:57" ht="15.95" hidden="1" customHeight="1" outlineLevel="1">
      <c r="B30" s="708" t="s">
        <v>2644</v>
      </c>
      <c r="C30" s="709"/>
      <c r="D30" s="709"/>
      <c r="E30" s="709"/>
      <c r="F30" s="709"/>
      <c r="G30" s="709"/>
      <c r="H30" s="709"/>
      <c r="I30" s="709"/>
      <c r="J30" s="709"/>
      <c r="K30" s="709"/>
      <c r="L30" s="709"/>
      <c r="M30" s="709"/>
      <c r="N30" s="710">
        <f>N28/M28-1</f>
        <v>0.15334420880913546</v>
      </c>
      <c r="O30" s="710">
        <f t="shared" ref="O30:AL30" si="5">O28/N28-1</f>
        <v>0.26874115983026869</v>
      </c>
      <c r="P30" s="710">
        <f t="shared" si="5"/>
        <v>0.12820512820512819</v>
      </c>
      <c r="Q30" s="710">
        <f t="shared" si="5"/>
        <v>4.5454545454545414E-2</v>
      </c>
      <c r="R30" s="710">
        <f t="shared" si="5"/>
        <v>0.10113421550094515</v>
      </c>
      <c r="S30" s="710">
        <f t="shared" si="5"/>
        <v>-9.442060085836812E-3</v>
      </c>
      <c r="T30" s="807">
        <f t="shared" si="5"/>
        <v>-7.7989601386481811E-2</v>
      </c>
      <c r="U30" s="711">
        <f t="shared" si="5"/>
        <v>0.119360902255639</v>
      </c>
      <c r="V30" s="710">
        <f t="shared" si="5"/>
        <v>2.501254626937266E-2</v>
      </c>
      <c r="W30" s="710">
        <f t="shared" si="5"/>
        <v>5.9266023380774913E-2</v>
      </c>
      <c r="X30" s="710">
        <f t="shared" si="5"/>
        <v>1.8575644551079851E-2</v>
      </c>
      <c r="Y30" s="710">
        <f t="shared" si="5"/>
        <v>5.0524622060514446E-2</v>
      </c>
      <c r="Z30" s="710">
        <f t="shared" si="5"/>
        <v>1.80807311823874E-2</v>
      </c>
      <c r="AA30" s="710">
        <f t="shared" si="5"/>
        <v>4.9109145640364282E-2</v>
      </c>
      <c r="AB30" s="710">
        <f t="shared" si="5"/>
        <v>1.4018967829453111E-2</v>
      </c>
      <c r="AC30" s="710">
        <f t="shared" si="5"/>
        <v>5.0447540743744579E-2</v>
      </c>
      <c r="AD30" s="710">
        <f t="shared" si="5"/>
        <v>1.354573060876274E-2</v>
      </c>
      <c r="AE30" s="710">
        <f t="shared" si="5"/>
        <v>4.9959415846818844E-2</v>
      </c>
      <c r="AF30" s="710">
        <f t="shared" si="5"/>
        <v>1.0033904932796878E-2</v>
      </c>
      <c r="AG30" s="710">
        <f t="shared" si="5"/>
        <v>4.447542322168152E-2</v>
      </c>
      <c r="AH30" s="710">
        <f t="shared" si="5"/>
        <v>1.0541880820797989E-2</v>
      </c>
      <c r="AI30" s="710">
        <f t="shared" si="5"/>
        <v>4.1129811293769025E-2</v>
      </c>
      <c r="AJ30" s="710">
        <f t="shared" si="5"/>
        <v>6.6507551420191824E-3</v>
      </c>
      <c r="AK30" s="710">
        <f t="shared" si="5"/>
        <v>4.5980210079878514E-2</v>
      </c>
      <c r="AL30" s="710">
        <f t="shared" si="5"/>
        <v>9.3931017338457767E-3</v>
      </c>
      <c r="AM30" s="710"/>
      <c r="AN30" s="710" t="e">
        <f t="shared" ref="AN30:BA30" si="6">AN28/AM28-1</f>
        <v>#DIV/0!</v>
      </c>
      <c r="AO30" s="710" t="e">
        <f t="shared" si="6"/>
        <v>#DIV/0!</v>
      </c>
      <c r="AP30" s="710" t="e">
        <f t="shared" si="6"/>
        <v>#DIV/0!</v>
      </c>
      <c r="AQ30" s="710">
        <f t="shared" si="6"/>
        <v>0.89338911073081073</v>
      </c>
      <c r="AR30" s="710">
        <f t="shared" si="6"/>
        <v>0.45788698446705944</v>
      </c>
      <c r="AS30" s="710">
        <f t="shared" si="6"/>
        <v>0.51549942594718723</v>
      </c>
      <c r="AT30" s="710">
        <f t="shared" si="6"/>
        <v>0.44621212121212128</v>
      </c>
      <c r="AU30" s="710">
        <f t="shared" si="6"/>
        <v>0.16448402304871657</v>
      </c>
      <c r="AV30" s="711">
        <f t="shared" si="6"/>
        <v>-2.2492127755285862E-3</v>
      </c>
      <c r="AW30" s="710">
        <f t="shared" si="6"/>
        <v>8.73714799850418E-2</v>
      </c>
      <c r="AX30" s="710">
        <f t="shared" si="6"/>
        <v>8.2309658462631718E-2</v>
      </c>
      <c r="AY30" s="710">
        <f t="shared" si="6"/>
        <v>6.9776442454798415E-2</v>
      </c>
      <c r="AZ30" s="710">
        <f t="shared" si="6"/>
        <v>6.5928100562083758E-2</v>
      </c>
      <c r="BA30" s="710">
        <f t="shared" si="6"/>
        <v>6.4923445468523244E-2</v>
      </c>
      <c r="BB30" s="709"/>
      <c r="BC30" s="709"/>
      <c r="BD30" s="709"/>
      <c r="BE30" s="709"/>
    </row>
    <row r="31" spans="2:57" ht="15.95" customHeight="1" collapsed="1">
      <c r="AW31" s="712"/>
    </row>
    <row r="32" spans="2:57" ht="15.95" customHeight="1">
      <c r="B32" s="2" t="s">
        <v>2628</v>
      </c>
      <c r="C32" s="52">
        <f>Model!AH461</f>
        <v>0</v>
      </c>
      <c r="D32" s="52">
        <f>Model!AI461</f>
        <v>0</v>
      </c>
      <c r="E32" s="52">
        <f>Model!AJ461</f>
        <v>0</v>
      </c>
      <c r="F32" s="52">
        <f>Model!AK461</f>
        <v>0</v>
      </c>
      <c r="G32" s="52">
        <f>Model!AL461</f>
        <v>0</v>
      </c>
      <c r="H32" s="52">
        <f>Model!AM461</f>
        <v>0</v>
      </c>
      <c r="I32" s="52">
        <f>Model!AN461</f>
        <v>0</v>
      </c>
      <c r="J32" s="52">
        <f>Model!AO461</f>
        <v>0</v>
      </c>
      <c r="K32" s="52">
        <f>Model!AP461</f>
        <v>1.9000000000000057</v>
      </c>
      <c r="L32" s="52">
        <f>Model!AQ461</f>
        <v>0.80000000000000426</v>
      </c>
      <c r="M32" s="52">
        <f>Model!AR461</f>
        <v>12.600000000000009</v>
      </c>
      <c r="N32" s="52">
        <f>Model!AS461</f>
        <v>28.399999999999991</v>
      </c>
      <c r="O32" s="52">
        <f>Model!AT461</f>
        <v>75.499999999999986</v>
      </c>
      <c r="P32" s="52">
        <f>Model!AU461</f>
        <v>86.59999999999998</v>
      </c>
      <c r="Q32" s="52">
        <f>Model!AV461</f>
        <v>94.2</v>
      </c>
      <c r="R32" s="52">
        <f>Model!AW461</f>
        <v>86.000000000000014</v>
      </c>
      <c r="S32" s="52">
        <f>Model!AX461</f>
        <v>85.5</v>
      </c>
      <c r="T32" s="808">
        <f>Model!AY461</f>
        <v>115.60000000000002</v>
      </c>
      <c r="U32" s="53">
        <f>Model!AZ461</f>
        <v>126.59999999999997</v>
      </c>
      <c r="V32" s="52">
        <f>Model!BA461</f>
        <v>149.90939024320221</v>
      </c>
      <c r="W32" s="52">
        <f>Model!BB461</f>
        <v>168.08167882683392</v>
      </c>
      <c r="X32" s="52">
        <f>Model!BC461</f>
        <v>183.57548893298701</v>
      </c>
      <c r="Y32" s="52">
        <f>Model!BD461</f>
        <v>202.96182684430269</v>
      </c>
      <c r="Z32" s="52">
        <f>Model!BE461</f>
        <v>221.59936099496582</v>
      </c>
      <c r="AA32" s="52">
        <f>Model!BF461</f>
        <v>239.7395347318041</v>
      </c>
      <c r="AB32" s="52">
        <f>Model!BG461</f>
        <v>256.11781090783165</v>
      </c>
      <c r="AC32" s="52">
        <f>Model!BH461</f>
        <v>273.66245497050733</v>
      </c>
      <c r="AD32" s="52">
        <f>Model!BI461</f>
        <v>287.63045583840005</v>
      </c>
      <c r="AE32" s="52">
        <f>Model!BJ461</f>
        <v>302.91081125060725</v>
      </c>
      <c r="AF32" s="52">
        <f>Model!BK461</f>
        <v>314.9566377818993</v>
      </c>
      <c r="AG32" s="52">
        <f>Model!BL461</f>
        <v>326.37024847158381</v>
      </c>
      <c r="AH32" s="52">
        <f>Model!BM461</f>
        <v>337.00296223915325</v>
      </c>
      <c r="AI32" s="52">
        <f>Model!BN461</f>
        <v>347.29407085868968</v>
      </c>
      <c r="AJ32" s="52">
        <f>Model!BO461</f>
        <v>353.93315995383034</v>
      </c>
      <c r="AK32" s="52">
        <f>Model!BP461</f>
        <v>365.19917951122432</v>
      </c>
      <c r="AL32" s="52">
        <f>Model!BQ461</f>
        <v>371.63178865650013</v>
      </c>
      <c r="AN32" s="52">
        <f>Model!CR461</f>
        <v>0</v>
      </c>
      <c r="AO32" s="52">
        <f>Model!CS461</f>
        <v>0</v>
      </c>
      <c r="AP32" s="52">
        <f>Model!CT461</f>
        <v>-30.198</v>
      </c>
      <c r="AQ32" s="52">
        <f>Model!CU461</f>
        <v>-31.488</v>
      </c>
      <c r="AR32" s="52">
        <f>Model!CV461</f>
        <v>2.7000000000000028</v>
      </c>
      <c r="AS32" s="52">
        <f>Model!CW461</f>
        <v>41</v>
      </c>
      <c r="AT32" s="52">
        <f>Model!CX461</f>
        <v>162.1</v>
      </c>
      <c r="AU32" s="52">
        <f>Model!CY461</f>
        <v>180.2</v>
      </c>
      <c r="AV32" s="53">
        <f>Model!CZ461</f>
        <v>201.10000000000008</v>
      </c>
      <c r="AW32" s="52">
        <f>Model!DA461</f>
        <v>276.50939024320218</v>
      </c>
      <c r="AX32" s="52">
        <f>Model!DB461</f>
        <v>351.65716775982105</v>
      </c>
      <c r="AY32" s="52">
        <f>Model!DC461</f>
        <v>424.56118783926854</v>
      </c>
      <c r="AZ32" s="52">
        <f>Model!DD461</f>
        <v>495.85734563963581</v>
      </c>
      <c r="BA32" s="52">
        <f>Model!DE461</f>
        <v>561.29291080890732</v>
      </c>
      <c r="BB32" s="52">
        <f>Model!DF461</f>
        <v>617.86744903250656</v>
      </c>
      <c r="BC32" s="52">
        <f>Model!DG461</f>
        <v>663.37321071073711</v>
      </c>
      <c r="BD32" s="52">
        <f>Model!DH461</f>
        <v>701.22723081252013</v>
      </c>
      <c r="BE32" s="52">
        <f>Model!DI461</f>
        <v>736.83096816772445</v>
      </c>
    </row>
    <row r="33" spans="2:57" ht="15.95" hidden="1" customHeight="1" outlineLevel="1">
      <c r="B33" s="708" t="s">
        <v>2631</v>
      </c>
      <c r="C33" s="709"/>
      <c r="D33" s="709"/>
      <c r="E33" s="709"/>
      <c r="F33" s="709"/>
      <c r="G33" s="709"/>
      <c r="H33" s="709"/>
      <c r="I33" s="709"/>
      <c r="J33" s="709"/>
      <c r="K33" s="709"/>
      <c r="L33" s="709"/>
      <c r="M33" s="709"/>
      <c r="N33" s="710">
        <f>N32/M32-1</f>
        <v>1.2539682539682517</v>
      </c>
      <c r="O33" s="710">
        <f t="shared" ref="O33:AL33" si="7">O32/N32-1</f>
        <v>1.6584507042253525</v>
      </c>
      <c r="P33" s="710">
        <f t="shared" si="7"/>
        <v>0.14701986754966878</v>
      </c>
      <c r="Q33" s="710">
        <f t="shared" si="7"/>
        <v>8.7759815242494543E-2</v>
      </c>
      <c r="R33" s="710">
        <f t="shared" si="7"/>
        <v>-8.7048832271762078E-2</v>
      </c>
      <c r="S33" s="710">
        <f t="shared" si="7"/>
        <v>-5.8139534883722144E-3</v>
      </c>
      <c r="T33" s="807">
        <f t="shared" si="7"/>
        <v>0.35204678362573127</v>
      </c>
      <c r="U33" s="711">
        <f t="shared" si="7"/>
        <v>9.5155709342560124E-2</v>
      </c>
      <c r="V33" s="710">
        <f t="shared" si="7"/>
        <v>0.18411840634440946</v>
      </c>
      <c r="W33" s="710">
        <f t="shared" si="7"/>
        <v>0.12122181641957375</v>
      </c>
      <c r="X33" s="710">
        <f t="shared" si="7"/>
        <v>9.2180243642827842E-2</v>
      </c>
      <c r="Y33" s="710">
        <f t="shared" si="7"/>
        <v>0.10560417419556778</v>
      </c>
      <c r="Z33" s="710">
        <f t="shared" si="7"/>
        <v>9.1827780821861049E-2</v>
      </c>
      <c r="AA33" s="710">
        <f t="shared" si="7"/>
        <v>8.18602258390555E-2</v>
      </c>
      <c r="AB33" s="710">
        <f t="shared" si="7"/>
        <v>6.8316959880438066E-2</v>
      </c>
      <c r="AC33" s="710">
        <f t="shared" si="7"/>
        <v>6.8502241216599424E-2</v>
      </c>
      <c r="AD33" s="710">
        <f t="shared" si="7"/>
        <v>5.1040983570062926E-2</v>
      </c>
      <c r="AE33" s="710">
        <f t="shared" si="7"/>
        <v>5.3124956352995412E-2</v>
      </c>
      <c r="AF33" s="710">
        <f t="shared" si="7"/>
        <v>3.9766908554895286E-2</v>
      </c>
      <c r="AG33" s="710">
        <f t="shared" si="7"/>
        <v>3.6238673266471011E-2</v>
      </c>
      <c r="AH33" s="710">
        <f t="shared" si="7"/>
        <v>3.2578685763678727E-2</v>
      </c>
      <c r="AI33" s="710">
        <f t="shared" si="7"/>
        <v>3.0537145878953398E-2</v>
      </c>
      <c r="AJ33" s="710">
        <f t="shared" si="7"/>
        <v>1.9116620904944925E-2</v>
      </c>
      <c r="AK33" s="710">
        <f t="shared" si="7"/>
        <v>3.1830924118168458E-2</v>
      </c>
      <c r="AL33" s="710">
        <f t="shared" si="7"/>
        <v>1.7613974801052645E-2</v>
      </c>
      <c r="AM33" s="710"/>
      <c r="AN33" s="710" t="e">
        <f t="shared" ref="AN33:BA33" si="8">AN32/AM32-1</f>
        <v>#DIV/0!</v>
      </c>
      <c r="AO33" s="710" t="e">
        <f t="shared" si="8"/>
        <v>#DIV/0!</v>
      </c>
      <c r="AP33" s="710" t="e">
        <f t="shared" si="8"/>
        <v>#DIV/0!</v>
      </c>
      <c r="AQ33" s="710">
        <f t="shared" si="8"/>
        <v>4.2718060798728308E-2</v>
      </c>
      <c r="AR33" s="710">
        <f t="shared" si="8"/>
        <v>-1.0857469512195124</v>
      </c>
      <c r="AS33" s="710">
        <f t="shared" si="8"/>
        <v>14.185185185185169</v>
      </c>
      <c r="AT33" s="710">
        <f t="shared" si="8"/>
        <v>2.9536585365853658</v>
      </c>
      <c r="AU33" s="710">
        <f t="shared" si="8"/>
        <v>0.11165946946329419</v>
      </c>
      <c r="AV33" s="711">
        <f t="shared" si="8"/>
        <v>0.11598224195338558</v>
      </c>
      <c r="AW33" s="710">
        <f t="shared" si="8"/>
        <v>0.37498453626654427</v>
      </c>
      <c r="AX33" s="710">
        <f t="shared" si="8"/>
        <v>0.27177296745880164</v>
      </c>
      <c r="AY33" s="710">
        <f t="shared" si="8"/>
        <v>0.20731560952922279</v>
      </c>
      <c r="AZ33" s="710">
        <f t="shared" si="8"/>
        <v>0.16792905202479025</v>
      </c>
      <c r="BA33" s="710">
        <f t="shared" si="8"/>
        <v>0.13196449693583201</v>
      </c>
      <c r="BB33" s="709"/>
      <c r="BC33" s="709"/>
      <c r="BD33" s="709"/>
      <c r="BE33" s="709"/>
    </row>
    <row r="34" spans="2:57" ht="15.95" customHeight="1" collapsed="1"/>
    <row r="35" spans="2:57" ht="15.95" customHeight="1">
      <c r="B35" s="702" t="s">
        <v>639</v>
      </c>
      <c r="C35" s="704">
        <f>Model!AH472</f>
        <v>0</v>
      </c>
      <c r="D35" s="704">
        <f>Model!AI472</f>
        <v>0</v>
      </c>
      <c r="E35" s="704">
        <f>Model!AJ472</f>
        <v>0</v>
      </c>
      <c r="F35" s="704">
        <f>Model!AK472</f>
        <v>0</v>
      </c>
      <c r="G35" s="704">
        <f>Model!AL472</f>
        <v>0</v>
      </c>
      <c r="H35" s="704">
        <f>Model!AM472</f>
        <v>0</v>
      </c>
      <c r="I35" s="704">
        <f>Model!AN472</f>
        <v>0</v>
      </c>
      <c r="J35" s="704">
        <f>Model!AO472</f>
        <v>0</v>
      </c>
      <c r="K35" s="704">
        <f>Model!AP472</f>
        <v>-8.5</v>
      </c>
      <c r="L35" s="704">
        <f>Model!AQ472</f>
        <v>-1.5</v>
      </c>
      <c r="M35" s="704">
        <f>Model!AR472</f>
        <v>-9.6</v>
      </c>
      <c r="N35" s="704">
        <f>Model!AS472</f>
        <v>-15.8</v>
      </c>
      <c r="O35" s="704">
        <f>Model!AT472</f>
        <v>-22.3</v>
      </c>
      <c r="P35" s="704">
        <f>Model!AU472</f>
        <v>-32.299999999999997</v>
      </c>
      <c r="Q35" s="704">
        <f>Model!AV472</f>
        <v>-26.8</v>
      </c>
      <c r="R35" s="704">
        <f>Model!AW472</f>
        <v>-43.3</v>
      </c>
      <c r="S35" s="704">
        <f>Model!AX472</f>
        <v>-28.8</v>
      </c>
      <c r="T35" s="805">
        <f>Model!AY472</f>
        <v>-46.7</v>
      </c>
      <c r="U35" s="705">
        <f>Model!AZ472</f>
        <v>-40.1</v>
      </c>
      <c r="V35" s="704">
        <f>Model!BA472</f>
        <v>-43.977375357122568</v>
      </c>
      <c r="W35" s="704">
        <f>Model!BB472</f>
        <v>-53.104365810233851</v>
      </c>
      <c r="X35" s="704">
        <f>Model!BC472</f>
        <v>-64.646156150107572</v>
      </c>
      <c r="Y35" s="704">
        <f>Model!BD472</f>
        <v>-63.695814751189573</v>
      </c>
      <c r="Z35" s="704">
        <f>Model!BE472</f>
        <v>-69.851708397097724</v>
      </c>
      <c r="AA35" s="704">
        <f>Model!BF472</f>
        <v>-66.387341344430283</v>
      </c>
      <c r="AB35" s="704">
        <f>Model!BG472</f>
        <v>-67.404158651872066</v>
      </c>
      <c r="AC35" s="704">
        <f>Model!BH472</f>
        <v>-65.808117991112482</v>
      </c>
      <c r="AD35" s="704">
        <f>Model!BI472</f>
        <v>-71.305919900067693</v>
      </c>
      <c r="AE35" s="704">
        <f>Model!BJ472</f>
        <v>-68.674854786599525</v>
      </c>
      <c r="AF35" s="704">
        <f>Model!BK472</f>
        <v>-74.083865489362211</v>
      </c>
      <c r="AG35" s="704">
        <f>Model!BL472</f>
        <v>-70.366353175507001</v>
      </c>
      <c r="AH35" s="704">
        <f>Model!BM472</f>
        <v>-75.401811632617324</v>
      </c>
      <c r="AI35" s="704">
        <f>Model!BN472</f>
        <v>-71.770171036508145</v>
      </c>
      <c r="AJ35" s="704">
        <f>Model!BO472</f>
        <v>-76.654433943381676</v>
      </c>
      <c r="AK35" s="704">
        <f>Model!BP472</f>
        <v>-73.751665274869993</v>
      </c>
      <c r="AL35" s="704">
        <f>Model!BQ472</f>
        <v>-78.817488083370279</v>
      </c>
      <c r="AN35" s="704">
        <f>Model!CR472</f>
        <v>0</v>
      </c>
      <c r="AO35" s="704">
        <f>Model!CS472</f>
        <v>0</v>
      </c>
      <c r="AP35" s="704">
        <f>Model!CT472</f>
        <v>-1.9155</v>
      </c>
      <c r="AQ35" s="704">
        <f>Model!CU472</f>
        <v>-23.503499999999999</v>
      </c>
      <c r="AR35" s="704">
        <f>Model!CV472</f>
        <v>-10</v>
      </c>
      <c r="AS35" s="704">
        <f>Model!CW472</f>
        <v>-25.4</v>
      </c>
      <c r="AT35" s="704">
        <f>Model!CX472</f>
        <v>-54.599999999999994</v>
      </c>
      <c r="AU35" s="704">
        <f>Model!CY472</f>
        <v>-70.099999999999994</v>
      </c>
      <c r="AV35" s="705">
        <f>Model!CZ472</f>
        <v>-75.5</v>
      </c>
      <c r="AW35" s="704">
        <f>Model!DA472</f>
        <v>-84.077375357122577</v>
      </c>
      <c r="AX35" s="704">
        <f>Model!DB472</f>
        <v>-117.75052196034142</v>
      </c>
      <c r="AY35" s="704">
        <f>Model!DC472</f>
        <v>-133.5475231482873</v>
      </c>
      <c r="AZ35" s="704">
        <f>Model!DD472</f>
        <v>-133.79149999630235</v>
      </c>
      <c r="BA35" s="704">
        <f>Model!DE472</f>
        <v>-137.11403789118017</v>
      </c>
      <c r="BB35" s="704">
        <f>Model!DF472</f>
        <v>-142.75872027596174</v>
      </c>
      <c r="BC35" s="704">
        <f>Model!DG472</f>
        <v>-145.76816480812431</v>
      </c>
      <c r="BD35" s="704">
        <f>Model!DH472</f>
        <v>-148.42460497988981</v>
      </c>
      <c r="BE35" s="704">
        <f>Model!DI472</f>
        <v>-152.56915335824027</v>
      </c>
    </row>
    <row r="36" spans="2:57" s="713" customFormat="1" ht="12">
      <c r="B36" s="713" t="s">
        <v>2645</v>
      </c>
      <c r="C36" s="714" t="e">
        <f t="shared" ref="C36:AD36" si="9">(-C35/C59)*10000</f>
        <v>#DIV/0!</v>
      </c>
      <c r="D36" s="714" t="e">
        <f t="shared" si="9"/>
        <v>#DIV/0!</v>
      </c>
      <c r="E36" s="714" t="e">
        <f t="shared" si="9"/>
        <v>#DIV/0!</v>
      </c>
      <c r="F36" s="714" t="e">
        <f t="shared" si="9"/>
        <v>#DIV/0!</v>
      </c>
      <c r="G36" s="714" t="e">
        <f t="shared" si="9"/>
        <v>#DIV/0!</v>
      </c>
      <c r="H36" s="714" t="e">
        <f t="shared" si="9"/>
        <v>#DIV/0!</v>
      </c>
      <c r="I36" s="714" t="e">
        <f t="shared" si="9"/>
        <v>#DIV/0!</v>
      </c>
      <c r="J36" s="714" t="e">
        <f t="shared" si="9"/>
        <v>#DIV/0!</v>
      </c>
      <c r="K36" s="714">
        <f t="shared" si="9"/>
        <v>32.356299961933765</v>
      </c>
      <c r="L36" s="714">
        <f t="shared" si="9"/>
        <v>4.2637862421830581</v>
      </c>
      <c r="M36" s="714">
        <f t="shared" si="9"/>
        <v>19.801980198019802</v>
      </c>
      <c r="N36" s="714">
        <f t="shared" si="9"/>
        <v>25.935653315824034</v>
      </c>
      <c r="O36" s="714">
        <f t="shared" si="9"/>
        <v>29.791725114557867</v>
      </c>
      <c r="P36" s="714">
        <f t="shared" si="9"/>
        <v>36.260356092413389</v>
      </c>
      <c r="Q36" s="714">
        <f t="shared" si="9"/>
        <v>27.62060827175381</v>
      </c>
      <c r="R36" s="714">
        <f t="shared" si="9"/>
        <v>40.424220923502062</v>
      </c>
      <c r="S36" s="715">
        <f t="shared" si="9"/>
        <v>24.72760992195348</v>
      </c>
      <c r="T36" s="715">
        <f t="shared" si="9"/>
        <v>37.464000064178165</v>
      </c>
      <c r="U36" s="716">
        <f t="shared" si="9"/>
        <v>29.93877855756309</v>
      </c>
      <c r="V36" s="714">
        <f t="shared" si="9"/>
        <v>30.264296921991424</v>
      </c>
      <c r="W36" s="714">
        <f t="shared" si="9"/>
        <v>34.344728306120437</v>
      </c>
      <c r="X36" s="714">
        <f t="shared" si="9"/>
        <v>38.80304387266407</v>
      </c>
      <c r="Y36" s="714">
        <f t="shared" si="9"/>
        <v>36.050445752547922</v>
      </c>
      <c r="Z36" s="714">
        <f t="shared" si="9"/>
        <v>36.81215799381328</v>
      </c>
      <c r="AA36" s="714">
        <f t="shared" si="9"/>
        <v>33.127777836409443</v>
      </c>
      <c r="AB36" s="714">
        <f t="shared" si="9"/>
        <v>31.454737799322327</v>
      </c>
      <c r="AC36" s="714">
        <f t="shared" si="9"/>
        <v>29.324510581273302</v>
      </c>
      <c r="AD36" s="714">
        <f t="shared" si="9"/>
        <v>29.962996099407174</v>
      </c>
      <c r="AN36" s="714" t="e">
        <f t="shared" ref="AN36:BE36" si="10">(-AN35/AN59)*10000</f>
        <v>#DIV/0!</v>
      </c>
      <c r="AO36" s="714" t="e">
        <f t="shared" si="10"/>
        <v>#DIV/0!</v>
      </c>
      <c r="AP36" s="714">
        <f t="shared" si="10"/>
        <v>80.391317485898483</v>
      </c>
      <c r="AQ36" s="714">
        <f t="shared" si="10"/>
        <v>131.40776017797228</v>
      </c>
      <c r="AR36" s="714">
        <f t="shared" si="10"/>
        <v>28.425241614553723</v>
      </c>
      <c r="AS36" s="714">
        <f t="shared" si="10"/>
        <v>41.694024950755086</v>
      </c>
      <c r="AT36" s="714">
        <f t="shared" si="10"/>
        <v>61.294595747547092</v>
      </c>
      <c r="AU36" s="715">
        <f t="shared" si="10"/>
        <v>65.444292996246986</v>
      </c>
      <c r="AV36" s="716">
        <f t="shared" si="10"/>
        <v>60.568137148724858</v>
      </c>
      <c r="AW36" s="714">
        <f t="shared" si="10"/>
        <v>57.860266365750014</v>
      </c>
      <c r="AX36" s="714">
        <f t="shared" si="10"/>
        <v>70.678272951710809</v>
      </c>
      <c r="AY36" s="714">
        <f t="shared" si="10"/>
        <v>70.380132922009551</v>
      </c>
      <c r="AZ36" s="714">
        <f t="shared" si="10"/>
        <v>62.434968944528791</v>
      </c>
      <c r="BA36" s="714">
        <f t="shared" si="10"/>
        <v>57.615796672493367</v>
      </c>
      <c r="BB36" s="714">
        <f t="shared" si="10"/>
        <v>54.934210790145059</v>
      </c>
      <c r="BC36" s="714">
        <f t="shared" si="10"/>
        <v>52.241629358463513</v>
      </c>
      <c r="BD36" s="714">
        <f t="shared" si="10"/>
        <v>49.993989568052378</v>
      </c>
      <c r="BE36" s="714">
        <f t="shared" si="10"/>
        <v>48.296996167926999</v>
      </c>
    </row>
    <row r="37" spans="2:57" ht="15.95" customHeight="1"/>
    <row r="38" spans="2:57" s="700" customFormat="1" ht="15.95" customHeight="1">
      <c r="B38" s="700" t="s">
        <v>2646</v>
      </c>
      <c r="C38" s="706">
        <f>Model!AH490</f>
        <v>0</v>
      </c>
      <c r="D38" s="706">
        <f>Model!AI490</f>
        <v>0</v>
      </c>
      <c r="E38" s="706">
        <f>Model!AJ490</f>
        <v>0</v>
      </c>
      <c r="F38" s="706">
        <f>Model!AK490</f>
        <v>0</v>
      </c>
      <c r="G38" s="706">
        <f>Model!AL490</f>
        <v>0</v>
      </c>
      <c r="H38" s="706">
        <f>Model!AM490</f>
        <v>0</v>
      </c>
      <c r="I38" s="706">
        <f>Model!AN490</f>
        <v>0</v>
      </c>
      <c r="J38" s="706">
        <f>Model!AO490</f>
        <v>0</v>
      </c>
      <c r="K38" s="706">
        <f>Model!AP490</f>
        <v>-6.5999999999999943</v>
      </c>
      <c r="L38" s="706">
        <f>Model!AQ490</f>
        <v>-0.69999999999999574</v>
      </c>
      <c r="M38" s="706">
        <f>Model!AR490</f>
        <v>3.0000000000000089</v>
      </c>
      <c r="N38" s="706">
        <f>Model!AS490</f>
        <v>12.599999999999991</v>
      </c>
      <c r="O38" s="706">
        <f>Model!AT490</f>
        <v>53.199999999999989</v>
      </c>
      <c r="P38" s="706">
        <f>Model!AU490</f>
        <v>54.299999999999983</v>
      </c>
      <c r="Q38" s="706">
        <f>Model!AV490</f>
        <v>67.400000000000006</v>
      </c>
      <c r="R38" s="706">
        <f>Model!AW490</f>
        <v>42.700000000000017</v>
      </c>
      <c r="S38" s="706">
        <f>Model!AX490</f>
        <v>56.7</v>
      </c>
      <c r="T38" s="806">
        <f>Model!AY490</f>
        <v>68.90000000000002</v>
      </c>
      <c r="U38" s="707">
        <f>Model!AZ490</f>
        <v>86.499999999999972</v>
      </c>
      <c r="V38" s="706">
        <f>Model!BA490</f>
        <v>105.93201488607964</v>
      </c>
      <c r="W38" s="706">
        <f>Model!BB490</f>
        <v>114.97731301660008</v>
      </c>
      <c r="X38" s="706">
        <f>Model!BC490</f>
        <v>118.92933278287944</v>
      </c>
      <c r="Y38" s="706">
        <f>Model!BD490</f>
        <v>139.26601209311312</v>
      </c>
      <c r="Z38" s="706">
        <f>Model!BE490</f>
        <v>151.7476525978681</v>
      </c>
      <c r="AA38" s="706">
        <f>Model!BF490</f>
        <v>173.3521933873738</v>
      </c>
      <c r="AB38" s="706">
        <f>Model!BG490</f>
        <v>188.71365225595957</v>
      </c>
      <c r="AC38" s="706">
        <f>Model!BH490</f>
        <v>207.85433697939484</v>
      </c>
      <c r="AD38" s="706">
        <f>Model!BI490</f>
        <v>216.32453593833236</v>
      </c>
      <c r="AE38" s="706">
        <f>Model!BJ490</f>
        <v>234.23595646400773</v>
      </c>
      <c r="AF38" s="706">
        <f>Model!BK490</f>
        <v>240.87277229253709</v>
      </c>
      <c r="AG38" s="706">
        <f>Model!BL490</f>
        <v>256.00389529607679</v>
      </c>
      <c r="AH38" s="706">
        <f>Model!BM490</f>
        <v>261.60115060653595</v>
      </c>
      <c r="AI38" s="706">
        <f>Model!BN490</f>
        <v>275.52389982218153</v>
      </c>
      <c r="AJ38" s="706">
        <f>Model!BO490</f>
        <v>277.27872601044868</v>
      </c>
      <c r="AK38" s="706">
        <f>Model!BP490</f>
        <v>291.44751423635432</v>
      </c>
      <c r="AL38" s="706">
        <f>Model!BQ490</f>
        <v>292.81430057312986</v>
      </c>
      <c r="AN38" s="706">
        <f>Model!CR490</f>
        <v>0</v>
      </c>
      <c r="AO38" s="706">
        <f>Model!CS490</f>
        <v>0</v>
      </c>
      <c r="AP38" s="706">
        <f>Model!CT490</f>
        <v>-32.113500000000002</v>
      </c>
      <c r="AQ38" s="706">
        <f>Model!CU490</f>
        <v>-54.991500000000002</v>
      </c>
      <c r="AR38" s="706">
        <f>Model!CV490</f>
        <v>-7.2999999999999972</v>
      </c>
      <c r="AS38" s="706">
        <f>Model!CW490</f>
        <v>15.600000000000001</v>
      </c>
      <c r="AT38" s="706">
        <f>Model!CX490</f>
        <v>107.5</v>
      </c>
      <c r="AU38" s="706">
        <f>Model!CY490</f>
        <v>110.09999999999998</v>
      </c>
      <c r="AV38" s="707">
        <f>Model!CZ490</f>
        <v>125.60000000000008</v>
      </c>
      <c r="AW38" s="706">
        <f>Model!DA490</f>
        <v>192.4320148860796</v>
      </c>
      <c r="AX38" s="706">
        <f>Model!DB490</f>
        <v>233.90664579947963</v>
      </c>
      <c r="AY38" s="706">
        <f>Model!DC490</f>
        <v>291.01366469098127</v>
      </c>
      <c r="AZ38" s="706">
        <f>Model!DD490</f>
        <v>362.06584564333343</v>
      </c>
      <c r="BA38" s="706">
        <f>Model!DE490</f>
        <v>424.17887291772718</v>
      </c>
      <c r="BB38" s="706">
        <f>Model!DF490</f>
        <v>475.10872875654479</v>
      </c>
      <c r="BC38" s="706">
        <f>Model!DG490</f>
        <v>517.6050459026128</v>
      </c>
      <c r="BD38" s="706">
        <f>Model!DH490</f>
        <v>552.80262583263038</v>
      </c>
      <c r="BE38" s="706">
        <f>Model!DI490</f>
        <v>584.26181480948412</v>
      </c>
    </row>
    <row r="39" spans="2:57" ht="15.95" customHeight="1"/>
    <row r="40" spans="2:57" ht="15.95" customHeight="1">
      <c r="B40" s="702" t="s">
        <v>646</v>
      </c>
      <c r="C40" s="704">
        <f>Model!AH497</f>
        <v>0</v>
      </c>
      <c r="D40" s="704">
        <f>Model!AI497</f>
        <v>0</v>
      </c>
      <c r="E40" s="704">
        <f>Model!AJ497</f>
        <v>0</v>
      </c>
      <c r="F40" s="704">
        <f>Model!AK497</f>
        <v>0</v>
      </c>
      <c r="G40" s="704">
        <f>Model!AL497</f>
        <v>0</v>
      </c>
      <c r="H40" s="704">
        <f>Model!AM497</f>
        <v>0</v>
      </c>
      <c r="I40" s="704">
        <f>Model!AN497</f>
        <v>0</v>
      </c>
      <c r="J40" s="704">
        <f>Model!AO497</f>
        <v>0</v>
      </c>
      <c r="K40" s="704">
        <f>Model!AP497</f>
        <v>0.1</v>
      </c>
      <c r="L40" s="704">
        <f>Model!AQ497</f>
        <v>2</v>
      </c>
      <c r="M40" s="704">
        <f>Model!AR497</f>
        <v>-2.2999999999999998</v>
      </c>
      <c r="N40" s="704">
        <f>Model!AS497</f>
        <v>-4.2</v>
      </c>
      <c r="O40" s="704">
        <f>Model!AT497</f>
        <v>-17.100000000000001</v>
      </c>
      <c r="P40" s="704">
        <f>Model!AU497</f>
        <v>-17</v>
      </c>
      <c r="Q40" s="704">
        <f>Model!AV497</f>
        <v>-21.5</v>
      </c>
      <c r="R40" s="704">
        <f>Model!AW497</f>
        <v>-12.9</v>
      </c>
      <c r="S40" s="704">
        <f>Model!AX497</f>
        <v>-15.8</v>
      </c>
      <c r="T40" s="805">
        <f>Model!AY497</f>
        <v>-23.4</v>
      </c>
      <c r="U40" s="705">
        <f>Model!AZ497</f>
        <v>-26.6</v>
      </c>
      <c r="V40" s="704">
        <f>Model!BA497</f>
        <v>-32.469693372047097</v>
      </c>
      <c r="W40" s="704">
        <f>Model!BB497</f>
        <v>-35.127230648435742</v>
      </c>
      <c r="X40" s="704">
        <f>Model!BC497</f>
        <v>-36.215700464363437</v>
      </c>
      <c r="Y40" s="704">
        <f>Model!BD497</f>
        <v>-42.269247184885472</v>
      </c>
      <c r="Z40" s="704">
        <f>Model!BE497</f>
        <v>-45.905857796008263</v>
      </c>
      <c r="AA40" s="704">
        <f>Model!BF497</f>
        <v>-52.268191395793039</v>
      </c>
      <c r="AB40" s="704">
        <f>Model!BG497</f>
        <v>-56.711179578815525</v>
      </c>
      <c r="AC40" s="704">
        <f>Model!BH497</f>
        <v>-62.255377600718653</v>
      </c>
      <c r="AD40" s="704">
        <f>Model!BI497</f>
        <v>-64.79232459063951</v>
      </c>
      <c r="AE40" s="704">
        <f>Model!BJ497</f>
        <v>-70.157053873636002</v>
      </c>
      <c r="AF40" s="704">
        <f>Model!BK497</f>
        <v>-72.144876122023746</v>
      </c>
      <c r="AG40" s="704">
        <f>Model!BL497</f>
        <v>-76.676866119430755</v>
      </c>
      <c r="AH40" s="704">
        <f>Model!BM497</f>
        <v>-78.353324970105618</v>
      </c>
      <c r="AI40" s="704">
        <f>Model!BN497</f>
        <v>-82.523389555989382</v>
      </c>
      <c r="AJ40" s="704">
        <f>Model!BO497</f>
        <v>-83.04898535813534</v>
      </c>
      <c r="AK40" s="704">
        <f>Model!BP497</f>
        <v>-87.292742183069024</v>
      </c>
      <c r="AL40" s="704">
        <f>Model!BQ497</f>
        <v>-87.702114442180942</v>
      </c>
      <c r="AN40" s="704">
        <f>Model!CR497</f>
        <v>0</v>
      </c>
      <c r="AO40" s="704">
        <f>Model!CS497</f>
        <v>0</v>
      </c>
      <c r="AP40" s="704">
        <f>Model!CT497</f>
        <v>9.0174900000000004</v>
      </c>
      <c r="AQ40" s="704">
        <f>Model!CU497</f>
        <v>16.89349</v>
      </c>
      <c r="AR40" s="704">
        <f>Model!CV497</f>
        <v>2.1</v>
      </c>
      <c r="AS40" s="704">
        <f>Model!CW497</f>
        <v>-6.5</v>
      </c>
      <c r="AT40" s="704">
        <f>Model!CX497</f>
        <v>-34.1</v>
      </c>
      <c r="AU40" s="704">
        <f>Model!CY497</f>
        <v>-34.4</v>
      </c>
      <c r="AV40" s="705">
        <f>Model!CZ497</f>
        <v>-39.200000000000003</v>
      </c>
      <c r="AW40" s="704">
        <f>Model!DA497</f>
        <v>-59.069693372047098</v>
      </c>
      <c r="AX40" s="704">
        <f>Model!DB497</f>
        <v>-71.342931112799178</v>
      </c>
      <c r="AY40" s="704">
        <f>Model!DC497</f>
        <v>-88.175104980893735</v>
      </c>
      <c r="AZ40" s="704">
        <f>Model!DD497</f>
        <v>-108.97937097460857</v>
      </c>
      <c r="BA40" s="704">
        <f>Model!DE497</f>
        <v>-127.04770219135816</v>
      </c>
      <c r="BB40" s="704">
        <f>Model!DF497</f>
        <v>-142.30192999565975</v>
      </c>
      <c r="BC40" s="704">
        <f>Model!DG497</f>
        <v>-155.03019108953637</v>
      </c>
      <c r="BD40" s="704">
        <f>Model!DH497</f>
        <v>-165.57237491412474</v>
      </c>
      <c r="BE40" s="704">
        <f>Model!DI497</f>
        <v>-174.99485662524995</v>
      </c>
    </row>
    <row r="41" spans="2:57" s="713" customFormat="1" ht="12">
      <c r="B41" s="713" t="s">
        <v>2647</v>
      </c>
      <c r="C41" s="717" t="e">
        <f>-C40/C38</f>
        <v>#DIV/0!</v>
      </c>
      <c r="D41" s="717" t="e">
        <f t="shared" ref="D41:BE41" si="11">-D40/D38</f>
        <v>#DIV/0!</v>
      </c>
      <c r="E41" s="717" t="e">
        <f t="shared" si="11"/>
        <v>#DIV/0!</v>
      </c>
      <c r="F41" s="717" t="e">
        <f t="shared" si="11"/>
        <v>#DIV/0!</v>
      </c>
      <c r="G41" s="717" t="e">
        <f t="shared" si="11"/>
        <v>#DIV/0!</v>
      </c>
      <c r="H41" s="717" t="e">
        <f t="shared" si="11"/>
        <v>#DIV/0!</v>
      </c>
      <c r="I41" s="717" t="e">
        <f t="shared" si="11"/>
        <v>#DIV/0!</v>
      </c>
      <c r="J41" s="717" t="e">
        <f t="shared" si="11"/>
        <v>#DIV/0!</v>
      </c>
      <c r="K41" s="717">
        <f t="shared" si="11"/>
        <v>1.5151515151515166E-2</v>
      </c>
      <c r="L41" s="717">
        <f t="shared" si="11"/>
        <v>2.8571428571428745</v>
      </c>
      <c r="M41" s="717">
        <f t="shared" si="11"/>
        <v>0.76666666666666439</v>
      </c>
      <c r="N41" s="717">
        <f t="shared" si="11"/>
        <v>0.33333333333333359</v>
      </c>
      <c r="O41" s="717">
        <f t="shared" si="11"/>
        <v>0.32142857142857151</v>
      </c>
      <c r="P41" s="717">
        <f t="shared" si="11"/>
        <v>0.31307550644567228</v>
      </c>
      <c r="Q41" s="717">
        <f t="shared" si="11"/>
        <v>0.31899109792284863</v>
      </c>
      <c r="R41" s="717">
        <f t="shared" si="11"/>
        <v>0.30210772833723643</v>
      </c>
      <c r="S41" s="718">
        <f t="shared" si="11"/>
        <v>0.27865961199294531</v>
      </c>
      <c r="T41" s="718">
        <f t="shared" si="11"/>
        <v>0.33962264150943383</v>
      </c>
      <c r="U41" s="719">
        <f t="shared" si="11"/>
        <v>0.30751445086705215</v>
      </c>
      <c r="V41" s="717">
        <f t="shared" si="11"/>
        <v>0.30651445086705215</v>
      </c>
      <c r="W41" s="717">
        <f t="shared" si="11"/>
        <v>0.30551445086705215</v>
      </c>
      <c r="X41" s="717">
        <f t="shared" si="11"/>
        <v>0.30451445086705214</v>
      </c>
      <c r="Y41" s="717">
        <f t="shared" si="11"/>
        <v>0.30351445086705214</v>
      </c>
      <c r="Z41" s="717">
        <f t="shared" si="11"/>
        <v>0.30251445086705214</v>
      </c>
      <c r="AA41" s="717">
        <f t="shared" si="11"/>
        <v>0.30151445086705214</v>
      </c>
      <c r="AB41" s="717">
        <f t="shared" si="11"/>
        <v>0.30051445086705214</v>
      </c>
      <c r="AC41" s="717">
        <f t="shared" si="11"/>
        <v>0.29951445086705214</v>
      </c>
      <c r="AD41" s="717">
        <f t="shared" si="11"/>
        <v>0.2995144508670522</v>
      </c>
      <c r="AE41" s="717">
        <f t="shared" si="11"/>
        <v>0.29951445086705214</v>
      </c>
      <c r="AF41" s="717">
        <f t="shared" si="11"/>
        <v>0.2995144508670522</v>
      </c>
      <c r="AG41" s="717">
        <f t="shared" si="11"/>
        <v>0.29951445086705214</v>
      </c>
      <c r="AH41" s="717">
        <f t="shared" si="11"/>
        <v>0.29951445086705214</v>
      </c>
      <c r="AI41" s="717">
        <f t="shared" si="11"/>
        <v>0.29951445086705214</v>
      </c>
      <c r="AJ41" s="717">
        <f t="shared" si="11"/>
        <v>0.29951445086705214</v>
      </c>
      <c r="AK41" s="717">
        <f t="shared" si="11"/>
        <v>0.29951445086705214</v>
      </c>
      <c r="AL41" s="717">
        <f t="shared" si="11"/>
        <v>0.29951445086705214</v>
      </c>
      <c r="AN41" s="717" t="e">
        <f t="shared" si="11"/>
        <v>#DIV/0!</v>
      </c>
      <c r="AO41" s="717" t="e">
        <f t="shared" si="11"/>
        <v>#DIV/0!</v>
      </c>
      <c r="AP41" s="717">
        <f t="shared" si="11"/>
        <v>0.28080059787939649</v>
      </c>
      <c r="AQ41" s="717">
        <f t="shared" si="11"/>
        <v>0.30720184028440756</v>
      </c>
      <c r="AR41" s="717">
        <f t="shared" si="11"/>
        <v>0.28767123287671248</v>
      </c>
      <c r="AS41" s="717">
        <f t="shared" si="11"/>
        <v>0.41666666666666663</v>
      </c>
      <c r="AT41" s="717">
        <f t="shared" si="11"/>
        <v>0.31720930232558142</v>
      </c>
      <c r="AU41" s="718">
        <f t="shared" si="11"/>
        <v>0.31244323342415992</v>
      </c>
      <c r="AV41" s="719">
        <f t="shared" si="11"/>
        <v>0.3121019108280253</v>
      </c>
      <c r="AW41" s="717">
        <f t="shared" si="11"/>
        <v>0.30696396026937905</v>
      </c>
      <c r="AX41" s="717">
        <f t="shared" si="11"/>
        <v>0.305006003010103</v>
      </c>
      <c r="AY41" s="717">
        <f t="shared" si="11"/>
        <v>0.3029930057563594</v>
      </c>
      <c r="AZ41" s="717">
        <f t="shared" si="11"/>
        <v>0.3009932372410592</v>
      </c>
      <c r="BA41" s="717">
        <f t="shared" si="11"/>
        <v>0.29951445086705214</v>
      </c>
      <c r="BB41" s="717">
        <f t="shared" si="11"/>
        <v>0.29951445086705214</v>
      </c>
      <c r="BC41" s="717">
        <f t="shared" si="11"/>
        <v>0.29951445086705208</v>
      </c>
      <c r="BD41" s="717">
        <f t="shared" si="11"/>
        <v>0.29951445086705208</v>
      </c>
      <c r="BE41" s="717">
        <f t="shared" si="11"/>
        <v>0.29951445086705214</v>
      </c>
    </row>
    <row r="42" spans="2:57" ht="15.95" customHeight="1"/>
    <row r="43" spans="2:57" ht="15.95" customHeight="1">
      <c r="B43" s="702" t="s">
        <v>2648</v>
      </c>
      <c r="C43" s="704">
        <f>Model!AH498</f>
        <v>0</v>
      </c>
      <c r="D43" s="704">
        <f>Model!AI498</f>
        <v>0</v>
      </c>
      <c r="E43" s="704">
        <f>Model!AJ498</f>
        <v>0</v>
      </c>
      <c r="F43" s="704">
        <f>Model!AK498</f>
        <v>0</v>
      </c>
      <c r="G43" s="704">
        <f>Model!AL498</f>
        <v>0</v>
      </c>
      <c r="H43" s="704">
        <f>Model!AM498</f>
        <v>0</v>
      </c>
      <c r="I43" s="704">
        <f>Model!AN498</f>
        <v>0</v>
      </c>
      <c r="J43" s="704">
        <f>Model!AO498</f>
        <v>0</v>
      </c>
      <c r="K43" s="704">
        <f>Model!AP498</f>
        <v>0</v>
      </c>
      <c r="L43" s="704">
        <f>Model!AQ498</f>
        <v>0</v>
      </c>
      <c r="M43" s="704">
        <f>Model!AR498</f>
        <v>0</v>
      </c>
      <c r="N43" s="704">
        <f>Model!AS498</f>
        <v>0</v>
      </c>
      <c r="O43" s="704">
        <f>Model!AT498</f>
        <v>0</v>
      </c>
      <c r="P43" s="704">
        <f>Model!AU498</f>
        <v>0</v>
      </c>
      <c r="Q43" s="704">
        <f>Model!AV498</f>
        <v>0</v>
      </c>
      <c r="R43" s="704">
        <f>Model!AW498</f>
        <v>0</v>
      </c>
      <c r="S43" s="704">
        <f>Model!AX498</f>
        <v>0</v>
      </c>
      <c r="T43" s="805">
        <f>Model!AY498</f>
        <v>0</v>
      </c>
      <c r="U43" s="705">
        <f>Model!AZ498</f>
        <v>0</v>
      </c>
      <c r="V43" s="704">
        <f>Model!BA498</f>
        <v>0</v>
      </c>
      <c r="W43" s="704">
        <f>Model!BB498</f>
        <v>0</v>
      </c>
      <c r="X43" s="704">
        <f>Model!BC498</f>
        <v>0</v>
      </c>
      <c r="Y43" s="704">
        <f>Model!BD498</f>
        <v>0</v>
      </c>
      <c r="Z43" s="704">
        <f>Model!BE498</f>
        <v>0</v>
      </c>
      <c r="AA43" s="704">
        <f>Model!BF498</f>
        <v>0</v>
      </c>
      <c r="AB43" s="704">
        <f>Model!BG498</f>
        <v>0</v>
      </c>
      <c r="AC43" s="704">
        <f>Model!BH498</f>
        <v>0</v>
      </c>
      <c r="AD43" s="704">
        <f>Model!BI498</f>
        <v>0</v>
      </c>
      <c r="AE43" s="704">
        <f>Model!BJ498</f>
        <v>0</v>
      </c>
      <c r="AF43" s="704">
        <f>Model!BK498</f>
        <v>0</v>
      </c>
      <c r="AG43" s="704">
        <f>Model!BL498</f>
        <v>0</v>
      </c>
      <c r="AH43" s="704">
        <f>Model!BM498</f>
        <v>0</v>
      </c>
      <c r="AI43" s="704">
        <f>Model!BN498</f>
        <v>0</v>
      </c>
      <c r="AJ43" s="704">
        <f>Model!BO498</f>
        <v>0</v>
      </c>
      <c r="AK43" s="704">
        <f>Model!BP498</f>
        <v>0</v>
      </c>
      <c r="AL43" s="704">
        <f>Model!BQ498</f>
        <v>0</v>
      </c>
      <c r="AM43" s="704"/>
      <c r="AN43" s="704">
        <f>Model!CR498</f>
        <v>0</v>
      </c>
      <c r="AO43" s="704">
        <f>Model!CS498</f>
        <v>0</v>
      </c>
      <c r="AP43" s="704">
        <f>Model!CT498</f>
        <v>0</v>
      </c>
      <c r="AQ43" s="704">
        <f>Model!CU498</f>
        <v>0</v>
      </c>
      <c r="AR43" s="704">
        <f>Model!CV498</f>
        <v>0</v>
      </c>
      <c r="AS43" s="704">
        <f>Model!CW498</f>
        <v>0</v>
      </c>
      <c r="AT43" s="704">
        <f>Model!CX498</f>
        <v>0</v>
      </c>
      <c r="AU43" s="704">
        <f>Model!CY498</f>
        <v>0</v>
      </c>
      <c r="AV43" s="705">
        <f>Model!CZ498</f>
        <v>0</v>
      </c>
      <c r="AW43" s="704">
        <f>Model!DA498</f>
        <v>0</v>
      </c>
      <c r="AX43" s="704">
        <f>Model!DB498</f>
        <v>0</v>
      </c>
      <c r="AY43" s="704">
        <f>Model!DC498</f>
        <v>0</v>
      </c>
      <c r="AZ43" s="704">
        <f>Model!DD498</f>
        <v>0</v>
      </c>
      <c r="BA43" s="704">
        <f>Model!DE498</f>
        <v>0</v>
      </c>
      <c r="BB43" s="704">
        <f>Model!DF498</f>
        <v>0</v>
      </c>
      <c r="BC43" s="704">
        <f>Model!DG498</f>
        <v>0</v>
      </c>
      <c r="BD43" s="704">
        <f>Model!DH498</f>
        <v>0</v>
      </c>
      <c r="BE43" s="704">
        <f>Model!DI498</f>
        <v>0</v>
      </c>
    </row>
    <row r="44" spans="2:57" ht="15.95" customHeight="1">
      <c r="B44" s="2" t="s">
        <v>2649</v>
      </c>
      <c r="C44" s="52">
        <f>Model!AH515</f>
        <v>0</v>
      </c>
      <c r="D44" s="52">
        <f>Model!AI515</f>
        <v>0</v>
      </c>
      <c r="E44" s="52">
        <f>Model!AJ515</f>
        <v>0</v>
      </c>
      <c r="F44" s="52">
        <f>Model!AK515</f>
        <v>0</v>
      </c>
      <c r="G44" s="52">
        <f>Model!AL515</f>
        <v>0</v>
      </c>
      <c r="H44" s="52">
        <f>Model!AM515</f>
        <v>0</v>
      </c>
      <c r="I44" s="52">
        <f>Model!AN515</f>
        <v>0</v>
      </c>
      <c r="J44" s="52">
        <f>Model!AO515</f>
        <v>0</v>
      </c>
      <c r="K44" s="52">
        <f>Model!AP515</f>
        <v>-6.4999999999999947</v>
      </c>
      <c r="L44" s="52">
        <f>Model!AQ515</f>
        <v>1.3000000000000043</v>
      </c>
      <c r="M44" s="52">
        <f>Model!AR515</f>
        <v>0.70000000000000906</v>
      </c>
      <c r="N44" s="52">
        <f>Model!AS515</f>
        <v>8.3999999999999915</v>
      </c>
      <c r="O44" s="52">
        <f>Model!AT515</f>
        <v>36.099999999999987</v>
      </c>
      <c r="P44" s="52">
        <f>Model!AU515</f>
        <v>37.299999999999983</v>
      </c>
      <c r="Q44" s="52">
        <f>Model!AV515</f>
        <v>45.900000000000006</v>
      </c>
      <c r="R44" s="52">
        <f>Model!AW515</f>
        <v>24.000000000000021</v>
      </c>
      <c r="S44" s="52">
        <f>Model!AX515</f>
        <v>40.900000000000006</v>
      </c>
      <c r="T44" s="808">
        <f>Model!AY515</f>
        <v>45.500000000000021</v>
      </c>
      <c r="U44" s="53">
        <f>Model!AZ515</f>
        <v>59.89999999999997</v>
      </c>
      <c r="V44" s="52">
        <f>Model!BA515</f>
        <v>73.462321514032539</v>
      </c>
      <c r="W44" s="52">
        <f>Model!BB515</f>
        <v>79.850082368164337</v>
      </c>
      <c r="X44" s="52">
        <f>Model!BC515</f>
        <v>82.713632318516005</v>
      </c>
      <c r="Y44" s="52">
        <f>Model!BD515</f>
        <v>96.996764908227647</v>
      </c>
      <c r="Z44" s="52">
        <f>Model!BE515</f>
        <v>105.84179480185983</v>
      </c>
      <c r="AA44" s="52">
        <f>Model!BF515</f>
        <v>121.08400199158076</v>
      </c>
      <c r="AB44" s="52">
        <f>Model!BG515</f>
        <v>132.00247267714406</v>
      </c>
      <c r="AC44" s="52">
        <f>Model!BH515</f>
        <v>145.5989593786762</v>
      </c>
      <c r="AD44" s="52">
        <f>Model!BI515</f>
        <v>151.53221134769285</v>
      </c>
      <c r="AE44" s="52">
        <f>Model!BJ515</f>
        <v>164.07890259037174</v>
      </c>
      <c r="AF44" s="52">
        <f>Model!BK515</f>
        <v>168.72789617051336</v>
      </c>
      <c r="AG44" s="52">
        <f>Model!BL515</f>
        <v>179.32702917664602</v>
      </c>
      <c r="AH44" s="52">
        <f>Model!BM515</f>
        <v>183.24782563643032</v>
      </c>
      <c r="AI44" s="52">
        <f>Model!BN515</f>
        <v>193.00051026619215</v>
      </c>
      <c r="AJ44" s="52">
        <f>Model!BO515</f>
        <v>194.22974065231335</v>
      </c>
      <c r="AK44" s="52">
        <f>Model!BP515</f>
        <v>204.15477205328528</v>
      </c>
      <c r="AL44" s="52">
        <f>Model!BQ515</f>
        <v>205.11218613094891</v>
      </c>
      <c r="AN44" s="52">
        <f>Model!CR515</f>
        <v>0</v>
      </c>
      <c r="AO44" s="52">
        <f>Model!CS515</f>
        <v>0</v>
      </c>
      <c r="AP44" s="52">
        <f>Model!CT515</f>
        <v>-23.09601</v>
      </c>
      <c r="AQ44" s="52">
        <f>Model!CU515</f>
        <v>-38.098010000000002</v>
      </c>
      <c r="AR44" s="52">
        <f>Model!CV515</f>
        <v>-5.1999999999999975</v>
      </c>
      <c r="AS44" s="52">
        <f>Model!CW515</f>
        <v>9.1000000000000014</v>
      </c>
      <c r="AT44" s="52">
        <f>Model!CX515</f>
        <v>73.400000000000006</v>
      </c>
      <c r="AU44" s="52">
        <f>Model!CY515</f>
        <v>69.899999999999977</v>
      </c>
      <c r="AV44" s="53">
        <f>Model!CZ515</f>
        <v>86.400000000000077</v>
      </c>
      <c r="AW44" s="52">
        <f>Model!DA515</f>
        <v>133.36232151403249</v>
      </c>
      <c r="AX44" s="52">
        <f>Model!DB515</f>
        <v>162.56371468668044</v>
      </c>
      <c r="AY44" s="52">
        <f>Model!DC515</f>
        <v>202.83855971008754</v>
      </c>
      <c r="AZ44" s="52">
        <f>Model!DD515</f>
        <v>253.08647466872486</v>
      </c>
      <c r="BA44" s="52">
        <f>Model!DE515</f>
        <v>297.13117072636902</v>
      </c>
      <c r="BB44" s="52">
        <f>Model!DF515</f>
        <v>332.80679876088504</v>
      </c>
      <c r="BC44" s="52">
        <f>Model!DG515</f>
        <v>362.5748548130764</v>
      </c>
      <c r="BD44" s="52">
        <f>Model!DH515</f>
        <v>387.23025091850565</v>
      </c>
      <c r="BE44" s="52">
        <f>Model!DI515</f>
        <v>409.26695818423417</v>
      </c>
    </row>
    <row r="45" spans="2:57" ht="15.95" customHeight="1"/>
    <row r="46" spans="2:57" ht="15.95" customHeight="1">
      <c r="B46" s="702" t="s">
        <v>2650</v>
      </c>
      <c r="C46" s="702">
        <v>56</v>
      </c>
      <c r="D46" s="702">
        <v>73</v>
      </c>
      <c r="E46" s="702">
        <v>-617</v>
      </c>
      <c r="F46" s="702">
        <v>-65</v>
      </c>
      <c r="G46" s="702">
        <v>-50</v>
      </c>
      <c r="H46" s="702">
        <v>-259</v>
      </c>
      <c r="I46" s="702">
        <v>-90</v>
      </c>
      <c r="J46" s="702">
        <v>-8</v>
      </c>
      <c r="K46" s="702">
        <v>-8</v>
      </c>
      <c r="L46" s="702">
        <v>-9</v>
      </c>
      <c r="M46" s="702">
        <v>-5</v>
      </c>
      <c r="N46" s="702">
        <v>-14</v>
      </c>
      <c r="O46" s="702">
        <v>0</v>
      </c>
      <c r="P46" s="702">
        <v>0</v>
      </c>
      <c r="Q46" s="702">
        <v>0</v>
      </c>
      <c r="R46" s="702">
        <v>0</v>
      </c>
      <c r="S46" s="702">
        <v>0</v>
      </c>
      <c r="T46" s="804">
        <v>0</v>
      </c>
      <c r="U46" s="703">
        <v>0</v>
      </c>
      <c r="V46" s="702">
        <v>0</v>
      </c>
      <c r="W46" s="702">
        <v>0</v>
      </c>
      <c r="X46" s="702">
        <v>0</v>
      </c>
      <c r="Y46" s="702">
        <v>0</v>
      </c>
      <c r="Z46" s="702">
        <v>0</v>
      </c>
      <c r="AA46" s="702">
        <v>0</v>
      </c>
      <c r="AB46" s="702">
        <v>0</v>
      </c>
      <c r="AC46" s="702">
        <v>0</v>
      </c>
      <c r="AD46" s="702">
        <v>0</v>
      </c>
      <c r="AE46" s="702">
        <v>0</v>
      </c>
      <c r="AF46" s="702">
        <v>0</v>
      </c>
      <c r="AG46" s="702">
        <v>0</v>
      </c>
      <c r="AH46" s="702">
        <v>0</v>
      </c>
      <c r="AI46" s="702">
        <v>0</v>
      </c>
      <c r="AJ46" s="702">
        <v>0</v>
      </c>
      <c r="AK46" s="702">
        <v>0</v>
      </c>
      <c r="AL46" s="702">
        <v>0</v>
      </c>
      <c r="AN46" s="702">
        <v>129</v>
      </c>
      <c r="AO46" s="702">
        <v>-682</v>
      </c>
      <c r="AP46" s="702">
        <v>-309</v>
      </c>
      <c r="AQ46" s="702">
        <v>-98</v>
      </c>
      <c r="AR46" s="702">
        <v>-17</v>
      </c>
      <c r="AS46" s="702">
        <v>-19</v>
      </c>
      <c r="AT46" s="702">
        <v>0</v>
      </c>
      <c r="AU46" s="702">
        <v>0</v>
      </c>
      <c r="AV46" s="703">
        <v>0</v>
      </c>
      <c r="AW46" s="702">
        <v>0</v>
      </c>
      <c r="AX46" s="702">
        <v>0</v>
      </c>
      <c r="AY46" s="702">
        <v>0</v>
      </c>
      <c r="AZ46" s="702">
        <v>0</v>
      </c>
      <c r="BA46" s="702">
        <v>0</v>
      </c>
      <c r="BB46" s="702">
        <v>0</v>
      </c>
      <c r="BC46" s="702">
        <v>0</v>
      </c>
      <c r="BD46" s="702">
        <v>0</v>
      </c>
      <c r="BE46" s="702">
        <v>0</v>
      </c>
    </row>
    <row r="47" spans="2:57" s="700" customFormat="1" ht="15.95" customHeight="1">
      <c r="B47" s="700" t="s">
        <v>354</v>
      </c>
      <c r="C47" s="706">
        <f>C44+C46</f>
        <v>56</v>
      </c>
      <c r="D47" s="706">
        <f t="shared" ref="D47:AL47" si="12">D44+D46</f>
        <v>73</v>
      </c>
      <c r="E47" s="706">
        <f t="shared" si="12"/>
        <v>-617</v>
      </c>
      <c r="F47" s="706">
        <f t="shared" si="12"/>
        <v>-65</v>
      </c>
      <c r="G47" s="706">
        <f t="shared" si="12"/>
        <v>-50</v>
      </c>
      <c r="H47" s="706">
        <f t="shared" si="12"/>
        <v>-259</v>
      </c>
      <c r="I47" s="706">
        <f t="shared" si="12"/>
        <v>-90</v>
      </c>
      <c r="J47" s="706">
        <f t="shared" si="12"/>
        <v>-8</v>
      </c>
      <c r="K47" s="706">
        <f t="shared" si="12"/>
        <v>-14.499999999999995</v>
      </c>
      <c r="L47" s="706">
        <f t="shared" si="12"/>
        <v>-7.6999999999999957</v>
      </c>
      <c r="M47" s="706">
        <f t="shared" si="12"/>
        <v>-4.2999999999999909</v>
      </c>
      <c r="N47" s="706">
        <f t="shared" si="12"/>
        <v>-5.6000000000000085</v>
      </c>
      <c r="O47" s="706">
        <f t="shared" si="12"/>
        <v>36.099999999999987</v>
      </c>
      <c r="P47" s="706">
        <f t="shared" si="12"/>
        <v>37.299999999999983</v>
      </c>
      <c r="Q47" s="706">
        <f t="shared" si="12"/>
        <v>45.900000000000006</v>
      </c>
      <c r="R47" s="706">
        <f t="shared" si="12"/>
        <v>24.000000000000021</v>
      </c>
      <c r="S47" s="706">
        <f t="shared" si="12"/>
        <v>40.900000000000006</v>
      </c>
      <c r="T47" s="806">
        <f t="shared" si="12"/>
        <v>45.500000000000021</v>
      </c>
      <c r="U47" s="707">
        <f t="shared" si="12"/>
        <v>59.89999999999997</v>
      </c>
      <c r="V47" s="706">
        <f t="shared" si="12"/>
        <v>73.462321514032539</v>
      </c>
      <c r="W47" s="706">
        <f t="shared" si="12"/>
        <v>79.850082368164337</v>
      </c>
      <c r="X47" s="706">
        <f t="shared" si="12"/>
        <v>82.713632318516005</v>
      </c>
      <c r="Y47" s="706">
        <f t="shared" si="12"/>
        <v>96.996764908227647</v>
      </c>
      <c r="Z47" s="706">
        <f t="shared" si="12"/>
        <v>105.84179480185983</v>
      </c>
      <c r="AA47" s="706">
        <f t="shared" si="12"/>
        <v>121.08400199158076</v>
      </c>
      <c r="AB47" s="706">
        <f t="shared" si="12"/>
        <v>132.00247267714406</v>
      </c>
      <c r="AC47" s="706">
        <f t="shared" si="12"/>
        <v>145.5989593786762</v>
      </c>
      <c r="AD47" s="706">
        <f t="shared" si="12"/>
        <v>151.53221134769285</v>
      </c>
      <c r="AE47" s="706">
        <f t="shared" si="12"/>
        <v>164.07890259037174</v>
      </c>
      <c r="AF47" s="706">
        <f t="shared" si="12"/>
        <v>168.72789617051336</v>
      </c>
      <c r="AG47" s="706">
        <f t="shared" si="12"/>
        <v>179.32702917664602</v>
      </c>
      <c r="AH47" s="706">
        <f t="shared" si="12"/>
        <v>183.24782563643032</v>
      </c>
      <c r="AI47" s="706">
        <f t="shared" si="12"/>
        <v>193.00051026619215</v>
      </c>
      <c r="AJ47" s="706">
        <f t="shared" si="12"/>
        <v>194.22974065231335</v>
      </c>
      <c r="AK47" s="706">
        <f t="shared" si="12"/>
        <v>204.15477205328528</v>
      </c>
      <c r="AL47" s="706">
        <f t="shared" si="12"/>
        <v>205.11218613094891</v>
      </c>
      <c r="AN47" s="706">
        <f t="shared" ref="AN47:BE47" si="13">AN44+AN46</f>
        <v>129</v>
      </c>
      <c r="AO47" s="706">
        <f t="shared" si="13"/>
        <v>-682</v>
      </c>
      <c r="AP47" s="706">
        <f t="shared" si="13"/>
        <v>-332.09600999999998</v>
      </c>
      <c r="AQ47" s="706">
        <f t="shared" si="13"/>
        <v>-136.09800999999999</v>
      </c>
      <c r="AR47" s="706">
        <f t="shared" si="13"/>
        <v>-22.199999999999996</v>
      </c>
      <c r="AS47" s="706">
        <f t="shared" si="13"/>
        <v>-9.8999999999999986</v>
      </c>
      <c r="AT47" s="706">
        <f t="shared" si="13"/>
        <v>73.400000000000006</v>
      </c>
      <c r="AU47" s="706">
        <f t="shared" si="13"/>
        <v>69.899999999999977</v>
      </c>
      <c r="AV47" s="707">
        <f t="shared" si="13"/>
        <v>86.400000000000077</v>
      </c>
      <c r="AW47" s="706">
        <f t="shared" si="13"/>
        <v>133.36232151403249</v>
      </c>
      <c r="AX47" s="706">
        <f t="shared" si="13"/>
        <v>162.56371468668044</v>
      </c>
      <c r="AY47" s="706">
        <f t="shared" si="13"/>
        <v>202.83855971008754</v>
      </c>
      <c r="AZ47" s="706">
        <f t="shared" si="13"/>
        <v>253.08647466872486</v>
      </c>
      <c r="BA47" s="706">
        <f t="shared" si="13"/>
        <v>297.13117072636902</v>
      </c>
      <c r="BB47" s="706">
        <f t="shared" si="13"/>
        <v>332.80679876088504</v>
      </c>
      <c r="BC47" s="706">
        <f t="shared" si="13"/>
        <v>362.5748548130764</v>
      </c>
      <c r="BD47" s="706">
        <f t="shared" si="13"/>
        <v>387.23025091850565</v>
      </c>
      <c r="BE47" s="706">
        <f t="shared" si="13"/>
        <v>409.26695818423417</v>
      </c>
    </row>
    <row r="48" spans="2:57" ht="15.95" hidden="1" customHeight="1" outlineLevel="1">
      <c r="B48" s="708" t="s">
        <v>2631</v>
      </c>
      <c r="C48" s="709"/>
      <c r="D48" s="709"/>
      <c r="E48" s="709"/>
      <c r="F48" s="709"/>
      <c r="G48" s="709"/>
      <c r="H48" s="709"/>
      <c r="I48" s="709"/>
      <c r="J48" s="709"/>
      <c r="K48" s="709"/>
      <c r="L48" s="709"/>
      <c r="M48" s="709"/>
      <c r="N48" s="710">
        <f>N47/M47-1</f>
        <v>0.30232558139535359</v>
      </c>
      <c r="O48" s="710">
        <f t="shared" ref="O48:AL48" si="14">O47/N47-1</f>
        <v>-7.4464285714285596</v>
      </c>
      <c r="P48" s="710">
        <f t="shared" si="14"/>
        <v>3.3240997229916802E-2</v>
      </c>
      <c r="Q48" s="710">
        <f t="shared" si="14"/>
        <v>0.23056300268096597</v>
      </c>
      <c r="R48" s="710">
        <f t="shared" si="14"/>
        <v>-0.47712418300653558</v>
      </c>
      <c r="S48" s="710">
        <f t="shared" si="14"/>
        <v>0.7041666666666655</v>
      </c>
      <c r="T48" s="807">
        <f t="shared" si="14"/>
        <v>0.11246943765281214</v>
      </c>
      <c r="U48" s="711">
        <f t="shared" si="14"/>
        <v>0.31648351648351514</v>
      </c>
      <c r="V48" s="710">
        <f t="shared" si="14"/>
        <v>0.22641605198718828</v>
      </c>
      <c r="W48" s="710">
        <f t="shared" si="14"/>
        <v>8.6952885812513037E-2</v>
      </c>
      <c r="X48" s="710">
        <f t="shared" si="14"/>
        <v>3.586157791483191E-2</v>
      </c>
      <c r="Y48" s="710">
        <f t="shared" si="14"/>
        <v>0.17268172354841993</v>
      </c>
      <c r="Z48" s="710">
        <f t="shared" si="14"/>
        <v>9.1188916475728021E-2</v>
      </c>
      <c r="AA48" s="710">
        <f t="shared" si="14"/>
        <v>0.14400934166181667</v>
      </c>
      <c r="AB48" s="710">
        <f t="shared" si="14"/>
        <v>9.0172694212093063E-2</v>
      </c>
      <c r="AC48" s="710">
        <f t="shared" si="14"/>
        <v>0.10300175766242559</v>
      </c>
      <c r="AD48" s="710">
        <f t="shared" si="14"/>
        <v>4.0750648180014393E-2</v>
      </c>
      <c r="AE48" s="710">
        <f t="shared" si="14"/>
        <v>8.2798839475062724E-2</v>
      </c>
      <c r="AF48" s="710">
        <f t="shared" si="14"/>
        <v>2.8333890017219199E-2</v>
      </c>
      <c r="AG48" s="710">
        <f t="shared" si="14"/>
        <v>6.2817905317928968E-2</v>
      </c>
      <c r="AH48" s="710">
        <f t="shared" si="14"/>
        <v>2.1863945874674107E-2</v>
      </c>
      <c r="AI48" s="710">
        <f t="shared" si="14"/>
        <v>5.3221284322966467E-2</v>
      </c>
      <c r="AJ48" s="710">
        <f t="shared" si="14"/>
        <v>6.3690525192177105E-3</v>
      </c>
      <c r="AK48" s="710">
        <f t="shared" si="14"/>
        <v>5.1099442174195708E-2</v>
      </c>
      <c r="AL48" s="710">
        <f t="shared" si="14"/>
        <v>4.6896482900420366E-3</v>
      </c>
      <c r="AM48" s="710"/>
      <c r="AN48" s="710" t="e">
        <f t="shared" ref="AN48:BA48" si="15">AN47/AM47-1</f>
        <v>#DIV/0!</v>
      </c>
      <c r="AO48" s="710">
        <f t="shared" si="15"/>
        <v>-6.2868217054263562</v>
      </c>
      <c r="AP48" s="710">
        <f t="shared" si="15"/>
        <v>-0.51305570381231669</v>
      </c>
      <c r="AQ48" s="710">
        <f t="shared" si="15"/>
        <v>-0.59018474807932808</v>
      </c>
      <c r="AR48" s="710">
        <f t="shared" si="15"/>
        <v>-0.83688225860172394</v>
      </c>
      <c r="AS48" s="710">
        <f t="shared" si="15"/>
        <v>-0.55405405405405406</v>
      </c>
      <c r="AT48" s="710">
        <f t="shared" si="15"/>
        <v>-8.4141414141414153</v>
      </c>
      <c r="AU48" s="710">
        <f t="shared" si="15"/>
        <v>-4.7683923705722497E-2</v>
      </c>
      <c r="AV48" s="711">
        <f t="shared" si="15"/>
        <v>0.23605150214592419</v>
      </c>
      <c r="AW48" s="710">
        <f t="shared" si="15"/>
        <v>0.54354538789389317</v>
      </c>
      <c r="AX48" s="710">
        <f t="shared" si="15"/>
        <v>0.21896284378624409</v>
      </c>
      <c r="AY48" s="710">
        <f t="shared" si="15"/>
        <v>0.24774806051295895</v>
      </c>
      <c r="AZ48" s="710">
        <f t="shared" si="15"/>
        <v>0.2477236824716933</v>
      </c>
      <c r="BA48" s="710">
        <f t="shared" si="15"/>
        <v>0.17403022470993768</v>
      </c>
      <c r="BB48" s="709"/>
      <c r="BC48" s="709"/>
      <c r="BD48" s="709"/>
      <c r="BE48" s="709"/>
    </row>
    <row r="49" spans="2:57" ht="15.95" customHeight="1" collapsed="1">
      <c r="AW49" s="720"/>
    </row>
    <row r="50" spans="2:57" ht="15.95" customHeight="1">
      <c r="B50" s="702" t="s">
        <v>2129</v>
      </c>
      <c r="C50" s="704">
        <f>C51-C47</f>
        <v>-56</v>
      </c>
      <c r="D50" s="704">
        <f t="shared" ref="D50:AL50" si="16">D51-D47</f>
        <v>-73</v>
      </c>
      <c r="E50" s="704">
        <f t="shared" si="16"/>
        <v>617</v>
      </c>
      <c r="F50" s="704">
        <f t="shared" si="16"/>
        <v>65</v>
      </c>
      <c r="G50" s="704">
        <f t="shared" si="16"/>
        <v>50</v>
      </c>
      <c r="H50" s="704">
        <f t="shared" si="16"/>
        <v>259</v>
      </c>
      <c r="I50" s="704">
        <f t="shared" si="16"/>
        <v>90</v>
      </c>
      <c r="J50" s="704">
        <f t="shared" si="16"/>
        <v>8</v>
      </c>
      <c r="K50" s="704">
        <f t="shared" si="16"/>
        <v>41.3</v>
      </c>
      <c r="L50" s="704">
        <f t="shared" si="16"/>
        <v>9.6</v>
      </c>
      <c r="M50" s="704">
        <f t="shared" si="16"/>
        <v>-11.799999999999997</v>
      </c>
      <c r="N50" s="704">
        <f t="shared" si="16"/>
        <v>14</v>
      </c>
      <c r="O50" s="704">
        <f t="shared" si="16"/>
        <v>0</v>
      </c>
      <c r="P50" s="704">
        <f t="shared" si="16"/>
        <v>0</v>
      </c>
      <c r="Q50" s="704">
        <f t="shared" si="16"/>
        <v>0</v>
      </c>
      <c r="R50" s="704">
        <f t="shared" si="16"/>
        <v>0</v>
      </c>
      <c r="S50" s="704">
        <f t="shared" si="16"/>
        <v>0</v>
      </c>
      <c r="T50" s="805">
        <f t="shared" si="16"/>
        <v>0</v>
      </c>
      <c r="U50" s="705">
        <f t="shared" si="16"/>
        <v>0</v>
      </c>
      <c r="V50" s="704">
        <f t="shared" si="16"/>
        <v>0</v>
      </c>
      <c r="W50" s="704">
        <f t="shared" si="16"/>
        <v>0</v>
      </c>
      <c r="X50" s="704">
        <f t="shared" si="16"/>
        <v>0</v>
      </c>
      <c r="Y50" s="704">
        <f t="shared" si="16"/>
        <v>0</v>
      </c>
      <c r="Z50" s="704">
        <f t="shared" si="16"/>
        <v>0</v>
      </c>
      <c r="AA50" s="704">
        <f t="shared" si="16"/>
        <v>0</v>
      </c>
      <c r="AB50" s="704">
        <f t="shared" si="16"/>
        <v>0</v>
      </c>
      <c r="AC50" s="704">
        <f t="shared" si="16"/>
        <v>0</v>
      </c>
      <c r="AD50" s="704">
        <f t="shared" si="16"/>
        <v>0</v>
      </c>
      <c r="AE50" s="704">
        <f t="shared" si="16"/>
        <v>0</v>
      </c>
      <c r="AF50" s="704">
        <f t="shared" si="16"/>
        <v>0</v>
      </c>
      <c r="AG50" s="704">
        <f t="shared" si="16"/>
        <v>0</v>
      </c>
      <c r="AH50" s="704">
        <f t="shared" si="16"/>
        <v>0</v>
      </c>
      <c r="AI50" s="704">
        <f t="shared" si="16"/>
        <v>0</v>
      </c>
      <c r="AJ50" s="704">
        <f t="shared" si="16"/>
        <v>0</v>
      </c>
      <c r="AK50" s="704">
        <f t="shared" si="16"/>
        <v>0</v>
      </c>
      <c r="AL50" s="704">
        <f t="shared" si="16"/>
        <v>0</v>
      </c>
      <c r="AN50" s="704">
        <f t="shared" ref="AN50:BE50" si="17">AN51-AN47</f>
        <v>-129</v>
      </c>
      <c r="AO50" s="704">
        <f t="shared" si="17"/>
        <v>682</v>
      </c>
      <c r="AP50" s="704">
        <f t="shared" si="17"/>
        <v>304.13099999999997</v>
      </c>
      <c r="AQ50" s="704">
        <f t="shared" si="17"/>
        <v>85.254999999999995</v>
      </c>
      <c r="AR50" s="704">
        <f t="shared" si="17"/>
        <v>50.9</v>
      </c>
      <c r="AS50" s="704">
        <f t="shared" si="17"/>
        <v>2.2000000000000028</v>
      </c>
      <c r="AT50" s="704">
        <f t="shared" si="17"/>
        <v>0</v>
      </c>
      <c r="AU50" s="704">
        <f t="shared" si="17"/>
        <v>0</v>
      </c>
      <c r="AV50" s="705">
        <f t="shared" si="17"/>
        <v>0</v>
      </c>
      <c r="AW50" s="704">
        <f t="shared" si="17"/>
        <v>0</v>
      </c>
      <c r="AX50" s="704">
        <f t="shared" si="17"/>
        <v>0</v>
      </c>
      <c r="AY50" s="704">
        <f t="shared" si="17"/>
        <v>0</v>
      </c>
      <c r="AZ50" s="704">
        <f t="shared" si="17"/>
        <v>0</v>
      </c>
      <c r="BA50" s="704">
        <f t="shared" si="17"/>
        <v>0</v>
      </c>
      <c r="BB50" s="704">
        <f t="shared" si="17"/>
        <v>0</v>
      </c>
      <c r="BC50" s="704">
        <f t="shared" si="17"/>
        <v>0</v>
      </c>
      <c r="BD50" s="704">
        <f t="shared" si="17"/>
        <v>0</v>
      </c>
      <c r="BE50" s="704">
        <f t="shared" si="17"/>
        <v>0</v>
      </c>
    </row>
    <row r="51" spans="2:57" ht="15.95" customHeight="1">
      <c r="B51" s="2" t="s">
        <v>2651</v>
      </c>
      <c r="C51" s="52">
        <f>Model!AH525</f>
        <v>0</v>
      </c>
      <c r="D51" s="52">
        <f>Model!AI525</f>
        <v>0</v>
      </c>
      <c r="E51" s="52">
        <f>Model!AJ525</f>
        <v>0</v>
      </c>
      <c r="F51" s="52">
        <f>Model!AK525</f>
        <v>0</v>
      </c>
      <c r="G51" s="52">
        <f>Model!AL525</f>
        <v>0</v>
      </c>
      <c r="H51" s="52">
        <f>Model!AM525</f>
        <v>0</v>
      </c>
      <c r="I51" s="52">
        <f>Model!AN525</f>
        <v>0</v>
      </c>
      <c r="J51" s="52">
        <f>Model!AO525</f>
        <v>0</v>
      </c>
      <c r="K51" s="52">
        <f>Model!AP525</f>
        <v>26.800000000000004</v>
      </c>
      <c r="L51" s="52">
        <f>Model!AQ525</f>
        <v>1.9000000000000044</v>
      </c>
      <c r="M51" s="52">
        <f>Model!AR525</f>
        <v>-16.099999999999987</v>
      </c>
      <c r="N51" s="52">
        <f>Model!AS525</f>
        <v>8.3999999999999915</v>
      </c>
      <c r="O51" s="52">
        <f>Model!AT525</f>
        <v>36.099999999999987</v>
      </c>
      <c r="P51" s="52">
        <f>Model!AU525</f>
        <v>37.299999999999983</v>
      </c>
      <c r="Q51" s="52">
        <f>Model!AV525</f>
        <v>45.900000000000006</v>
      </c>
      <c r="R51" s="52">
        <f>Model!AW525</f>
        <v>24.000000000000021</v>
      </c>
      <c r="S51" s="52">
        <f>Model!AX525</f>
        <v>40.900000000000006</v>
      </c>
      <c r="T51" s="808">
        <f>Model!AY525</f>
        <v>45.500000000000021</v>
      </c>
      <c r="U51" s="53">
        <f>Model!AZ525</f>
        <v>59.89999999999997</v>
      </c>
      <c r="V51" s="52">
        <f>Model!BA525</f>
        <v>73.462321514032539</v>
      </c>
      <c r="W51" s="52">
        <f>Model!BB525</f>
        <v>79.850082368164337</v>
      </c>
      <c r="X51" s="52">
        <f>Model!BC525</f>
        <v>82.713632318516005</v>
      </c>
      <c r="Y51" s="52">
        <f>Model!BD525</f>
        <v>96.996764908227647</v>
      </c>
      <c r="Z51" s="52">
        <f>Model!BE525</f>
        <v>105.84179480185983</v>
      </c>
      <c r="AA51" s="52">
        <f>Model!BF525</f>
        <v>121.08400199158076</v>
      </c>
      <c r="AB51" s="52">
        <f>Model!BG525</f>
        <v>132.00247267714406</v>
      </c>
      <c r="AC51" s="52">
        <f>Model!BH525</f>
        <v>145.5989593786762</v>
      </c>
      <c r="AD51" s="52">
        <f>Model!BI525</f>
        <v>151.53221134769285</v>
      </c>
      <c r="AE51" s="52">
        <f>Model!BJ525</f>
        <v>164.07890259037174</v>
      </c>
      <c r="AF51" s="52">
        <f>Model!BK525</f>
        <v>168.72789617051336</v>
      </c>
      <c r="AG51" s="52">
        <f>Model!BL525</f>
        <v>179.32702917664602</v>
      </c>
      <c r="AH51" s="52">
        <f>Model!BM525</f>
        <v>183.24782563643032</v>
      </c>
      <c r="AI51" s="52">
        <f>Model!BN525</f>
        <v>193.00051026619215</v>
      </c>
      <c r="AJ51" s="52">
        <f>Model!BO525</f>
        <v>194.22974065231335</v>
      </c>
      <c r="AK51" s="52">
        <f>Model!BP525</f>
        <v>204.15477205328528</v>
      </c>
      <c r="AL51" s="52">
        <f>Model!BQ525</f>
        <v>205.11218613094891</v>
      </c>
      <c r="AN51" s="52">
        <f>Model!CR525</f>
        <v>0</v>
      </c>
      <c r="AO51" s="52">
        <f>Model!CS525</f>
        <v>0</v>
      </c>
      <c r="AP51" s="52">
        <f>Model!CT525</f>
        <v>-27.965009999999999</v>
      </c>
      <c r="AQ51" s="52">
        <f>Model!CU525</f>
        <v>-50.84301</v>
      </c>
      <c r="AR51" s="52">
        <f>Model!CV525</f>
        <v>28.700000000000003</v>
      </c>
      <c r="AS51" s="52">
        <f>Model!CW525</f>
        <v>-7.6999999999999957</v>
      </c>
      <c r="AT51" s="52">
        <f>Model!CX525</f>
        <v>73.399999999999977</v>
      </c>
      <c r="AU51" s="52">
        <f>Model!CY525</f>
        <v>69.900000000000034</v>
      </c>
      <c r="AV51" s="53">
        <f>Model!CZ525</f>
        <v>86.400000000000034</v>
      </c>
      <c r="AW51" s="52">
        <f>Model!DA525</f>
        <v>133.36232151403252</v>
      </c>
      <c r="AX51" s="52">
        <f>Model!DB525</f>
        <v>162.56371468668033</v>
      </c>
      <c r="AY51" s="52">
        <f>Model!DC525</f>
        <v>202.83855971008748</v>
      </c>
      <c r="AZ51" s="52">
        <f>Model!DD525</f>
        <v>253.0864746687248</v>
      </c>
      <c r="BA51" s="52">
        <f>Model!DE525</f>
        <v>297.13117072636908</v>
      </c>
      <c r="BB51" s="52">
        <f>Model!DF525</f>
        <v>332.8067987608851</v>
      </c>
      <c r="BC51" s="52">
        <f>Model!DG525</f>
        <v>362.57485481307634</v>
      </c>
      <c r="BD51" s="52">
        <f>Model!DH525</f>
        <v>387.23025091850548</v>
      </c>
      <c r="BE51" s="52">
        <f>Model!DI525</f>
        <v>409.26695818423423</v>
      </c>
    </row>
    <row r="52" spans="2:57" ht="15.95" customHeight="1">
      <c r="AS52" s="712"/>
      <c r="AT52" s="712"/>
      <c r="AU52" s="712"/>
      <c r="AV52" s="721"/>
      <c r="AW52" s="712"/>
    </row>
    <row r="53" spans="2:57" ht="15.95" customHeight="1">
      <c r="B53" s="701" t="s">
        <v>2652</v>
      </c>
      <c r="AW53" s="712"/>
    </row>
    <row r="54" spans="2:57" ht="15.95" customHeight="1">
      <c r="B54" s="702" t="s">
        <v>2653</v>
      </c>
      <c r="C54" s="722">
        <f>Model!AH730</f>
        <v>0</v>
      </c>
      <c r="D54" s="722">
        <f>Model!AI730</f>
        <v>0</v>
      </c>
      <c r="E54" s="722">
        <f>Model!AJ730</f>
        <v>0</v>
      </c>
      <c r="F54" s="722">
        <f>Model!AK730</f>
        <v>0</v>
      </c>
      <c r="G54" s="722">
        <f>Model!AL730</f>
        <v>0</v>
      </c>
      <c r="H54" s="722">
        <f>Model!AM730</f>
        <v>0</v>
      </c>
      <c r="I54" s="722">
        <f>Model!AN730</f>
        <v>0</v>
      </c>
      <c r="J54" s="722">
        <f>Model!AO730</f>
        <v>0</v>
      </c>
      <c r="K54" s="722">
        <f>Model!AP730</f>
        <v>-1.2126865671641779E-2</v>
      </c>
      <c r="L54" s="722">
        <f>Model!AQ730</f>
        <v>2.0396986741224392E-3</v>
      </c>
      <c r="M54" s="723">
        <f>Model!AR730</f>
        <v>7.8260869565218469E-4</v>
      </c>
      <c r="N54" s="723">
        <f>Model!AS730</f>
        <v>8.3455661698406992E-3</v>
      </c>
      <c r="O54" s="723">
        <f>Model!AT730</f>
        <v>3.2000000000000001E-2</v>
      </c>
      <c r="P54" s="723">
        <f>Model!AU730</f>
        <v>3.3739782472223152E-2</v>
      </c>
      <c r="Q54" s="723">
        <f>Model!AV730</f>
        <v>4.1448819407768366E-2</v>
      </c>
      <c r="R54" s="723">
        <f>Model!AW730</f>
        <v>2.163524923630885E-2</v>
      </c>
      <c r="S54" s="723">
        <f>Model!AX730</f>
        <v>3.6740000000000002E-2</v>
      </c>
      <c r="T54" s="809">
        <f>Model!AY730</f>
        <v>4.0713179194456786E-2</v>
      </c>
      <c r="U54" s="724">
        <f>Model!AZ730</f>
        <v>5.3505774064442499E-2</v>
      </c>
      <c r="V54" s="723">
        <f>Model!BA730</f>
        <v>6.5521539530422584E-2</v>
      </c>
      <c r="W54" s="723">
        <f>Model!BB730</f>
        <v>7.1218826475471481E-2</v>
      </c>
      <c r="X54" s="723">
        <f>Model!BC730</f>
        <v>7.3772845970124498E-2</v>
      </c>
      <c r="Y54" s="723">
        <f>Model!BD730</f>
        <v>8.3892897718386872E-2</v>
      </c>
      <c r="Z54" s="723">
        <f>Model!BE730</f>
        <v>8.8852958777341257E-2</v>
      </c>
      <c r="AA54" s="723">
        <f>Model!BF730</f>
        <v>0.10164861487557071</v>
      </c>
      <c r="AB54" s="723">
        <f>Model!BG730</f>
        <v>0.11081454434182837</v>
      </c>
      <c r="AC54" s="723">
        <f>Model!BH730</f>
        <v>0.12222863718359749</v>
      </c>
      <c r="AD54" s="723">
        <f>Model!BI730</f>
        <v>0.12720953337498891</v>
      </c>
      <c r="AE54" s="723">
        <f>Model!BJ730</f>
        <v>0.13774233510860223</v>
      </c>
      <c r="AF54" s="723">
        <f>Model!BK730</f>
        <v>0.14164511128228433</v>
      </c>
      <c r="AG54" s="723">
        <f>Model!BL730</f>
        <v>0.15054296047156238</v>
      </c>
      <c r="AH54" s="723">
        <f>Model!BM730</f>
        <v>0.15383442361112584</v>
      </c>
      <c r="AI54" s="723">
        <f>Model!BN730</f>
        <v>0.1620216892087932</v>
      </c>
      <c r="AJ54" s="723">
        <f>Model!BO730</f>
        <v>0.1630536138566164</v>
      </c>
      <c r="AK54" s="723">
        <f>Model!BP730</f>
        <v>0.17138556256917623</v>
      </c>
      <c r="AL54" s="723">
        <f>Model!BQ730</f>
        <v>0.17218930057961665</v>
      </c>
      <c r="AM54" s="723"/>
      <c r="AN54" s="723">
        <f>Model!CR730</f>
        <v>0</v>
      </c>
      <c r="AO54" s="723">
        <f>Model!CS730</f>
        <v>0</v>
      </c>
      <c r="AP54" s="723">
        <f>Model!CT730</f>
        <v>0</v>
      </c>
      <c r="AQ54" s="723">
        <f>Model!CU730</f>
        <v>0</v>
      </c>
      <c r="AR54" s="723">
        <f>Model!CV730</f>
        <v>-8.8572295934922895E-3</v>
      </c>
      <c r="AS54" s="723">
        <f>Model!CW730</f>
        <v>9.0410300173274331E-3</v>
      </c>
      <c r="AT54" s="723">
        <f>Model!CX730</f>
        <v>6.5727642628141986E-2</v>
      </c>
      <c r="AU54" s="723">
        <f>Model!CY730</f>
        <v>6.3067284301273438E-2</v>
      </c>
      <c r="AV54" s="724">
        <f>Model!CZ730</f>
        <v>7.7459679552223451E-2</v>
      </c>
      <c r="AW54" s="723">
        <f>Model!DA730</f>
        <v>0.11903562902712791</v>
      </c>
      <c r="AX54" s="723">
        <f>Model!DB730</f>
        <v>0.14499167244559608</v>
      </c>
      <c r="AY54" s="723">
        <f>Model!DC730</f>
        <v>0.17280573910377092</v>
      </c>
      <c r="AZ54" s="723">
        <f>Model!DD730</f>
        <v>0.21246315921739908</v>
      </c>
      <c r="BA54" s="723">
        <f>Model!DE730</f>
        <v>0.24943817055858633</v>
      </c>
      <c r="BB54" s="722">
        <f>Model!DF730</f>
        <v>0.27938744639088647</v>
      </c>
      <c r="BC54" s="722">
        <f>Model!DG730</f>
        <v>0.30437738408268827</v>
      </c>
      <c r="BD54" s="722">
        <f>Model!DH730</f>
        <v>0.32507530306540966</v>
      </c>
      <c r="BE54" s="722">
        <f>Model!DI730</f>
        <v>0.34357486314879276</v>
      </c>
    </row>
    <row r="55" spans="2:57" ht="15.95" customHeight="1">
      <c r="B55" s="702" t="s">
        <v>2654</v>
      </c>
      <c r="C55" s="722">
        <f>Model!AH732</f>
        <v>0</v>
      </c>
      <c r="D55" s="722">
        <f>Model!AI732</f>
        <v>0</v>
      </c>
      <c r="E55" s="722">
        <f>Model!AJ732</f>
        <v>0</v>
      </c>
      <c r="F55" s="722">
        <f>Model!AK732</f>
        <v>0</v>
      </c>
      <c r="G55" s="722">
        <f>Model!AL732</f>
        <v>0</v>
      </c>
      <c r="H55" s="722">
        <f>Model!AM732</f>
        <v>0</v>
      </c>
      <c r="I55" s="722">
        <f>Model!AN732</f>
        <v>0</v>
      </c>
      <c r="J55" s="722">
        <f>Model!AO732</f>
        <v>0</v>
      </c>
      <c r="K55" s="722">
        <f>Model!AP732</f>
        <v>-9.9440298507462582E-3</v>
      </c>
      <c r="L55" s="722">
        <f>Model!AQ732</f>
        <v>1.7314834349006479E-3</v>
      </c>
      <c r="M55" s="723">
        <f>Model!AR732</f>
        <v>7.8260869565218469E-4</v>
      </c>
      <c r="N55" s="723">
        <f>Model!AS732</f>
        <v>8.3455661698406992E-3</v>
      </c>
      <c r="O55" s="723">
        <f>Model!AT732</f>
        <v>3.2000000000000001E-2</v>
      </c>
      <c r="P55" s="723">
        <f>Model!AU732</f>
        <v>3.3232364758504093E-2</v>
      </c>
      <c r="Q55" s="723">
        <f>Model!AV732</f>
        <v>3.9999999999999994E-2</v>
      </c>
      <c r="R55" s="723">
        <f>Model!AW732</f>
        <v>2.0983656109500374E-2</v>
      </c>
      <c r="S55" s="723">
        <f>Model!AX732</f>
        <v>3.4700000000000002E-2</v>
      </c>
      <c r="T55" s="809">
        <f>Model!AY732</f>
        <v>3.8262302472216458E-2</v>
      </c>
      <c r="U55" s="724">
        <f>Model!AZ732</f>
        <v>4.8488321177710646E-2</v>
      </c>
      <c r="V55" s="723">
        <f>Model!BA732</f>
        <v>5.9126963975970469E-2</v>
      </c>
      <c r="W55" s="723">
        <f>Model!BB732</f>
        <v>6.4172077435864575E-2</v>
      </c>
      <c r="X55" s="723">
        <f>Model!BC732</f>
        <v>6.6433736055763207E-2</v>
      </c>
      <c r="Y55" s="723">
        <f>Model!BD732</f>
        <v>7.5361860217272592E-2</v>
      </c>
      <c r="Z55" s="723">
        <f>Model!BE732</f>
        <v>7.9722629834805728E-2</v>
      </c>
      <c r="AA55" s="723">
        <f>Model!BF732</f>
        <v>9.1053555840815301E-2</v>
      </c>
      <c r="AB55" s="723">
        <f>Model!BG732</f>
        <v>9.9170253238836131E-2</v>
      </c>
      <c r="AC55" s="723">
        <f>Model!BH732</f>
        <v>0.10927776475860145</v>
      </c>
      <c r="AD55" s="723">
        <f>Model!BI732</f>
        <v>0.11368849334922684</v>
      </c>
      <c r="AE55" s="723">
        <f>Model!BJ732</f>
        <v>0.12301559593492827</v>
      </c>
      <c r="AF55" s="723">
        <f>Model!BK732</f>
        <v>0.12647161786162947</v>
      </c>
      <c r="AG55" s="723">
        <f>Model!BL732</f>
        <v>0.13435092236953139</v>
      </c>
      <c r="AH55" s="723">
        <f>Model!BM732</f>
        <v>0.13726560880683428</v>
      </c>
      <c r="AI55" s="723">
        <f>Model!BN732</f>
        <v>0.14451567085652889</v>
      </c>
      <c r="AJ55" s="723">
        <f>Model!BO732</f>
        <v>0.14542947017549307</v>
      </c>
      <c r="AK55" s="723">
        <f>Model!BP732</f>
        <v>0.15280765333570986</v>
      </c>
      <c r="AL55" s="723">
        <f>Model!BQ732</f>
        <v>0.15351938674387627</v>
      </c>
      <c r="AM55" s="723"/>
      <c r="AN55" s="723">
        <f>Model!CR732</f>
        <v>0</v>
      </c>
      <c r="AO55" s="723">
        <f>Model!CS732</f>
        <v>0</v>
      </c>
      <c r="AP55" s="723">
        <f>Model!CT732</f>
        <v>0</v>
      </c>
      <c r="AQ55" s="723">
        <f>Model!CU732</f>
        <v>0</v>
      </c>
      <c r="AR55" s="723">
        <f>Model!CV732</f>
        <v>-7.4007748467396269E-3</v>
      </c>
      <c r="AS55" s="723">
        <f>Model!CW732</f>
        <v>9.0410300173274331E-3</v>
      </c>
      <c r="AT55" s="723">
        <f>Model!CX732</f>
        <v>6.524431546098379E-2</v>
      </c>
      <c r="AU55" s="723">
        <f>Model!CY732</f>
        <v>6.0559567749303163E-2</v>
      </c>
      <c r="AV55" s="724">
        <f>Model!CZ732</f>
        <v>7.2957769283680612E-2</v>
      </c>
      <c r="AW55" s="723">
        <f>Model!DA732</f>
        <v>0.10762263375075418</v>
      </c>
      <c r="AX55" s="723">
        <f>Model!DB732</f>
        <v>0.13060581349162786</v>
      </c>
      <c r="AY55" s="723">
        <f>Model!DC732</f>
        <v>0.15513687586165492</v>
      </c>
      <c r="AZ55" s="723">
        <f>Model!DD732</f>
        <v>0.19022380907965145</v>
      </c>
      <c r="BA55" s="723">
        <f>Model!DE732</f>
        <v>0.22296625810782827</v>
      </c>
      <c r="BB55" s="722">
        <f>Model!DF732</f>
        <v>0.24948721379655769</v>
      </c>
      <c r="BC55" s="722">
        <f>Model!DG732</f>
        <v>0.27161653117636564</v>
      </c>
      <c r="BD55" s="722">
        <f>Model!DH732</f>
        <v>0.28994514103202207</v>
      </c>
      <c r="BE55" s="722">
        <f>Model!DI732</f>
        <v>0.30632704007958611</v>
      </c>
    </row>
    <row r="56" spans="2:57" ht="15.95" customHeight="1">
      <c r="B56" s="702" t="s">
        <v>621</v>
      </c>
      <c r="C56" s="722">
        <f>Model!AH735</f>
        <v>0</v>
      </c>
      <c r="D56" s="722">
        <f>Model!AI735</f>
        <v>0</v>
      </c>
      <c r="E56" s="722">
        <f>Model!AJ735</f>
        <v>0</v>
      </c>
      <c r="F56" s="722">
        <f>Model!AK735</f>
        <v>0</v>
      </c>
      <c r="G56" s="722">
        <f>Model!AL735</f>
        <v>0</v>
      </c>
      <c r="H56" s="722">
        <f>Model!AM735</f>
        <v>0</v>
      </c>
      <c r="I56" s="722">
        <f>Model!AN735</f>
        <v>0</v>
      </c>
      <c r="J56" s="722">
        <f>Model!AO735</f>
        <v>0</v>
      </c>
      <c r="K56" s="722">
        <f>Model!AP735</f>
        <v>0</v>
      </c>
      <c r="L56" s="722">
        <f>Model!AQ735</f>
        <v>0</v>
      </c>
      <c r="M56" s="723">
        <f>Model!AR735</f>
        <v>0</v>
      </c>
      <c r="N56" s="723">
        <f>Model!AS735</f>
        <v>0</v>
      </c>
      <c r="O56" s="723">
        <f>Model!AT735</f>
        <v>0</v>
      </c>
      <c r="P56" s="723">
        <f>Model!AU735</f>
        <v>0</v>
      </c>
      <c r="Q56" s="723">
        <f>Model!AV735</f>
        <v>0</v>
      </c>
      <c r="R56" s="723">
        <f>Model!AW735</f>
        <v>0</v>
      </c>
      <c r="S56" s="723">
        <f>Model!AX735</f>
        <v>0</v>
      </c>
      <c r="T56" s="809">
        <f>Model!AY735</f>
        <v>0</v>
      </c>
      <c r="U56" s="724">
        <f>Model!AZ735</f>
        <v>0</v>
      </c>
      <c r="V56" s="723">
        <f>Model!BA735</f>
        <v>0</v>
      </c>
      <c r="W56" s="723">
        <f>Model!BB735</f>
        <v>0</v>
      </c>
      <c r="X56" s="723">
        <f>Model!BC735</f>
        <v>0</v>
      </c>
      <c r="Y56" s="723">
        <f>Model!BD735</f>
        <v>0</v>
      </c>
      <c r="Z56" s="723">
        <f>Model!BE735</f>
        <v>0</v>
      </c>
      <c r="AA56" s="723">
        <f>Model!BF735</f>
        <v>0</v>
      </c>
      <c r="AB56" s="723">
        <f>Model!BG735</f>
        <v>0</v>
      </c>
      <c r="AC56" s="723">
        <f>Model!BH735</f>
        <v>0.03</v>
      </c>
      <c r="AD56" s="723">
        <f>Model!BI735</f>
        <v>0.05</v>
      </c>
      <c r="AE56" s="723">
        <f>Model!BJ735</f>
        <v>0.04</v>
      </c>
      <c r="AF56" s="723">
        <f>Model!BK735</f>
        <v>0.06</v>
      </c>
      <c r="AG56" s="723">
        <f>Model!BL735</f>
        <v>0.06</v>
      </c>
      <c r="AH56" s="723">
        <f>Model!BM735</f>
        <v>0.08</v>
      </c>
      <c r="AI56" s="723">
        <f>Model!BN735</f>
        <v>0.08</v>
      </c>
      <c r="AJ56" s="723">
        <f>Model!BO735</f>
        <v>0.09</v>
      </c>
      <c r="AK56" s="723">
        <f>Model!BP735</f>
        <v>0.09</v>
      </c>
      <c r="AL56" s="723">
        <f>Model!BQ735</f>
        <v>0.09</v>
      </c>
      <c r="AM56" s="723"/>
      <c r="AN56" s="723">
        <f>Model!CR735</f>
        <v>0</v>
      </c>
      <c r="AO56" s="723">
        <f>Model!CS735</f>
        <v>0</v>
      </c>
      <c r="AP56" s="723">
        <f>Model!CT735</f>
        <v>0</v>
      </c>
      <c r="AQ56" s="723">
        <f>Model!CU735</f>
        <v>0</v>
      </c>
      <c r="AR56" s="723">
        <f>Model!CV735</f>
        <v>0</v>
      </c>
      <c r="AS56" s="723">
        <f>Model!CW735</f>
        <v>0</v>
      </c>
      <c r="AT56" s="723">
        <f>Model!CX735</f>
        <v>0</v>
      </c>
      <c r="AU56" s="723">
        <f>Model!CY735</f>
        <v>0</v>
      </c>
      <c r="AV56" s="724">
        <f>Model!CZ735</f>
        <v>0</v>
      </c>
      <c r="AW56" s="723">
        <f>Model!DA735</f>
        <v>0</v>
      </c>
      <c r="AX56" s="723">
        <f>Model!DB735</f>
        <v>0</v>
      </c>
      <c r="AY56" s="723">
        <f>Model!DC735</f>
        <v>0</v>
      </c>
      <c r="AZ56" s="723">
        <f>Model!DD735</f>
        <v>0</v>
      </c>
      <c r="BA56" s="723">
        <f>Model!DE735</f>
        <v>0.08</v>
      </c>
      <c r="BB56" s="722">
        <f>Model!DF735</f>
        <v>0.1</v>
      </c>
      <c r="BC56" s="722">
        <f>Model!DG735</f>
        <v>0.14000000000000001</v>
      </c>
      <c r="BD56" s="722">
        <f>Model!DH735</f>
        <v>0.16999999999999998</v>
      </c>
      <c r="BE56" s="722">
        <f>Model!DI735</f>
        <v>0.18</v>
      </c>
    </row>
    <row r="57" spans="2:57" ht="15.95" customHeight="1">
      <c r="C57" s="722"/>
      <c r="D57" s="722"/>
      <c r="E57" s="722"/>
      <c r="F57" s="722"/>
      <c r="G57" s="722"/>
      <c r="H57" s="722"/>
      <c r="I57" s="722"/>
      <c r="J57" s="722"/>
      <c r="K57" s="722"/>
      <c r="L57" s="722"/>
      <c r="M57" s="723"/>
      <c r="N57" s="723"/>
      <c r="O57" s="723"/>
      <c r="P57" s="723"/>
      <c r="Q57" s="723"/>
      <c r="R57" s="723"/>
      <c r="S57" s="723"/>
      <c r="T57" s="809"/>
      <c r="U57" s="724"/>
      <c r="V57" s="723"/>
      <c r="W57" s="723"/>
      <c r="X57" s="723"/>
      <c r="Y57" s="723"/>
      <c r="Z57" s="723"/>
      <c r="AA57" s="723"/>
      <c r="AB57" s="723"/>
      <c r="AC57" s="723"/>
      <c r="AD57" s="723"/>
      <c r="AE57" s="723"/>
      <c r="AF57" s="723"/>
      <c r="AG57" s="723"/>
      <c r="AH57" s="723"/>
      <c r="AI57" s="723"/>
      <c r="AJ57" s="723"/>
      <c r="AK57" s="723"/>
      <c r="AL57" s="723"/>
      <c r="AM57" s="723"/>
      <c r="AN57" s="723"/>
      <c r="AO57" s="723"/>
      <c r="AP57" s="723"/>
      <c r="AQ57" s="723"/>
      <c r="AR57" s="723"/>
      <c r="AS57" s="723"/>
      <c r="AT57" s="723"/>
      <c r="AU57" s="723"/>
      <c r="AV57" s="724"/>
      <c r="AW57" s="723"/>
      <c r="AX57" s="723"/>
      <c r="AY57" s="723"/>
      <c r="AZ57" s="723"/>
      <c r="BA57" s="723"/>
      <c r="BB57" s="722"/>
      <c r="BC57" s="722"/>
      <c r="BD57" s="722"/>
      <c r="BE57" s="722"/>
    </row>
    <row r="58" spans="2:57" ht="15.95" customHeight="1">
      <c r="B58" s="701" t="s">
        <v>1509</v>
      </c>
      <c r="C58" s="722"/>
      <c r="D58" s="722"/>
      <c r="E58" s="722"/>
      <c r="F58" s="722"/>
      <c r="G58" s="722"/>
      <c r="H58" s="722"/>
      <c r="I58" s="722"/>
      <c r="J58" s="722"/>
      <c r="K58" s="722"/>
      <c r="L58" s="722"/>
      <c r="M58" s="723"/>
      <c r="N58" s="723"/>
      <c r="O58" s="723"/>
      <c r="P58" s="723"/>
      <c r="Q58" s="723"/>
      <c r="R58" s="723"/>
      <c r="S58" s="723"/>
      <c r="T58" s="809"/>
      <c r="U58" s="724"/>
      <c r="V58" s="723"/>
      <c r="W58" s="723"/>
      <c r="X58" s="723"/>
      <c r="Y58" s="723"/>
      <c r="Z58" s="723"/>
      <c r="AA58" s="723"/>
      <c r="AB58" s="723"/>
      <c r="AC58" s="723"/>
      <c r="AD58" s="723"/>
      <c r="AE58" s="723"/>
      <c r="AF58" s="723"/>
      <c r="AG58" s="723"/>
      <c r="AH58" s="723"/>
      <c r="AI58" s="723"/>
      <c r="AJ58" s="723"/>
      <c r="AK58" s="723"/>
      <c r="AL58" s="723"/>
      <c r="AM58" s="723"/>
      <c r="AN58" s="723"/>
      <c r="AO58" s="723"/>
      <c r="AP58" s="723"/>
      <c r="AQ58" s="723"/>
      <c r="AR58" s="723"/>
      <c r="AS58" s="723"/>
      <c r="AT58" s="723"/>
      <c r="AU58" s="723"/>
      <c r="AV58" s="724"/>
      <c r="AW58" s="723"/>
      <c r="AX58" s="723"/>
      <c r="AY58" s="723"/>
      <c r="AZ58" s="723"/>
      <c r="BA58" s="723"/>
      <c r="BB58" s="722"/>
      <c r="BC58" s="722"/>
      <c r="BD58" s="722"/>
      <c r="BE58" s="722"/>
    </row>
    <row r="59" spans="2:57" ht="15.95" customHeight="1">
      <c r="B59" s="702" t="s">
        <v>2629</v>
      </c>
      <c r="C59" s="704">
        <f>Model!AH178</f>
        <v>0</v>
      </c>
      <c r="D59" s="704">
        <f>Model!AI178</f>
        <v>0</v>
      </c>
      <c r="E59" s="704">
        <f>Model!AJ178</f>
        <v>0</v>
      </c>
      <c r="F59" s="704">
        <f>Model!AK178</f>
        <v>0</v>
      </c>
      <c r="G59" s="704">
        <f>Model!AL178</f>
        <v>0</v>
      </c>
      <c r="H59" s="704">
        <f>Model!AM178</f>
        <v>0</v>
      </c>
      <c r="I59" s="704">
        <f>Model!AN178</f>
        <v>0</v>
      </c>
      <c r="J59" s="704">
        <f>Model!AO178</f>
        <v>0</v>
      </c>
      <c r="K59" s="704">
        <f>Model!AP178</f>
        <v>2627</v>
      </c>
      <c r="L59" s="704">
        <f>Model!AQ178</f>
        <v>3518</v>
      </c>
      <c r="M59" s="704">
        <f>Model!AR178</f>
        <v>4848</v>
      </c>
      <c r="N59" s="704">
        <f>Model!AS178</f>
        <v>6092</v>
      </c>
      <c r="O59" s="704">
        <f>Model!AT178</f>
        <v>7485.3</v>
      </c>
      <c r="P59" s="704">
        <f>Model!AU178</f>
        <v>8907.7999999999993</v>
      </c>
      <c r="Q59" s="704">
        <f>Model!AV178</f>
        <v>9702.9</v>
      </c>
      <c r="R59" s="704">
        <f>Model!AW178</f>
        <v>10711.4</v>
      </c>
      <c r="S59" s="704">
        <f>Model!AX178</f>
        <v>11646.9</v>
      </c>
      <c r="T59" s="805">
        <f>Model!AY178</f>
        <v>12465.3</v>
      </c>
      <c r="U59" s="705">
        <f>Model!AZ178</f>
        <v>13394</v>
      </c>
      <c r="V59" s="704">
        <f>Model!BA178</f>
        <v>14531.107552400001</v>
      </c>
      <c r="W59" s="704">
        <f>Model!BB178</f>
        <v>15462.159239376</v>
      </c>
      <c r="X59" s="704">
        <f>Model!BC178</f>
        <v>16660.073462857752</v>
      </c>
      <c r="Y59" s="704">
        <f>Model!BD178</f>
        <v>17668.523487448907</v>
      </c>
      <c r="Z59" s="704">
        <f>Model!BE178</f>
        <v>18975.173476338208</v>
      </c>
      <c r="AA59" s="704">
        <f>Model!BF178</f>
        <v>20039.781017689198</v>
      </c>
      <c r="AB59" s="704">
        <f>Model!BG178</f>
        <v>21428.93674139107</v>
      </c>
      <c r="AC59" s="704">
        <f>Model!BH178</f>
        <v>22441.335485795862</v>
      </c>
      <c r="AD59" s="704">
        <f>Model!BI178</f>
        <v>23797.993920066794</v>
      </c>
      <c r="AE59" s="704">
        <f>Model!BJ178</f>
        <v>24707.641379276243</v>
      </c>
      <c r="AF59" s="704">
        <f>Model!BK178</f>
        <v>25987.216021236076</v>
      </c>
      <c r="AG59" s="704">
        <f>Model!BL178</f>
        <v>26752.009442412913</v>
      </c>
      <c r="AH59" s="704">
        <f>Model!BM178</f>
        <v>27902.6834725837</v>
      </c>
      <c r="AI59" s="704">
        <f>Model!BN178</f>
        <v>28592.615995553591</v>
      </c>
      <c r="AJ59" s="704">
        <f>Model!BO178</f>
        <v>29688.489808930444</v>
      </c>
      <c r="AK59" s="704">
        <f>Model!BP178</f>
        <v>30422.757496402304</v>
      </c>
      <c r="AL59" s="704">
        <f>Model!BQ178</f>
        <v>31589.781034779586</v>
      </c>
      <c r="AN59" s="704">
        <f>Model!CR178</f>
        <v>0</v>
      </c>
      <c r="AO59" s="704">
        <f>Model!CS178</f>
        <v>0</v>
      </c>
      <c r="AP59" s="704">
        <f>Model!CT178</f>
        <v>238.27199999999999</v>
      </c>
      <c r="AQ59" s="704">
        <f>Model!CU178</f>
        <v>1788.5930000000001</v>
      </c>
      <c r="AR59" s="704">
        <f>Model!CV178</f>
        <v>3518</v>
      </c>
      <c r="AS59" s="704">
        <f>Model!CW178</f>
        <v>6092</v>
      </c>
      <c r="AT59" s="704">
        <f>Model!CX178</f>
        <v>8907.7999999999993</v>
      </c>
      <c r="AU59" s="704">
        <f>Model!CY178</f>
        <v>10711.4</v>
      </c>
      <c r="AV59" s="705">
        <f>Model!CZ178</f>
        <v>12465.3</v>
      </c>
      <c r="AW59" s="704">
        <f>Model!DA178</f>
        <v>14531.107552400001</v>
      </c>
      <c r="AX59" s="704">
        <f>Model!DB178</f>
        <v>16660.073462857752</v>
      </c>
      <c r="AY59" s="704">
        <f>Model!DC178</f>
        <v>18975.173476338208</v>
      </c>
      <c r="AZ59" s="704">
        <f>Model!DD178</f>
        <v>21428.93674139107</v>
      </c>
      <c r="BA59" s="704">
        <f>Model!DE178</f>
        <v>23797.993920066794</v>
      </c>
      <c r="BB59" s="704">
        <f>Model!DF178</f>
        <v>25987.216021236076</v>
      </c>
      <c r="BC59" s="704">
        <f>Model!DG178</f>
        <v>27902.6834725837</v>
      </c>
      <c r="BD59" s="704">
        <f>Model!DH178</f>
        <v>29688.489808930444</v>
      </c>
      <c r="BE59" s="704">
        <f>Model!DI178</f>
        <v>31589.781034779586</v>
      </c>
    </row>
    <row r="60" spans="2:57" ht="15.95" hidden="1" customHeight="1" outlineLevel="1">
      <c r="B60" s="708" t="s">
        <v>2631</v>
      </c>
      <c r="C60" s="709"/>
      <c r="D60" s="709"/>
      <c r="E60" s="709"/>
      <c r="F60" s="709"/>
      <c r="G60" s="709"/>
      <c r="H60" s="709"/>
      <c r="I60" s="709"/>
      <c r="J60" s="709"/>
      <c r="K60" s="709"/>
      <c r="L60" s="709"/>
      <c r="M60" s="709"/>
      <c r="N60" s="710">
        <f>N59/M59-1</f>
        <v>0.25660066006600668</v>
      </c>
      <c r="O60" s="710">
        <f t="shared" ref="O60:AL60" si="18">O59/N59-1</f>
        <v>0.22870978332239011</v>
      </c>
      <c r="P60" s="710">
        <f t="shared" si="18"/>
        <v>0.19003914338770644</v>
      </c>
      <c r="Q60" s="710">
        <f t="shared" si="18"/>
        <v>8.9258851792810789E-2</v>
      </c>
      <c r="R60" s="710">
        <f t="shared" si="18"/>
        <v>0.10393799791814828</v>
      </c>
      <c r="S60" s="710">
        <f t="shared" si="18"/>
        <v>8.7336856059898826E-2</v>
      </c>
      <c r="T60" s="807">
        <f t="shared" si="18"/>
        <v>7.0267624861551026E-2</v>
      </c>
      <c r="U60" s="711">
        <f t="shared" si="18"/>
        <v>7.4502819827842126E-2</v>
      </c>
      <c r="V60" s="710">
        <f t="shared" si="18"/>
        <v>8.4896786053456852E-2</v>
      </c>
      <c r="W60" s="710">
        <f t="shared" si="18"/>
        <v>6.4073002255235822E-2</v>
      </c>
      <c r="X60" s="710">
        <f t="shared" si="18"/>
        <v>7.7473928766115474E-2</v>
      </c>
      <c r="Y60" s="710">
        <f t="shared" si="18"/>
        <v>6.0530947047707118E-2</v>
      </c>
      <c r="Z60" s="710">
        <f t="shared" si="18"/>
        <v>7.3953547381449214E-2</v>
      </c>
      <c r="AA60" s="710">
        <f t="shared" si="18"/>
        <v>5.6105286345789818E-2</v>
      </c>
      <c r="AB60" s="710">
        <f t="shared" si="18"/>
        <v>6.9319905366014734E-2</v>
      </c>
      <c r="AC60" s="710">
        <f t="shared" si="18"/>
        <v>4.7244469318409754E-2</v>
      </c>
      <c r="AD60" s="710">
        <f t="shared" si="18"/>
        <v>6.0453551667173366E-2</v>
      </c>
      <c r="AE60" s="710">
        <f t="shared" si="18"/>
        <v>3.8223703319901325E-2</v>
      </c>
      <c r="AF60" s="710">
        <f t="shared" si="18"/>
        <v>5.1788619654852486E-2</v>
      </c>
      <c r="AG60" s="710">
        <f t="shared" si="18"/>
        <v>2.9429601868544486E-2</v>
      </c>
      <c r="AH60" s="710">
        <f t="shared" si="18"/>
        <v>4.3012620515395561E-2</v>
      </c>
      <c r="AI60" s="710">
        <f t="shared" si="18"/>
        <v>2.4726386035515135E-2</v>
      </c>
      <c r="AJ60" s="710">
        <f t="shared" si="18"/>
        <v>3.8327161584210012E-2</v>
      </c>
      <c r="AK60" s="710">
        <f t="shared" si="18"/>
        <v>2.4732402766104666E-2</v>
      </c>
      <c r="AL60" s="710">
        <f t="shared" si="18"/>
        <v>3.8360215654852814E-2</v>
      </c>
      <c r="AM60" s="710"/>
      <c r="AN60" s="710" t="e">
        <f t="shared" ref="AN60:BA60" si="19">AN59/AM59-1</f>
        <v>#DIV/0!</v>
      </c>
      <c r="AO60" s="710" t="e">
        <f t="shared" si="19"/>
        <v>#DIV/0!</v>
      </c>
      <c r="AP60" s="710" t="e">
        <f t="shared" si="19"/>
        <v>#DIV/0!</v>
      </c>
      <c r="AQ60" s="710">
        <f t="shared" si="19"/>
        <v>6.5065177612140754</v>
      </c>
      <c r="AR60" s="710">
        <f t="shared" si="19"/>
        <v>0.966909185040979</v>
      </c>
      <c r="AS60" s="710">
        <f t="shared" si="19"/>
        <v>0.73166571915861289</v>
      </c>
      <c r="AT60" s="710">
        <f t="shared" si="19"/>
        <v>0.46221273801707152</v>
      </c>
      <c r="AU60" s="710">
        <f t="shared" si="19"/>
        <v>0.20247423606277648</v>
      </c>
      <c r="AV60" s="711">
        <f t="shared" si="19"/>
        <v>0.16374143435965416</v>
      </c>
      <c r="AW60" s="710">
        <f t="shared" si="19"/>
        <v>0.16572465583660256</v>
      </c>
      <c r="AX60" s="710">
        <f t="shared" si="19"/>
        <v>0.14651091823390461</v>
      </c>
      <c r="AY60" s="710">
        <f t="shared" si="19"/>
        <v>0.13896097268969299</v>
      </c>
      <c r="AZ60" s="710">
        <f t="shared" si="19"/>
        <v>0.12931440485182777</v>
      </c>
      <c r="BA60" s="710">
        <f t="shared" si="19"/>
        <v>0.11055411695251172</v>
      </c>
      <c r="BB60" s="709"/>
      <c r="BC60" s="709"/>
      <c r="BD60" s="709"/>
      <c r="BE60" s="709"/>
    </row>
    <row r="61" spans="2:57" ht="15.95" customHeight="1" collapsed="1">
      <c r="B61" s="702" t="s">
        <v>1546</v>
      </c>
      <c r="C61" s="704">
        <f>Model!AH204</f>
        <v>0</v>
      </c>
      <c r="D61" s="704">
        <f>Model!AI204</f>
        <v>0</v>
      </c>
      <c r="E61" s="704">
        <f>Model!AJ204</f>
        <v>0</v>
      </c>
      <c r="F61" s="704">
        <f>Model!AK204</f>
        <v>0</v>
      </c>
      <c r="G61" s="704">
        <f>Model!AL204</f>
        <v>0</v>
      </c>
      <c r="H61" s="704">
        <f>Model!AM204</f>
        <v>0</v>
      </c>
      <c r="I61" s="704">
        <f>Model!AN204</f>
        <v>0</v>
      </c>
      <c r="J61" s="704">
        <f>Model!AO204</f>
        <v>0</v>
      </c>
      <c r="K61" s="704">
        <f>Model!AP204</f>
        <v>1986.7</v>
      </c>
      <c r="L61" s="704">
        <f>Model!AQ204</f>
        <v>2547.6999999999998</v>
      </c>
      <c r="M61" s="704">
        <f>Model!AR204</f>
        <v>3238.8</v>
      </c>
      <c r="N61" s="704">
        <f>Model!AS204</f>
        <v>4090.5</v>
      </c>
      <c r="O61" s="704">
        <f>Model!AT204</f>
        <v>5259.1</v>
      </c>
      <c r="P61" s="704">
        <f>Model!AU204</f>
        <v>5955</v>
      </c>
      <c r="Q61" s="704">
        <f>Model!AV204</f>
        <v>6921</v>
      </c>
      <c r="R61" s="704">
        <f>Model!AW204</f>
        <v>8228</v>
      </c>
      <c r="S61" s="704">
        <f>Model!AX204</f>
        <v>8990</v>
      </c>
      <c r="T61" s="805">
        <f>Model!AY204</f>
        <v>9879.2000000000007</v>
      </c>
      <c r="U61" s="705">
        <f>Model!AZ204</f>
        <v>10858</v>
      </c>
      <c r="V61" s="704">
        <f>Model!BA204</f>
        <v>11998.09</v>
      </c>
      <c r="W61" s="704">
        <f>Model!BB204</f>
        <v>12957.9372</v>
      </c>
      <c r="X61" s="704">
        <f>Model!BC204</f>
        <v>14188.941234000002</v>
      </c>
      <c r="Y61" s="704">
        <f>Model!BD204</f>
        <v>15202.457306344621</v>
      </c>
      <c r="Z61" s="704">
        <f>Model!BE204</f>
        <v>16498.4667917105</v>
      </c>
      <c r="AA61" s="704">
        <f>Model!BF204</f>
        <v>17662.928577869428</v>
      </c>
      <c r="AB61" s="704">
        <f>Model!BG204</f>
        <v>19086.913879817261</v>
      </c>
      <c r="AC61" s="704">
        <f>Model!BH204</f>
        <v>19988.664996995416</v>
      </c>
      <c r="AD61" s="704">
        <f>Model!BI204</f>
        <v>21197.0507891491</v>
      </c>
      <c r="AE61" s="704">
        <f>Model!BJ204</f>
        <v>22007.280569770413</v>
      </c>
      <c r="AF61" s="704">
        <f>Model!BK204</f>
        <v>23147.00725283588</v>
      </c>
      <c r="AG61" s="704">
        <f>Model!BL204</f>
        <v>23828.214460735151</v>
      </c>
      <c r="AH61" s="704">
        <f>Model!BM204</f>
        <v>24853.128406894215</v>
      </c>
      <c r="AI61" s="704">
        <f>Model!BN204</f>
        <v>25467.656454073305</v>
      </c>
      <c r="AJ61" s="704">
        <f>Model!BO204</f>
        <v>26443.759438159726</v>
      </c>
      <c r="AK61" s="704">
        <f>Model!BP204</f>
        <v>27097.777147234272</v>
      </c>
      <c r="AL61" s="704">
        <f>Model!BQ204</f>
        <v>28137.253722369322</v>
      </c>
      <c r="AN61" s="704">
        <f>Model!CR204</f>
        <v>0</v>
      </c>
      <c r="AO61" s="704">
        <f>Model!CS204</f>
        <v>0</v>
      </c>
      <c r="AP61" s="704">
        <f>Model!CT204</f>
        <v>104.4</v>
      </c>
      <c r="AQ61" s="704">
        <f>Model!CU204</f>
        <v>1386.3</v>
      </c>
      <c r="AR61" s="704">
        <f>Model!CV204</f>
        <v>2547.6999999999998</v>
      </c>
      <c r="AS61" s="704">
        <f>Model!CW204</f>
        <v>4090.5</v>
      </c>
      <c r="AT61" s="704">
        <f>Model!CX204</f>
        <v>5955</v>
      </c>
      <c r="AU61" s="704">
        <f>Model!CY204</f>
        <v>8228</v>
      </c>
      <c r="AV61" s="705">
        <f>Model!CZ204</f>
        <v>9879.2000000000007</v>
      </c>
      <c r="AW61" s="704">
        <f>Model!DA204</f>
        <v>11998.09</v>
      </c>
      <c r="AX61" s="704">
        <f>Model!DB204</f>
        <v>14188.941234000002</v>
      </c>
      <c r="AY61" s="704">
        <f>Model!DC204</f>
        <v>16498.4667917105</v>
      </c>
      <c r="AZ61" s="704">
        <f>Model!DD204</f>
        <v>19086.913879817261</v>
      </c>
      <c r="BA61" s="704">
        <f>Model!DE204</f>
        <v>21197.0507891491</v>
      </c>
      <c r="BB61" s="704">
        <f>Model!DF204</f>
        <v>23147.00725283588</v>
      </c>
      <c r="BC61" s="704">
        <f>Model!DG204</f>
        <v>24853.128406894215</v>
      </c>
      <c r="BD61" s="704">
        <f>Model!DH204</f>
        <v>26443.759438159726</v>
      </c>
      <c r="BE61" s="704">
        <f>Model!DI204</f>
        <v>28137.253722369322</v>
      </c>
    </row>
    <row r="62" spans="2:57" ht="15.95" customHeight="1">
      <c r="B62" s="702" t="s">
        <v>2655</v>
      </c>
      <c r="C62" s="704">
        <f>Model!AH613</f>
        <v>0</v>
      </c>
      <c r="D62" s="704">
        <f>Model!AI613</f>
        <v>0</v>
      </c>
      <c r="E62" s="704">
        <f>Model!AJ613</f>
        <v>0</v>
      </c>
      <c r="F62" s="704">
        <f>Model!AK613</f>
        <v>0</v>
      </c>
      <c r="G62" s="704">
        <f>Model!AL613</f>
        <v>0</v>
      </c>
      <c r="H62" s="704">
        <f>Model!AM613</f>
        <v>0</v>
      </c>
      <c r="I62" s="704">
        <f>Model!AN613</f>
        <v>0</v>
      </c>
      <c r="J62" s="704">
        <f>Model!AO613</f>
        <v>0</v>
      </c>
      <c r="K62" s="704">
        <f>Model!AP613</f>
        <v>3091</v>
      </c>
      <c r="L62" s="704">
        <f>Model!AQ613</f>
        <v>4094</v>
      </c>
      <c r="M62" s="704">
        <f>Model!AR613</f>
        <v>5520</v>
      </c>
      <c r="N62" s="704">
        <f>Model!AS613</f>
        <v>6311</v>
      </c>
      <c r="O62" s="704">
        <f>Model!AT613</f>
        <v>7734</v>
      </c>
      <c r="P62" s="704">
        <f>Model!AU613</f>
        <v>8179</v>
      </c>
      <c r="Q62" s="704">
        <f>Model!AV613</f>
        <v>8593</v>
      </c>
      <c r="R62" s="704">
        <f>Model!AW613</f>
        <v>9611</v>
      </c>
      <c r="S62" s="704">
        <f>Model!AX613</f>
        <v>10638</v>
      </c>
      <c r="T62" s="805">
        <f>Model!AY613</f>
        <v>11548</v>
      </c>
      <c r="U62" s="705">
        <f>Model!AZ613</f>
        <v>12714</v>
      </c>
      <c r="V62" s="704">
        <f>Model!BA613</f>
        <v>13959.902708202582</v>
      </c>
      <c r="W62" s="704">
        <f>Model!BB613</f>
        <v>14948.747433014558</v>
      </c>
      <c r="X62" s="704">
        <f>Model!BC613</f>
        <v>16044.269595977121</v>
      </c>
      <c r="Y62" s="704">
        <f>Model!BD613</f>
        <v>17170.180270810935</v>
      </c>
      <c r="Z62" s="704">
        <f>Model!BE613</f>
        <v>18530.028791559409</v>
      </c>
      <c r="AA62" s="704">
        <f>Model!BF613</f>
        <v>19742.53910628318</v>
      </c>
      <c r="AB62" s="704">
        <f>Model!BG613</f>
        <v>20987.450725300627</v>
      </c>
      <c r="AC62" s="704">
        <f>Model!BH613</f>
        <v>21963.769002229074</v>
      </c>
      <c r="AD62" s="704">
        <f>Model!BI613</f>
        <v>23163.978723589848</v>
      </c>
      <c r="AE62" s="704">
        <f>Model!BJ613</f>
        <v>24041.387291268376</v>
      </c>
      <c r="AF62" s="704">
        <f>Model!BK613</f>
        <v>25170.455598606302</v>
      </c>
      <c r="AG62" s="704">
        <f>Model!BL613</f>
        <v>25913.47094404485</v>
      </c>
      <c r="AH62" s="704">
        <f>Model!BM613</f>
        <v>26935.427852599882</v>
      </c>
      <c r="AI62" s="704">
        <f>Model!BN613</f>
        <v>27614.218624180445</v>
      </c>
      <c r="AJ62" s="704">
        <f>Model!BO613</f>
        <v>28572.409316673948</v>
      </c>
      <c r="AK62" s="704">
        <f>Model!BP613</f>
        <v>29298.95564841486</v>
      </c>
      <c r="AL62" s="704">
        <f>Model!BQ613</f>
        <v>30317.712023771619</v>
      </c>
      <c r="AN62" s="704">
        <f>Model!CR613</f>
        <v>0</v>
      </c>
      <c r="AO62" s="704">
        <f>Model!CS613</f>
        <v>0</v>
      </c>
      <c r="AP62" s="704">
        <f>Model!CT613</f>
        <v>443.8</v>
      </c>
      <c r="AQ62" s="704">
        <f>Model!CU613</f>
        <v>2286.6</v>
      </c>
      <c r="AR62" s="704">
        <f>Model!CV613</f>
        <v>4094</v>
      </c>
      <c r="AS62" s="704">
        <f>Model!CW613</f>
        <v>6311</v>
      </c>
      <c r="AT62" s="704">
        <f>Model!CX613</f>
        <v>8179</v>
      </c>
      <c r="AU62" s="704">
        <f>Model!CY613</f>
        <v>9611</v>
      </c>
      <c r="AV62" s="705">
        <f>Model!CZ613</f>
        <v>11548</v>
      </c>
      <c r="AW62" s="704">
        <f>Model!DA613</f>
        <v>13959.902708202582</v>
      </c>
      <c r="AX62" s="704">
        <f>Model!DB613</f>
        <v>16044.269595977121</v>
      </c>
      <c r="AY62" s="704">
        <f>Model!DC613</f>
        <v>18530.028791559409</v>
      </c>
      <c r="AZ62" s="704">
        <f>Model!DD613</f>
        <v>20987.450725300627</v>
      </c>
      <c r="BA62" s="704">
        <f>Model!DE613</f>
        <v>23163.978723589848</v>
      </c>
      <c r="BB62" s="704">
        <f>Model!DF613</f>
        <v>25170.455598606302</v>
      </c>
      <c r="BC62" s="704">
        <f>Model!DG613</f>
        <v>26935.427852599882</v>
      </c>
      <c r="BD62" s="704">
        <f>Model!DH613</f>
        <v>28572.409316673948</v>
      </c>
      <c r="BE62" s="704">
        <f>Model!DI613</f>
        <v>30317.712023771619</v>
      </c>
    </row>
    <row r="63" spans="2:57" ht="15.95" customHeight="1">
      <c r="B63" s="702" t="s">
        <v>2656</v>
      </c>
      <c r="C63" s="704">
        <f>Model!AH538</f>
        <v>0</v>
      </c>
      <c r="D63" s="704">
        <f>Model!AI538</f>
        <v>0</v>
      </c>
      <c r="E63" s="704">
        <f>Model!AJ538</f>
        <v>0</v>
      </c>
      <c r="F63" s="704">
        <f>Model!AK538</f>
        <v>0</v>
      </c>
      <c r="G63" s="704">
        <f>Model!AL538</f>
        <v>0</v>
      </c>
      <c r="H63" s="704">
        <f>Model!AM538</f>
        <v>0</v>
      </c>
      <c r="I63" s="704">
        <f>Model!AN538</f>
        <v>0</v>
      </c>
      <c r="J63" s="704">
        <f>Model!AO538</f>
        <v>0</v>
      </c>
      <c r="K63" s="704">
        <f>Model!AP538</f>
        <v>684.5</v>
      </c>
      <c r="L63" s="704">
        <f>Model!AQ538</f>
        <v>1075.7000000000003</v>
      </c>
      <c r="M63" s="704">
        <f>Model!AR538</f>
        <v>1395.1</v>
      </c>
      <c r="N63" s="704">
        <f>Model!AS538</f>
        <v>1404.6000000000001</v>
      </c>
      <c r="O63" s="704">
        <f>Model!AT538</f>
        <v>1442</v>
      </c>
      <c r="P63" s="704">
        <f>Model!AU538</f>
        <v>1477.1</v>
      </c>
      <c r="Q63" s="704">
        <f>Model!AV538</f>
        <v>1550.5</v>
      </c>
      <c r="R63" s="704">
        <f>Model!AW538</f>
        <v>1565.3</v>
      </c>
      <c r="S63" s="704">
        <f>Model!AX538</f>
        <v>1626.4</v>
      </c>
      <c r="T63" s="805">
        <f>Model!AY538</f>
        <v>1686.6</v>
      </c>
      <c r="U63" s="705">
        <f>Model!AZ538</f>
        <v>1725.3</v>
      </c>
      <c r="V63" s="704">
        <f>Model!BA538</f>
        <v>1798.7623215140325</v>
      </c>
      <c r="W63" s="704">
        <f>Model!BB538</f>
        <v>1878.6124038821968</v>
      </c>
      <c r="X63" s="704">
        <f>Model!BC538</f>
        <v>1961.3260362007127</v>
      </c>
      <c r="Y63" s="704">
        <f>Model!BD538</f>
        <v>2202.6292380154846</v>
      </c>
      <c r="Z63" s="704">
        <f>Model!BE538</f>
        <v>2308.4710328173446</v>
      </c>
      <c r="AA63" s="704">
        <f>Model!BF538</f>
        <v>2429.5550348089255</v>
      </c>
      <c r="AB63" s="704">
        <f>Model!BG538</f>
        <v>2561.5575074860694</v>
      </c>
      <c r="AC63" s="704">
        <f>Model!BH538</f>
        <v>2707.1564668647457</v>
      </c>
      <c r="AD63" s="704">
        <f>Model!BI538</f>
        <v>2822.9568300924384</v>
      </c>
      <c r="AE63" s="704">
        <f>Model!BJ538</f>
        <v>2927.4826524828104</v>
      </c>
      <c r="AF63" s="704">
        <f>Model!BK538</f>
        <v>3048.5680844933236</v>
      </c>
      <c r="AG63" s="704">
        <f>Model!BL538</f>
        <v>3156.4314174299698</v>
      </c>
      <c r="AH63" s="704">
        <f>Model!BM538</f>
        <v>3268.2155468264</v>
      </c>
      <c r="AI63" s="704">
        <f>Model!BN538</f>
        <v>3365.9311287725923</v>
      </c>
      <c r="AJ63" s="704">
        <f>Model!BO538</f>
        <v>3464.8759411049059</v>
      </c>
      <c r="AK63" s="704">
        <f>Model!BP538</f>
        <v>3561.8351687981913</v>
      </c>
      <c r="AL63" s="704">
        <f>Model!BQ538</f>
        <v>3659.7518105691402</v>
      </c>
      <c r="AN63" s="704">
        <f>Model!CR538</f>
        <v>0</v>
      </c>
      <c r="AO63" s="704">
        <f>Model!CS538</f>
        <v>0</v>
      </c>
      <c r="AP63" s="704">
        <f>Model!CT538</f>
        <v>0</v>
      </c>
      <c r="AQ63" s="704">
        <f>Model!CU538</f>
        <v>0</v>
      </c>
      <c r="AR63" s="704">
        <f>Model!CV538</f>
        <v>1075.7000000000003</v>
      </c>
      <c r="AS63" s="704">
        <f>Model!CW538</f>
        <v>1404.6</v>
      </c>
      <c r="AT63" s="704">
        <f>Model!CX538</f>
        <v>1477.1</v>
      </c>
      <c r="AU63" s="704">
        <f>Model!CY538</f>
        <v>1565.3</v>
      </c>
      <c r="AV63" s="705">
        <f>Model!CZ538</f>
        <v>1686.6</v>
      </c>
      <c r="AW63" s="704">
        <f>Model!DA538</f>
        <v>1798.7623215140327</v>
      </c>
      <c r="AX63" s="704">
        <f>Model!DB538</f>
        <v>1961.3260362007131</v>
      </c>
      <c r="AY63" s="704">
        <f>Model!DC538</f>
        <v>2308.4710328173446</v>
      </c>
      <c r="AZ63" s="704">
        <f>Model!DD538</f>
        <v>2561.5575074860694</v>
      </c>
      <c r="BA63" s="704">
        <f>Model!DE538</f>
        <v>2822.9568300924384</v>
      </c>
      <c r="BB63" s="704">
        <f>Model!DF538</f>
        <v>3048.5680844933236</v>
      </c>
      <c r="BC63" s="704">
        <f>Model!DG538</f>
        <v>3268.2155468264</v>
      </c>
      <c r="BD63" s="704">
        <f>Model!DH538</f>
        <v>3464.8759411049055</v>
      </c>
      <c r="BE63" s="704">
        <f>Model!DI538</f>
        <v>3659.7518105691397</v>
      </c>
    </row>
    <row r="64" spans="2:57" ht="15.95" customHeight="1">
      <c r="Q64" s="712"/>
      <c r="R64" s="712"/>
      <c r="S64" s="712"/>
      <c r="T64" s="810"/>
      <c r="U64" s="721"/>
      <c r="V64" s="712"/>
      <c r="AV64" s="721"/>
      <c r="AW64" s="712"/>
    </row>
    <row r="65" spans="2:59" ht="15.95" customHeight="1">
      <c r="B65" s="701" t="s">
        <v>721</v>
      </c>
      <c r="Q65" s="712"/>
      <c r="R65" s="712"/>
      <c r="S65" s="712"/>
      <c r="T65" s="810"/>
      <c r="U65" s="721"/>
      <c r="V65" s="712"/>
      <c r="AV65" s="721"/>
      <c r="AW65" s="712"/>
    </row>
    <row r="66" spans="2:59" ht="15.95" customHeight="1">
      <c r="B66" s="702" t="s">
        <v>2626</v>
      </c>
      <c r="C66" s="704">
        <f>Model!AH239</f>
        <v>0</v>
      </c>
      <c r="D66" s="704">
        <f>Model!AI239</f>
        <v>0</v>
      </c>
      <c r="E66" s="704">
        <f>Model!AJ239</f>
        <v>0</v>
      </c>
      <c r="F66" s="704">
        <f>Model!AK239</f>
        <v>0</v>
      </c>
      <c r="G66" s="704">
        <f>Model!AL239</f>
        <v>0</v>
      </c>
      <c r="H66" s="704">
        <f>Model!AM239</f>
        <v>0</v>
      </c>
      <c r="I66" s="704">
        <f>Model!AN239</f>
        <v>0</v>
      </c>
      <c r="J66" s="704">
        <f>Model!AO239</f>
        <v>0</v>
      </c>
      <c r="K66" s="704">
        <f>Model!AP239</f>
        <v>3045</v>
      </c>
      <c r="L66" s="704">
        <f>Model!AQ239</f>
        <v>4949</v>
      </c>
      <c r="M66" s="704">
        <f>Model!AR239</f>
        <v>7689</v>
      </c>
      <c r="N66" s="704">
        <f>Model!AS239</f>
        <v>8690</v>
      </c>
      <c r="O66" s="704">
        <f>Model!AT239</f>
        <v>10003</v>
      </c>
      <c r="P66" s="704">
        <f>Model!AU239</f>
        <v>11133</v>
      </c>
      <c r="Q66" s="704">
        <f>Model!AV239</f>
        <v>12860</v>
      </c>
      <c r="R66" s="704">
        <f>Model!AW239</f>
        <v>13459</v>
      </c>
      <c r="S66" s="704">
        <f>Model!AX239</f>
        <v>13636</v>
      </c>
      <c r="T66" s="805">
        <f>Model!AY239</f>
        <v>14205</v>
      </c>
      <c r="U66" s="705">
        <f>Model!AZ239</f>
        <v>15419</v>
      </c>
      <c r="V66" s="704">
        <f>Model!BA239</f>
        <v>16719.904589230937</v>
      </c>
      <c r="W66" s="704">
        <f>Model!BB239</f>
        <v>17817.450963744683</v>
      </c>
      <c r="X66" s="704">
        <f>Model!BC239</f>
        <v>19176.188634142291</v>
      </c>
      <c r="Y66" s="704">
        <f>Model!BD239</f>
        <v>20354.899101248338</v>
      </c>
      <c r="Z66" s="704">
        <f>Model!BE239</f>
        <v>21822.389594773107</v>
      </c>
      <c r="AA66" s="704">
        <f>Model!BF239</f>
        <v>23068.443099638302</v>
      </c>
      <c r="AB66" s="704">
        <f>Model!BG239</f>
        <v>24634.038251574348</v>
      </c>
      <c r="AC66" s="704">
        <f>Model!BH239</f>
        <v>25811.678778088648</v>
      </c>
      <c r="AD66" s="704">
        <f>Model!BI239</f>
        <v>27298.070479946011</v>
      </c>
      <c r="AE66" s="704">
        <f>Model!BJ239</f>
        <v>28345.918077298324</v>
      </c>
      <c r="AF66" s="704">
        <f>Model!BK239</f>
        <v>29740.977275251742</v>
      </c>
      <c r="AG66" s="704">
        <f>Model!BL239</f>
        <v>30629.889357501452</v>
      </c>
      <c r="AH66" s="704">
        <f>Model!BM239</f>
        <v>31877.933684952244</v>
      </c>
      <c r="AI66" s="704">
        <f>Model!BN239</f>
        <v>32677.499359798996</v>
      </c>
      <c r="AJ66" s="704">
        <f>Model!BO239</f>
        <v>33861.38946661941</v>
      </c>
      <c r="AK66" s="704">
        <f>Model!BP239</f>
        <v>34700.960547124021</v>
      </c>
      <c r="AL66" s="704">
        <f>Model!BQ239</f>
        <v>35959.956828962218</v>
      </c>
      <c r="AN66" s="704">
        <f>Model!CR239</f>
        <v>0</v>
      </c>
      <c r="AO66" s="704">
        <f>Model!CS239</f>
        <v>0</v>
      </c>
      <c r="AP66" s="704">
        <f>Model!CT239</f>
        <v>161.88679245283018</v>
      </c>
      <c r="AQ66" s="704">
        <f>Model!CU239</f>
        <v>1392</v>
      </c>
      <c r="AR66" s="704">
        <f>Model!CV239</f>
        <v>4034</v>
      </c>
      <c r="AS66" s="704">
        <f>Model!CW239</f>
        <v>8179</v>
      </c>
      <c r="AT66" s="704">
        <f>Model!CX239</f>
        <v>10555</v>
      </c>
      <c r="AU66" s="704">
        <f>Model!CY239</f>
        <v>13130</v>
      </c>
      <c r="AV66" s="705">
        <f>Model!CZ239</f>
        <v>13918.161643835616</v>
      </c>
      <c r="AW66" s="704">
        <f>Model!DA239</f>
        <v>16064.106111372053</v>
      </c>
      <c r="AX66" s="704">
        <f>Model!DB239</f>
        <v>18491.235945503497</v>
      </c>
      <c r="AY66" s="704">
        <f>Model!DC239</f>
        <v>21084.634811143165</v>
      </c>
      <c r="AZ66" s="704">
        <f>Model!DD239</f>
        <v>23844.806722927133</v>
      </c>
      <c r="BA66" s="704">
        <f>Model!DE239</f>
        <v>26548.7661699686</v>
      </c>
      <c r="BB66" s="704">
        <f>Model!DF239</f>
        <v>29037.714556283441</v>
      </c>
      <c r="BC66" s="704">
        <f>Model!DG239</f>
        <v>31250.501564048023</v>
      </c>
      <c r="BD66" s="704">
        <f>Model!DH239</f>
        <v>33264.579111400351</v>
      </c>
      <c r="BE66" s="704">
        <f>Model!DI239</f>
        <v>35325.284730720501</v>
      </c>
    </row>
    <row r="67" spans="2:59" ht="15.95" hidden="1" customHeight="1" outlineLevel="1">
      <c r="B67" s="708" t="s">
        <v>2631</v>
      </c>
      <c r="C67" s="709"/>
      <c r="D67" s="709"/>
      <c r="E67" s="709"/>
      <c r="F67" s="709"/>
      <c r="G67" s="709"/>
      <c r="H67" s="709"/>
      <c r="I67" s="709"/>
      <c r="J67" s="709"/>
      <c r="K67" s="709"/>
      <c r="L67" s="709"/>
      <c r="M67" s="709"/>
      <c r="N67" s="710">
        <f>N66/M66-1</f>
        <v>0.13018597997138759</v>
      </c>
      <c r="O67" s="710">
        <f t="shared" ref="O67:AL67" si="20">O66/N66-1</f>
        <v>0.15109321058688141</v>
      </c>
      <c r="P67" s="710">
        <f t="shared" si="20"/>
        <v>0.11296611016694991</v>
      </c>
      <c r="Q67" s="710">
        <f t="shared" si="20"/>
        <v>0.15512440492230306</v>
      </c>
      <c r="R67" s="710">
        <f t="shared" si="20"/>
        <v>4.6578538102643785E-2</v>
      </c>
      <c r="S67" s="710">
        <f t="shared" si="20"/>
        <v>1.3151051341109943E-2</v>
      </c>
      <c r="T67" s="807">
        <f t="shared" si="20"/>
        <v>4.1727779407450871E-2</v>
      </c>
      <c r="U67" s="711">
        <f t="shared" si="20"/>
        <v>8.546286518831403E-2</v>
      </c>
      <c r="V67" s="710">
        <f t="shared" si="20"/>
        <v>8.4370230834096782E-2</v>
      </c>
      <c r="W67" s="710">
        <f t="shared" si="20"/>
        <v>6.5643100333279358E-2</v>
      </c>
      <c r="X67" s="710">
        <f t="shared" si="20"/>
        <v>7.6258813517286805E-2</v>
      </c>
      <c r="Y67" s="710">
        <f t="shared" si="20"/>
        <v>6.1467400513958825E-2</v>
      </c>
      <c r="Z67" s="710">
        <f t="shared" si="20"/>
        <v>7.2095198616571432E-2</v>
      </c>
      <c r="AA67" s="710">
        <f t="shared" si="20"/>
        <v>5.7099773581333668E-2</v>
      </c>
      <c r="AB67" s="710">
        <f t="shared" si="20"/>
        <v>6.7867395522699825E-2</v>
      </c>
      <c r="AC67" s="710">
        <f t="shared" si="20"/>
        <v>4.7805419253135861E-2</v>
      </c>
      <c r="AD67" s="710">
        <f t="shared" si="20"/>
        <v>5.7586014247130279E-2</v>
      </c>
      <c r="AE67" s="710">
        <f t="shared" si="20"/>
        <v>3.8385408892620987E-2</v>
      </c>
      <c r="AF67" s="710">
        <f t="shared" si="20"/>
        <v>4.9215523524379856E-2</v>
      </c>
      <c r="AG67" s="710">
        <f t="shared" si="20"/>
        <v>2.9888462440990304E-2</v>
      </c>
      <c r="AH67" s="710">
        <f t="shared" si="20"/>
        <v>4.0745962640741151E-2</v>
      </c>
      <c r="AI67" s="710">
        <f t="shared" si="20"/>
        <v>2.5082104842453434E-2</v>
      </c>
      <c r="AJ67" s="710">
        <f t="shared" si="20"/>
        <v>3.6229519700545998E-2</v>
      </c>
      <c r="AK67" s="710">
        <f t="shared" si="20"/>
        <v>2.4794348186221393E-2</v>
      </c>
      <c r="AL67" s="710">
        <f t="shared" si="20"/>
        <v>3.6281309277548024E-2</v>
      </c>
      <c r="AM67" s="710"/>
      <c r="AN67" s="710" t="e">
        <f t="shared" ref="AN67:BA67" si="21">AN66/AM66-1</f>
        <v>#DIV/0!</v>
      </c>
      <c r="AO67" s="710" t="e">
        <f t="shared" si="21"/>
        <v>#DIV/0!</v>
      </c>
      <c r="AP67" s="710" t="e">
        <f t="shared" si="21"/>
        <v>#DIV/0!</v>
      </c>
      <c r="AQ67" s="710">
        <f t="shared" si="21"/>
        <v>7.5986013986013994</v>
      </c>
      <c r="AR67" s="710">
        <f t="shared" si="21"/>
        <v>1.8979885057471266</v>
      </c>
      <c r="AS67" s="710">
        <f t="shared" si="21"/>
        <v>1.0275161130391672</v>
      </c>
      <c r="AT67" s="710">
        <f t="shared" si="21"/>
        <v>0.29050006113216775</v>
      </c>
      <c r="AU67" s="710">
        <f t="shared" si="21"/>
        <v>0.24396020843202271</v>
      </c>
      <c r="AV67" s="711">
        <f t="shared" si="21"/>
        <v>6.0027543323352361E-2</v>
      </c>
      <c r="AW67" s="710">
        <f t="shared" si="21"/>
        <v>0.15418303957454627</v>
      </c>
      <c r="AX67" s="710">
        <f t="shared" si="21"/>
        <v>0.1510902516021877</v>
      </c>
      <c r="AY67" s="710">
        <f t="shared" si="21"/>
        <v>0.14025016355222619</v>
      </c>
      <c r="AZ67" s="710">
        <f t="shared" si="21"/>
        <v>0.13090916378239692</v>
      </c>
      <c r="BA67" s="710">
        <f t="shared" si="21"/>
        <v>0.11339825390329428</v>
      </c>
      <c r="BB67" s="709"/>
      <c r="BC67" s="709"/>
      <c r="BD67" s="709"/>
      <c r="BE67" s="709"/>
    </row>
    <row r="68" spans="2:59" ht="15.95" customHeight="1" collapsed="1">
      <c r="B68" s="702" t="s">
        <v>2657</v>
      </c>
      <c r="C68" s="704">
        <f>Model!AH237</f>
        <v>0</v>
      </c>
      <c r="D68" s="704">
        <f>Model!AI237</f>
        <v>0</v>
      </c>
      <c r="E68" s="704">
        <f>Model!AJ237</f>
        <v>0</v>
      </c>
      <c r="F68" s="704">
        <f>Model!AK237</f>
        <v>0</v>
      </c>
      <c r="G68" s="704">
        <f>Model!AL237</f>
        <v>0</v>
      </c>
      <c r="H68" s="704">
        <f>Model!AM237</f>
        <v>0</v>
      </c>
      <c r="I68" s="704">
        <f>Model!AN237</f>
        <v>0</v>
      </c>
      <c r="J68" s="704">
        <f>Model!AO237</f>
        <v>0</v>
      </c>
      <c r="K68" s="704">
        <f>Model!AP237</f>
        <v>2200</v>
      </c>
      <c r="L68" s="704">
        <f>Model!AQ237</f>
        <v>2959</v>
      </c>
      <c r="M68" s="704">
        <f>Model!AR237</f>
        <v>4169</v>
      </c>
      <c r="N68" s="704">
        <f>Model!AS237</f>
        <v>5387</v>
      </c>
      <c r="O68" s="704">
        <f>Model!AT237</f>
        <v>6781</v>
      </c>
      <c r="P68" s="704">
        <f>Model!AU237</f>
        <v>8050</v>
      </c>
      <c r="Q68" s="704">
        <f>Model!AV237</f>
        <v>9350</v>
      </c>
      <c r="R68" s="704">
        <f>Model!AW237</f>
        <v>10026</v>
      </c>
      <c r="S68" s="704">
        <f>Model!AX237</f>
        <v>11224</v>
      </c>
      <c r="T68" s="805">
        <f>Model!AY237</f>
        <v>11797</v>
      </c>
      <c r="U68" s="705">
        <f>Model!AZ237</f>
        <v>12845</v>
      </c>
      <c r="V68" s="704">
        <f>Model!BA237</f>
        <v>13935.499216856653</v>
      </c>
      <c r="W68" s="704">
        <f>Model!BB237</f>
        <v>14828.388489606146</v>
      </c>
      <c r="X68" s="704">
        <f>Model!BC237</f>
        <v>15977.20200316618</v>
      </c>
      <c r="Y68" s="704">
        <f>Model!BD237</f>
        <v>16944.317171590352</v>
      </c>
      <c r="Z68" s="704">
        <f>Model!BE237</f>
        <v>18197.409534385861</v>
      </c>
      <c r="AA68" s="704">
        <f>Model!BF237</f>
        <v>19218.380407064185</v>
      </c>
      <c r="AB68" s="704">
        <f>Model!BG237</f>
        <v>20550.596718169945</v>
      </c>
      <c r="AC68" s="704">
        <f>Model!BH237</f>
        <v>21521.498754296539</v>
      </c>
      <c r="AD68" s="704">
        <f>Model!BI237</f>
        <v>22822.549791194411</v>
      </c>
      <c r="AE68" s="704">
        <f>Model!BJ237</f>
        <v>23694.912163416702</v>
      </c>
      <c r="AF68" s="704">
        <f>Model!BK237</f>
        <v>24922.038957203029</v>
      </c>
      <c r="AG68" s="704">
        <f>Model!BL237</f>
        <v>25655.484641465871</v>
      </c>
      <c r="AH68" s="704">
        <f>Model!BM237</f>
        <v>26758.994266487804</v>
      </c>
      <c r="AI68" s="704">
        <f>Model!BN237</f>
        <v>27420.647488643117</v>
      </c>
      <c r="AJ68" s="704">
        <f>Model!BO237</f>
        <v>28471.603075684005</v>
      </c>
      <c r="AK68" s="704">
        <f>Model!BP237</f>
        <v>29175.774230348485</v>
      </c>
      <c r="AL68" s="704">
        <f>Model!BQ237</f>
        <v>30294.963221721951</v>
      </c>
      <c r="AN68" s="704">
        <f>Model!CR237</f>
        <v>0</v>
      </c>
      <c r="AO68" s="704">
        <f>Model!CS237</f>
        <v>0</v>
      </c>
      <c r="AP68" s="704">
        <f>Model!CT237</f>
        <v>88.956000000000003</v>
      </c>
      <c r="AQ68" s="704">
        <f>Model!CU237</f>
        <v>970.11199999999997</v>
      </c>
      <c r="AR68" s="704">
        <f>Model!CV237</f>
        <v>2576.433</v>
      </c>
      <c r="AS68" s="704">
        <f>Model!CW237</f>
        <v>4773</v>
      </c>
      <c r="AT68" s="704">
        <f>Model!CX237</f>
        <v>7410</v>
      </c>
      <c r="AU68" s="704">
        <f>Model!CY237</f>
        <v>9687</v>
      </c>
      <c r="AV68" s="705">
        <f>Model!CZ237</f>
        <v>11508.145205479452</v>
      </c>
      <c r="AW68" s="704">
        <f>Model!DA237</f>
        <v>13385.768104797407</v>
      </c>
      <c r="AX68" s="704">
        <f>Model!DB237</f>
        <v>15398.074094960573</v>
      </c>
      <c r="AY68" s="704">
        <f>Model!DC237</f>
        <v>17567.439603362982</v>
      </c>
      <c r="AZ68" s="704">
        <f>Model!DD237</f>
        <v>19879.013701064578</v>
      </c>
      <c r="BA68" s="704">
        <f>Model!DE237</f>
        <v>22166.677487662331</v>
      </c>
      <c r="BB68" s="704">
        <f>Model!DF237</f>
        <v>24303.43257348609</v>
      </c>
      <c r="BC68" s="704">
        <f>Model!DG237</f>
        <v>26204.224400356554</v>
      </c>
      <c r="BD68" s="704">
        <f>Model!DH237</f>
        <v>27941.806286600378</v>
      </c>
      <c r="BE68" s="704">
        <f>Model!DI237</f>
        <v>29730.769319221356</v>
      </c>
    </row>
    <row r="69" spans="2:59" ht="15.95" hidden="1" customHeight="1" outlineLevel="1">
      <c r="B69" s="708" t="s">
        <v>2631</v>
      </c>
      <c r="C69" s="709"/>
      <c r="D69" s="709"/>
      <c r="E69" s="709"/>
      <c r="F69" s="709"/>
      <c r="G69" s="709"/>
      <c r="H69" s="709"/>
      <c r="I69" s="709"/>
      <c r="J69" s="709"/>
      <c r="K69" s="709"/>
      <c r="L69" s="709"/>
      <c r="M69" s="709"/>
      <c r="N69" s="710">
        <f>N68/M68-1</f>
        <v>0.2921563924202446</v>
      </c>
      <c r="O69" s="710">
        <f t="shared" ref="O69:AL69" si="22">O68/N68-1</f>
        <v>0.25877111564878419</v>
      </c>
      <c r="P69" s="710">
        <f t="shared" si="22"/>
        <v>0.18714053974340072</v>
      </c>
      <c r="Q69" s="710">
        <f t="shared" si="22"/>
        <v>0.16149068322981375</v>
      </c>
      <c r="R69" s="710">
        <f t="shared" si="22"/>
        <v>7.229946524064168E-2</v>
      </c>
      <c r="S69" s="710">
        <f t="shared" si="22"/>
        <v>0.11948932774785548</v>
      </c>
      <c r="T69" s="807">
        <f t="shared" si="22"/>
        <v>5.1051318602993501E-2</v>
      </c>
      <c r="U69" s="711">
        <f t="shared" si="22"/>
        <v>8.8836144782571846E-2</v>
      </c>
      <c r="V69" s="710">
        <f t="shared" si="22"/>
        <v>8.4896786053456852E-2</v>
      </c>
      <c r="W69" s="710">
        <f t="shared" si="22"/>
        <v>6.4073002255235822E-2</v>
      </c>
      <c r="X69" s="710">
        <f t="shared" si="22"/>
        <v>7.7473928766115474E-2</v>
      </c>
      <c r="Y69" s="710">
        <f t="shared" si="22"/>
        <v>6.0530947047707118E-2</v>
      </c>
      <c r="Z69" s="710">
        <f t="shared" si="22"/>
        <v>7.3953547381449214E-2</v>
      </c>
      <c r="AA69" s="710">
        <f t="shared" si="22"/>
        <v>5.6105286345789818E-2</v>
      </c>
      <c r="AB69" s="710">
        <f t="shared" si="22"/>
        <v>6.9319905366014734E-2</v>
      </c>
      <c r="AC69" s="710">
        <f t="shared" si="22"/>
        <v>4.7244469318409754E-2</v>
      </c>
      <c r="AD69" s="710">
        <f t="shared" si="22"/>
        <v>6.0453551667173366E-2</v>
      </c>
      <c r="AE69" s="710">
        <f t="shared" si="22"/>
        <v>3.8223703319901325E-2</v>
      </c>
      <c r="AF69" s="710">
        <f t="shared" si="22"/>
        <v>5.1788619654852486E-2</v>
      </c>
      <c r="AG69" s="710">
        <f t="shared" si="22"/>
        <v>2.9429601868544486E-2</v>
      </c>
      <c r="AH69" s="710">
        <f t="shared" si="22"/>
        <v>4.3012620515395561E-2</v>
      </c>
      <c r="AI69" s="710">
        <f t="shared" si="22"/>
        <v>2.4726386035515135E-2</v>
      </c>
      <c r="AJ69" s="710">
        <f t="shared" si="22"/>
        <v>3.8327161584210012E-2</v>
      </c>
      <c r="AK69" s="710">
        <f t="shared" si="22"/>
        <v>2.4732402766104666E-2</v>
      </c>
      <c r="AL69" s="710">
        <f t="shared" si="22"/>
        <v>3.8360215654852814E-2</v>
      </c>
      <c r="AM69" s="710"/>
      <c r="AN69" s="710" t="e">
        <f t="shared" ref="AN69:BA69" si="23">AN68/AM68-1</f>
        <v>#DIV/0!</v>
      </c>
      <c r="AO69" s="710" t="e">
        <f t="shared" si="23"/>
        <v>#DIV/0!</v>
      </c>
      <c r="AP69" s="710" t="e">
        <f t="shared" si="23"/>
        <v>#DIV/0!</v>
      </c>
      <c r="AQ69" s="710">
        <f t="shared" si="23"/>
        <v>9.9055263276226437</v>
      </c>
      <c r="AR69" s="710">
        <f t="shared" si="23"/>
        <v>1.6558098446364955</v>
      </c>
      <c r="AS69" s="710">
        <f t="shared" si="23"/>
        <v>0.85256127366789669</v>
      </c>
      <c r="AT69" s="710">
        <f t="shared" si="23"/>
        <v>0.55248271527341286</v>
      </c>
      <c r="AU69" s="710">
        <f t="shared" si="23"/>
        <v>0.30728744939271246</v>
      </c>
      <c r="AV69" s="711">
        <f t="shared" si="23"/>
        <v>0.18799888566939726</v>
      </c>
      <c r="AW69" s="710">
        <f t="shared" si="23"/>
        <v>0.1631559965392122</v>
      </c>
      <c r="AX69" s="710">
        <f t="shared" si="23"/>
        <v>0.15033175342713156</v>
      </c>
      <c r="AY69" s="710">
        <f t="shared" si="23"/>
        <v>0.14088550912431264</v>
      </c>
      <c r="AZ69" s="710">
        <f t="shared" si="23"/>
        <v>0.13158286864177327</v>
      </c>
      <c r="BA69" s="710">
        <f t="shared" si="23"/>
        <v>0.11507934050446589</v>
      </c>
      <c r="BB69" s="709"/>
      <c r="BC69" s="709"/>
      <c r="BD69" s="709"/>
      <c r="BE69" s="709"/>
    </row>
    <row r="70" spans="2:59" ht="15.95" customHeight="1" collapsed="1">
      <c r="B70" s="702" t="s">
        <v>924</v>
      </c>
      <c r="C70" s="725">
        <f>Model!AH323</f>
        <v>0</v>
      </c>
      <c r="D70" s="725">
        <f>Model!AI323</f>
        <v>0</v>
      </c>
      <c r="E70" s="725">
        <f>Model!AJ323</f>
        <v>0</v>
      </c>
      <c r="F70" s="725">
        <f>Model!AK323</f>
        <v>0</v>
      </c>
      <c r="G70" s="725">
        <f>Model!AL323</f>
        <v>0</v>
      </c>
      <c r="H70" s="725">
        <f>Model!AM323</f>
        <v>0</v>
      </c>
      <c r="I70" s="725">
        <f>Model!AN323</f>
        <v>0</v>
      </c>
      <c r="J70" s="725">
        <f>Model!AO323</f>
        <v>0</v>
      </c>
      <c r="K70" s="725">
        <f>Model!AP323</f>
        <v>2.2801099450274864E-2</v>
      </c>
      <c r="L70" s="725">
        <f>Model!AQ323</f>
        <v>2.016982056757937E-2</v>
      </c>
      <c r="M70" s="725">
        <f>Model!AR323</f>
        <v>1.896236577380447E-2</v>
      </c>
      <c r="N70" s="725">
        <f>Model!AS323</f>
        <v>2.2347080851172044E-2</v>
      </c>
      <c r="O70" s="725">
        <f>Model!AT323</f>
        <v>3.2324541767904405E-2</v>
      </c>
      <c r="P70" s="725">
        <f>Model!AU323</f>
        <v>3.3437498294106464E-2</v>
      </c>
      <c r="Q70" s="725">
        <f>Model!AV323</f>
        <v>3.0192710798566499E-2</v>
      </c>
      <c r="R70" s="725">
        <f>Model!AW323</f>
        <v>2.8508559573274639E-2</v>
      </c>
      <c r="S70" s="725">
        <f>Model!AX323</f>
        <v>2.8076654507888325E-2</v>
      </c>
      <c r="T70" s="811">
        <f>Model!AY323</f>
        <v>3.0422522611873112E-2</v>
      </c>
      <c r="U70" s="726">
        <f>Model!AZ323</f>
        <v>3.0297705823137459E-2</v>
      </c>
      <c r="V70" s="725">
        <f>Model!BA323</f>
        <v>3.1497806064230457E-2</v>
      </c>
      <c r="W70" s="725">
        <f>Model!BB323</f>
        <v>3.1806587737525198E-2</v>
      </c>
      <c r="X70" s="725">
        <f>Model!BC323</f>
        <v>3.1853222364715168E-2</v>
      </c>
      <c r="Y70" s="725">
        <f>Model!BD323</f>
        <v>3.2050709772316929E-2</v>
      </c>
      <c r="Z70" s="725">
        <f>Model!BE323</f>
        <v>3.2097217776893554E-2</v>
      </c>
      <c r="AA70" s="725">
        <f>Model!BF323</f>
        <v>3.2012201161499713E-2</v>
      </c>
      <c r="AB70" s="725">
        <f>Model!BG323</f>
        <v>3.1916492173235105E-2</v>
      </c>
      <c r="AC70" s="725">
        <f>Model!BH323</f>
        <v>3.1799074929274335E-2</v>
      </c>
      <c r="AD70" s="725">
        <f>Model!BI323</f>
        <v>3.1692275208065439E-2</v>
      </c>
      <c r="AE70" s="725">
        <f>Model!BJ323</f>
        <v>3.1560340051831642E-2</v>
      </c>
      <c r="AF70" s="725">
        <f>Model!BK323</f>
        <v>3.1452018349830912E-2</v>
      </c>
      <c r="AG70" s="725">
        <f>Model!BL323</f>
        <v>3.132061581187888E-2</v>
      </c>
      <c r="AH70" s="725">
        <f>Model!BM323</f>
        <v>3.1207699375022598E-2</v>
      </c>
      <c r="AI70" s="725">
        <f>Model!BN323</f>
        <v>3.1075716599485964E-2</v>
      </c>
      <c r="AJ70" s="725">
        <f>Model!BO323</f>
        <v>3.0958329429364898E-2</v>
      </c>
      <c r="AK70" s="725">
        <f>Model!BP323</f>
        <v>3.0827331707437598E-2</v>
      </c>
      <c r="AL70" s="725">
        <f>Model!BQ323</f>
        <v>3.070716110005741E-2</v>
      </c>
      <c r="AN70" s="725">
        <f>Model!CR323</f>
        <v>0</v>
      </c>
      <c r="AO70" s="725">
        <f>Model!CS323</f>
        <v>0</v>
      </c>
      <c r="AP70" s="725">
        <f>Model!CT323</f>
        <v>5.2999999999999992E-3</v>
      </c>
      <c r="AQ70" s="725">
        <f>Model!CU323</f>
        <v>0.02</v>
      </c>
      <c r="AR70" s="725">
        <f>Model!CV323</f>
        <v>2.0946950917203767E-2</v>
      </c>
      <c r="AS70" s="725">
        <f>Model!CW323</f>
        <v>2.0733866536418587E-2</v>
      </c>
      <c r="AT70" s="725">
        <f>Model!CX323</f>
        <v>3.2891748675246031E-2</v>
      </c>
      <c r="AU70" s="725">
        <f>Model!CY323</f>
        <v>2.933242144458376E-2</v>
      </c>
      <c r="AV70" s="726">
        <f>Model!CZ323</f>
        <v>2.9259006501203264E-2</v>
      </c>
      <c r="AW70" s="725">
        <f>Model!DA323</f>
        <v>3.0906833146576291E-2</v>
      </c>
      <c r="AX70" s="725">
        <f>Model!DB323</f>
        <v>3.1820960953146585E-2</v>
      </c>
      <c r="AY70" s="725">
        <f>Model!DC323</f>
        <v>3.2068547637801613E-2</v>
      </c>
      <c r="AZ70" s="725">
        <f>Model!DD323</f>
        <v>3.1954546917360951E-2</v>
      </c>
      <c r="BA70" s="725">
        <f>Model!DE323</f>
        <v>3.1737316953600866E-2</v>
      </c>
      <c r="BB70" s="725">
        <f>Model!DF323</f>
        <v>3.1499104331792559E-2</v>
      </c>
      <c r="BC70" s="725">
        <f>Model!DG323</f>
        <v>3.1259927776578544E-2</v>
      </c>
      <c r="BD70" s="725">
        <f>Model!DH323</f>
        <v>3.1011925215375994E-2</v>
      </c>
      <c r="BE70" s="725">
        <f>Model!DI323</f>
        <v>3.076216399037239E-2</v>
      </c>
    </row>
    <row r="71" spans="2:59" ht="15.95" customHeight="1">
      <c r="B71" s="702" t="s">
        <v>2658</v>
      </c>
      <c r="C71" s="727">
        <f>Model!AH793</f>
        <v>0</v>
      </c>
      <c r="D71" s="727">
        <f>Model!AI793</f>
        <v>0</v>
      </c>
      <c r="E71" s="727">
        <f>Model!AJ793</f>
        <v>0</v>
      </c>
      <c r="F71" s="727">
        <f>Model!AK793</f>
        <v>0</v>
      </c>
      <c r="G71" s="727">
        <f>Model!AL793</f>
        <v>0</v>
      </c>
      <c r="H71" s="727">
        <f>Model!AM793</f>
        <v>0</v>
      </c>
      <c r="I71" s="727">
        <f>Model!AN793</f>
        <v>0</v>
      </c>
      <c r="J71" s="727">
        <f>Model!AO793</f>
        <v>0</v>
      </c>
      <c r="K71" s="727">
        <f>Model!AP793</f>
        <v>0.95214105793450865</v>
      </c>
      <c r="L71" s="727">
        <f>Model!AQ793</f>
        <v>0.98403193612774442</v>
      </c>
      <c r="M71" s="727">
        <f>Model!AR793</f>
        <v>0.82949932341001342</v>
      </c>
      <c r="N71" s="727">
        <f>Model!AS793</f>
        <v>0.71342078708375389</v>
      </c>
      <c r="O71" s="727">
        <f>Model!AT793</f>
        <v>0.54297820823244558</v>
      </c>
      <c r="P71" s="727">
        <f>Model!AU793</f>
        <v>0.53887113951011723</v>
      </c>
      <c r="Q71" s="727">
        <f>Model!AV793</f>
        <v>0.52900000000000003</v>
      </c>
      <c r="R71" s="727">
        <f>Model!AW793</f>
        <v>0.59227249618708688</v>
      </c>
      <c r="S71" s="727">
        <f>Model!AX793</f>
        <v>0.57441513190642113</v>
      </c>
      <c r="T71" s="812">
        <f>Model!AY793</f>
        <v>0.47927927927927927</v>
      </c>
      <c r="U71" s="728">
        <f>Model!AZ793</f>
        <v>0.48473748473748479</v>
      </c>
      <c r="V71" s="727">
        <f>Model!BA793</f>
        <v>0.44883899907475189</v>
      </c>
      <c r="W71" s="727">
        <f>Model!BB793</f>
        <v>0.43482163032475746</v>
      </c>
      <c r="X71" s="727">
        <f>Model!BC793</f>
        <v>0.41775986702379575</v>
      </c>
      <c r="Y71" s="727">
        <f>Model!BD793</f>
        <v>0.4053846284879738</v>
      </c>
      <c r="Z71" s="727">
        <f>Model!BE793</f>
        <v>0.3886447844084478</v>
      </c>
      <c r="AA71" s="727">
        <f>Model!BF793</f>
        <v>0.38136630107889014</v>
      </c>
      <c r="AB71" s="727">
        <f>Model!BG793</f>
        <v>0.36913816635115027</v>
      </c>
      <c r="AC71" s="727">
        <f>Model!BH793</f>
        <v>0.3651785290383483</v>
      </c>
      <c r="AD71" s="727">
        <f>Model!BI793</f>
        <v>0.35679921557589545</v>
      </c>
      <c r="AE71" s="727">
        <f>Model!BJ793</f>
        <v>0.35610865075296588</v>
      </c>
      <c r="AF71" s="727">
        <f>Model!BK793</f>
        <v>0.34948430340807313</v>
      </c>
      <c r="AG71" s="727">
        <f>Model!BL793</f>
        <v>0.35128639461241445</v>
      </c>
      <c r="AH71" s="727">
        <f>Model!BM793</f>
        <v>0.34638626041408938</v>
      </c>
      <c r="AI71" s="727">
        <f>Model!BN793</f>
        <v>0.34870514912283529</v>
      </c>
      <c r="AJ71" s="727">
        <f>Model!BO793</f>
        <v>0.34591523422576081</v>
      </c>
      <c r="AK71" s="727">
        <f>Model!BP793</f>
        <v>0.34900321449926841</v>
      </c>
      <c r="AL71" s="727">
        <f>Model!BQ793</f>
        <v>0.34716257239560028</v>
      </c>
      <c r="AN71" s="727">
        <f>Model!CR793</f>
        <v>0</v>
      </c>
      <c r="AO71" s="727">
        <f>Model!CS793</f>
        <v>0</v>
      </c>
      <c r="AP71" s="727">
        <f>Model!CT793</f>
        <v>23.26991150442478</v>
      </c>
      <c r="AQ71" s="727">
        <f>Model!CU793</f>
        <v>2.1143827859569648</v>
      </c>
      <c r="AR71" s="727">
        <f>Model!CV793</f>
        <v>0.96993318485523383</v>
      </c>
      <c r="AS71" s="727">
        <f>Model!CW793</f>
        <v>0.76300578034682076</v>
      </c>
      <c r="AT71" s="727">
        <f>Model!CX793</f>
        <v>0.54079320113314444</v>
      </c>
      <c r="AU71" s="727">
        <f>Model!CY793</f>
        <v>0.56037307789261415</v>
      </c>
      <c r="AV71" s="728">
        <f>Model!CZ793</f>
        <v>0.52447387089146358</v>
      </c>
      <c r="AW71" s="727">
        <f>Model!DA793</f>
        <v>0.46587677351851536</v>
      </c>
      <c r="AX71" s="727">
        <f>Model!DB793</f>
        <v>0.42604157135535703</v>
      </c>
      <c r="AY71" s="727">
        <f>Model!DC793</f>
        <v>0.39676330878851773</v>
      </c>
      <c r="AZ71" s="727">
        <f>Model!DD793</f>
        <v>0.37511007384413719</v>
      </c>
      <c r="BA71" s="727">
        <f>Model!DE793</f>
        <v>0.36091206783016189</v>
      </c>
      <c r="BB71" s="727">
        <f>Model!DF793</f>
        <v>0.35274884942909618</v>
      </c>
      <c r="BC71" s="727">
        <f>Model!DG793</f>
        <v>0.34880627402248504</v>
      </c>
      <c r="BD71" s="727">
        <f>Model!DH793</f>
        <v>0.3472999656341007</v>
      </c>
      <c r="BE71" s="727">
        <f>Model!DI793</f>
        <v>0.34807615809910769</v>
      </c>
    </row>
    <row r="72" spans="2:59" ht="15.95" customHeight="1">
      <c r="B72" s="702" t="s">
        <v>2659</v>
      </c>
      <c r="C72" s="725">
        <f>Model!AH788</f>
        <v>0</v>
      </c>
      <c r="D72" s="725">
        <f>Model!AI788</f>
        <v>0</v>
      </c>
      <c r="E72" s="725">
        <f>Model!AJ788</f>
        <v>0</v>
      </c>
      <c r="F72" s="725">
        <f>Model!AK788</f>
        <v>0</v>
      </c>
      <c r="G72" s="725">
        <f>Model!AL788</f>
        <v>0</v>
      </c>
      <c r="H72" s="725">
        <f>Model!AM788</f>
        <v>0</v>
      </c>
      <c r="I72" s="725">
        <f>Model!AN788</f>
        <v>0</v>
      </c>
      <c r="J72" s="725">
        <f>Model!AO788</f>
        <v>0</v>
      </c>
      <c r="K72" s="725">
        <f>Model!AP788</f>
        <v>-4.2456443000100175E-3</v>
      </c>
      <c r="L72" s="725">
        <f>Model!AQ788</f>
        <v>5.2599256848434508E-4</v>
      </c>
      <c r="M72" s="725">
        <f>Model!AR788</f>
        <v>1.7921876052165165E-4</v>
      </c>
      <c r="N72" s="725">
        <f>Model!AS788</f>
        <v>1.9265352902809859E-3</v>
      </c>
      <c r="O72" s="725">
        <f>Model!AT788</f>
        <v>7.0888351854561712E-3</v>
      </c>
      <c r="P72" s="725">
        <f>Model!AU788</f>
        <v>6.6902278790535322E-3</v>
      </c>
      <c r="Q72" s="725">
        <f>Model!AV788</f>
        <v>7.0404909744387527E-3</v>
      </c>
      <c r="R72" s="725">
        <f>Model!AW788</f>
        <v>3.5587476967804386E-3</v>
      </c>
      <c r="S72" s="725">
        <f>Model!AX788</f>
        <v>5.9277527707980605E-3</v>
      </c>
      <c r="T72" s="811">
        <f>Model!AY788</f>
        <v>6.4316657539891277E-3</v>
      </c>
      <c r="U72" s="726">
        <f>Model!AZ788</f>
        <v>7.685858315990772E-3</v>
      </c>
      <c r="V72" s="725">
        <f>Model!BA788</f>
        <v>8.8272183331274835E-3</v>
      </c>
      <c r="W72" s="725">
        <f>Model!BB788</f>
        <v>8.85693715218395E-3</v>
      </c>
      <c r="X72" s="725">
        <f>Model!BC788</f>
        <v>8.6657831016290331E-3</v>
      </c>
      <c r="Y72" s="725">
        <f>Model!BD788</f>
        <v>9.4434412633107798E-3</v>
      </c>
      <c r="Z72" s="725">
        <f>Model!BE788</f>
        <v>9.7172485979516859E-3</v>
      </c>
      <c r="AA72" s="725">
        <f>Model!BF788</f>
        <v>1.0373426843781253E-2</v>
      </c>
      <c r="AB72" s="725">
        <f>Model!BG788</f>
        <v>1.0765630503483016E-2</v>
      </c>
      <c r="AC72" s="725">
        <f>Model!BH788</f>
        <v>1.1147969863543107E-2</v>
      </c>
      <c r="AD72" s="725">
        <f>Model!BI788</f>
        <v>1.1152340615701396E-2</v>
      </c>
      <c r="AE72" s="725">
        <f>Model!BJ788</f>
        <v>1.1439735463440079E-2</v>
      </c>
      <c r="AF72" s="725">
        <f>Model!BK788</f>
        <v>1.1397895507506731E-2</v>
      </c>
      <c r="AG72" s="725">
        <f>Model!BL788</f>
        <v>1.1602252517599186E-2</v>
      </c>
      <c r="AH72" s="725">
        <f>Model!BM788</f>
        <v>1.1516939621179331E-2</v>
      </c>
      <c r="AI72" s="725">
        <f>Model!BN788</f>
        <v>1.1672487275098842E-2</v>
      </c>
      <c r="AJ72" s="725">
        <f>Model!BO788</f>
        <v>1.1524019120922057E-2</v>
      </c>
      <c r="AK72" s="725">
        <f>Model!BP788</f>
        <v>1.1627110666467801E-2</v>
      </c>
      <c r="AL72" s="725">
        <f>Model!BQ788</f>
        <v>1.1459490704560453E-2</v>
      </c>
      <c r="AN72" s="725">
        <f>Model!CR788</f>
        <v>0</v>
      </c>
      <c r="AO72" s="725">
        <f>Model!CS788</f>
        <v>0</v>
      </c>
      <c r="AP72" s="725">
        <f>Model!CT788</f>
        <v>0</v>
      </c>
      <c r="AQ72" s="725">
        <f>Model!CU788</f>
        <v>0</v>
      </c>
      <c r="AR72" s="725">
        <f>Model!CV788</f>
        <v>-1.285219970341077E-3</v>
      </c>
      <c r="AS72" s="725">
        <f>Model!CW788</f>
        <v>1.1008952334865716E-3</v>
      </c>
      <c r="AT72" s="725">
        <f>Model!CX788</f>
        <v>6.8861994558588992E-3</v>
      </c>
      <c r="AU72" s="725">
        <f>Model!CY788</f>
        <v>5.2814506989044187E-3</v>
      </c>
      <c r="AV72" s="726">
        <f>Model!CZ788</f>
        <v>6.1807529205997911E-3</v>
      </c>
      <c r="AW72" s="725">
        <f>Model!DA788</f>
        <v>8.2696833000485779E-3</v>
      </c>
      <c r="AX72" s="725">
        <f>Model!DB788</f>
        <v>8.753347875622779E-3</v>
      </c>
      <c r="AY72" s="725">
        <f>Model!DC788</f>
        <v>9.5807171147287117E-3</v>
      </c>
      <c r="AZ72" s="725">
        <f>Model!DD788</f>
        <v>1.0568650843376232E-2</v>
      </c>
      <c r="BA72" s="725">
        <f>Model!DE788</f>
        <v>1.1145069834877114E-2</v>
      </c>
      <c r="BB72" s="725">
        <f>Model!DF788</f>
        <v>1.1413977851421397E-2</v>
      </c>
      <c r="BC72" s="725">
        <f>Model!DG788</f>
        <v>1.1556455400951706E-2</v>
      </c>
      <c r="BD72" s="725">
        <f>Model!DH788</f>
        <v>1.1594150892703582E-2</v>
      </c>
      <c r="BE72" s="725">
        <f>Model!DI788</f>
        <v>1.1539115958947448E-2</v>
      </c>
    </row>
    <row r="73" spans="2:59" ht="15.95" customHeight="1">
      <c r="B73" s="702" t="s">
        <v>2660</v>
      </c>
      <c r="C73" s="729">
        <f>Model!AH783</f>
        <v>0</v>
      </c>
      <c r="D73" s="729">
        <f>Model!AI783</f>
        <v>0</v>
      </c>
      <c r="E73" s="729">
        <f>Model!AJ783</f>
        <v>0</v>
      </c>
      <c r="F73" s="729">
        <f>Model!AK783</f>
        <v>0</v>
      </c>
      <c r="G73" s="729">
        <f>Model!AL783</f>
        <v>0</v>
      </c>
      <c r="H73" s="729">
        <f>Model!AM783</f>
        <v>0</v>
      </c>
      <c r="I73" s="729">
        <f>Model!AN783</f>
        <v>0</v>
      </c>
      <c r="J73" s="729">
        <f>Model!AO783</f>
        <v>0</v>
      </c>
      <c r="K73" s="729">
        <f>Model!AP783</f>
        <v>-2.1854274134119365E-2</v>
      </c>
      <c r="L73" s="729">
        <f>Model!AQ783</f>
        <v>2.7711912910422572E-3</v>
      </c>
      <c r="M73" s="729">
        <f>Model!AR783</f>
        <v>1.1777667146070884E-3</v>
      </c>
      <c r="N73" s="729">
        <f>Model!AS783</f>
        <v>1.2162371226035239E-2</v>
      </c>
      <c r="O73" s="729">
        <f>Model!AT783</f>
        <v>5.0466112081380007E-2</v>
      </c>
      <c r="P73" s="729">
        <f>Model!AU783</f>
        <v>5.123857768678397E-2</v>
      </c>
      <c r="Q73" s="729">
        <f>Model!AV783</f>
        <v>6.0384316770186339E-2</v>
      </c>
      <c r="R73" s="729">
        <f>Model!AW783</f>
        <v>3.0878909957604801E-2</v>
      </c>
      <c r="S73" s="729">
        <f>Model!AX783</f>
        <v>5.0771684714588892E-2</v>
      </c>
      <c r="T73" s="813">
        <f>Model!AY783</f>
        <v>5.5373653377434447E-2</v>
      </c>
      <c r="U73" s="730">
        <f>Model!AZ783</f>
        <v>6.9446738495159158E-2</v>
      </c>
      <c r="V73" s="729">
        <f>Model!BA783</f>
        <v>8.3826559616330815E-2</v>
      </c>
      <c r="W73" s="729">
        <f>Model!BB783</f>
        <v>8.58932048389284E-2</v>
      </c>
      <c r="X73" s="729">
        <f>Model!BC783</f>
        <v>8.6619047731766374E-2</v>
      </c>
      <c r="Y73" s="729">
        <f>Model!BD783</f>
        <v>9.239761056357404E-2</v>
      </c>
      <c r="Z73" s="729">
        <f>Model!BE783</f>
        <v>9.4087233077100985E-2</v>
      </c>
      <c r="AA73" s="729">
        <f>Model!BF783</f>
        <v>0.10109057028029775</v>
      </c>
      <c r="AB73" s="729">
        <f>Model!BG783</f>
        <v>0.10635190603983116</v>
      </c>
      <c r="AC73" s="729">
        <f>Model!BH783</f>
        <v>0.10931379564909355</v>
      </c>
      <c r="AD73" s="729">
        <f>Model!BI783</f>
        <v>0.11018729104183801</v>
      </c>
      <c r="AE73" s="729">
        <f>Model!BJ783</f>
        <v>0.11286857218251112</v>
      </c>
      <c r="AF73" s="729">
        <f>Model!BK783</f>
        <v>0.11353589539198745</v>
      </c>
      <c r="AG73" s="729">
        <f>Model!BL783</f>
        <v>0.1146340271179105</v>
      </c>
      <c r="AH73" s="729">
        <f>Model!BM783</f>
        <v>0.11437880208938224</v>
      </c>
      <c r="AI73" s="729">
        <f>Model!BN783</f>
        <v>0.115078638158983</v>
      </c>
      <c r="AJ73" s="729">
        <f>Model!BO783</f>
        <v>0.11434160523044366</v>
      </c>
      <c r="AK73" s="729">
        <f>Model!BP783</f>
        <v>0.11492877110123853</v>
      </c>
      <c r="AL73" s="729">
        <f>Model!BQ783</f>
        <v>0.11421401296491067</v>
      </c>
      <c r="AN73" s="729">
        <f>Model!CR783</f>
        <v>0</v>
      </c>
      <c r="AO73" s="729">
        <f>Model!CS783</f>
        <v>0</v>
      </c>
      <c r="AP73" s="729">
        <f>Model!CT783</f>
        <v>0</v>
      </c>
      <c r="AQ73" s="729">
        <f>Model!CU783</f>
        <v>0</v>
      </c>
      <c r="AR73" s="729">
        <f>Model!CV783</f>
        <v>-6.7183462532299709E-3</v>
      </c>
      <c r="AS73" s="729">
        <f>Model!CW783</f>
        <v>7.0817120622568104E-3</v>
      </c>
      <c r="AT73" s="729">
        <f>Model!CX783</f>
        <v>5.0831024930747926E-2</v>
      </c>
      <c r="AU73" s="729">
        <f>Model!CY783</f>
        <v>4.5507812499999988E-2</v>
      </c>
      <c r="AV73" s="730">
        <f>Model!CZ783</f>
        <v>5.3079649771260694E-2</v>
      </c>
      <c r="AW73" s="729">
        <f>Model!DA783</f>
        <v>7.6673445890296898E-2</v>
      </c>
      <c r="AX73" s="729">
        <f>Model!DB783</f>
        <v>8.6230333594489603E-2</v>
      </c>
      <c r="AY73" s="729">
        <f>Model!DC783</f>
        <v>9.3230835767189907E-2</v>
      </c>
      <c r="AZ73" s="729">
        <f>Model!DD783</f>
        <v>0.10372369515999191</v>
      </c>
      <c r="BA73" s="729">
        <f>Model!DE783</f>
        <v>0.10971386198973045</v>
      </c>
      <c r="BB73" s="729">
        <f>Model!DF783</f>
        <v>0.11317011400714104</v>
      </c>
      <c r="BC73" s="729">
        <f>Model!DG783</f>
        <v>0.11448313053936458</v>
      </c>
      <c r="BD73" s="729">
        <f>Model!DH783</f>
        <v>0.1146802313505898</v>
      </c>
      <c r="BE73" s="729">
        <f>Model!DI783</f>
        <v>0.11454368555025989</v>
      </c>
    </row>
    <row r="74" spans="2:59" ht="15.95" customHeight="1">
      <c r="B74" s="702" t="s">
        <v>2166</v>
      </c>
      <c r="C74" s="731" t="e">
        <f>C73/C72</f>
        <v>#DIV/0!</v>
      </c>
      <c r="D74" s="731" t="e">
        <f t="shared" ref="D74:BE74" si="24">D73/D72</f>
        <v>#DIV/0!</v>
      </c>
      <c r="E74" s="731" t="e">
        <f t="shared" si="24"/>
        <v>#DIV/0!</v>
      </c>
      <c r="F74" s="731" t="e">
        <f t="shared" si="24"/>
        <v>#DIV/0!</v>
      </c>
      <c r="G74" s="731" t="e">
        <f t="shared" si="24"/>
        <v>#DIV/0!</v>
      </c>
      <c r="H74" s="731" t="e">
        <f t="shared" si="24"/>
        <v>#DIV/0!</v>
      </c>
      <c r="I74" s="731" t="e">
        <f t="shared" si="24"/>
        <v>#DIV/0!</v>
      </c>
      <c r="J74" s="731" t="e">
        <f t="shared" si="24"/>
        <v>#DIV/0!</v>
      </c>
      <c r="K74" s="731">
        <f t="shared" si="24"/>
        <v>5.1474576271186452</v>
      </c>
      <c r="L74" s="731">
        <f t="shared" si="24"/>
        <v>5.2684989429175468</v>
      </c>
      <c r="M74" s="731">
        <f t="shared" si="24"/>
        <v>6.5716709075487705</v>
      </c>
      <c r="N74" s="731">
        <f t="shared" si="24"/>
        <v>6.3130799043195065</v>
      </c>
      <c r="O74" s="731">
        <f t="shared" si="24"/>
        <v>7.1190979563072574</v>
      </c>
      <c r="P74" s="731">
        <f t="shared" si="24"/>
        <v>7.6587193460490468</v>
      </c>
      <c r="Q74" s="731">
        <f t="shared" si="24"/>
        <v>8.5767195767195759</v>
      </c>
      <c r="R74" s="731">
        <f t="shared" si="24"/>
        <v>8.6769033909149069</v>
      </c>
      <c r="S74" s="731">
        <f t="shared" si="24"/>
        <v>8.5650813516896118</v>
      </c>
      <c r="T74" s="814">
        <f t="shared" si="24"/>
        <v>8.6095353047676504</v>
      </c>
      <c r="U74" s="732">
        <f t="shared" si="24"/>
        <v>9.0356516656925763</v>
      </c>
      <c r="V74" s="731">
        <f t="shared" si="24"/>
        <v>9.4963732008009671</v>
      </c>
      <c r="W74" s="731">
        <f t="shared" si="24"/>
        <v>9.6978451312312615</v>
      </c>
      <c r="X74" s="731">
        <f t="shared" si="24"/>
        <v>9.9955245493604998</v>
      </c>
      <c r="Y74" s="731">
        <f t="shared" si="24"/>
        <v>9.7843156945924949</v>
      </c>
      <c r="Z74" s="731">
        <f t="shared" si="24"/>
        <v>9.6824972757138053</v>
      </c>
      <c r="AA74" s="731">
        <f t="shared" si="24"/>
        <v>9.7451470765324135</v>
      </c>
      <c r="AB74" s="731">
        <f t="shared" si="24"/>
        <v>9.8788367300385254</v>
      </c>
      <c r="AC74" s="731">
        <f t="shared" si="24"/>
        <v>9.8057132363247028</v>
      </c>
      <c r="AD74" s="731">
        <f t="shared" si="24"/>
        <v>9.8801941976830552</v>
      </c>
      <c r="AE74" s="731">
        <f t="shared" si="24"/>
        <v>9.866362080069468</v>
      </c>
      <c r="AF74" s="731">
        <f t="shared" si="24"/>
        <v>9.9611279395579597</v>
      </c>
      <c r="AG74" s="731">
        <f t="shared" si="24"/>
        <v>9.8803251303162742</v>
      </c>
      <c r="AH74" s="731">
        <f t="shared" si="24"/>
        <v>9.9313538015813521</v>
      </c>
      <c r="AI74" s="731">
        <f t="shared" si="24"/>
        <v>9.8589645417290495</v>
      </c>
      <c r="AJ74" s="731">
        <f t="shared" si="24"/>
        <v>9.9220249489914938</v>
      </c>
      <c r="AK74" s="731">
        <f t="shared" si="24"/>
        <v>9.8845512353029612</v>
      </c>
      <c r="AL74" s="731">
        <f t="shared" si="24"/>
        <v>9.9667616920756981</v>
      </c>
      <c r="AM74" s="731"/>
      <c r="AN74" s="731" t="e">
        <f t="shared" si="24"/>
        <v>#DIV/0!</v>
      </c>
      <c r="AO74" s="731" t="e">
        <f t="shared" si="24"/>
        <v>#DIV/0!</v>
      </c>
      <c r="AP74" s="731" t="e">
        <f t="shared" si="24"/>
        <v>#DIV/0!</v>
      </c>
      <c r="AQ74" s="731" t="e">
        <f t="shared" si="24"/>
        <v>#DIV/0!</v>
      </c>
      <c r="AR74" s="731">
        <f t="shared" si="24"/>
        <v>5.2273901808785528</v>
      </c>
      <c r="AS74" s="731">
        <f t="shared" si="24"/>
        <v>6.432684824902724</v>
      </c>
      <c r="AT74" s="731">
        <f t="shared" si="24"/>
        <v>7.3815789473684212</v>
      </c>
      <c r="AU74" s="731">
        <f t="shared" si="24"/>
        <v>8.6165364583333339</v>
      </c>
      <c r="AV74" s="732">
        <f t="shared" si="24"/>
        <v>8.5878938137701439</v>
      </c>
      <c r="AW74" s="731">
        <f t="shared" si="24"/>
        <v>9.2716302557616093</v>
      </c>
      <c r="AX74" s="731">
        <f t="shared" si="24"/>
        <v>9.8511260856697671</v>
      </c>
      <c r="AY74" s="731">
        <f t="shared" si="24"/>
        <v>9.7310915927017057</v>
      </c>
      <c r="AZ74" s="731">
        <f t="shared" si="24"/>
        <v>9.8142796745905763</v>
      </c>
      <c r="BA74" s="731">
        <f t="shared" si="24"/>
        <v>9.8441610160570292</v>
      </c>
      <c r="BB74" s="731">
        <f t="shared" si="24"/>
        <v>9.9150458744799312</v>
      </c>
      <c r="BC74" s="731">
        <f t="shared" si="24"/>
        <v>9.9064225636120735</v>
      </c>
      <c r="BD74" s="731">
        <f t="shared" si="24"/>
        <v>9.8912143210728978</v>
      </c>
      <c r="BE74" s="731">
        <f t="shared" si="24"/>
        <v>9.9265564153935504</v>
      </c>
      <c r="BF74" s="733"/>
      <c r="BG74" s="733"/>
    </row>
    <row r="75" spans="2:59" ht="15.95" customHeight="1"/>
    <row r="76" spans="2:59" ht="15.95" customHeight="1">
      <c r="B76" s="701" t="s">
        <v>1755</v>
      </c>
    </row>
    <row r="77" spans="2:59" ht="15.95" customHeight="1">
      <c r="B77" s="702" t="s">
        <v>543</v>
      </c>
      <c r="C77" s="729">
        <f>Model!AH834</f>
        <v>0</v>
      </c>
      <c r="D77" s="729">
        <f>Model!AI834</f>
        <v>0</v>
      </c>
      <c r="E77" s="729">
        <f>Model!AJ834</f>
        <v>0</v>
      </c>
      <c r="F77" s="729">
        <f>Model!AK834</f>
        <v>0</v>
      </c>
      <c r="G77" s="729">
        <f>Model!AL834</f>
        <v>0</v>
      </c>
      <c r="H77" s="729">
        <f>Model!AM834</f>
        <v>0</v>
      </c>
      <c r="I77" s="729">
        <f>Model!AN834</f>
        <v>0</v>
      </c>
      <c r="J77" s="729">
        <f>Model!AO834</f>
        <v>0</v>
      </c>
      <c r="K77" s="729">
        <f>Model!AP834</f>
        <v>0.20349401488191524</v>
      </c>
      <c r="L77" s="729">
        <f>Model!AQ834</f>
        <v>0.24523693209574987</v>
      </c>
      <c r="M77" s="729">
        <f>Model!AR834</f>
        <v>0.23351449275362318</v>
      </c>
      <c r="N77" s="729">
        <f>Model!AS834</f>
        <v>0.20472191411820631</v>
      </c>
      <c r="O77" s="729">
        <f>Model!AT834</f>
        <v>0.17274372898888027</v>
      </c>
      <c r="P77" s="729">
        <f>Model!AU834</f>
        <v>0.16701308228389777</v>
      </c>
      <c r="Q77" s="729">
        <f>Model!AV834</f>
        <v>0.16245781450017457</v>
      </c>
      <c r="R77" s="729">
        <f>Model!AW834</f>
        <v>0.14681094579128082</v>
      </c>
      <c r="S77" s="729">
        <f>Model!AX834</f>
        <v>0.13761985335589397</v>
      </c>
      <c r="T77" s="813">
        <f>Model!AY834</f>
        <v>0.13136473848285418</v>
      </c>
      <c r="U77" s="730">
        <f>Model!AZ834</f>
        <v>0.12576687116564417</v>
      </c>
      <c r="V77" s="729">
        <f>Model!BA834</f>
        <v>0.11998238469217314</v>
      </c>
      <c r="W77" s="729">
        <f>Model!BB834</f>
        <v>0.11752944102270202</v>
      </c>
      <c r="X77" s="729">
        <f>Model!BC834</f>
        <v>0.11475267122743218</v>
      </c>
      <c r="Y77" s="729">
        <f>Model!BD834</f>
        <v>0.12135575799623234</v>
      </c>
      <c r="Z77" s="729">
        <f>Model!BE834</f>
        <v>0.11820594512136259</v>
      </c>
      <c r="AA77" s="729">
        <f>Model!BF834</f>
        <v>0.11711429003331701</v>
      </c>
      <c r="AB77" s="729">
        <f>Model!BG834</f>
        <v>0.11647051135410581</v>
      </c>
      <c r="AC77" s="729">
        <f>Model!BH834</f>
        <v>0.11793406923767526</v>
      </c>
      <c r="AD77" s="729">
        <f>Model!BI834</f>
        <v>0.11681808762409959</v>
      </c>
      <c r="AE77" s="729">
        <f>Model!BJ834</f>
        <v>0.1168992963994292</v>
      </c>
      <c r="AF77" s="729">
        <f>Model!BK834</f>
        <v>0.11645006318247805</v>
      </c>
      <c r="AG77" s="729">
        <f>Model!BL834</f>
        <v>0.11726074296069472</v>
      </c>
      <c r="AH77" s="729">
        <f>Model!BM834</f>
        <v>0.11694018793330239</v>
      </c>
      <c r="AI77" s="729">
        <f>Model!BN834</f>
        <v>0.11758660421713102</v>
      </c>
      <c r="AJ77" s="729">
        <f>Model!BO834</f>
        <v>0.11708027627004816</v>
      </c>
      <c r="AK77" s="729">
        <f>Model!BP834</f>
        <v>0.11746627624117369</v>
      </c>
      <c r="AL77" s="729">
        <f>Model!BQ834</f>
        <v>0.11672010517048266</v>
      </c>
      <c r="AN77" s="729">
        <f>Model!CR834</f>
        <v>0</v>
      </c>
      <c r="AO77" s="729">
        <f>Model!CS834</f>
        <v>0</v>
      </c>
      <c r="AP77" s="729">
        <f>Model!CT834</f>
        <v>0.436</v>
      </c>
      <c r="AQ77" s="729">
        <f>Model!CU834</f>
        <v>0.23100000000000001</v>
      </c>
      <c r="AR77" s="729">
        <f>Model!CV834</f>
        <v>0.24523693209574987</v>
      </c>
      <c r="AS77" s="729">
        <f>Model!CW834</f>
        <v>0.20472191411820628</v>
      </c>
      <c r="AT77" s="729">
        <f>Model!CX834</f>
        <v>0.16701308228389777</v>
      </c>
      <c r="AU77" s="729">
        <f>Model!CY834</f>
        <v>0.14681094579128082</v>
      </c>
      <c r="AV77" s="730">
        <f>Model!CZ834</f>
        <v>0.13136473848285418</v>
      </c>
      <c r="AW77" s="729">
        <f>Model!DA834</f>
        <v>0.11998238469217315</v>
      </c>
      <c r="AX77" s="729">
        <f>Model!DB834</f>
        <v>0.11475267122743221</v>
      </c>
      <c r="AY77" s="729">
        <f>Model!DC834</f>
        <v>0.11820594512136259</v>
      </c>
      <c r="AZ77" s="729">
        <f>Model!DD834</f>
        <v>0.11647051135410581</v>
      </c>
      <c r="BA77" s="729">
        <f>Model!DE834</f>
        <v>0.11681808762409959</v>
      </c>
      <c r="BB77" s="729">
        <f>Model!DF834</f>
        <v>0.11645006318247805</v>
      </c>
      <c r="BC77" s="729">
        <f>Model!DG834</f>
        <v>0.11694018793330239</v>
      </c>
      <c r="BD77" s="729">
        <f>Model!DH834</f>
        <v>0.11708027627004815</v>
      </c>
      <c r="BE77" s="729">
        <f>Model!DI834</f>
        <v>0.11672010517048263</v>
      </c>
    </row>
    <row r="78" spans="2:59" ht="15.95" customHeight="1">
      <c r="B78" s="702" t="s">
        <v>652</v>
      </c>
      <c r="C78" s="729">
        <f>Model!AH837</f>
        <v>0</v>
      </c>
      <c r="D78" s="729">
        <f>Model!AI837</f>
        <v>0</v>
      </c>
      <c r="E78" s="729">
        <f>Model!AJ837</f>
        <v>0</v>
      </c>
      <c r="F78" s="729">
        <f>Model!AK837</f>
        <v>0</v>
      </c>
      <c r="G78" s="729">
        <f>Model!AL837</f>
        <v>0</v>
      </c>
      <c r="H78" s="729">
        <f>Model!AM837</f>
        <v>0</v>
      </c>
      <c r="I78" s="729">
        <f>Model!AN837</f>
        <v>0</v>
      </c>
      <c r="J78" s="729">
        <f>Model!AO837</f>
        <v>0</v>
      </c>
      <c r="K78" s="729">
        <f>Model!AP837</f>
        <v>0.20964089291491428</v>
      </c>
      <c r="L78" s="729">
        <f>Model!AQ837</f>
        <v>0.26380068392769906</v>
      </c>
      <c r="M78" s="729">
        <f>Model!AR837</f>
        <v>0.24891304347826088</v>
      </c>
      <c r="N78" s="729">
        <f>Model!AS837</f>
        <v>0.21898272856916495</v>
      </c>
      <c r="O78" s="729">
        <f>Model!AT837</f>
        <v>0.18554434962503233</v>
      </c>
      <c r="P78" s="729">
        <f>Model!AU837</f>
        <v>0.18938745567917839</v>
      </c>
      <c r="Q78" s="729">
        <f>Model!AV837</f>
        <v>0.19294774816711277</v>
      </c>
      <c r="R78" s="729">
        <f>Model!AW837</f>
        <v>0.17500780355842263</v>
      </c>
      <c r="S78" s="729">
        <f>Model!AX837</f>
        <v>0.17484489565707839</v>
      </c>
      <c r="T78" s="813">
        <f>Model!AY837</f>
        <v>0.16548320055420851</v>
      </c>
      <c r="U78" s="730">
        <f>Model!AZ837</f>
        <v>0.16894761680037754</v>
      </c>
      <c r="V78" s="729">
        <f>Model!BA837</f>
        <v>0.15959208051114987</v>
      </c>
      <c r="W78" s="729">
        <f>Model!BB837</f>
        <v>0.15513266294265637</v>
      </c>
      <c r="X78" s="729">
        <f>Model!BC837</f>
        <v>0.15067520033104009</v>
      </c>
      <c r="Y78" s="729">
        <f>Model!BD837</f>
        <v>0.15564217831178875</v>
      </c>
      <c r="Z78" s="729">
        <f>Model!BE837</f>
        <v>0.15069400086448492</v>
      </c>
      <c r="AA78" s="729">
        <f>Model!BF837</f>
        <v>0.14809463135517761</v>
      </c>
      <c r="AB78" s="729">
        <f>Model!BG837</f>
        <v>0.14600140010933182</v>
      </c>
      <c r="AC78" s="729">
        <f>Model!BH837</f>
        <v>0.14642716042847295</v>
      </c>
      <c r="AD78" s="729">
        <f>Model!BI837</f>
        <v>0.14417635987360006</v>
      </c>
      <c r="AE78" s="729">
        <f>Model!BJ837</f>
        <v>0.14348384922701157</v>
      </c>
      <c r="AF78" s="729">
        <f>Model!BK837</f>
        <v>0.14213964063830462</v>
      </c>
      <c r="AG78" s="729">
        <f>Model!BL837</f>
        <v>0.14239125236259612</v>
      </c>
      <c r="AH78" s="729">
        <f>Model!BM837</f>
        <v>0.14136878673545844</v>
      </c>
      <c r="AI78" s="729">
        <f>Model!BN837</f>
        <v>0.14156651130757658</v>
      </c>
      <c r="AJ78" s="729">
        <f>Model!BO837</f>
        <v>0.14048280920518549</v>
      </c>
      <c r="AK78" s="729">
        <f>Model!BP837</f>
        <v>0.14044048592546388</v>
      </c>
      <c r="AL78" s="729">
        <f>Model!BQ837</f>
        <v>0.13914968987100193</v>
      </c>
      <c r="AN78" s="729">
        <f>Model!CR837</f>
        <v>0</v>
      </c>
      <c r="AO78" s="729">
        <f>Model!CS837</f>
        <v>0</v>
      </c>
      <c r="AP78" s="729">
        <f>Model!CT837</f>
        <v>0.442</v>
      </c>
      <c r="AQ78" s="729">
        <f>Model!CU837</f>
        <v>0.23800000000000004</v>
      </c>
      <c r="AR78" s="729">
        <f>Model!CV837</f>
        <v>0.26380068392769906</v>
      </c>
      <c r="AS78" s="729">
        <f>Model!CW837</f>
        <v>0.21898272856916493</v>
      </c>
      <c r="AT78" s="729">
        <f>Model!CX837</f>
        <v>0.18938745567917839</v>
      </c>
      <c r="AU78" s="729">
        <f>Model!CY837</f>
        <v>0.17500780355842263</v>
      </c>
      <c r="AV78" s="730">
        <f>Model!CZ837</f>
        <v>0.16548320055420851</v>
      </c>
      <c r="AW78" s="729">
        <f>Model!DA837</f>
        <v>0.15959208051114987</v>
      </c>
      <c r="AX78" s="729">
        <f>Model!DB837</f>
        <v>0.15067520033104012</v>
      </c>
      <c r="AY78" s="729">
        <f>Model!DC837</f>
        <v>0.15069400086448492</v>
      </c>
      <c r="AZ78" s="729">
        <f>Model!DD837</f>
        <v>0.14600140010933182</v>
      </c>
      <c r="BA78" s="729">
        <f>Model!DE837</f>
        <v>0.14417635987360006</v>
      </c>
      <c r="BB78" s="729">
        <f>Model!DF837</f>
        <v>0.14213964063830462</v>
      </c>
      <c r="BC78" s="729">
        <f>Model!DG837</f>
        <v>0.14136878673545844</v>
      </c>
      <c r="BD78" s="729">
        <f>Model!DH837</f>
        <v>0.14048280920518549</v>
      </c>
      <c r="BE78" s="729">
        <f>Model!DI837</f>
        <v>0.13914968987100193</v>
      </c>
    </row>
  </sheetData>
  <pageMargins left="0.7" right="0.7" top="0.75" bottom="0.75" header="0.3" footer="0.3"/>
  <customProperties>
    <customPr name="Qube.Worksheet.Visibility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pageSetUpPr fitToPage="1"/>
  </sheetPr>
  <dimension ref="A1:BQ264"/>
  <sheetViews>
    <sheetView showGridLines="0" zoomScale="85" zoomScaleNormal="85" zoomScaleSheetLayoutView="70" workbookViewId="0">
      <pane xSplit="4" ySplit="3" topLeftCell="Y4" activePane="bottomRight" state="frozen"/>
      <selection activeCell="T14" sqref="T14"/>
      <selection pane="topRight" activeCell="T14" sqref="T14"/>
      <selection pane="bottomLeft" activeCell="T14" sqref="T14"/>
      <selection pane="bottomRight" activeCell="A10" sqref="A10:XFD10"/>
    </sheetView>
  </sheetViews>
  <sheetFormatPr defaultColWidth="9" defaultRowHeight="12.75" outlineLevelRow="1" outlineLevelCol="1"/>
  <cols>
    <col min="1" max="4" width="9" style="175" customWidth="1"/>
    <col min="5" max="21" width="9" style="196" hidden="1" customWidth="1" outlineLevel="1"/>
    <col min="22" max="22" width="9" style="196" hidden="1" customWidth="1" outlineLevel="1" collapsed="1"/>
    <col min="23" max="24" width="9" style="196" hidden="1" customWidth="1" outlineLevel="1"/>
    <col min="25" max="25" width="9" style="196" customWidth="1" collapsed="1"/>
    <col min="26" max="52" width="9" style="196" customWidth="1"/>
    <col min="53" max="53" width="9" style="175"/>
    <col min="54" max="54" width="8.75" style="175" customWidth="1"/>
    <col min="55" max="55" width="9.375" style="175" customWidth="1"/>
    <col min="56" max="16384" width="9" style="175"/>
  </cols>
  <sheetData>
    <row r="1" spans="1:69">
      <c r="K1" s="205"/>
      <c r="L1" s="205"/>
      <c r="M1" s="206"/>
      <c r="P1" s="206"/>
      <c r="S1" s="206"/>
    </row>
    <row r="2" spans="1:69">
      <c r="M2" s="207"/>
      <c r="P2" s="207"/>
      <c r="S2" s="207"/>
    </row>
    <row r="3" spans="1:69" s="176" customFormat="1">
      <c r="B3" s="177"/>
      <c r="C3" s="177"/>
      <c r="D3" s="177"/>
      <c r="E3" s="208" t="s">
        <v>2259</v>
      </c>
      <c r="F3" s="208" t="s">
        <v>2260</v>
      </c>
      <c r="G3" s="208" t="s">
        <v>2261</v>
      </c>
      <c r="H3" s="208" t="s">
        <v>2262</v>
      </c>
      <c r="I3" s="208" t="s">
        <v>2263</v>
      </c>
      <c r="J3" s="208" t="s">
        <v>2264</v>
      </c>
      <c r="K3" s="208" t="s">
        <v>2265</v>
      </c>
      <c r="L3" s="208" t="s">
        <v>2266</v>
      </c>
      <c r="M3" s="208" t="s">
        <v>2267</v>
      </c>
      <c r="N3" s="208" t="s">
        <v>2268</v>
      </c>
      <c r="O3" s="208" t="s">
        <v>2269</v>
      </c>
      <c r="P3" s="208" t="s">
        <v>2270</v>
      </c>
      <c r="Q3" s="208" t="s">
        <v>2271</v>
      </c>
      <c r="R3" s="208" t="s">
        <v>2272</v>
      </c>
      <c r="S3" s="208" t="s">
        <v>2273</v>
      </c>
      <c r="T3" s="208" t="s">
        <v>2274</v>
      </c>
      <c r="U3" s="208" t="s">
        <v>2275</v>
      </c>
      <c r="V3" s="208" t="s">
        <v>2276</v>
      </c>
      <c r="W3" s="208" t="s">
        <v>2277</v>
      </c>
      <c r="X3" s="208" t="s">
        <v>2278</v>
      </c>
      <c r="Y3" s="208" t="s">
        <v>2279</v>
      </c>
      <c r="Z3" s="208" t="s">
        <v>2280</v>
      </c>
      <c r="AA3" s="208" t="s">
        <v>2281</v>
      </c>
      <c r="AB3" s="208" t="s">
        <v>2282</v>
      </c>
      <c r="AC3" s="208" t="s">
        <v>2283</v>
      </c>
      <c r="AD3" s="208" t="s">
        <v>2284</v>
      </c>
      <c r="AE3" s="208" t="s">
        <v>2285</v>
      </c>
      <c r="AF3" s="208" t="s">
        <v>2286</v>
      </c>
      <c r="AG3" s="208" t="s">
        <v>2287</v>
      </c>
      <c r="AH3" s="208" t="s">
        <v>2288</v>
      </c>
      <c r="AI3" s="208" t="s">
        <v>2289</v>
      </c>
      <c r="AJ3" s="208" t="s">
        <v>2290</v>
      </c>
      <c r="AK3" s="208" t="s">
        <v>2291</v>
      </c>
      <c r="AL3" s="208" t="s">
        <v>2396</v>
      </c>
      <c r="AM3" s="208" t="s">
        <v>2397</v>
      </c>
      <c r="AN3" s="208" t="s">
        <v>2398</v>
      </c>
      <c r="AO3" s="208" t="s">
        <v>2519</v>
      </c>
      <c r="AP3" s="208" t="s">
        <v>2520</v>
      </c>
      <c r="AQ3" s="208" t="s">
        <v>2521</v>
      </c>
      <c r="AR3" s="208" t="s">
        <v>2533</v>
      </c>
      <c r="AS3" s="208" t="s">
        <v>2534</v>
      </c>
      <c r="AT3" s="208" t="s">
        <v>2535</v>
      </c>
      <c r="AU3" s="208" t="s">
        <v>2540</v>
      </c>
      <c r="AV3" s="208" t="s">
        <v>2541</v>
      </c>
      <c r="AW3" s="208" t="s">
        <v>2542</v>
      </c>
      <c r="AX3" s="208" t="s">
        <v>2558</v>
      </c>
      <c r="AY3" s="208" t="s">
        <v>2559</v>
      </c>
      <c r="AZ3" s="208" t="s">
        <v>2560</v>
      </c>
      <c r="BC3" s="208" t="s">
        <v>2280</v>
      </c>
      <c r="BD3" s="208" t="s">
        <v>2281</v>
      </c>
      <c r="BE3" s="208" t="s">
        <v>2282</v>
      </c>
      <c r="BF3" s="208" t="s">
        <v>2283</v>
      </c>
      <c r="BG3" s="208" t="s">
        <v>2284</v>
      </c>
      <c r="BH3" s="208" t="s">
        <v>2285</v>
      </c>
      <c r="BI3" s="208" t="s">
        <v>2286</v>
      </c>
      <c r="BJ3" s="208" t="s">
        <v>2287</v>
      </c>
      <c r="BK3" s="208" t="s">
        <v>2288</v>
      </c>
      <c r="BL3" s="208" t="s">
        <v>2289</v>
      </c>
      <c r="BM3" s="208" t="s">
        <v>2290</v>
      </c>
      <c r="BN3" s="208" t="s">
        <v>2291</v>
      </c>
      <c r="BO3" s="208" t="s">
        <v>2396</v>
      </c>
      <c r="BP3" s="208" t="s">
        <v>2397</v>
      </c>
      <c r="BQ3" s="208" t="s">
        <v>2398</v>
      </c>
    </row>
    <row r="4" spans="1:69">
      <c r="A4" s="178"/>
      <c r="B4" s="179" t="s">
        <v>2292</v>
      </c>
      <c r="C4" s="178"/>
      <c r="D4" s="178"/>
      <c r="E4" s="209"/>
      <c r="F4" s="209"/>
      <c r="G4" s="210"/>
      <c r="H4" s="209"/>
      <c r="I4" s="209"/>
      <c r="J4" s="210"/>
      <c r="K4" s="209"/>
      <c r="L4" s="209"/>
      <c r="M4" s="210"/>
      <c r="N4" s="209"/>
      <c r="O4" s="209"/>
      <c r="P4" s="210"/>
      <c r="Q4" s="209"/>
      <c r="R4" s="209"/>
      <c r="S4" s="210"/>
      <c r="T4" s="209"/>
      <c r="U4" s="209"/>
      <c r="V4" s="210"/>
      <c r="W4" s="209"/>
      <c r="X4" s="209"/>
      <c r="Y4" s="210"/>
      <c r="Z4" s="209"/>
      <c r="AA4" s="209"/>
      <c r="AB4" s="210"/>
      <c r="AC4" s="209"/>
      <c r="AD4" s="209"/>
      <c r="AE4" s="210"/>
      <c r="AF4" s="209"/>
      <c r="AG4" s="209"/>
      <c r="AH4" s="210"/>
      <c r="AI4" s="209"/>
      <c r="AJ4" s="209"/>
      <c r="AK4" s="210"/>
      <c r="AL4" s="209"/>
      <c r="AM4" s="209"/>
      <c r="AN4" s="210"/>
      <c r="AO4" s="209"/>
      <c r="AP4" s="209"/>
      <c r="AQ4" s="210"/>
      <c r="AR4" s="209"/>
      <c r="AS4" s="209"/>
      <c r="AT4" s="210"/>
      <c r="AU4" s="209"/>
      <c r="AV4" s="209"/>
      <c r="AW4" s="210"/>
      <c r="AX4" s="209"/>
      <c r="AY4" s="209"/>
      <c r="AZ4" s="210"/>
      <c r="BC4" s="209"/>
      <c r="BD4" s="209"/>
      <c r="BE4" s="210"/>
      <c r="BF4" s="209"/>
      <c r="BG4" s="209"/>
      <c r="BH4" s="210"/>
      <c r="BI4" s="209"/>
      <c r="BJ4" s="209"/>
      <c r="BK4" s="210"/>
      <c r="BL4" s="209"/>
      <c r="BM4" s="209"/>
      <c r="BN4" s="210"/>
      <c r="BO4" s="209"/>
      <c r="BP4" s="209"/>
      <c r="BQ4" s="210"/>
    </row>
    <row r="5" spans="1:69" ht="13.5" thickBot="1">
      <c r="A5" s="180"/>
      <c r="B5" s="181" t="s">
        <v>2293</v>
      </c>
      <c r="E5" s="206"/>
      <c r="F5" s="206"/>
      <c r="G5" s="184"/>
      <c r="H5" s="206"/>
      <c r="I5" s="206"/>
      <c r="J5" s="184"/>
      <c r="K5" s="206"/>
      <c r="L5" s="211"/>
      <c r="M5" s="184"/>
      <c r="N5" s="206"/>
      <c r="O5" s="206"/>
      <c r="P5" s="184"/>
      <c r="Q5" s="206"/>
      <c r="R5" s="206"/>
      <c r="S5" s="184"/>
      <c r="T5" s="206"/>
      <c r="U5" s="206"/>
      <c r="V5" s="184"/>
      <c r="W5" s="206"/>
      <c r="X5" s="206"/>
      <c r="Y5" s="184"/>
      <c r="Z5" s="206"/>
      <c r="AA5" s="206"/>
      <c r="AB5" s="184"/>
      <c r="AC5" s="206"/>
      <c r="AD5" s="206"/>
      <c r="AE5" s="184"/>
      <c r="AF5" s="206"/>
      <c r="AG5" s="206"/>
      <c r="AH5" s="184"/>
      <c r="AI5" s="206"/>
      <c r="AJ5" s="206"/>
      <c r="AK5" s="184"/>
      <c r="AL5" s="206"/>
      <c r="AM5" s="206"/>
      <c r="AN5" s="184"/>
      <c r="AO5" s="206"/>
      <c r="AP5" s="206"/>
      <c r="AQ5" s="184"/>
      <c r="AR5" s="206"/>
      <c r="AS5" s="206"/>
      <c r="AT5" s="184"/>
      <c r="AU5" s="206"/>
      <c r="AV5" s="206"/>
      <c r="AW5" s="184"/>
      <c r="AX5" s="206"/>
      <c r="AY5" s="206"/>
      <c r="AZ5" s="184"/>
      <c r="BC5" s="206"/>
      <c r="BD5" s="206"/>
      <c r="BE5" s="184"/>
      <c r="BF5" s="206"/>
      <c r="BG5" s="206"/>
      <c r="BH5" s="184"/>
      <c r="BI5" s="206"/>
      <c r="BJ5" s="206"/>
      <c r="BK5" s="184"/>
      <c r="BL5" s="206"/>
      <c r="BM5" s="206"/>
      <c r="BN5" s="184"/>
      <c r="BO5" s="206"/>
      <c r="BP5" s="206"/>
      <c r="BQ5" s="184"/>
    </row>
    <row r="6" spans="1:69">
      <c r="A6" s="180"/>
      <c r="B6" s="175" t="s">
        <v>2294</v>
      </c>
      <c r="E6" s="212">
        <f>E44</f>
        <v>80</v>
      </c>
      <c r="F6" s="213">
        <f>F44</f>
        <v>88</v>
      </c>
      <c r="G6" s="214">
        <f>E6+F6</f>
        <v>168</v>
      </c>
      <c r="H6" s="213">
        <f>H44</f>
        <v>107</v>
      </c>
      <c r="I6" s="213">
        <f>I44</f>
        <v>132</v>
      </c>
      <c r="J6" s="214">
        <f>H6+I6</f>
        <v>239</v>
      </c>
      <c r="K6" s="213">
        <f>K44</f>
        <v>125</v>
      </c>
      <c r="L6" s="213">
        <f>L44</f>
        <v>88</v>
      </c>
      <c r="M6" s="214">
        <f>K6+L6</f>
        <v>213</v>
      </c>
      <c r="N6" s="213">
        <f>N44</f>
        <v>68</v>
      </c>
      <c r="O6" s="213">
        <f>O44</f>
        <v>66</v>
      </c>
      <c r="P6" s="214">
        <f>N6+O6</f>
        <v>134</v>
      </c>
      <c r="Q6" s="213">
        <f>Q44</f>
        <v>96.070219000000009</v>
      </c>
      <c r="R6" s="213">
        <f>R44</f>
        <v>119.793316</v>
      </c>
      <c r="S6" s="214">
        <f>Q6+R6</f>
        <v>215.86353500000001</v>
      </c>
      <c r="T6" s="213">
        <f>T44</f>
        <v>90.247967999999972</v>
      </c>
      <c r="U6" s="213">
        <f>U44</f>
        <v>92.75627375000002</v>
      </c>
      <c r="V6" s="214">
        <f>T6+U6</f>
        <v>183.00424175000001</v>
      </c>
      <c r="W6" s="213">
        <f>W44</f>
        <v>101.076571</v>
      </c>
      <c r="X6" s="213">
        <f>X44</f>
        <v>106.90269699999999</v>
      </c>
      <c r="Y6" s="214">
        <f>W6+X6</f>
        <v>207.97926799999999</v>
      </c>
      <c r="Z6" s="213">
        <f>Z44</f>
        <v>124.39749299999998</v>
      </c>
      <c r="AA6" s="213">
        <f>AA44</f>
        <v>141.15860000000001</v>
      </c>
      <c r="AB6" s="214">
        <f>Z6+AA6</f>
        <v>265.55609299999998</v>
      </c>
      <c r="AC6" s="213">
        <f>AC44</f>
        <v>147</v>
      </c>
      <c r="AD6" s="213">
        <f>AD44</f>
        <v>158</v>
      </c>
      <c r="AE6" s="214">
        <f>AC6+AD6</f>
        <v>305</v>
      </c>
      <c r="AF6" s="213">
        <f>AF44</f>
        <v>156</v>
      </c>
      <c r="AG6" s="213">
        <f>AG44</f>
        <v>160</v>
      </c>
      <c r="AH6" s="214">
        <f>AF6+AG6</f>
        <v>316</v>
      </c>
      <c r="AI6" s="213">
        <f>AI44</f>
        <v>159</v>
      </c>
      <c r="AJ6" s="213">
        <f>AJ44</f>
        <v>197</v>
      </c>
      <c r="AK6" s="214">
        <f>AI6+AJ6</f>
        <v>356</v>
      </c>
      <c r="AL6" s="213">
        <f>AL44</f>
        <v>187.71668227558109</v>
      </c>
      <c r="AM6" s="213">
        <f>AM44</f>
        <v>213.71017455708844</v>
      </c>
      <c r="AN6" s="214">
        <f>AL6+AM6</f>
        <v>401.4268568326695</v>
      </c>
      <c r="AO6" s="213">
        <f>AO44</f>
        <v>206.62949569989979</v>
      </c>
      <c r="AP6" s="213">
        <f>AP44</f>
        <v>237.38626857762299</v>
      </c>
      <c r="AQ6" s="215">
        <f>AO6+AP6</f>
        <v>444.01576427752275</v>
      </c>
      <c r="AR6" s="213">
        <f>AR44</f>
        <v>230.3555465615203</v>
      </c>
      <c r="AS6" s="213">
        <f>AS44</f>
        <v>262.20635179984163</v>
      </c>
      <c r="AT6" s="215">
        <f>AR6+AS6</f>
        <v>492.56189836136195</v>
      </c>
      <c r="AU6" s="213">
        <f>AU44</f>
        <v>255.26114503240484</v>
      </c>
      <c r="AV6" s="213">
        <f>AV44</f>
        <v>288.26981169193522</v>
      </c>
      <c r="AW6" s="215">
        <f>AU6+AV6</f>
        <v>543.53095672434006</v>
      </c>
      <c r="AX6" s="213">
        <f>AX44</f>
        <v>281.44878637537909</v>
      </c>
      <c r="AY6" s="213">
        <f>AY44</f>
        <v>315.68316652802844</v>
      </c>
      <c r="AZ6" s="215">
        <f>AX6+AY6</f>
        <v>597.13195290340752</v>
      </c>
      <c r="BC6" s="213">
        <v>124.39749299999998</v>
      </c>
      <c r="BD6" s="213">
        <v>127.84433595819658</v>
      </c>
      <c r="BE6" s="214">
        <v>252.24182895819655</v>
      </c>
      <c r="BF6" s="213">
        <v>135.1352212876472</v>
      </c>
      <c r="BG6" s="213">
        <v>140.70139538441532</v>
      </c>
      <c r="BH6" s="214">
        <v>275.83661667206252</v>
      </c>
      <c r="BI6" s="213">
        <v>148.33999625878306</v>
      </c>
      <c r="BJ6" s="213">
        <v>154.15864479866966</v>
      </c>
      <c r="BK6" s="214">
        <v>302.49864105745269</v>
      </c>
      <c r="BL6" s="213">
        <v>162.06049631044715</v>
      </c>
      <c r="BM6" s="213">
        <v>168.05161352492823</v>
      </c>
      <c r="BN6" s="215">
        <v>330.11210983537535</v>
      </c>
      <c r="BO6" s="213">
        <v>176.16474188092295</v>
      </c>
      <c r="BP6" s="213">
        <v>182.28344316635753</v>
      </c>
      <c r="BQ6" s="215">
        <v>358.4481850472805</v>
      </c>
    </row>
    <row r="7" spans="1:69">
      <c r="A7" s="180"/>
      <c r="B7" s="175" t="s">
        <v>2295</v>
      </c>
      <c r="E7" s="216">
        <f>E156</f>
        <v>65</v>
      </c>
      <c r="F7" s="206">
        <f>F156</f>
        <v>75</v>
      </c>
      <c r="G7" s="184">
        <f>E7+F7</f>
        <v>140</v>
      </c>
      <c r="H7" s="206">
        <f>H156</f>
        <v>76</v>
      </c>
      <c r="I7" s="206">
        <f>I156</f>
        <v>87</v>
      </c>
      <c r="J7" s="184">
        <f>H7+I7</f>
        <v>163</v>
      </c>
      <c r="K7" s="206">
        <f>K156</f>
        <v>95</v>
      </c>
      <c r="L7" s="206">
        <f>L156</f>
        <v>100</v>
      </c>
      <c r="M7" s="184">
        <f>K7+L7</f>
        <v>195</v>
      </c>
      <c r="N7" s="206">
        <f>N156</f>
        <v>90</v>
      </c>
      <c r="O7" s="206">
        <f>O156</f>
        <v>87</v>
      </c>
      <c r="P7" s="184">
        <f>N7+O7</f>
        <v>177</v>
      </c>
      <c r="Q7" s="206">
        <f>Q156</f>
        <v>97</v>
      </c>
      <c r="R7" s="206">
        <f>R156</f>
        <v>100</v>
      </c>
      <c r="S7" s="184">
        <f>Q7+R7</f>
        <v>197</v>
      </c>
      <c r="T7" s="206">
        <f>T156</f>
        <v>108</v>
      </c>
      <c r="U7" s="206">
        <f>U156</f>
        <v>72</v>
      </c>
      <c r="V7" s="184">
        <f>T7+U7</f>
        <v>180</v>
      </c>
      <c r="W7" s="206">
        <f>W156</f>
        <v>93</v>
      </c>
      <c r="X7" s="206">
        <f>X156</f>
        <v>76</v>
      </c>
      <c r="Y7" s="184">
        <f>W7+X7</f>
        <v>169</v>
      </c>
      <c r="Z7" s="206">
        <f>Z156</f>
        <v>48</v>
      </c>
      <c r="AA7" s="206">
        <f>AA156</f>
        <v>-18</v>
      </c>
      <c r="AB7" s="184">
        <f>Z7+AA7</f>
        <v>30</v>
      </c>
      <c r="AC7" s="206">
        <f>AC156</f>
        <v>27</v>
      </c>
      <c r="AD7" s="206">
        <f>AD156</f>
        <v>33</v>
      </c>
      <c r="AE7" s="184">
        <f>AC7+AD7</f>
        <v>60</v>
      </c>
      <c r="AF7" s="206">
        <f>AF156</f>
        <v>0</v>
      </c>
      <c r="AG7" s="206">
        <f>AG156</f>
        <v>0</v>
      </c>
      <c r="AH7" s="184">
        <f>AF7+AG7</f>
        <v>0</v>
      </c>
      <c r="AI7" s="206">
        <f>AI156</f>
        <v>0</v>
      </c>
      <c r="AJ7" s="206">
        <f>AJ156</f>
        <v>0</v>
      </c>
      <c r="AK7" s="184">
        <f>AI7+AJ7</f>
        <v>0</v>
      </c>
      <c r="AL7" s="206">
        <f>AL156</f>
        <v>0</v>
      </c>
      <c r="AM7" s="206">
        <f>AM156</f>
        <v>0</v>
      </c>
      <c r="AN7" s="184">
        <f>AL7+AM7</f>
        <v>0</v>
      </c>
      <c r="AO7" s="206">
        <f>AO156</f>
        <v>0</v>
      </c>
      <c r="AP7" s="206">
        <f>AP156</f>
        <v>0</v>
      </c>
      <c r="AQ7" s="217">
        <f>AO7+AP7</f>
        <v>0</v>
      </c>
      <c r="AR7" s="206">
        <f>AR156</f>
        <v>0</v>
      </c>
      <c r="AS7" s="206">
        <f>AS156</f>
        <v>0</v>
      </c>
      <c r="AT7" s="217">
        <f>AR7+AS7</f>
        <v>0</v>
      </c>
      <c r="AU7" s="206">
        <f>AU156</f>
        <v>0</v>
      </c>
      <c r="AV7" s="206">
        <f>AV156</f>
        <v>0</v>
      </c>
      <c r="AW7" s="217">
        <f>AU7+AV7</f>
        <v>0</v>
      </c>
      <c r="AX7" s="206">
        <f>AX156</f>
        <v>0</v>
      </c>
      <c r="AY7" s="206">
        <f>AY156</f>
        <v>0</v>
      </c>
      <c r="AZ7" s="217">
        <f>AX7+AY7</f>
        <v>0</v>
      </c>
      <c r="BC7" s="206">
        <v>48</v>
      </c>
      <c r="BD7" s="206">
        <v>52.454283136010211</v>
      </c>
      <c r="BE7" s="184">
        <v>100.45428313601022</v>
      </c>
      <c r="BF7" s="206">
        <v>71.033190566284304</v>
      </c>
      <c r="BG7" s="206">
        <v>73.252347746633319</v>
      </c>
      <c r="BH7" s="184">
        <v>144.28553831291762</v>
      </c>
      <c r="BI7" s="206">
        <v>78.237624696328737</v>
      </c>
      <c r="BJ7" s="206">
        <v>76.638543679969956</v>
      </c>
      <c r="BK7" s="184">
        <v>154.87616837629869</v>
      </c>
      <c r="BL7" s="206">
        <v>82.975292692582997</v>
      </c>
      <c r="BM7" s="206">
        <v>82.350902276750361</v>
      </c>
      <c r="BN7" s="217">
        <v>165.32619496933336</v>
      </c>
      <c r="BO7" s="206">
        <v>90.019102418481765</v>
      </c>
      <c r="BP7" s="206">
        <v>90.287851790423247</v>
      </c>
      <c r="BQ7" s="217">
        <v>180.30695420890501</v>
      </c>
    </row>
    <row r="8" spans="1:69">
      <c r="A8" s="180"/>
      <c r="B8" s="181" t="s">
        <v>2296</v>
      </c>
      <c r="E8" s="218">
        <f>E6+E7</f>
        <v>145</v>
      </c>
      <c r="F8" s="193">
        <f>F6+F7</f>
        <v>163</v>
      </c>
      <c r="G8" s="194">
        <f>G6+G7</f>
        <v>308</v>
      </c>
      <c r="H8" s="193">
        <f>H6+H7</f>
        <v>183</v>
      </c>
      <c r="I8" s="193">
        <f>I6+I7</f>
        <v>219</v>
      </c>
      <c r="J8" s="194">
        <f>H8+I8</f>
        <v>402</v>
      </c>
      <c r="K8" s="193">
        <f>K6+K7</f>
        <v>220</v>
      </c>
      <c r="L8" s="193">
        <f>L6+L7</f>
        <v>188</v>
      </c>
      <c r="M8" s="194">
        <f>K8+L8</f>
        <v>408</v>
      </c>
      <c r="N8" s="193">
        <f>N6+N7</f>
        <v>158</v>
      </c>
      <c r="O8" s="193">
        <f>O6+O7</f>
        <v>153</v>
      </c>
      <c r="P8" s="194">
        <f>N8+O8</f>
        <v>311</v>
      </c>
      <c r="Q8" s="193">
        <f>Q6+Q7</f>
        <v>193.07021900000001</v>
      </c>
      <c r="R8" s="193">
        <f>R6+R7</f>
        <v>219.793316</v>
      </c>
      <c r="S8" s="194">
        <f>Q8+R8</f>
        <v>412.86353500000001</v>
      </c>
      <c r="T8" s="193">
        <f>T6+T7</f>
        <v>198.24796799999996</v>
      </c>
      <c r="U8" s="193">
        <f>U6+U7</f>
        <v>164.75627375000002</v>
      </c>
      <c r="V8" s="194">
        <f>T8+U8</f>
        <v>363.00424175000001</v>
      </c>
      <c r="W8" s="193">
        <f>W6+W7</f>
        <v>194.076571</v>
      </c>
      <c r="X8" s="193">
        <f>X6+X7</f>
        <v>182.90269699999999</v>
      </c>
      <c r="Y8" s="194">
        <f>W8+X8</f>
        <v>376.97926799999999</v>
      </c>
      <c r="Z8" s="193">
        <f>Z6+Z7</f>
        <v>172.397493</v>
      </c>
      <c r="AA8" s="193">
        <f>AA6+AA7</f>
        <v>123.15860000000001</v>
      </c>
      <c r="AB8" s="194">
        <f>Z8+AA8</f>
        <v>295.55609300000003</v>
      </c>
      <c r="AC8" s="193">
        <f>AC6+AC7</f>
        <v>174</v>
      </c>
      <c r="AD8" s="193">
        <f>AD6+AD7</f>
        <v>191</v>
      </c>
      <c r="AE8" s="194">
        <f>AC8+AD8</f>
        <v>365</v>
      </c>
      <c r="AF8" s="193">
        <f>AF6+AF7</f>
        <v>156</v>
      </c>
      <c r="AG8" s="193">
        <f>AG6+AG7</f>
        <v>160</v>
      </c>
      <c r="AH8" s="194">
        <f>AF8+AG8</f>
        <v>316</v>
      </c>
      <c r="AI8" s="193">
        <f>AI6+AI7</f>
        <v>159</v>
      </c>
      <c r="AJ8" s="193">
        <f>AJ6+AJ7</f>
        <v>197</v>
      </c>
      <c r="AK8" s="194">
        <f>AI8+AJ8</f>
        <v>356</v>
      </c>
      <c r="AL8" s="193">
        <f>AL6+AL7</f>
        <v>187.71668227558109</v>
      </c>
      <c r="AM8" s="193">
        <f>AM6+AM7</f>
        <v>213.71017455708844</v>
      </c>
      <c r="AN8" s="194">
        <f>AL8+AM8</f>
        <v>401.4268568326695</v>
      </c>
      <c r="AO8" s="193">
        <f>AO6+AO7</f>
        <v>206.62949569989979</v>
      </c>
      <c r="AP8" s="193">
        <f>AP6+AP7</f>
        <v>237.38626857762299</v>
      </c>
      <c r="AQ8" s="219">
        <f>AO8+AP8</f>
        <v>444.01576427752275</v>
      </c>
      <c r="AR8" s="193">
        <f>AR6+AR7</f>
        <v>230.3555465615203</v>
      </c>
      <c r="AS8" s="193">
        <f>AS6+AS7</f>
        <v>262.20635179984163</v>
      </c>
      <c r="AT8" s="219">
        <f>AR8+AS8</f>
        <v>492.56189836136195</v>
      </c>
      <c r="AU8" s="193">
        <f>AU6+AU7</f>
        <v>255.26114503240484</v>
      </c>
      <c r="AV8" s="193">
        <f>AV6+AV7</f>
        <v>288.26981169193522</v>
      </c>
      <c r="AW8" s="219">
        <f>AU8+AV8</f>
        <v>543.53095672434006</v>
      </c>
      <c r="AX8" s="193">
        <f>AX6+AX7</f>
        <v>281.44878637537909</v>
      </c>
      <c r="AY8" s="193">
        <f>AY6+AY7</f>
        <v>315.68316652802844</v>
      </c>
      <c r="AZ8" s="219">
        <f>AX8+AY8</f>
        <v>597.13195290340752</v>
      </c>
      <c r="BC8" s="193">
        <v>172.397493</v>
      </c>
      <c r="BD8" s="193">
        <v>180.2986190942068</v>
      </c>
      <c r="BE8" s="194">
        <v>352.6961120942068</v>
      </c>
      <c r="BF8" s="193">
        <v>206.1684118539315</v>
      </c>
      <c r="BG8" s="193">
        <v>213.95374313104864</v>
      </c>
      <c r="BH8" s="194">
        <v>420.12215498498017</v>
      </c>
      <c r="BI8" s="193">
        <v>226.5776209551118</v>
      </c>
      <c r="BJ8" s="193">
        <v>230.79718847863961</v>
      </c>
      <c r="BK8" s="194">
        <v>457.37480943375141</v>
      </c>
      <c r="BL8" s="193">
        <v>245.03578900303015</v>
      </c>
      <c r="BM8" s="193">
        <v>250.40251580167859</v>
      </c>
      <c r="BN8" s="219">
        <v>495.43830480470876</v>
      </c>
      <c r="BO8" s="193">
        <v>266.18384429940471</v>
      </c>
      <c r="BP8" s="193">
        <v>272.57129495678078</v>
      </c>
      <c r="BQ8" s="219">
        <v>538.75513925618543</v>
      </c>
    </row>
    <row r="9" spans="1:69">
      <c r="A9" s="180"/>
      <c r="B9" s="175" t="s">
        <v>2297</v>
      </c>
      <c r="E9" s="216">
        <v>29</v>
      </c>
      <c r="F9" s="206">
        <v>27</v>
      </c>
      <c r="G9" s="184">
        <f>E9+F9</f>
        <v>56</v>
      </c>
      <c r="H9" s="206">
        <v>21</v>
      </c>
      <c r="I9" s="206">
        <v>18</v>
      </c>
      <c r="J9" s="184">
        <f>H9+I9</f>
        <v>39</v>
      </c>
      <c r="K9" s="206">
        <v>-9</v>
      </c>
      <c r="L9" s="206">
        <v>-5</v>
      </c>
      <c r="M9" s="184">
        <f>K9+L9</f>
        <v>-14</v>
      </c>
      <c r="N9" s="220">
        <v>-26</v>
      </c>
      <c r="O9" s="220">
        <v>52</v>
      </c>
      <c r="P9" s="184">
        <f>N9+O9</f>
        <v>26</v>
      </c>
      <c r="Q9" s="220">
        <v>35</v>
      </c>
      <c r="R9" s="220">
        <v>26</v>
      </c>
      <c r="S9" s="184">
        <f>Q9+R9</f>
        <v>61</v>
      </c>
      <c r="T9" s="220">
        <v>29</v>
      </c>
      <c r="U9" s="220">
        <v>1</v>
      </c>
      <c r="V9" s="184">
        <f>T9+U9</f>
        <v>30</v>
      </c>
      <c r="W9" s="206">
        <v>30</v>
      </c>
      <c r="X9" s="220">
        <v>8</v>
      </c>
      <c r="Y9" s="184">
        <f>W9+X9</f>
        <v>38</v>
      </c>
      <c r="Z9" s="206">
        <v>0</v>
      </c>
      <c r="AA9" s="206">
        <v>-3</v>
      </c>
      <c r="AB9" s="184">
        <f>Z9+AA9</f>
        <v>-3</v>
      </c>
      <c r="AC9" s="221"/>
      <c r="AD9" s="221"/>
      <c r="AE9" s="184"/>
      <c r="AF9" s="221">
        <f>AD9*1.03</f>
        <v>0</v>
      </c>
      <c r="AG9" s="221">
        <f>AF9*1.03</f>
        <v>0</v>
      </c>
      <c r="AH9" s="184">
        <f>AF9+AG9</f>
        <v>0</v>
      </c>
      <c r="AI9" s="221">
        <f>AG9*1.03</f>
        <v>0</v>
      </c>
      <c r="AJ9" s="221">
        <f>AI9*1.03</f>
        <v>0</v>
      </c>
      <c r="AK9" s="184">
        <f>AI9+AJ9</f>
        <v>0</v>
      </c>
      <c r="AL9" s="221">
        <f>AJ9*1.03</f>
        <v>0</v>
      </c>
      <c r="AM9" s="221">
        <f>AL9*1.03</f>
        <v>0</v>
      </c>
      <c r="AN9" s="184">
        <f>AL9+AM9</f>
        <v>0</v>
      </c>
      <c r="AO9" s="221">
        <f>AM9*1.03</f>
        <v>0</v>
      </c>
      <c r="AP9" s="221">
        <f>AO9*1.03</f>
        <v>0</v>
      </c>
      <c r="AQ9" s="217">
        <f>AO9+AP9</f>
        <v>0</v>
      </c>
      <c r="AR9" s="221">
        <f>AP9*1.03</f>
        <v>0</v>
      </c>
      <c r="AS9" s="221">
        <f>AR9*1.03</f>
        <v>0</v>
      </c>
      <c r="AT9" s="217">
        <f>AR9+AS9</f>
        <v>0</v>
      </c>
      <c r="AU9" s="221">
        <f>AS9*1.03</f>
        <v>0</v>
      </c>
      <c r="AV9" s="221">
        <f>AU9*1.03</f>
        <v>0</v>
      </c>
      <c r="AW9" s="217">
        <f>AU9+AV9</f>
        <v>0</v>
      </c>
      <c r="AX9" s="221">
        <f>AV9*1.03</f>
        <v>0</v>
      </c>
      <c r="AY9" s="221">
        <f>AX9*1.03</f>
        <v>0</v>
      </c>
      <c r="AZ9" s="217">
        <f>AX9+AY9</f>
        <v>0</v>
      </c>
      <c r="BC9" s="206">
        <v>0</v>
      </c>
      <c r="BD9" s="221">
        <v>-1.7247999999998799E-2</v>
      </c>
      <c r="BE9" s="184">
        <v>-1.7247999999998799E-2</v>
      </c>
      <c r="BF9" s="221">
        <v>-1.8282879999998728E-2</v>
      </c>
      <c r="BG9" s="221">
        <v>-1.9379852799998654E-2</v>
      </c>
      <c r="BH9" s="184">
        <v>-3.7662732799997378E-2</v>
      </c>
      <c r="BI9" s="221">
        <v>-2.0542643967998573E-2</v>
      </c>
      <c r="BJ9" s="221">
        <v>-2.177520260607849E-2</v>
      </c>
      <c r="BK9" s="184">
        <v>-4.2317846574077063E-2</v>
      </c>
      <c r="BL9" s="221">
        <v>-2.3081714762443202E-2</v>
      </c>
      <c r="BM9" s="221">
        <v>-2.4466617648189797E-2</v>
      </c>
      <c r="BN9" s="217">
        <v>-4.7548332410632999E-2</v>
      </c>
      <c r="BO9" s="221">
        <v>-2.5934614707081187E-2</v>
      </c>
      <c r="BP9" s="221">
        <v>-2.749069158950606E-2</v>
      </c>
      <c r="BQ9" s="217">
        <v>-5.3425306296587247E-2</v>
      </c>
    </row>
    <row r="10" spans="1:69" s="181" customFormat="1" ht="13.5" thickBot="1">
      <c r="A10" s="183"/>
      <c r="B10" s="181" t="s">
        <v>354</v>
      </c>
      <c r="E10" s="222">
        <f t="shared" ref="E10:AK10" si="0">E8+E9</f>
        <v>174</v>
      </c>
      <c r="F10" s="223">
        <f t="shared" si="0"/>
        <v>190</v>
      </c>
      <c r="G10" s="224">
        <f t="shared" si="0"/>
        <v>364</v>
      </c>
      <c r="H10" s="223">
        <f t="shared" si="0"/>
        <v>204</v>
      </c>
      <c r="I10" s="223">
        <f t="shared" si="0"/>
        <v>237</v>
      </c>
      <c r="J10" s="224">
        <f t="shared" si="0"/>
        <v>441</v>
      </c>
      <c r="K10" s="223">
        <f>K8+K9</f>
        <v>211</v>
      </c>
      <c r="L10" s="223">
        <f>L8+L9</f>
        <v>183</v>
      </c>
      <c r="M10" s="224">
        <f>M8+M9</f>
        <v>394</v>
      </c>
      <c r="N10" s="223">
        <f t="shared" si="0"/>
        <v>132</v>
      </c>
      <c r="O10" s="223">
        <f t="shared" si="0"/>
        <v>205</v>
      </c>
      <c r="P10" s="224">
        <f t="shared" si="0"/>
        <v>337</v>
      </c>
      <c r="Q10" s="223">
        <f t="shared" si="0"/>
        <v>228.07021900000001</v>
      </c>
      <c r="R10" s="223">
        <f>R8+R9</f>
        <v>245.793316</v>
      </c>
      <c r="S10" s="224">
        <f t="shared" si="0"/>
        <v>473.86353500000001</v>
      </c>
      <c r="T10" s="223">
        <f>T8+T9</f>
        <v>227.24796799999996</v>
      </c>
      <c r="U10" s="223">
        <f>U8+U9</f>
        <v>165.75627375000002</v>
      </c>
      <c r="V10" s="224">
        <f t="shared" si="0"/>
        <v>393.00424175000001</v>
      </c>
      <c r="W10" s="223">
        <f>W8+W9</f>
        <v>224.076571</v>
      </c>
      <c r="X10" s="223">
        <f t="shared" si="0"/>
        <v>190.90269699999999</v>
      </c>
      <c r="Y10" s="224">
        <f t="shared" si="0"/>
        <v>414.97926799999999</v>
      </c>
      <c r="Z10" s="223">
        <f>Z8+Z9</f>
        <v>172.397493</v>
      </c>
      <c r="AA10" s="223">
        <f t="shared" si="0"/>
        <v>120.15860000000001</v>
      </c>
      <c r="AB10" s="224">
        <f t="shared" si="0"/>
        <v>292.55609300000003</v>
      </c>
      <c r="AC10" s="223">
        <f t="shared" si="0"/>
        <v>174</v>
      </c>
      <c r="AD10" s="223">
        <f t="shared" si="0"/>
        <v>191</v>
      </c>
      <c r="AE10" s="224">
        <f t="shared" si="0"/>
        <v>365</v>
      </c>
      <c r="AF10" s="223">
        <f t="shared" si="0"/>
        <v>156</v>
      </c>
      <c r="AG10" s="223">
        <f t="shared" si="0"/>
        <v>160</v>
      </c>
      <c r="AH10" s="224">
        <f t="shared" si="0"/>
        <v>316</v>
      </c>
      <c r="AI10" s="223">
        <f t="shared" si="0"/>
        <v>159</v>
      </c>
      <c r="AJ10" s="223">
        <f t="shared" si="0"/>
        <v>197</v>
      </c>
      <c r="AK10" s="224">
        <f t="shared" si="0"/>
        <v>356</v>
      </c>
      <c r="AL10" s="223">
        <f t="shared" ref="AL10:AZ10" si="1">AL8+AL9</f>
        <v>187.71668227558109</v>
      </c>
      <c r="AM10" s="223">
        <f t="shared" si="1"/>
        <v>213.71017455708844</v>
      </c>
      <c r="AN10" s="224">
        <f t="shared" si="1"/>
        <v>401.4268568326695</v>
      </c>
      <c r="AO10" s="223">
        <f t="shared" si="1"/>
        <v>206.62949569989979</v>
      </c>
      <c r="AP10" s="223">
        <f t="shared" si="1"/>
        <v>237.38626857762299</v>
      </c>
      <c r="AQ10" s="225">
        <f t="shared" si="1"/>
        <v>444.01576427752275</v>
      </c>
      <c r="AR10" s="223">
        <f t="shared" si="1"/>
        <v>230.3555465615203</v>
      </c>
      <c r="AS10" s="223">
        <f t="shared" si="1"/>
        <v>262.20635179984163</v>
      </c>
      <c r="AT10" s="225">
        <f t="shared" si="1"/>
        <v>492.56189836136195</v>
      </c>
      <c r="AU10" s="223">
        <f t="shared" si="1"/>
        <v>255.26114503240484</v>
      </c>
      <c r="AV10" s="223">
        <f t="shared" si="1"/>
        <v>288.26981169193522</v>
      </c>
      <c r="AW10" s="225">
        <f t="shared" si="1"/>
        <v>543.53095672434006</v>
      </c>
      <c r="AX10" s="223">
        <f t="shared" si="1"/>
        <v>281.44878637537909</v>
      </c>
      <c r="AY10" s="223">
        <f t="shared" si="1"/>
        <v>315.68316652802844</v>
      </c>
      <c r="AZ10" s="225">
        <f t="shared" si="1"/>
        <v>597.13195290340752</v>
      </c>
      <c r="BB10" s="258" t="s">
        <v>2515</v>
      </c>
      <c r="BC10" s="223">
        <v>172.397493</v>
      </c>
      <c r="BD10" s="223">
        <v>180.2813710942068</v>
      </c>
      <c r="BE10" s="224">
        <v>352.6788640942068</v>
      </c>
      <c r="BF10" s="223">
        <v>206.15012897393152</v>
      </c>
      <c r="BG10" s="223">
        <v>213.93436327824864</v>
      </c>
      <c r="BH10" s="224">
        <v>420.08449225218015</v>
      </c>
      <c r="BI10" s="223">
        <v>226.55707831114381</v>
      </c>
      <c r="BJ10" s="223">
        <v>230.77541327603353</v>
      </c>
      <c r="BK10" s="224">
        <v>457.33249158717734</v>
      </c>
      <c r="BL10" s="223">
        <v>245.01270728826771</v>
      </c>
      <c r="BM10" s="223">
        <v>250.3780491840304</v>
      </c>
      <c r="BN10" s="225">
        <v>495.39075647229811</v>
      </c>
      <c r="BO10" s="223">
        <v>266.15790968469764</v>
      </c>
      <c r="BP10" s="223">
        <v>272.54380426519128</v>
      </c>
      <c r="BQ10" s="225">
        <v>538.70171394988881</v>
      </c>
    </row>
    <row r="11" spans="1:69">
      <c r="E11" s="206"/>
      <c r="F11" s="206"/>
      <c r="G11" s="184"/>
      <c r="H11" s="206"/>
      <c r="I11" s="206"/>
      <c r="J11" s="184"/>
      <c r="K11" s="206"/>
      <c r="L11" s="206"/>
      <c r="M11" s="184"/>
      <c r="N11" s="206"/>
      <c r="O11" s="206"/>
      <c r="P11" s="184"/>
      <c r="Q11" s="206"/>
      <c r="R11" s="206"/>
      <c r="S11" s="226"/>
      <c r="T11" s="206"/>
      <c r="U11" s="227"/>
      <c r="V11" s="184"/>
      <c r="W11" s="228"/>
      <c r="X11" s="206"/>
      <c r="Y11" s="184"/>
      <c r="Z11" s="206"/>
      <c r="AA11" s="206"/>
      <c r="AB11" s="184"/>
      <c r="AC11" s="206"/>
      <c r="AD11" s="206"/>
      <c r="AE11" s="184"/>
      <c r="AF11" s="206"/>
      <c r="AG11" s="206"/>
      <c r="AH11" s="184"/>
      <c r="AI11" s="206"/>
      <c r="AJ11" s="206"/>
      <c r="AK11" s="184"/>
      <c r="AL11" s="206"/>
      <c r="AM11" s="206"/>
      <c r="AN11" s="184"/>
      <c r="AO11" s="206"/>
      <c r="AP11" s="206"/>
      <c r="AQ11" s="184"/>
      <c r="AR11" s="206"/>
      <c r="AS11" s="206"/>
      <c r="AT11" s="184"/>
      <c r="AU11" s="206"/>
      <c r="AV11" s="206"/>
      <c r="AW11" s="184"/>
      <c r="AX11" s="206"/>
      <c r="AY11" s="206"/>
      <c r="AZ11" s="184"/>
      <c r="BB11" s="258" t="s">
        <v>2516</v>
      </c>
      <c r="BC11" s="377">
        <f t="shared" ref="BC11:BQ11" si="2">Z10/BC10-1</f>
        <v>0</v>
      </c>
      <c r="BD11" s="377">
        <f t="shared" si="2"/>
        <v>-0.33349408610160491</v>
      </c>
      <c r="BE11" s="377">
        <f t="shared" si="2"/>
        <v>-0.17047455125676858</v>
      </c>
      <c r="BF11" s="377">
        <f t="shared" si="2"/>
        <v>-0.15595493019554219</v>
      </c>
      <c r="BG11" s="377">
        <f t="shared" si="2"/>
        <v>-0.10720280242412294</v>
      </c>
      <c r="BH11" s="377">
        <f t="shared" si="2"/>
        <v>-0.13112717386175843</v>
      </c>
      <c r="BI11" s="377">
        <f t="shared" si="2"/>
        <v>-0.3114317982784176</v>
      </c>
      <c r="BJ11" s="377">
        <f t="shared" si="2"/>
        <v>-0.30668524116725604</v>
      </c>
      <c r="BK11" s="377">
        <f t="shared" si="2"/>
        <v>-0.30903662912005536</v>
      </c>
      <c r="BL11" s="377">
        <f t="shared" si="2"/>
        <v>-0.35105406670630412</v>
      </c>
      <c r="BM11" s="377">
        <f t="shared" si="2"/>
        <v>-0.21318981179854546</v>
      </c>
      <c r="BN11" s="377">
        <f t="shared" si="2"/>
        <v>-0.28137536813344388</v>
      </c>
      <c r="BO11" s="377">
        <f t="shared" si="2"/>
        <v>-0.29471687503873722</v>
      </c>
      <c r="BP11" s="377">
        <f t="shared" si="2"/>
        <v>-0.21586852750780716</v>
      </c>
      <c r="BQ11" s="377">
        <f t="shared" si="2"/>
        <v>-0.2548253580087716</v>
      </c>
    </row>
    <row r="12" spans="1:69">
      <c r="B12" s="175" t="s">
        <v>2298</v>
      </c>
      <c r="E12" s="206"/>
      <c r="F12" s="206"/>
      <c r="G12" s="184"/>
      <c r="H12" s="207">
        <f t="shared" ref="H12:AK14" si="3">H6/E6-1</f>
        <v>0.33749999999999991</v>
      </c>
      <c r="I12" s="207">
        <f t="shared" si="3"/>
        <v>0.5</v>
      </c>
      <c r="J12" s="229">
        <f t="shared" si="3"/>
        <v>0.42261904761904767</v>
      </c>
      <c r="K12" s="207">
        <f>K6/H6-1</f>
        <v>0.16822429906542058</v>
      </c>
      <c r="L12" s="207">
        <f t="shared" si="3"/>
        <v>-0.33333333333333337</v>
      </c>
      <c r="M12" s="229">
        <f t="shared" si="3"/>
        <v>-0.10878661087866104</v>
      </c>
      <c r="N12" s="207">
        <f t="shared" si="3"/>
        <v>-0.45599999999999996</v>
      </c>
      <c r="O12" s="207">
        <f t="shared" si="3"/>
        <v>-0.25</v>
      </c>
      <c r="P12" s="229">
        <f t="shared" si="3"/>
        <v>-0.37089201877934275</v>
      </c>
      <c r="Q12" s="207">
        <f t="shared" si="3"/>
        <v>0.4127973382352943</v>
      </c>
      <c r="R12" s="207">
        <f t="shared" si="3"/>
        <v>0.81505024242424251</v>
      </c>
      <c r="S12" s="229">
        <f>S6/P6-1</f>
        <v>0.61092190298507476</v>
      </c>
      <c r="T12" s="207">
        <f t="shared" si="3"/>
        <v>-6.0604119159966108E-2</v>
      </c>
      <c r="U12" s="207">
        <f t="shared" si="3"/>
        <v>-0.22569741912812546</v>
      </c>
      <c r="V12" s="229">
        <f t="shared" si="3"/>
        <v>-0.15222252915482004</v>
      </c>
      <c r="W12" s="207">
        <f t="shared" si="3"/>
        <v>0.11998722231618597</v>
      </c>
      <c r="X12" s="207">
        <f t="shared" si="3"/>
        <v>0.15251176743179551</v>
      </c>
      <c r="Y12" s="229">
        <f>Y6/V6-1</f>
        <v>0.13647238999038103</v>
      </c>
      <c r="Z12" s="207">
        <f t="shared" si="3"/>
        <v>0.23072529834831834</v>
      </c>
      <c r="AA12" s="207">
        <f t="shared" si="3"/>
        <v>0.32044002594247001</v>
      </c>
      <c r="AB12" s="229">
        <f t="shared" si="3"/>
        <v>0.27683925207391336</v>
      </c>
      <c r="AC12" s="207">
        <f t="shared" si="3"/>
        <v>0.18169584012436668</v>
      </c>
      <c r="AD12" s="207">
        <f t="shared" si="3"/>
        <v>0.11930835244894733</v>
      </c>
      <c r="AE12" s="229">
        <f t="shared" si="3"/>
        <v>0.14853324039527882</v>
      </c>
      <c r="AF12" s="207">
        <f t="shared" si="3"/>
        <v>6.1224489795918435E-2</v>
      </c>
      <c r="AG12" s="207">
        <f t="shared" si="3"/>
        <v>1.2658227848101333E-2</v>
      </c>
      <c r="AH12" s="229">
        <f t="shared" si="3"/>
        <v>3.6065573770491799E-2</v>
      </c>
      <c r="AI12" s="207">
        <f t="shared" si="3"/>
        <v>1.9230769230769162E-2</v>
      </c>
      <c r="AJ12" s="207">
        <f t="shared" si="3"/>
        <v>0.23124999999999996</v>
      </c>
      <c r="AK12" s="229">
        <f t="shared" si="3"/>
        <v>0.12658227848101267</v>
      </c>
      <c r="AL12" s="207">
        <f t="shared" ref="AL12:AZ14" si="4">AL6/AI6-1</f>
        <v>0.18060806462629619</v>
      </c>
      <c r="AM12" s="207">
        <f t="shared" si="4"/>
        <v>8.4823221101971713E-2</v>
      </c>
      <c r="AN12" s="229">
        <f t="shared" si="4"/>
        <v>0.12760353042884698</v>
      </c>
      <c r="AO12" s="207">
        <f t="shared" si="4"/>
        <v>0.10075190545160706</v>
      </c>
      <c r="AP12" s="207">
        <f t="shared" si="4"/>
        <v>0.11078599355226282</v>
      </c>
      <c r="AQ12" s="229">
        <f t="shared" si="4"/>
        <v>0.10609381689328767</v>
      </c>
      <c r="AR12" s="207">
        <f t="shared" si="4"/>
        <v>0.11482412412252718</v>
      </c>
      <c r="AS12" s="207">
        <f t="shared" si="4"/>
        <v>0.10455568205750154</v>
      </c>
      <c r="AT12" s="229">
        <f t="shared" si="4"/>
        <v>0.10933425790147511</v>
      </c>
      <c r="AU12" s="207">
        <f t="shared" si="4"/>
        <v>0.10811807591632294</v>
      </c>
      <c r="AV12" s="207">
        <f t="shared" si="4"/>
        <v>9.9400566436275595E-2</v>
      </c>
      <c r="AW12" s="229">
        <f t="shared" si="4"/>
        <v>0.10347746858321805</v>
      </c>
      <c r="AX12" s="207">
        <f t="shared" si="4"/>
        <v>0.102591568879979</v>
      </c>
      <c r="AY12" s="207">
        <f t="shared" si="4"/>
        <v>9.5096169367151706E-2</v>
      </c>
      <c r="AZ12" s="229">
        <f t="shared" si="4"/>
        <v>9.861627109907567E-2</v>
      </c>
      <c r="BB12" s="258" t="s">
        <v>2517</v>
      </c>
      <c r="BC12" s="377" t="e">
        <f>(Z10-BC10)/Model!Z515</f>
        <v>#DIV/0!</v>
      </c>
      <c r="BD12" s="377" t="e">
        <f>(AA10-BD10)/Model!AA515</f>
        <v>#DIV/0!</v>
      </c>
      <c r="BE12" s="377"/>
      <c r="BF12" s="377" t="e">
        <f>(AC10-BF10)/Model!AB515</f>
        <v>#DIV/0!</v>
      </c>
      <c r="BG12" s="377" t="e">
        <f>(AD10-BG10)/Model!AC515</f>
        <v>#DIV/0!</v>
      </c>
      <c r="BH12" s="377"/>
      <c r="BI12" s="377" t="e">
        <f>(AF10-BI10)/Model!AD515</f>
        <v>#DIV/0!</v>
      </c>
      <c r="BJ12" s="377" t="e">
        <f>(AG10-BJ10)/Model!AE515</f>
        <v>#DIV/0!</v>
      </c>
      <c r="BK12" s="377"/>
      <c r="BL12" s="377" t="e">
        <f>(AI10-BL10)/Model!AF515</f>
        <v>#DIV/0!</v>
      </c>
      <c r="BM12" s="377" t="e">
        <f>(AJ10-BM10)/Model!AG515</f>
        <v>#DIV/0!</v>
      </c>
      <c r="BN12" s="377"/>
      <c r="BO12" s="377" t="e">
        <f>(AL10-BO10)/Model!AH515</f>
        <v>#DIV/0!</v>
      </c>
      <c r="BP12" s="377" t="e">
        <f>(AM10-BP10)/Model!AI515</f>
        <v>#DIV/0!</v>
      </c>
      <c r="BQ12" s="377"/>
    </row>
    <row r="13" spans="1:69" hidden="1" outlineLevel="1">
      <c r="B13" s="175" t="s">
        <v>2299</v>
      </c>
      <c r="E13" s="206"/>
      <c r="F13" s="206"/>
      <c r="G13" s="184"/>
      <c r="H13" s="207">
        <f t="shared" si="3"/>
        <v>0.1692307692307693</v>
      </c>
      <c r="I13" s="207">
        <f t="shared" si="3"/>
        <v>0.15999999999999992</v>
      </c>
      <c r="J13" s="229">
        <f t="shared" si="3"/>
        <v>0.16428571428571437</v>
      </c>
      <c r="K13" s="207">
        <f t="shared" si="3"/>
        <v>0.25</v>
      </c>
      <c r="L13" s="207">
        <f t="shared" si="3"/>
        <v>0.14942528735632177</v>
      </c>
      <c r="M13" s="229">
        <f t="shared" si="3"/>
        <v>0.19631901840490795</v>
      </c>
      <c r="N13" s="207">
        <f t="shared" si="3"/>
        <v>-5.2631578947368474E-2</v>
      </c>
      <c r="O13" s="207">
        <f t="shared" si="3"/>
        <v>-0.13</v>
      </c>
      <c r="P13" s="229">
        <f t="shared" si="3"/>
        <v>-9.2307692307692313E-2</v>
      </c>
      <c r="Q13" s="207">
        <f t="shared" si="3"/>
        <v>7.7777777777777724E-2</v>
      </c>
      <c r="R13" s="207">
        <f t="shared" si="3"/>
        <v>0.14942528735632177</v>
      </c>
      <c r="S13" s="229">
        <f>S7/P7-1</f>
        <v>0.11299435028248594</v>
      </c>
      <c r="T13" s="207">
        <f t="shared" si="3"/>
        <v>0.11340206185567014</v>
      </c>
      <c r="U13" s="207">
        <f t="shared" si="3"/>
        <v>-0.28000000000000003</v>
      </c>
      <c r="V13" s="229">
        <f t="shared" si="3"/>
        <v>-8.6294416243654859E-2</v>
      </c>
      <c r="W13" s="207">
        <f t="shared" si="3"/>
        <v>-0.13888888888888884</v>
      </c>
      <c r="X13" s="207">
        <f t="shared" si="3"/>
        <v>5.555555555555558E-2</v>
      </c>
      <c r="Y13" s="229">
        <f>Y7/V7-1</f>
        <v>-6.1111111111111116E-2</v>
      </c>
      <c r="Z13" s="207">
        <f t="shared" si="3"/>
        <v>-0.4838709677419355</v>
      </c>
      <c r="AA13" s="207">
        <f t="shared" si="3"/>
        <v>-1.236842105263158</v>
      </c>
      <c r="AB13" s="229">
        <f t="shared" si="3"/>
        <v>-0.8224852071005917</v>
      </c>
      <c r="AC13" s="207">
        <f t="shared" si="3"/>
        <v>-0.4375</v>
      </c>
      <c r="AD13" s="207">
        <f t="shared" si="3"/>
        <v>-2.833333333333333</v>
      </c>
      <c r="AE13" s="229">
        <f t="shared" si="3"/>
        <v>1</v>
      </c>
      <c r="AF13" s="207">
        <f t="shared" si="3"/>
        <v>-1</v>
      </c>
      <c r="AG13" s="207">
        <f t="shared" si="3"/>
        <v>-1</v>
      </c>
      <c r="AH13" s="229">
        <f t="shared" si="3"/>
        <v>-1</v>
      </c>
      <c r="AI13" s="207" t="e">
        <f t="shared" si="3"/>
        <v>#DIV/0!</v>
      </c>
      <c r="AJ13" s="207" t="e">
        <f t="shared" si="3"/>
        <v>#DIV/0!</v>
      </c>
      <c r="AK13" s="229" t="e">
        <f t="shared" si="3"/>
        <v>#DIV/0!</v>
      </c>
      <c r="AL13" s="207" t="e">
        <f t="shared" si="4"/>
        <v>#DIV/0!</v>
      </c>
      <c r="AM13" s="207" t="e">
        <f t="shared" si="4"/>
        <v>#DIV/0!</v>
      </c>
      <c r="AN13" s="229" t="e">
        <f t="shared" si="4"/>
        <v>#DIV/0!</v>
      </c>
      <c r="AO13" s="207" t="e">
        <f t="shared" si="4"/>
        <v>#DIV/0!</v>
      </c>
      <c r="AP13" s="207" t="e">
        <f t="shared" si="4"/>
        <v>#DIV/0!</v>
      </c>
      <c r="AQ13" s="229" t="e">
        <f t="shared" si="4"/>
        <v>#DIV/0!</v>
      </c>
      <c r="AR13" s="207" t="e">
        <f t="shared" si="4"/>
        <v>#DIV/0!</v>
      </c>
      <c r="AS13" s="207" t="e">
        <f t="shared" si="4"/>
        <v>#DIV/0!</v>
      </c>
      <c r="AT13" s="229" t="e">
        <f t="shared" si="4"/>
        <v>#DIV/0!</v>
      </c>
      <c r="AU13" s="207" t="e">
        <f t="shared" si="4"/>
        <v>#DIV/0!</v>
      </c>
      <c r="AV13" s="207" t="e">
        <f t="shared" si="4"/>
        <v>#DIV/0!</v>
      </c>
      <c r="AW13" s="229" t="e">
        <f t="shared" si="4"/>
        <v>#DIV/0!</v>
      </c>
      <c r="AX13" s="207" t="e">
        <f t="shared" si="4"/>
        <v>#DIV/0!</v>
      </c>
      <c r="AY13" s="207" t="e">
        <f t="shared" si="4"/>
        <v>#DIV/0!</v>
      </c>
      <c r="AZ13" s="229" t="e">
        <f t="shared" si="4"/>
        <v>#DIV/0!</v>
      </c>
    </row>
    <row r="14" spans="1:69" hidden="1" outlineLevel="1">
      <c r="B14" s="175" t="s">
        <v>2300</v>
      </c>
      <c r="E14" s="206"/>
      <c r="F14" s="206"/>
      <c r="G14" s="184"/>
      <c r="H14" s="207">
        <f t="shared" si="3"/>
        <v>0.26206896551724146</v>
      </c>
      <c r="I14" s="207">
        <f t="shared" si="3"/>
        <v>0.34355828220858897</v>
      </c>
      <c r="J14" s="229">
        <f t="shared" si="3"/>
        <v>0.30519480519480524</v>
      </c>
      <c r="K14" s="207">
        <f t="shared" si="3"/>
        <v>0.20218579234972678</v>
      </c>
      <c r="L14" s="207">
        <f t="shared" si="3"/>
        <v>-0.14155251141552516</v>
      </c>
      <c r="M14" s="229">
        <f t="shared" si="3"/>
        <v>1.4925373134328401E-2</v>
      </c>
      <c r="N14" s="207">
        <f t="shared" si="3"/>
        <v>-0.28181818181818186</v>
      </c>
      <c r="O14" s="207">
        <f t="shared" si="3"/>
        <v>-0.18617021276595747</v>
      </c>
      <c r="P14" s="229">
        <f t="shared" si="3"/>
        <v>-0.23774509803921573</v>
      </c>
      <c r="Q14" s="207">
        <f t="shared" si="3"/>
        <v>0.22196341139240516</v>
      </c>
      <c r="R14" s="207">
        <f t="shared" si="3"/>
        <v>0.43655762091503281</v>
      </c>
      <c r="S14" s="229">
        <f>S8/P8-1</f>
        <v>0.32753548231511265</v>
      </c>
      <c r="T14" s="207">
        <f t="shared" si="3"/>
        <v>2.6817957874694098E-2</v>
      </c>
      <c r="U14" s="207">
        <f t="shared" si="3"/>
        <v>-0.25040362123659843</v>
      </c>
      <c r="V14" s="229">
        <f t="shared" si="3"/>
        <v>-0.12076458447704763</v>
      </c>
      <c r="W14" s="207">
        <f t="shared" si="3"/>
        <v>-2.1041310244349964E-2</v>
      </c>
      <c r="X14" s="207">
        <f t="shared" si="3"/>
        <v>0.11014101519153807</v>
      </c>
      <c r="Y14" s="229">
        <f>Y8/V8-1</f>
        <v>3.8498245041512558E-2</v>
      </c>
      <c r="Z14" s="207">
        <f t="shared" si="3"/>
        <v>-0.11170373573840608</v>
      </c>
      <c r="AA14" s="207">
        <f t="shared" si="3"/>
        <v>-0.32664415549870207</v>
      </c>
      <c r="AB14" s="229">
        <f>AB8/Y8-1</f>
        <v>-0.21598846915899883</v>
      </c>
      <c r="AC14" s="207">
        <f t="shared" si="3"/>
        <v>9.2954193945267161E-3</v>
      </c>
      <c r="AD14" s="207">
        <f t="shared" si="3"/>
        <v>0.5508458199427404</v>
      </c>
      <c r="AE14" s="229">
        <f>AE8/AB8-1</f>
        <v>0.23496016033748268</v>
      </c>
      <c r="AF14" s="207">
        <f t="shared" si="3"/>
        <v>-0.10344827586206895</v>
      </c>
      <c r="AG14" s="207">
        <f t="shared" si="3"/>
        <v>-0.16230366492146597</v>
      </c>
      <c r="AH14" s="229">
        <f t="shared" si="3"/>
        <v>-0.13424657534246576</v>
      </c>
      <c r="AI14" s="207">
        <f t="shared" si="3"/>
        <v>1.9230769230769162E-2</v>
      </c>
      <c r="AJ14" s="207">
        <f t="shared" si="3"/>
        <v>0.23124999999999996</v>
      </c>
      <c r="AK14" s="229">
        <f t="shared" si="3"/>
        <v>0.12658227848101267</v>
      </c>
      <c r="AL14" s="207">
        <f t="shared" si="4"/>
        <v>0.18060806462629619</v>
      </c>
      <c r="AM14" s="207">
        <f t="shared" si="4"/>
        <v>8.4823221101971713E-2</v>
      </c>
      <c r="AN14" s="229">
        <f t="shared" si="4"/>
        <v>0.12760353042884698</v>
      </c>
      <c r="AO14" s="207">
        <f t="shared" si="4"/>
        <v>0.10075190545160706</v>
      </c>
      <c r="AP14" s="207">
        <f t="shared" si="4"/>
        <v>0.11078599355226282</v>
      </c>
      <c r="AQ14" s="229">
        <f t="shared" si="4"/>
        <v>0.10609381689328767</v>
      </c>
      <c r="AR14" s="207">
        <f t="shared" si="4"/>
        <v>0.11482412412252718</v>
      </c>
      <c r="AS14" s="207">
        <f t="shared" si="4"/>
        <v>0.10455568205750154</v>
      </c>
      <c r="AT14" s="229">
        <f t="shared" si="4"/>
        <v>0.10933425790147511</v>
      </c>
      <c r="AU14" s="207">
        <f t="shared" si="4"/>
        <v>0.10811807591632294</v>
      </c>
      <c r="AV14" s="207">
        <f t="shared" si="4"/>
        <v>9.9400566436275595E-2</v>
      </c>
      <c r="AW14" s="229">
        <f t="shared" si="4"/>
        <v>0.10347746858321805</v>
      </c>
      <c r="AX14" s="207">
        <f t="shared" si="4"/>
        <v>0.102591568879979</v>
      </c>
      <c r="AY14" s="207">
        <f t="shared" si="4"/>
        <v>9.5096169367151706E-2</v>
      </c>
      <c r="AZ14" s="229">
        <f t="shared" si="4"/>
        <v>9.861627109907567E-2</v>
      </c>
    </row>
    <row r="15" spans="1:69" hidden="1" outlineLevel="1">
      <c r="B15" s="175" t="s">
        <v>2301</v>
      </c>
      <c r="E15" s="206"/>
      <c r="F15" s="206"/>
      <c r="G15" s="184"/>
      <c r="H15" s="207">
        <f t="shared" ref="H15:AK15" si="5">H10/E10-1</f>
        <v>0.17241379310344818</v>
      </c>
      <c r="I15" s="207">
        <f t="shared" si="5"/>
        <v>0.24736842105263168</v>
      </c>
      <c r="J15" s="229">
        <f t="shared" si="5"/>
        <v>0.21153846153846145</v>
      </c>
      <c r="K15" s="207">
        <f t="shared" si="5"/>
        <v>3.4313725490196179E-2</v>
      </c>
      <c r="L15" s="207">
        <f t="shared" si="5"/>
        <v>-0.22784810126582278</v>
      </c>
      <c r="M15" s="229">
        <f t="shared" si="5"/>
        <v>-0.10657596371882083</v>
      </c>
      <c r="N15" s="207">
        <f t="shared" si="5"/>
        <v>-0.37440758293838861</v>
      </c>
      <c r="O15" s="207">
        <f t="shared" si="5"/>
        <v>0.12021857923497259</v>
      </c>
      <c r="P15" s="229">
        <f>P10/M10-1</f>
        <v>-0.14467005076142136</v>
      </c>
      <c r="Q15" s="207">
        <f t="shared" si="5"/>
        <v>0.72780468939393939</v>
      </c>
      <c r="R15" s="207">
        <f t="shared" si="5"/>
        <v>0.1989917853658536</v>
      </c>
      <c r="S15" s="229">
        <f>S10/P10-1</f>
        <v>0.40612324925816035</v>
      </c>
      <c r="T15" s="207">
        <f t="shared" si="5"/>
        <v>-3.6052536960121673E-3</v>
      </c>
      <c r="U15" s="207">
        <f t="shared" si="5"/>
        <v>-0.32562741555592167</v>
      </c>
      <c r="V15" s="229">
        <f>V10/S10-1</f>
        <v>-0.17063835319170528</v>
      </c>
      <c r="W15" s="207">
        <f t="shared" si="5"/>
        <v>-1.3955667141542727E-2</v>
      </c>
      <c r="X15" s="207">
        <f t="shared" si="5"/>
        <v>0.1517072185631223</v>
      </c>
      <c r="Y15" s="229">
        <f>Y10/V10-1</f>
        <v>5.5915493817949358E-2</v>
      </c>
      <c r="Z15" s="207">
        <f t="shared" si="5"/>
        <v>-0.23063133182272766</v>
      </c>
      <c r="AA15" s="207">
        <f t="shared" si="5"/>
        <v>-0.37057672893956017</v>
      </c>
      <c r="AB15" s="229">
        <f t="shared" si="5"/>
        <v>-0.29501034013101579</v>
      </c>
      <c r="AC15" s="207">
        <f t="shared" si="5"/>
        <v>9.2954193945267161E-3</v>
      </c>
      <c r="AD15" s="207">
        <f t="shared" si="5"/>
        <v>0.58956579054682723</v>
      </c>
      <c r="AE15" s="229">
        <f t="shared" si="5"/>
        <v>0.24762398983773681</v>
      </c>
      <c r="AF15" s="207">
        <f t="shared" si="5"/>
        <v>-0.10344827586206895</v>
      </c>
      <c r="AG15" s="207">
        <f t="shared" si="5"/>
        <v>-0.16230366492146597</v>
      </c>
      <c r="AH15" s="229">
        <f t="shared" si="5"/>
        <v>-0.13424657534246576</v>
      </c>
      <c r="AI15" s="207">
        <f t="shared" si="5"/>
        <v>1.9230769230769162E-2</v>
      </c>
      <c r="AJ15" s="207">
        <f t="shared" si="5"/>
        <v>0.23124999999999996</v>
      </c>
      <c r="AK15" s="229">
        <f t="shared" si="5"/>
        <v>0.12658227848101267</v>
      </c>
      <c r="AL15" s="207">
        <f t="shared" ref="AL15:AZ15" si="6">AL10/AI10-1</f>
        <v>0.18060806462629619</v>
      </c>
      <c r="AM15" s="207">
        <f t="shared" si="6"/>
        <v>8.4823221101971713E-2</v>
      </c>
      <c r="AN15" s="229">
        <f t="shared" si="6"/>
        <v>0.12760353042884698</v>
      </c>
      <c r="AO15" s="207">
        <f t="shared" si="6"/>
        <v>0.10075190545160706</v>
      </c>
      <c r="AP15" s="207">
        <f t="shared" si="6"/>
        <v>0.11078599355226282</v>
      </c>
      <c r="AQ15" s="229">
        <f t="shared" si="6"/>
        <v>0.10609381689328767</v>
      </c>
      <c r="AR15" s="207">
        <f t="shared" si="6"/>
        <v>0.11482412412252718</v>
      </c>
      <c r="AS15" s="207">
        <f t="shared" si="6"/>
        <v>0.10455568205750154</v>
      </c>
      <c r="AT15" s="229">
        <f t="shared" si="6"/>
        <v>0.10933425790147511</v>
      </c>
      <c r="AU15" s="207">
        <f t="shared" si="6"/>
        <v>0.10811807591632294</v>
      </c>
      <c r="AV15" s="207">
        <f t="shared" si="6"/>
        <v>9.9400566436275595E-2</v>
      </c>
      <c r="AW15" s="229">
        <f t="shared" si="6"/>
        <v>0.10347746858321805</v>
      </c>
      <c r="AX15" s="207">
        <f t="shared" si="6"/>
        <v>0.102591568879979</v>
      </c>
      <c r="AY15" s="207">
        <f t="shared" si="6"/>
        <v>9.5096169367151706E-2</v>
      </c>
      <c r="AZ15" s="229">
        <f t="shared" si="6"/>
        <v>9.861627109907567E-2</v>
      </c>
    </row>
    <row r="16" spans="1:69" collapsed="1">
      <c r="E16" s="206"/>
      <c r="F16" s="206"/>
      <c r="G16" s="184"/>
      <c r="H16" s="206"/>
      <c r="I16" s="206"/>
      <c r="J16" s="184"/>
      <c r="K16" s="206"/>
      <c r="L16" s="206"/>
      <c r="M16" s="184"/>
      <c r="N16" s="206"/>
      <c r="O16" s="206"/>
      <c r="P16" s="184"/>
      <c r="Q16" s="206"/>
      <c r="R16" s="206"/>
      <c r="S16" s="184"/>
      <c r="T16" s="206"/>
      <c r="U16" s="206"/>
      <c r="V16" s="184"/>
      <c r="W16" s="206"/>
      <c r="X16" s="206"/>
      <c r="Y16" s="184"/>
      <c r="Z16" s="206"/>
      <c r="AA16" s="206"/>
      <c r="AB16" s="184"/>
      <c r="AC16" s="206"/>
      <c r="AD16" s="206"/>
      <c r="AE16" s="184"/>
      <c r="AF16" s="206"/>
      <c r="AG16" s="206"/>
      <c r="AH16" s="184"/>
      <c r="AI16" s="206"/>
      <c r="AJ16" s="206"/>
      <c r="AK16" s="184"/>
      <c r="AL16" s="206"/>
      <c r="AM16" s="206"/>
      <c r="AN16" s="184"/>
      <c r="AO16" s="206"/>
      <c r="AP16" s="206"/>
      <c r="AQ16" s="184"/>
      <c r="AR16" s="206"/>
      <c r="AS16" s="206"/>
      <c r="AT16" s="184"/>
      <c r="AU16" s="206"/>
      <c r="AV16" s="206"/>
      <c r="AW16" s="184"/>
      <c r="AX16" s="206"/>
      <c r="AY16" s="206"/>
      <c r="AZ16" s="184"/>
    </row>
    <row r="17" spans="1:52">
      <c r="B17" s="175" t="s">
        <v>2302</v>
      </c>
      <c r="E17" s="206">
        <f>E38+E150</f>
        <v>925</v>
      </c>
      <c r="F17" s="206">
        <f>F38+F150</f>
        <v>986</v>
      </c>
      <c r="G17" s="184">
        <f>E17+F17</f>
        <v>1911</v>
      </c>
      <c r="H17" s="206">
        <f>H38+H150</f>
        <v>1040</v>
      </c>
      <c r="I17" s="206">
        <f>I38+I150</f>
        <v>1145</v>
      </c>
      <c r="J17" s="184">
        <f>H17+I17</f>
        <v>2185</v>
      </c>
      <c r="K17" s="206">
        <f>K38+K150</f>
        <v>1106</v>
      </c>
      <c r="L17" s="206">
        <f>L38+L150</f>
        <v>1089</v>
      </c>
      <c r="M17" s="184">
        <f>K17+L17</f>
        <v>2195</v>
      </c>
      <c r="N17" s="206">
        <f>N38+N150</f>
        <v>987</v>
      </c>
      <c r="O17" s="206">
        <f>O38+O150</f>
        <v>1025</v>
      </c>
      <c r="P17" s="184">
        <f>N17+O17</f>
        <v>2012</v>
      </c>
      <c r="Q17" s="206">
        <f>Q38+Q150</f>
        <v>1475</v>
      </c>
      <c r="R17" s="206">
        <f>R38+R150</f>
        <v>1561</v>
      </c>
      <c r="S17" s="184">
        <f>Q17+R17</f>
        <v>3036</v>
      </c>
      <c r="T17" s="206">
        <f>T38+T150</f>
        <v>1552</v>
      </c>
      <c r="U17" s="206">
        <f>U38+U150</f>
        <v>1555</v>
      </c>
      <c r="V17" s="184">
        <f>T17+U17</f>
        <v>3107</v>
      </c>
      <c r="W17" s="206">
        <f>W38+W150</f>
        <v>1585</v>
      </c>
      <c r="X17" s="206">
        <f>X38+X150</f>
        <v>1619</v>
      </c>
      <c r="Y17" s="184">
        <f>W17+X17</f>
        <v>3204</v>
      </c>
      <c r="Z17" s="206">
        <f>Z38+Z150</f>
        <v>1606</v>
      </c>
      <c r="AA17" s="206">
        <f>AA38+AA150</f>
        <v>1682</v>
      </c>
      <c r="AB17" s="184">
        <f>Z17+AA17</f>
        <v>3288</v>
      </c>
      <c r="AC17" s="206">
        <f>AC38+AC150</f>
        <v>1807.2301715609292</v>
      </c>
      <c r="AD17" s="206">
        <f>AD38+AD150</f>
        <v>1816.6687031834717</v>
      </c>
      <c r="AE17" s="184">
        <f>AC17+AD17</f>
        <v>3623.8988747444009</v>
      </c>
      <c r="AF17" s="206">
        <f>AF38+AF150</f>
        <v>943.22095238095233</v>
      </c>
      <c r="AG17" s="206">
        <f>AG38+AG150</f>
        <v>912.49714285714276</v>
      </c>
      <c r="AH17" s="184">
        <f>AF17+AG17</f>
        <v>1855.718095238095</v>
      </c>
      <c r="AI17" s="206">
        <f>AI38+AI150</f>
        <v>918.64190476190458</v>
      </c>
      <c r="AJ17" s="206">
        <f>AJ38+AJ150</f>
        <v>975.4809523809522</v>
      </c>
      <c r="AK17" s="184">
        <f>AI17+AJ17</f>
        <v>1894.1228571428569</v>
      </c>
      <c r="AL17" s="206">
        <f>AL38+AL150</f>
        <v>993.28586618455802</v>
      </c>
      <c r="AM17" s="206">
        <f>AM38+AM150</f>
        <v>1019.236616575191</v>
      </c>
      <c r="AN17" s="184">
        <f>AL17+AM17</f>
        <v>2012.522482759749</v>
      </c>
      <c r="AO17" s="206">
        <f>AO38+AO150</f>
        <v>1046.8543944364299</v>
      </c>
      <c r="AP17" s="206">
        <f>AP38+AP150</f>
        <v>1078.7719203136141</v>
      </c>
      <c r="AQ17" s="184">
        <f>AO17+AP17</f>
        <v>2125.626314750044</v>
      </c>
      <c r="AR17" s="206">
        <f>AR38+AR150</f>
        <v>1107.1574146332314</v>
      </c>
      <c r="AS17" s="206">
        <f>AS38+AS150</f>
        <v>1140.0690831249747</v>
      </c>
      <c r="AT17" s="184">
        <f>AR17+AS17</f>
        <v>2247.2264977582063</v>
      </c>
      <c r="AU17" s="206">
        <f>AU38+AU150</f>
        <v>1169.2606278400076</v>
      </c>
      <c r="AV17" s="206">
        <f>AV38+AV150</f>
        <v>1203.2117581125613</v>
      </c>
      <c r="AW17" s="184">
        <f>AU17+AV17</f>
        <v>2372.4723859525689</v>
      </c>
      <c r="AX17" s="206">
        <f>AX38+AX150</f>
        <v>1233.2487497959139</v>
      </c>
      <c r="AY17" s="206">
        <f>AY38+AY150</f>
        <v>1268.286026921875</v>
      </c>
      <c r="AZ17" s="184">
        <f>AX17+AY17</f>
        <v>2501.5347767177891</v>
      </c>
    </row>
    <row r="18" spans="1:52">
      <c r="B18" s="175" t="s">
        <v>2303</v>
      </c>
      <c r="E18" s="206">
        <f>E39+E151</f>
        <v>-382</v>
      </c>
      <c r="F18" s="206">
        <f>F39+F151</f>
        <v>-406</v>
      </c>
      <c r="G18" s="184">
        <f>E18+F18</f>
        <v>-788</v>
      </c>
      <c r="H18" s="206">
        <f>H39+H151</f>
        <v>-431</v>
      </c>
      <c r="I18" s="206">
        <f>I39+I151</f>
        <v>-468</v>
      </c>
      <c r="J18" s="184">
        <f>H18+I18</f>
        <v>-899</v>
      </c>
      <c r="K18" s="206">
        <f>K39+K151</f>
        <v>-460</v>
      </c>
      <c r="L18" s="206">
        <f>L39+L151</f>
        <v>-478</v>
      </c>
      <c r="M18" s="184">
        <f>K18+L18</f>
        <v>-938</v>
      </c>
      <c r="N18" s="206">
        <f>N39+N151</f>
        <v>-448</v>
      </c>
      <c r="O18" s="206">
        <f>O39+O151</f>
        <v>-496</v>
      </c>
      <c r="P18" s="184">
        <f>N18+O18</f>
        <v>-944</v>
      </c>
      <c r="Q18" s="206">
        <f>Q39+Q151</f>
        <v>-727</v>
      </c>
      <c r="R18" s="206">
        <f>R39+R151</f>
        <v>-797</v>
      </c>
      <c r="S18" s="184">
        <f>Q18+R18</f>
        <v>-1524</v>
      </c>
      <c r="T18" s="206">
        <f>T39+T151</f>
        <v>-782</v>
      </c>
      <c r="U18" s="206">
        <f>U39+U151</f>
        <v>-839</v>
      </c>
      <c r="V18" s="184">
        <f>T18+U18</f>
        <v>-1621</v>
      </c>
      <c r="W18" s="206">
        <f>W39+W151</f>
        <v>-825</v>
      </c>
      <c r="X18" s="206">
        <f>X39+X151</f>
        <v>-864</v>
      </c>
      <c r="Y18" s="184">
        <f>W18+X18</f>
        <v>-1689</v>
      </c>
      <c r="Z18" s="206">
        <f>Z39+Z151</f>
        <v>-907</v>
      </c>
      <c r="AA18" s="206">
        <f>AA39+AA151</f>
        <v>-1046</v>
      </c>
      <c r="AB18" s="184">
        <f>Z18+AA18</f>
        <v>-1953</v>
      </c>
      <c r="AC18" s="206">
        <f>AC39+AC151</f>
        <v>-1084.2183850744427</v>
      </c>
      <c r="AD18" s="206">
        <f>AD39+AD151</f>
        <v>-1097.0037136018632</v>
      </c>
      <c r="AE18" s="184">
        <f>AC18+AD18</f>
        <v>-2181.2220986763059</v>
      </c>
      <c r="AF18" s="206">
        <f>AF39+AF151</f>
        <v>-329.22095238095233</v>
      </c>
      <c r="AG18" s="206">
        <f>AG39+AG151</f>
        <v>-318.49714285714276</v>
      </c>
      <c r="AH18" s="184">
        <f>AF18+AG18</f>
        <v>-647.71809523809509</v>
      </c>
      <c r="AI18" s="206">
        <f>AI39+AI151</f>
        <v>-320.64190476190458</v>
      </c>
      <c r="AJ18" s="206">
        <f>AJ39+AJ151</f>
        <v>-340.4809523809522</v>
      </c>
      <c r="AK18" s="184">
        <f>AI18+AJ18</f>
        <v>-661.12285714285679</v>
      </c>
      <c r="AL18" s="206">
        <f>AL39+AL151</f>
        <v>-346.95357784430945</v>
      </c>
      <c r="AM18" s="206">
        <f>AM39+AM151</f>
        <v>-356.20846298316849</v>
      </c>
      <c r="AN18" s="184">
        <f>AL18+AM18</f>
        <v>-703.16204082747799</v>
      </c>
      <c r="AO18" s="206">
        <f>AO39+AO151</f>
        <v>-365.23551189595565</v>
      </c>
      <c r="AP18" s="206">
        <f>AP39+AP151</f>
        <v>-374.50646385132956</v>
      </c>
      <c r="AQ18" s="184">
        <f>AO18+AP18</f>
        <v>-739.74197574728521</v>
      </c>
      <c r="AR18" s="206">
        <f>AR39+AR151</f>
        <v>-383.53114089565349</v>
      </c>
      <c r="AS18" s="206">
        <f>AS39+AS151</f>
        <v>-392.79273631935035</v>
      </c>
      <c r="AT18" s="184">
        <f>AR18+AS18</f>
        <v>-776.3238772150039</v>
      </c>
      <c r="AU18" s="206">
        <f>AU39+AU151</f>
        <v>-401.7879708690698</v>
      </c>
      <c r="AV18" s="206">
        <f>AV39+AV151</f>
        <v>-411.0113717193808</v>
      </c>
      <c r="AW18" s="184">
        <f>AU18+AV18</f>
        <v>-812.7993425884506</v>
      </c>
      <c r="AX18" s="206">
        <f>AX39+AX151</f>
        <v>-419.94653594360375</v>
      </c>
      <c r="AY18" s="206">
        <f>AY39+AY151</f>
        <v>-429.09915102568931</v>
      </c>
      <c r="AZ18" s="184">
        <f>AX18+AY18</f>
        <v>-849.045686969293</v>
      </c>
    </row>
    <row r="19" spans="1:52" s="181" customFormat="1">
      <c r="A19" s="175"/>
      <c r="B19" s="181" t="s">
        <v>2304</v>
      </c>
      <c r="E19" s="193">
        <f t="shared" ref="E19:AK19" si="7">E17+E18</f>
        <v>543</v>
      </c>
      <c r="F19" s="193">
        <f t="shared" si="7"/>
        <v>580</v>
      </c>
      <c r="G19" s="194">
        <f t="shared" si="7"/>
        <v>1123</v>
      </c>
      <c r="H19" s="193">
        <f t="shared" si="7"/>
        <v>609</v>
      </c>
      <c r="I19" s="193">
        <f t="shared" si="7"/>
        <v>677</v>
      </c>
      <c r="J19" s="194">
        <f t="shared" si="7"/>
        <v>1286</v>
      </c>
      <c r="K19" s="193">
        <f t="shared" si="7"/>
        <v>646</v>
      </c>
      <c r="L19" s="193">
        <f t="shared" si="7"/>
        <v>611</v>
      </c>
      <c r="M19" s="194">
        <f t="shared" si="7"/>
        <v>1257</v>
      </c>
      <c r="N19" s="193">
        <f t="shared" si="7"/>
        <v>539</v>
      </c>
      <c r="O19" s="193">
        <f t="shared" si="7"/>
        <v>529</v>
      </c>
      <c r="P19" s="194">
        <f t="shared" si="7"/>
        <v>1068</v>
      </c>
      <c r="Q19" s="193">
        <f t="shared" si="7"/>
        <v>748</v>
      </c>
      <c r="R19" s="193">
        <f t="shared" si="7"/>
        <v>764</v>
      </c>
      <c r="S19" s="194">
        <f t="shared" si="7"/>
        <v>1512</v>
      </c>
      <c r="T19" s="193">
        <f t="shared" si="7"/>
        <v>770</v>
      </c>
      <c r="U19" s="193">
        <f t="shared" si="7"/>
        <v>716</v>
      </c>
      <c r="V19" s="194">
        <f t="shared" si="7"/>
        <v>1486</v>
      </c>
      <c r="W19" s="193">
        <f t="shared" si="7"/>
        <v>760</v>
      </c>
      <c r="X19" s="193">
        <f t="shared" si="7"/>
        <v>755</v>
      </c>
      <c r="Y19" s="194">
        <f t="shared" si="7"/>
        <v>1515</v>
      </c>
      <c r="Z19" s="193">
        <f t="shared" si="7"/>
        <v>699</v>
      </c>
      <c r="AA19" s="193">
        <f t="shared" si="7"/>
        <v>636</v>
      </c>
      <c r="AB19" s="194">
        <f t="shared" si="7"/>
        <v>1335</v>
      </c>
      <c r="AC19" s="193">
        <f t="shared" si="7"/>
        <v>723.01178648648647</v>
      </c>
      <c r="AD19" s="193">
        <f t="shared" si="7"/>
        <v>719.66498958160855</v>
      </c>
      <c r="AE19" s="194">
        <f t="shared" si="7"/>
        <v>1442.676776068095</v>
      </c>
      <c r="AF19" s="193">
        <f t="shared" si="7"/>
        <v>614</v>
      </c>
      <c r="AG19" s="193">
        <f t="shared" si="7"/>
        <v>594</v>
      </c>
      <c r="AH19" s="194">
        <f t="shared" si="7"/>
        <v>1208</v>
      </c>
      <c r="AI19" s="193">
        <f t="shared" si="7"/>
        <v>598</v>
      </c>
      <c r="AJ19" s="193">
        <f t="shared" si="7"/>
        <v>635</v>
      </c>
      <c r="AK19" s="194">
        <f t="shared" si="7"/>
        <v>1233</v>
      </c>
      <c r="AL19" s="193">
        <f t="shared" ref="AL19:AZ19" si="8">AL17+AL18</f>
        <v>646.33228834024862</v>
      </c>
      <c r="AM19" s="193">
        <f t="shared" si="8"/>
        <v>663.02815359202248</v>
      </c>
      <c r="AN19" s="194">
        <f t="shared" si="8"/>
        <v>1309.360441932271</v>
      </c>
      <c r="AO19" s="193">
        <f t="shared" si="8"/>
        <v>681.61888254047426</v>
      </c>
      <c r="AP19" s="193">
        <f t="shared" si="8"/>
        <v>704.26545646228465</v>
      </c>
      <c r="AQ19" s="194">
        <f t="shared" si="8"/>
        <v>1385.8843390027587</v>
      </c>
      <c r="AR19" s="193">
        <f t="shared" si="8"/>
        <v>723.62627373757789</v>
      </c>
      <c r="AS19" s="193">
        <f t="shared" si="8"/>
        <v>747.27634680562437</v>
      </c>
      <c r="AT19" s="194">
        <f t="shared" si="8"/>
        <v>1470.9026205432024</v>
      </c>
      <c r="AU19" s="193">
        <f t="shared" si="8"/>
        <v>767.47265697093781</v>
      </c>
      <c r="AV19" s="193">
        <f t="shared" si="8"/>
        <v>792.20038639318045</v>
      </c>
      <c r="AW19" s="194">
        <f t="shared" si="8"/>
        <v>1559.6730433641183</v>
      </c>
      <c r="AX19" s="193">
        <f t="shared" si="8"/>
        <v>813.30221385231016</v>
      </c>
      <c r="AY19" s="193">
        <f t="shared" si="8"/>
        <v>839.18687589618571</v>
      </c>
      <c r="AZ19" s="194">
        <f t="shared" si="8"/>
        <v>1652.4890897484961</v>
      </c>
    </row>
    <row r="20" spans="1:52">
      <c r="B20" s="175" t="s">
        <v>637</v>
      </c>
      <c r="E20" s="206">
        <f>E41+E153</f>
        <v>-345</v>
      </c>
      <c r="F20" s="206">
        <f>F41+F153</f>
        <v>-375</v>
      </c>
      <c r="G20" s="184">
        <f>E20+F20</f>
        <v>-720</v>
      </c>
      <c r="H20" s="206">
        <f>H41+H153</f>
        <v>-357</v>
      </c>
      <c r="I20" s="206">
        <f>I41+I153</f>
        <v>-372</v>
      </c>
      <c r="J20" s="184">
        <f>H20+I20</f>
        <v>-729</v>
      </c>
      <c r="K20" s="206">
        <f>K41+K153</f>
        <v>-337</v>
      </c>
      <c r="L20" s="206">
        <f>L41+L153</f>
        <v>-344</v>
      </c>
      <c r="M20" s="184">
        <f>K20+L20</f>
        <v>-681</v>
      </c>
      <c r="N20" s="206">
        <f>N41+N153</f>
        <v>-330</v>
      </c>
      <c r="O20" s="206">
        <f>O41+O153</f>
        <v>-331</v>
      </c>
      <c r="P20" s="184">
        <f>N20+O20</f>
        <v>-661</v>
      </c>
      <c r="Q20" s="206">
        <f>Q41+Q153</f>
        <v>-485.90109999999999</v>
      </c>
      <c r="R20" s="206">
        <f>R41+R153</f>
        <v>-499.84039999999999</v>
      </c>
      <c r="S20" s="184">
        <f>Q20+R20</f>
        <v>-985.74149999999997</v>
      </c>
      <c r="T20" s="206">
        <f>T41+T153</f>
        <v>-494.05920000000003</v>
      </c>
      <c r="U20" s="206">
        <f>U41+U153</f>
        <v>-487.52637499999997</v>
      </c>
      <c r="V20" s="184">
        <f>T20+U20</f>
        <v>-981.58557500000006</v>
      </c>
      <c r="W20" s="206">
        <f>W41+W153</f>
        <v>-488.84989999999999</v>
      </c>
      <c r="X20" s="206">
        <f>X41+X153</f>
        <v>-494.17930000000001</v>
      </c>
      <c r="Y20" s="184">
        <f>W20+X20</f>
        <v>-983.02919999999995</v>
      </c>
      <c r="Z20" s="206">
        <f>Z41+Z153</f>
        <v>-463.83170000000001</v>
      </c>
      <c r="AA20" s="206">
        <f>AA41+AA153</f>
        <v>-485.34</v>
      </c>
      <c r="AB20" s="184">
        <f>Z20+AA20</f>
        <v>-949.17169999999999</v>
      </c>
      <c r="AC20" s="206">
        <f>AC41+AC153</f>
        <v>-490.52530000000002</v>
      </c>
      <c r="AD20" s="206">
        <f>AD41+AD153</f>
        <v>-464.40372832034723</v>
      </c>
      <c r="AE20" s="184">
        <f>AC20+AD20</f>
        <v>-954.92902832034724</v>
      </c>
      <c r="AF20" s="206">
        <f>AF41+AF153</f>
        <v>-404</v>
      </c>
      <c r="AG20" s="206">
        <f>AG41+AG153</f>
        <v>-382</v>
      </c>
      <c r="AH20" s="184">
        <f>AF20+AG20</f>
        <v>-786</v>
      </c>
      <c r="AI20" s="206">
        <f>AI41+AI153</f>
        <v>-388</v>
      </c>
      <c r="AJ20" s="206">
        <f>AJ41+AJ153</f>
        <v>-370</v>
      </c>
      <c r="AK20" s="184">
        <f>AI20+AJ20</f>
        <v>-758</v>
      </c>
      <c r="AL20" s="206">
        <f>AL41+AL153</f>
        <v>-393.81999999999994</v>
      </c>
      <c r="AM20" s="206">
        <f>AM41+AM153</f>
        <v>-375.54999999999995</v>
      </c>
      <c r="AN20" s="184">
        <f>AL20+AM20</f>
        <v>-769.36999999999989</v>
      </c>
      <c r="AO20" s="206">
        <f>AO41+AO153</f>
        <v>-403.66549999999989</v>
      </c>
      <c r="AP20" s="206">
        <f>AP41+AP153</f>
        <v>-384.93874999999991</v>
      </c>
      <c r="AQ20" s="184">
        <f>AO20+AP20</f>
        <v>-788.60424999999987</v>
      </c>
      <c r="AR20" s="206">
        <f>AR41+AR153</f>
        <v>-413.75713749999983</v>
      </c>
      <c r="AS20" s="206">
        <f>AS41+AS153</f>
        <v>-394.56221874999989</v>
      </c>
      <c r="AT20" s="184">
        <f>AR20+AS20</f>
        <v>-808.31935624999971</v>
      </c>
      <c r="AU20" s="206">
        <f>AU41+AU153</f>
        <v>-424.10106593749981</v>
      </c>
      <c r="AV20" s="206">
        <f>AV41+AV153</f>
        <v>-404.42627421874982</v>
      </c>
      <c r="AW20" s="184">
        <f>AU20+AV20</f>
        <v>-828.52734015624969</v>
      </c>
      <c r="AX20" s="206">
        <f>AX41+AX153</f>
        <v>-434.70359258593726</v>
      </c>
      <c r="AY20" s="206">
        <f>AY41+AY153</f>
        <v>-414.53693107421856</v>
      </c>
      <c r="AZ20" s="184">
        <f>AX20+AY20</f>
        <v>-849.24052366015576</v>
      </c>
    </row>
    <row r="21" spans="1:52" s="181" customFormat="1">
      <c r="A21" s="175"/>
      <c r="B21" s="181" t="s">
        <v>2305</v>
      </c>
      <c r="E21" s="193">
        <f t="shared" ref="E21:AK21" si="9">E19+E20</f>
        <v>198</v>
      </c>
      <c r="F21" s="193">
        <f t="shared" si="9"/>
        <v>205</v>
      </c>
      <c r="G21" s="194">
        <f t="shared" si="9"/>
        <v>403</v>
      </c>
      <c r="H21" s="193">
        <f t="shared" si="9"/>
        <v>252</v>
      </c>
      <c r="I21" s="193">
        <f t="shared" si="9"/>
        <v>305</v>
      </c>
      <c r="J21" s="194">
        <f t="shared" si="9"/>
        <v>557</v>
      </c>
      <c r="K21" s="193">
        <f t="shared" si="9"/>
        <v>309</v>
      </c>
      <c r="L21" s="193">
        <f t="shared" si="9"/>
        <v>267</v>
      </c>
      <c r="M21" s="194">
        <f t="shared" si="9"/>
        <v>576</v>
      </c>
      <c r="N21" s="193">
        <f t="shared" si="9"/>
        <v>209</v>
      </c>
      <c r="O21" s="193">
        <f t="shared" si="9"/>
        <v>198</v>
      </c>
      <c r="P21" s="194">
        <f t="shared" si="9"/>
        <v>407</v>
      </c>
      <c r="Q21" s="193">
        <f t="shared" si="9"/>
        <v>262.09890000000001</v>
      </c>
      <c r="R21" s="193">
        <f t="shared" si="9"/>
        <v>264.15960000000001</v>
      </c>
      <c r="S21" s="194">
        <f t="shared" si="9"/>
        <v>526.25850000000003</v>
      </c>
      <c r="T21" s="193">
        <f t="shared" si="9"/>
        <v>275.94079999999997</v>
      </c>
      <c r="U21" s="193">
        <f t="shared" si="9"/>
        <v>228.47362500000003</v>
      </c>
      <c r="V21" s="194">
        <f t="shared" si="9"/>
        <v>504.41442499999994</v>
      </c>
      <c r="W21" s="193">
        <f t="shared" si="9"/>
        <v>271.15010000000001</v>
      </c>
      <c r="X21" s="193">
        <f t="shared" si="9"/>
        <v>260.82069999999999</v>
      </c>
      <c r="Y21" s="194">
        <f t="shared" si="9"/>
        <v>531.97080000000005</v>
      </c>
      <c r="Z21" s="193">
        <f t="shared" si="9"/>
        <v>235.16829999999999</v>
      </c>
      <c r="AA21" s="193">
        <f t="shared" si="9"/>
        <v>150.66000000000003</v>
      </c>
      <c r="AB21" s="194">
        <f t="shared" si="9"/>
        <v>385.82830000000001</v>
      </c>
      <c r="AC21" s="193">
        <f t="shared" si="9"/>
        <v>232.48648648648646</v>
      </c>
      <c r="AD21" s="193">
        <f t="shared" si="9"/>
        <v>255.26126126126132</v>
      </c>
      <c r="AE21" s="194">
        <f t="shared" si="9"/>
        <v>487.74774774774778</v>
      </c>
      <c r="AF21" s="193">
        <f t="shared" si="9"/>
        <v>210</v>
      </c>
      <c r="AG21" s="193">
        <f t="shared" si="9"/>
        <v>212</v>
      </c>
      <c r="AH21" s="194">
        <f t="shared" si="9"/>
        <v>422</v>
      </c>
      <c r="AI21" s="193">
        <f t="shared" si="9"/>
        <v>210</v>
      </c>
      <c r="AJ21" s="193">
        <f t="shared" si="9"/>
        <v>265</v>
      </c>
      <c r="AK21" s="194">
        <f t="shared" si="9"/>
        <v>475</v>
      </c>
      <c r="AL21" s="193">
        <f t="shared" ref="AL21:AZ21" si="10">AL19+AL20</f>
        <v>252.51228834024869</v>
      </c>
      <c r="AM21" s="193">
        <f t="shared" si="10"/>
        <v>287.47815359202252</v>
      </c>
      <c r="AN21" s="194">
        <f t="shared" si="10"/>
        <v>539.9904419322711</v>
      </c>
      <c r="AO21" s="193">
        <f t="shared" si="10"/>
        <v>277.95338254047437</v>
      </c>
      <c r="AP21" s="193">
        <f t="shared" si="10"/>
        <v>319.32670646228473</v>
      </c>
      <c r="AQ21" s="194">
        <f t="shared" si="10"/>
        <v>597.28008900275881</v>
      </c>
      <c r="AR21" s="193">
        <f t="shared" si="10"/>
        <v>309.86913623757806</v>
      </c>
      <c r="AS21" s="193">
        <f t="shared" si="10"/>
        <v>352.71412805562449</v>
      </c>
      <c r="AT21" s="194">
        <f t="shared" si="10"/>
        <v>662.58326429320266</v>
      </c>
      <c r="AU21" s="193">
        <f t="shared" si="10"/>
        <v>343.37159103343799</v>
      </c>
      <c r="AV21" s="193">
        <f t="shared" si="10"/>
        <v>387.77411217443063</v>
      </c>
      <c r="AW21" s="194">
        <f t="shared" si="10"/>
        <v>731.14570320786856</v>
      </c>
      <c r="AX21" s="193">
        <f t="shared" si="10"/>
        <v>378.5986212663729</v>
      </c>
      <c r="AY21" s="193">
        <f t="shared" si="10"/>
        <v>424.64994482196715</v>
      </c>
      <c r="AZ21" s="194">
        <f t="shared" si="10"/>
        <v>803.24856608834034</v>
      </c>
    </row>
    <row r="22" spans="1:52">
      <c r="B22" s="175" t="s">
        <v>75</v>
      </c>
      <c r="E22" s="206">
        <f>E43+E155</f>
        <v>-53</v>
      </c>
      <c r="F22" s="206">
        <f>F43+F155</f>
        <v>-42</v>
      </c>
      <c r="G22" s="184">
        <f>E22+F22</f>
        <v>-95</v>
      </c>
      <c r="H22" s="206">
        <f>H43+H155</f>
        <v>-69</v>
      </c>
      <c r="I22" s="206">
        <f>I43+I155</f>
        <v>-86</v>
      </c>
      <c r="J22" s="184">
        <f>H22+I22</f>
        <v>-155</v>
      </c>
      <c r="K22" s="206">
        <f>K43+K155</f>
        <v>-89</v>
      </c>
      <c r="L22" s="206">
        <f>L43+L155</f>
        <v>-79</v>
      </c>
      <c r="M22" s="184">
        <f>K22+L22</f>
        <v>-168</v>
      </c>
      <c r="N22" s="206">
        <f>N43+N155</f>
        <v>-51</v>
      </c>
      <c r="O22" s="206">
        <f>O43+O155</f>
        <v>-45</v>
      </c>
      <c r="P22" s="184">
        <f>N22+O22</f>
        <v>-96</v>
      </c>
      <c r="Q22" s="206">
        <f>Q43+Q155</f>
        <v>-69.028681000000006</v>
      </c>
      <c r="R22" s="206">
        <f>R43+R155</f>
        <v>-44.366284000000007</v>
      </c>
      <c r="S22" s="184">
        <f>Q22+R22</f>
        <v>-113.39496500000001</v>
      </c>
      <c r="T22" s="206">
        <f>T43+T155</f>
        <v>-77.692831999999996</v>
      </c>
      <c r="U22" s="206">
        <f>U43+U155</f>
        <v>-63.717351250000007</v>
      </c>
      <c r="V22" s="184">
        <f>T22+U22</f>
        <v>-141.41018324999999</v>
      </c>
      <c r="W22" s="206">
        <f>W43+W155</f>
        <v>-77.073529000000008</v>
      </c>
      <c r="X22" s="206">
        <f>X43+X155</f>
        <v>-77.918002999999999</v>
      </c>
      <c r="Y22" s="184">
        <f>W22+X22</f>
        <v>-154.99153200000001</v>
      </c>
      <c r="Z22" s="206">
        <f>Z43+Z155</f>
        <v>-62.770807000000005</v>
      </c>
      <c r="AA22" s="206">
        <f>AA43+AA155</f>
        <v>-27.501400000000011</v>
      </c>
      <c r="AB22" s="184">
        <f>Z22+AA22</f>
        <v>-90.272207000000009</v>
      </c>
      <c r="AC22" s="206">
        <f>AC43+AC155</f>
        <v>-58.486486486486484</v>
      </c>
      <c r="AD22" s="206">
        <f>AD43+AD155</f>
        <v>-64.261261261261254</v>
      </c>
      <c r="AE22" s="184">
        <f>AC22+AD22</f>
        <v>-122.74774774774774</v>
      </c>
      <c r="AF22" s="206">
        <f>AF43+AF155</f>
        <v>-54</v>
      </c>
      <c r="AG22" s="206">
        <f>AG43+AG155</f>
        <v>-52</v>
      </c>
      <c r="AH22" s="184">
        <f>AF22+AG22</f>
        <v>-106</v>
      </c>
      <c r="AI22" s="206">
        <f>AI43+AI155</f>
        <v>-51</v>
      </c>
      <c r="AJ22" s="206">
        <f>AJ43+AJ155</f>
        <v>-68</v>
      </c>
      <c r="AK22" s="184">
        <f>AI22+AJ22</f>
        <v>-119</v>
      </c>
      <c r="AL22" s="206">
        <f>AL43+AL155</f>
        <v>-64.795606064667581</v>
      </c>
      <c r="AM22" s="206">
        <f>AM43+AM155</f>
        <v>-73.767979034934086</v>
      </c>
      <c r="AN22" s="184">
        <f>AL22+AM22</f>
        <v>-138.56358509960165</v>
      </c>
      <c r="AO22" s="206">
        <f>AO43+AO155</f>
        <v>-71.323886840574559</v>
      </c>
      <c r="AP22" s="206">
        <f>AP43+AP155</f>
        <v>-81.940437884661748</v>
      </c>
      <c r="AQ22" s="184">
        <f>AO22+AP22</f>
        <v>-153.26432472523629</v>
      </c>
      <c r="AR22" s="206">
        <f>AR43+AR155</f>
        <v>-79.513589676057762</v>
      </c>
      <c r="AS22" s="206">
        <f>AS43+AS155</f>
        <v>-90.507776255782886</v>
      </c>
      <c r="AT22" s="184">
        <f>AR22+AS22</f>
        <v>-170.02136593184065</v>
      </c>
      <c r="AU22" s="206">
        <f>AU43+AU155</f>
        <v>-88.110446001033139</v>
      </c>
      <c r="AV22" s="206">
        <f>AV43+AV155</f>
        <v>-99.50430048249541</v>
      </c>
      <c r="AW22" s="184">
        <f>AU22+AV22</f>
        <v>-187.61474648352856</v>
      </c>
      <c r="AX22" s="206">
        <f>AX43+AX155</f>
        <v>-97.149834890993802</v>
      </c>
      <c r="AY22" s="206">
        <f>AY43+AY155</f>
        <v>-108.96677829393875</v>
      </c>
      <c r="AZ22" s="184">
        <f>AX22+AY22</f>
        <v>-206.11661318493253</v>
      </c>
    </row>
    <row r="23" spans="1:52" s="181" customFormat="1">
      <c r="A23" s="175"/>
      <c r="B23" s="181" t="s">
        <v>2296</v>
      </c>
      <c r="E23" s="193">
        <f t="shared" ref="E23:AK23" si="11">E21+E22</f>
        <v>145</v>
      </c>
      <c r="F23" s="193">
        <f t="shared" si="11"/>
        <v>163</v>
      </c>
      <c r="G23" s="194">
        <f t="shared" si="11"/>
        <v>308</v>
      </c>
      <c r="H23" s="193">
        <f t="shared" si="11"/>
        <v>183</v>
      </c>
      <c r="I23" s="193">
        <f t="shared" si="11"/>
        <v>219</v>
      </c>
      <c r="J23" s="194">
        <f t="shared" si="11"/>
        <v>402</v>
      </c>
      <c r="K23" s="193">
        <f t="shared" si="11"/>
        <v>220</v>
      </c>
      <c r="L23" s="193">
        <f t="shared" si="11"/>
        <v>188</v>
      </c>
      <c r="M23" s="194">
        <f t="shared" si="11"/>
        <v>408</v>
      </c>
      <c r="N23" s="193">
        <f t="shared" si="11"/>
        <v>158</v>
      </c>
      <c r="O23" s="193">
        <f t="shared" si="11"/>
        <v>153</v>
      </c>
      <c r="P23" s="194">
        <f t="shared" si="11"/>
        <v>311</v>
      </c>
      <c r="Q23" s="193">
        <f t="shared" si="11"/>
        <v>193.07021900000001</v>
      </c>
      <c r="R23" s="193">
        <f t="shared" si="11"/>
        <v>219.793316</v>
      </c>
      <c r="S23" s="194">
        <f t="shared" si="11"/>
        <v>412.86353500000001</v>
      </c>
      <c r="T23" s="193">
        <f t="shared" si="11"/>
        <v>198.24796799999996</v>
      </c>
      <c r="U23" s="193">
        <f t="shared" si="11"/>
        <v>164.75627375000002</v>
      </c>
      <c r="V23" s="194">
        <f t="shared" si="11"/>
        <v>363.00424174999995</v>
      </c>
      <c r="W23" s="193">
        <f t="shared" si="11"/>
        <v>194.076571</v>
      </c>
      <c r="X23" s="193">
        <f t="shared" si="11"/>
        <v>182.90269699999999</v>
      </c>
      <c r="Y23" s="194">
        <f t="shared" si="11"/>
        <v>376.97926800000005</v>
      </c>
      <c r="Z23" s="193">
        <f t="shared" si="11"/>
        <v>172.397493</v>
      </c>
      <c r="AA23" s="193">
        <f t="shared" si="11"/>
        <v>123.15860000000001</v>
      </c>
      <c r="AB23" s="194">
        <f t="shared" si="11"/>
        <v>295.55609300000003</v>
      </c>
      <c r="AC23" s="193">
        <f t="shared" si="11"/>
        <v>173.99999999999997</v>
      </c>
      <c r="AD23" s="193">
        <f t="shared" si="11"/>
        <v>191.00000000000006</v>
      </c>
      <c r="AE23" s="194">
        <f t="shared" si="11"/>
        <v>365.00000000000006</v>
      </c>
      <c r="AF23" s="193">
        <f t="shared" si="11"/>
        <v>156</v>
      </c>
      <c r="AG23" s="193">
        <f t="shared" si="11"/>
        <v>160</v>
      </c>
      <c r="AH23" s="194">
        <f t="shared" si="11"/>
        <v>316</v>
      </c>
      <c r="AI23" s="193">
        <f t="shared" si="11"/>
        <v>159</v>
      </c>
      <c r="AJ23" s="193">
        <f t="shared" si="11"/>
        <v>197</v>
      </c>
      <c r="AK23" s="194">
        <f t="shared" si="11"/>
        <v>356</v>
      </c>
      <c r="AL23" s="193">
        <f t="shared" ref="AL23:AZ23" si="12">AL21+AL22</f>
        <v>187.71668227558109</v>
      </c>
      <c r="AM23" s="193">
        <f t="shared" si="12"/>
        <v>213.71017455708844</v>
      </c>
      <c r="AN23" s="194">
        <f t="shared" si="12"/>
        <v>401.42685683266944</v>
      </c>
      <c r="AO23" s="193">
        <f t="shared" si="12"/>
        <v>206.62949569989979</v>
      </c>
      <c r="AP23" s="193">
        <f t="shared" si="12"/>
        <v>237.38626857762299</v>
      </c>
      <c r="AQ23" s="194">
        <f t="shared" si="12"/>
        <v>444.01576427752252</v>
      </c>
      <c r="AR23" s="193">
        <f t="shared" si="12"/>
        <v>230.3555465615203</v>
      </c>
      <c r="AS23" s="193">
        <f t="shared" si="12"/>
        <v>262.20635179984163</v>
      </c>
      <c r="AT23" s="194">
        <f t="shared" si="12"/>
        <v>492.56189836136201</v>
      </c>
      <c r="AU23" s="193">
        <f t="shared" si="12"/>
        <v>255.26114503240484</v>
      </c>
      <c r="AV23" s="193">
        <f t="shared" si="12"/>
        <v>288.26981169193522</v>
      </c>
      <c r="AW23" s="194">
        <f t="shared" si="12"/>
        <v>543.53095672434006</v>
      </c>
      <c r="AX23" s="193">
        <f t="shared" si="12"/>
        <v>281.44878637537909</v>
      </c>
      <c r="AY23" s="193">
        <f t="shared" si="12"/>
        <v>315.68316652802844</v>
      </c>
      <c r="AZ23" s="194">
        <f t="shared" si="12"/>
        <v>597.13195290340786</v>
      </c>
    </row>
    <row r="24" spans="1:52">
      <c r="E24" s="206"/>
      <c r="F24" s="206"/>
      <c r="G24" s="184"/>
      <c r="H24" s="206"/>
      <c r="I24" s="206"/>
      <c r="J24" s="184"/>
      <c r="K24" s="206"/>
      <c r="L24" s="206"/>
      <c r="M24" s="184"/>
      <c r="N24" s="206"/>
      <c r="O24" s="206"/>
      <c r="P24" s="184"/>
      <c r="Q24" s="206"/>
      <c r="R24" s="230"/>
      <c r="S24" s="184"/>
      <c r="T24" s="206"/>
      <c r="U24" s="206"/>
      <c r="V24" s="184"/>
      <c r="W24" s="206"/>
      <c r="X24" s="206"/>
      <c r="Y24" s="184"/>
      <c r="Z24" s="206"/>
      <c r="AA24" s="206"/>
      <c r="AB24" s="184"/>
      <c r="AC24" s="206"/>
      <c r="AD24" s="206"/>
      <c r="AE24" s="184"/>
      <c r="AF24" s="206"/>
      <c r="AG24" s="206"/>
      <c r="AH24" s="184"/>
      <c r="AI24" s="206"/>
      <c r="AJ24" s="297"/>
      <c r="AK24" s="184"/>
      <c r="AL24" s="206"/>
      <c r="AM24" s="206"/>
      <c r="AN24" s="184"/>
      <c r="AO24" s="206"/>
      <c r="AP24" s="206"/>
      <c r="AQ24" s="184"/>
      <c r="AR24" s="206"/>
      <c r="AS24" s="206"/>
      <c r="AT24" s="184"/>
      <c r="AU24" s="206"/>
      <c r="AV24" s="206"/>
      <c r="AW24" s="184"/>
      <c r="AX24" s="206"/>
      <c r="AY24" s="206"/>
      <c r="AZ24" s="184"/>
    </row>
    <row r="25" spans="1:52" hidden="1" outlineLevel="1">
      <c r="A25" s="180"/>
      <c r="B25" s="181" t="s">
        <v>2306</v>
      </c>
      <c r="E25" s="206"/>
      <c r="F25" s="206"/>
      <c r="G25" s="184"/>
      <c r="H25" s="206"/>
      <c r="I25" s="206"/>
      <c r="J25" s="184"/>
      <c r="K25" s="206"/>
      <c r="L25" s="206"/>
      <c r="M25" s="184"/>
      <c r="N25" s="206"/>
      <c r="O25" s="206"/>
      <c r="P25" s="184"/>
      <c r="Q25" s="206"/>
      <c r="R25" s="230"/>
      <c r="S25" s="184"/>
      <c r="T25" s="206"/>
      <c r="U25" s="206"/>
      <c r="V25" s="184"/>
      <c r="W25" s="206"/>
      <c r="X25" s="206"/>
      <c r="Y25" s="184"/>
      <c r="Z25" s="206"/>
      <c r="AA25" s="206"/>
      <c r="AB25" s="184"/>
      <c r="AC25" s="206"/>
      <c r="AD25" s="206"/>
      <c r="AE25" s="184"/>
      <c r="AF25" s="206"/>
      <c r="AG25" s="206"/>
      <c r="AH25" s="184"/>
      <c r="AI25" s="206"/>
      <c r="AJ25" s="206"/>
      <c r="AK25" s="184"/>
      <c r="AL25" s="206"/>
      <c r="AM25" s="206"/>
      <c r="AN25" s="184"/>
      <c r="AO25" s="206"/>
      <c r="AP25" s="206"/>
      <c r="AQ25" s="184"/>
      <c r="AR25" s="206"/>
      <c r="AS25" s="206"/>
      <c r="AT25" s="184"/>
      <c r="AU25" s="206"/>
      <c r="AV25" s="206"/>
      <c r="AW25" s="184"/>
      <c r="AX25" s="206"/>
      <c r="AY25" s="206"/>
      <c r="AZ25" s="184"/>
    </row>
    <row r="26" spans="1:52" hidden="1" outlineLevel="1">
      <c r="A26" s="180"/>
      <c r="B26" s="175" t="s">
        <v>482</v>
      </c>
      <c r="E26" s="206">
        <v>-6</v>
      </c>
      <c r="F26" s="206">
        <v>14</v>
      </c>
      <c r="G26" s="184">
        <f t="shared" ref="G26:G35" si="13">E26+F26</f>
        <v>8</v>
      </c>
      <c r="H26" s="206">
        <v>-6</v>
      </c>
      <c r="I26" s="206">
        <v>8</v>
      </c>
      <c r="J26" s="184">
        <f t="shared" ref="J26:J35" si="14">H26+I26</f>
        <v>2</v>
      </c>
      <c r="K26" s="196">
        <v>-15</v>
      </c>
      <c r="L26" s="206">
        <v>-18</v>
      </c>
      <c r="M26" s="184">
        <f>K26+L26</f>
        <v>-33</v>
      </c>
      <c r="N26" s="206">
        <v>0</v>
      </c>
      <c r="O26" s="206">
        <v>-4</v>
      </c>
      <c r="P26" s="184">
        <f t="shared" ref="P26:P35" si="15">N26+O26</f>
        <v>-4</v>
      </c>
      <c r="Q26" s="206">
        <v>-17</v>
      </c>
      <c r="R26" s="206">
        <v>-15</v>
      </c>
      <c r="S26" s="184">
        <f>Q26+R26</f>
        <v>-32</v>
      </c>
      <c r="T26" s="206">
        <v>-25</v>
      </c>
      <c r="U26" s="206">
        <v>-33</v>
      </c>
      <c r="V26" s="184">
        <f t="shared" ref="V26:V35" si="16">T26+U26</f>
        <v>-58</v>
      </c>
      <c r="W26" s="231">
        <v>-36</v>
      </c>
      <c r="X26" s="206">
        <f>-55-W26</f>
        <v>-19</v>
      </c>
      <c r="Y26" s="184">
        <f t="shared" ref="Y26:Y35" si="17">W26+X26</f>
        <v>-55</v>
      </c>
      <c r="Z26" s="231">
        <f>X26</f>
        <v>-19</v>
      </c>
      <c r="AA26" s="231">
        <f>Z26</f>
        <v>-19</v>
      </c>
      <c r="AB26" s="184">
        <f t="shared" ref="AB26:AB35" si="18">Z26+AA26</f>
        <v>-38</v>
      </c>
      <c r="AC26" s="231">
        <f>AA26</f>
        <v>-19</v>
      </c>
      <c r="AD26" s="231">
        <f>AC26</f>
        <v>-19</v>
      </c>
      <c r="AE26" s="184">
        <f t="shared" ref="AE26:AE35" si="19">AC26+AD26</f>
        <v>-38</v>
      </c>
      <c r="AF26" s="231">
        <f>AD26</f>
        <v>-19</v>
      </c>
      <c r="AG26" s="231">
        <f>AF26</f>
        <v>-19</v>
      </c>
      <c r="AH26" s="184">
        <f t="shared" ref="AH26:AH35" si="20">AF26+AG26</f>
        <v>-38</v>
      </c>
      <c r="AI26" s="231">
        <f>AG26</f>
        <v>-19</v>
      </c>
      <c r="AJ26" s="231">
        <f>AI26</f>
        <v>-19</v>
      </c>
      <c r="AK26" s="184">
        <f t="shared" ref="AK26:AK35" si="21">AI26+AJ26</f>
        <v>-38</v>
      </c>
      <c r="AL26" s="231">
        <f>AJ26</f>
        <v>-19</v>
      </c>
      <c r="AM26" s="231">
        <f>AL26</f>
        <v>-19</v>
      </c>
      <c r="AN26" s="184">
        <f t="shared" ref="AN26:AN35" si="22">AL26+AM26</f>
        <v>-38</v>
      </c>
      <c r="AO26" s="231">
        <f>AM26</f>
        <v>-19</v>
      </c>
      <c r="AP26" s="231">
        <f>AO26</f>
        <v>-19</v>
      </c>
      <c r="AQ26" s="184">
        <f t="shared" ref="AQ26:AQ35" si="23">AO26+AP26</f>
        <v>-38</v>
      </c>
      <c r="AR26" s="231">
        <f>AP26</f>
        <v>-19</v>
      </c>
      <c r="AS26" s="231">
        <f>AR26</f>
        <v>-19</v>
      </c>
      <c r="AT26" s="184">
        <f t="shared" ref="AT26:AT35" si="24">AR26+AS26</f>
        <v>-38</v>
      </c>
      <c r="AU26" s="231">
        <f>AS26</f>
        <v>-19</v>
      </c>
      <c r="AV26" s="231">
        <f>AU26</f>
        <v>-19</v>
      </c>
      <c r="AW26" s="184">
        <f t="shared" ref="AW26:AW35" si="25">AU26+AV26</f>
        <v>-38</v>
      </c>
      <c r="AX26" s="231">
        <f>AV26</f>
        <v>-19</v>
      </c>
      <c r="AY26" s="231">
        <f>AX26</f>
        <v>-19</v>
      </c>
      <c r="AZ26" s="184">
        <f t="shared" ref="AZ26:AZ35" si="26">AX26+AY26</f>
        <v>-38</v>
      </c>
    </row>
    <row r="27" spans="1:52" hidden="1" outlineLevel="1">
      <c r="A27" s="180"/>
      <c r="B27" s="175" t="s">
        <v>2307</v>
      </c>
      <c r="E27" s="206">
        <v>952</v>
      </c>
      <c r="F27" s="206">
        <v>559</v>
      </c>
      <c r="G27" s="184">
        <f t="shared" si="13"/>
        <v>1511</v>
      </c>
      <c r="H27" s="206">
        <v>1223</v>
      </c>
      <c r="I27" s="206">
        <f>329+390</f>
        <v>719</v>
      </c>
      <c r="J27" s="184">
        <f t="shared" si="14"/>
        <v>1942</v>
      </c>
      <c r="K27" s="196">
        <f>-845-459</f>
        <v>-1304</v>
      </c>
      <c r="L27" s="206">
        <f>-582-412</f>
        <v>-994</v>
      </c>
      <c r="M27" s="184">
        <f t="shared" ref="M27:M35" si="27">K27+L27</f>
        <v>-2298</v>
      </c>
      <c r="N27" s="206">
        <f>-N34+307</f>
        <v>-1002</v>
      </c>
      <c r="O27" s="206">
        <f>-O34+367</f>
        <v>1688</v>
      </c>
      <c r="P27" s="184">
        <f t="shared" si="15"/>
        <v>686</v>
      </c>
      <c r="Q27" s="206">
        <f>-Q34+383</f>
        <v>716</v>
      </c>
      <c r="R27" s="206">
        <f>-R34+249</f>
        <v>261</v>
      </c>
      <c r="S27" s="184">
        <f t="shared" ref="S27:S35" si="28">Q27+R27</f>
        <v>977</v>
      </c>
      <c r="T27" s="206">
        <f>-T34+374</f>
        <v>898</v>
      </c>
      <c r="U27" s="206">
        <f>-U34-99</f>
        <v>-756</v>
      </c>
      <c r="V27" s="184">
        <f t="shared" si="16"/>
        <v>142</v>
      </c>
      <c r="W27" s="206">
        <f>-W34+498</f>
        <v>1376</v>
      </c>
      <c r="X27" s="206">
        <f>-X34+393</f>
        <v>779</v>
      </c>
      <c r="Y27" s="184">
        <f t="shared" si="17"/>
        <v>2155</v>
      </c>
      <c r="Z27" s="231">
        <f>Z29-Z28-Z26</f>
        <v>881.29887921429304</v>
      </c>
      <c r="AA27" s="231">
        <f>AA29-AA28-AA26</f>
        <v>696.04926361893024</v>
      </c>
      <c r="AB27" s="184">
        <f t="shared" si="18"/>
        <v>1577.3481428332234</v>
      </c>
      <c r="AC27" s="231">
        <f>AC29-AC28-AC26</f>
        <v>848.67798508552642</v>
      </c>
      <c r="AD27" s="231">
        <f>AD29-AD28-AD26</f>
        <v>898.8684031258349</v>
      </c>
      <c r="AE27" s="184">
        <f t="shared" si="19"/>
        <v>1747.5463882113613</v>
      </c>
      <c r="AF27" s="231">
        <f>AF29-AF28-AF26</f>
        <v>753.58157869094794</v>
      </c>
      <c r="AG27" s="231">
        <f>AG29-AG28-AG26</f>
        <v>761.81962638703203</v>
      </c>
      <c r="AH27" s="184">
        <f t="shared" si="20"/>
        <v>1515.40120507798</v>
      </c>
      <c r="AI27" s="231">
        <f>AI29-AI28-AI26</f>
        <v>783.60312118607317</v>
      </c>
      <c r="AJ27" s="231">
        <f>AJ29-AJ28-AJ26</f>
        <v>917.12386403768755</v>
      </c>
      <c r="AK27" s="184">
        <f t="shared" si="21"/>
        <v>1700.7269852237607</v>
      </c>
      <c r="AL27" s="231">
        <f>AL29-AL28-AL26</f>
        <v>891.97891175444443</v>
      </c>
      <c r="AM27" s="231">
        <f>AM29-AM28-AM26</f>
        <v>982.5488056231452</v>
      </c>
      <c r="AN27" s="184">
        <f t="shared" si="22"/>
        <v>1874.5277173775896</v>
      </c>
      <c r="AO27" s="231">
        <f>AO29-AO28-AO26</f>
        <v>967.51171533307524</v>
      </c>
      <c r="AP27" s="231">
        <f>AP29-AP28-AP26</f>
        <v>1075.8822688493315</v>
      </c>
      <c r="AQ27" s="184">
        <f t="shared" si="23"/>
        <v>2043.3939841824067</v>
      </c>
      <c r="AR27" s="231">
        <f>AR29-AR28-AR26</f>
        <v>1061.3265279155012</v>
      </c>
      <c r="AS27" s="231">
        <f>AS29-AS28-AS26</f>
        <v>1173.6342922371628</v>
      </c>
      <c r="AT27" s="184">
        <f t="shared" si="24"/>
        <v>2234.9608201526639</v>
      </c>
      <c r="AU27" s="231">
        <f>AU29-AU28-AU26</f>
        <v>1159.7015207986969</v>
      </c>
      <c r="AV27" s="231">
        <f>AV29-AV28-AV26</f>
        <v>1276.1827039934674</v>
      </c>
      <c r="AW27" s="184">
        <f t="shared" si="25"/>
        <v>2435.8842247921643</v>
      </c>
      <c r="AX27" s="231">
        <f>AX29-AX28-AX26</f>
        <v>1263.0264431966843</v>
      </c>
      <c r="AY27" s="231">
        <f>AY29-AY28-AY26</f>
        <v>1383.9323263514125</v>
      </c>
      <c r="AZ27" s="184">
        <f t="shared" si="26"/>
        <v>2646.9587695480968</v>
      </c>
    </row>
    <row r="28" spans="1:52" hidden="1" outlineLevel="1">
      <c r="A28" s="180"/>
      <c r="B28" s="175" t="s">
        <v>595</v>
      </c>
      <c r="E28" s="206">
        <v>310</v>
      </c>
      <c r="F28" s="206">
        <v>339</v>
      </c>
      <c r="G28" s="184">
        <f t="shared" si="13"/>
        <v>649</v>
      </c>
      <c r="H28" s="206">
        <v>362</v>
      </c>
      <c r="I28" s="206">
        <v>417</v>
      </c>
      <c r="J28" s="184">
        <f t="shared" si="14"/>
        <v>779</v>
      </c>
      <c r="K28" s="196">
        <v>339</v>
      </c>
      <c r="L28" s="206">
        <v>327</v>
      </c>
      <c r="M28" s="184">
        <f t="shared" si="27"/>
        <v>666</v>
      </c>
      <c r="N28" s="206">
        <v>339</v>
      </c>
      <c r="O28" s="206">
        <v>362</v>
      </c>
      <c r="P28" s="184">
        <f t="shared" si="15"/>
        <v>701</v>
      </c>
      <c r="Q28" s="206">
        <v>589</v>
      </c>
      <c r="R28" s="206">
        <v>481</v>
      </c>
      <c r="S28" s="184">
        <f t="shared" si="28"/>
        <v>1070</v>
      </c>
      <c r="T28" s="206">
        <v>519</v>
      </c>
      <c r="U28" s="206">
        <v>627</v>
      </c>
      <c r="V28" s="184">
        <f t="shared" si="16"/>
        <v>1146</v>
      </c>
      <c r="W28" s="231">
        <v>432</v>
      </c>
      <c r="X28" s="206">
        <f>920-W28</f>
        <v>488</v>
      </c>
      <c r="Y28" s="184">
        <f t="shared" si="17"/>
        <v>920</v>
      </c>
      <c r="Z28" s="231">
        <f>X28*Z19/X19</f>
        <v>451.80397350993377</v>
      </c>
      <c r="AA28" s="231">
        <f>Z28*AA19/Z19</f>
        <v>411.08344370860925</v>
      </c>
      <c r="AB28" s="184">
        <f t="shared" si="18"/>
        <v>862.88741721854308</v>
      </c>
      <c r="AC28" s="231">
        <f>AA28*AC19/AA19</f>
        <v>467.32417457669584</v>
      </c>
      <c r="AD28" s="231">
        <f>AC28*AD19/AC19</f>
        <v>465.16094690837741</v>
      </c>
      <c r="AE28" s="184">
        <f t="shared" si="19"/>
        <v>932.48512148507325</v>
      </c>
      <c r="AF28" s="231">
        <f>AD28*AF19/AD19</f>
        <v>396.86357615894036</v>
      </c>
      <c r="AG28" s="231">
        <f>AF28*AG19/AF19</f>
        <v>383.93642384105959</v>
      </c>
      <c r="AH28" s="184">
        <f t="shared" si="20"/>
        <v>780.8</v>
      </c>
      <c r="AI28" s="231">
        <f>AG28*AI19/AG19</f>
        <v>386.52185430463572</v>
      </c>
      <c r="AJ28" s="231">
        <f>AI28*AJ19/AI19</f>
        <v>410.43708609271516</v>
      </c>
      <c r="AK28" s="184">
        <f t="shared" si="21"/>
        <v>796.95894039735094</v>
      </c>
      <c r="AL28" s="231">
        <f>AJ28*AL19/AJ19</f>
        <v>417.76179696694209</v>
      </c>
      <c r="AM28" s="231">
        <f>AL28*AM19/AL19</f>
        <v>428.55329662636677</v>
      </c>
      <c r="AN28" s="184">
        <f t="shared" si="22"/>
        <v>846.3150935933088</v>
      </c>
      <c r="AO28" s="231">
        <f>AM28*AO19/AM19</f>
        <v>440.56955586722034</v>
      </c>
      <c r="AP28" s="231">
        <f>AO28*AP19/AO19</f>
        <v>455.20734139548983</v>
      </c>
      <c r="AQ28" s="184">
        <f t="shared" si="23"/>
        <v>895.77689726271024</v>
      </c>
      <c r="AR28" s="231">
        <f>AP28*AR19/AP19</f>
        <v>467.72135309130852</v>
      </c>
      <c r="AS28" s="231">
        <f>AR28*AS19/AR19</f>
        <v>483.0077579352909</v>
      </c>
      <c r="AT28" s="184">
        <f t="shared" si="24"/>
        <v>950.72911102659941</v>
      </c>
      <c r="AU28" s="231">
        <f>AS28*AU19/AS19</f>
        <v>496.06179682359942</v>
      </c>
      <c r="AV28" s="231">
        <f>AU28*AV19/AU19</f>
        <v>512.04475305943311</v>
      </c>
      <c r="AW28" s="184">
        <f t="shared" si="25"/>
        <v>1008.1065498830326</v>
      </c>
      <c r="AX28" s="231">
        <f>AV28*AX19/AV19</f>
        <v>525.68407994692359</v>
      </c>
      <c r="AY28" s="231">
        <f>AX28*AY19/AX19</f>
        <v>542.41482839382593</v>
      </c>
      <c r="AZ28" s="184">
        <f t="shared" si="26"/>
        <v>1068.0989083407494</v>
      </c>
    </row>
    <row r="29" spans="1:52" s="181" customFormat="1" hidden="1" outlineLevel="1">
      <c r="A29" s="183"/>
      <c r="B29" s="181" t="s">
        <v>2308</v>
      </c>
      <c r="E29" s="193">
        <f>SUM(E26:E28)</f>
        <v>1256</v>
      </c>
      <c r="F29" s="193">
        <f>SUM(F26:F28)</f>
        <v>912</v>
      </c>
      <c r="G29" s="194">
        <f t="shared" si="13"/>
        <v>2168</v>
      </c>
      <c r="H29" s="193">
        <f>SUM(H26:H28)</f>
        <v>1579</v>
      </c>
      <c r="I29" s="193">
        <f>SUM(I26:I28)</f>
        <v>1144</v>
      </c>
      <c r="J29" s="194">
        <f t="shared" si="14"/>
        <v>2723</v>
      </c>
      <c r="K29" s="193">
        <f>SUM(K26:K28)</f>
        <v>-980</v>
      </c>
      <c r="L29" s="193">
        <f>SUM(L26:L28)</f>
        <v>-685</v>
      </c>
      <c r="M29" s="194">
        <f t="shared" si="27"/>
        <v>-1665</v>
      </c>
      <c r="N29" s="193">
        <f>SUM(N26:N28)</f>
        <v>-663</v>
      </c>
      <c r="O29" s="193">
        <f>SUM(O26:O28)</f>
        <v>2046</v>
      </c>
      <c r="P29" s="194">
        <f t="shared" si="15"/>
        <v>1383</v>
      </c>
      <c r="Q29" s="193">
        <f>SUM(Q26:Q28)</f>
        <v>1288</v>
      </c>
      <c r="R29" s="193">
        <f>SUM(R26:R28)</f>
        <v>727</v>
      </c>
      <c r="S29" s="194">
        <f t="shared" si="28"/>
        <v>2015</v>
      </c>
      <c r="T29" s="193">
        <f>SUM(T26:T28)</f>
        <v>1392</v>
      </c>
      <c r="U29" s="193">
        <f>SUM(U26:U28)</f>
        <v>-162</v>
      </c>
      <c r="V29" s="194">
        <f t="shared" si="16"/>
        <v>1230</v>
      </c>
      <c r="W29" s="193">
        <f>SUM(W26:W28)</f>
        <v>1772</v>
      </c>
      <c r="X29" s="193">
        <f>SUM(X26:X28)</f>
        <v>1248</v>
      </c>
      <c r="Y29" s="194">
        <f>W29+X29</f>
        <v>3020</v>
      </c>
      <c r="Z29" s="232">
        <f>Z31-Z30</f>
        <v>1314.1028527242268</v>
      </c>
      <c r="AA29" s="232">
        <f>AA31-AA30</f>
        <v>1088.1327073275395</v>
      </c>
      <c r="AB29" s="194">
        <f t="shared" si="18"/>
        <v>2402.2355600517662</v>
      </c>
      <c r="AC29" s="232">
        <f>AC31-AC30</f>
        <v>1297.0021596622223</v>
      </c>
      <c r="AD29" s="232">
        <f>AD31-AD30</f>
        <v>1345.0293500342123</v>
      </c>
      <c r="AE29" s="194">
        <f t="shared" si="19"/>
        <v>2642.0315096964346</v>
      </c>
      <c r="AF29" s="232">
        <f>AF31-AF30</f>
        <v>1131.4451548498882</v>
      </c>
      <c r="AG29" s="232">
        <f>AG31-AG30</f>
        <v>1126.7560502280917</v>
      </c>
      <c r="AH29" s="194">
        <f t="shared" si="20"/>
        <v>2258.2012050779799</v>
      </c>
      <c r="AI29" s="232">
        <f>AI31-AI30</f>
        <v>1151.1249754907089</v>
      </c>
      <c r="AJ29" s="232">
        <f>AJ31-AJ30</f>
        <v>1308.5609501304027</v>
      </c>
      <c r="AK29" s="194">
        <f t="shared" si="21"/>
        <v>2459.6859256211119</v>
      </c>
      <c r="AL29" s="232">
        <f>AL31-AL30</f>
        <v>1290.7407087213865</v>
      </c>
      <c r="AM29" s="232">
        <f>AM31-AM30</f>
        <v>1392.102102249512</v>
      </c>
      <c r="AN29" s="194">
        <f t="shared" si="22"/>
        <v>2682.8428109708984</v>
      </c>
      <c r="AO29" s="232">
        <f>AO31-AO30</f>
        <v>1389.0812712002955</v>
      </c>
      <c r="AP29" s="232">
        <f>AP31-AP30</f>
        <v>1512.0896102448214</v>
      </c>
      <c r="AQ29" s="194">
        <f t="shared" si="23"/>
        <v>2901.1708814451167</v>
      </c>
      <c r="AR29" s="232">
        <f>AR31-AR30</f>
        <v>1510.0478810068098</v>
      </c>
      <c r="AS29" s="232">
        <f>AS31-AS30</f>
        <v>1637.6420501724535</v>
      </c>
      <c r="AT29" s="194">
        <f t="shared" si="24"/>
        <v>3147.6899311792631</v>
      </c>
      <c r="AU29" s="232">
        <f>AU31-AU30</f>
        <v>1636.7633176222964</v>
      </c>
      <c r="AV29" s="232">
        <f>AV31-AV30</f>
        <v>1769.2274570529005</v>
      </c>
      <c r="AW29" s="194">
        <f t="shared" si="25"/>
        <v>3405.9907746751969</v>
      </c>
      <c r="AX29" s="232">
        <f>AX31-AX30</f>
        <v>1769.7105231436078</v>
      </c>
      <c r="AY29" s="232">
        <f>AY31-AY30</f>
        <v>1907.3471547452384</v>
      </c>
      <c r="AZ29" s="194">
        <f t="shared" si="26"/>
        <v>3677.0576778888462</v>
      </c>
    </row>
    <row r="30" spans="1:52" hidden="1" outlineLevel="1">
      <c r="A30" s="180"/>
      <c r="B30" s="175" t="s">
        <v>637</v>
      </c>
      <c r="E30" s="206">
        <v>-296</v>
      </c>
      <c r="F30" s="206">
        <v>-315</v>
      </c>
      <c r="G30" s="184">
        <f t="shared" si="13"/>
        <v>-611</v>
      </c>
      <c r="H30" s="206">
        <v>-297</v>
      </c>
      <c r="I30" s="206">
        <f>I20+14</f>
        <v>-358</v>
      </c>
      <c r="J30" s="184">
        <f t="shared" si="14"/>
        <v>-655</v>
      </c>
      <c r="K30" s="206">
        <f>K20+71</f>
        <v>-266</v>
      </c>
      <c r="L30" s="206">
        <f>L20+71</f>
        <v>-273</v>
      </c>
      <c r="M30" s="184">
        <f>K30+L30</f>
        <v>-539</v>
      </c>
      <c r="N30" s="206">
        <f>N20+28</f>
        <v>-302</v>
      </c>
      <c r="O30" s="206">
        <f>O20+14</f>
        <v>-317</v>
      </c>
      <c r="P30" s="184">
        <f t="shared" si="15"/>
        <v>-619</v>
      </c>
      <c r="Q30" s="206">
        <f>Q20-75</f>
        <v>-560.90110000000004</v>
      </c>
      <c r="R30" s="206">
        <f>R20+46</f>
        <v>-453.84039999999999</v>
      </c>
      <c r="S30" s="184">
        <f t="shared" si="28"/>
        <v>-1014.7415000000001</v>
      </c>
      <c r="T30" s="206">
        <f>T20+22</f>
        <v>-472.05920000000003</v>
      </c>
      <c r="U30" s="206">
        <f>U20-73</f>
        <v>-560.52637499999992</v>
      </c>
      <c r="V30" s="184">
        <f t="shared" si="16"/>
        <v>-1032.5855750000001</v>
      </c>
      <c r="W30" s="206">
        <f>W20+56</f>
        <v>-432.84989999999999</v>
      </c>
      <c r="X30" s="206">
        <f>X20-31</f>
        <v>-525.17930000000001</v>
      </c>
      <c r="Y30" s="184">
        <f>W30+X30</f>
        <v>-958.02919999999995</v>
      </c>
      <c r="Z30" s="231">
        <f>X30*Z20/X20</f>
        <v>-492.92798691448633</v>
      </c>
      <c r="AA30" s="231">
        <f>Z30*AA20/Z20</f>
        <v>-515.78550834079851</v>
      </c>
      <c r="AB30" s="184">
        <f t="shared" si="18"/>
        <v>-1008.7134952552849</v>
      </c>
      <c r="AC30" s="231">
        <f>AA30*AC20/AA20</f>
        <v>-521.29608360020336</v>
      </c>
      <c r="AD30" s="231">
        <f>AC30*AD20/AC20</f>
        <v>-493.53589872475459</v>
      </c>
      <c r="AE30" s="184">
        <f t="shared" si="19"/>
        <v>-1014.8319823249579</v>
      </c>
      <c r="AF30" s="231">
        <f>AD30*AF20/AD20</f>
        <v>-429.34302833000083</v>
      </c>
      <c r="AG30" s="231">
        <f>AF30*AG20/AF20</f>
        <v>-405.96296243084237</v>
      </c>
      <c r="AH30" s="184">
        <f t="shared" si="20"/>
        <v>-835.3059907608432</v>
      </c>
      <c r="AI30" s="231">
        <f>AG30*AI20/AG20</f>
        <v>-412.33934403970375</v>
      </c>
      <c r="AJ30" s="231">
        <f>AI30*AJ20/AI20</f>
        <v>-393.21019921311961</v>
      </c>
      <c r="AK30" s="184">
        <f t="shared" si="21"/>
        <v>-805.54954325282336</v>
      </c>
      <c r="AL30" s="231">
        <f>AJ30*AL20/AJ20</f>
        <v>-418.52443420029931</v>
      </c>
      <c r="AM30" s="231">
        <f>AL30*AM20/AL20</f>
        <v>-399.10835220131634</v>
      </c>
      <c r="AN30" s="184">
        <f t="shared" si="22"/>
        <v>-817.6327864016157</v>
      </c>
      <c r="AO30" s="231">
        <f>AM30*AO20/AM20</f>
        <v>-428.98754505530673</v>
      </c>
      <c r="AP30" s="231">
        <f>AO30*AP20/AO20</f>
        <v>-409.08606100634921</v>
      </c>
      <c r="AQ30" s="184">
        <f t="shared" si="23"/>
        <v>-838.07360606165594</v>
      </c>
      <c r="AR30" s="231">
        <f>AP30*AR20/AP20</f>
        <v>-439.71223368168933</v>
      </c>
      <c r="AS30" s="231">
        <f>AR30*AS20/AR20</f>
        <v>-419.31321253150787</v>
      </c>
      <c r="AT30" s="184">
        <f t="shared" si="24"/>
        <v>-859.02544621319726</v>
      </c>
      <c r="AU30" s="231">
        <f>AS30*AU20/AS20</f>
        <v>-450.7050395237315</v>
      </c>
      <c r="AV30" s="231">
        <f>AU30*AV20/AU20</f>
        <v>-429.79604284479552</v>
      </c>
      <c r="AW30" s="184">
        <f t="shared" si="25"/>
        <v>-880.50108236852702</v>
      </c>
      <c r="AX30" s="231">
        <f>AV30*AX20/AV20</f>
        <v>-461.97266551182474</v>
      </c>
      <c r="AY30" s="231">
        <f>AX30*AY20/AX20</f>
        <v>-440.54094391591542</v>
      </c>
      <c r="AZ30" s="184">
        <f t="shared" si="26"/>
        <v>-902.51360942774022</v>
      </c>
    </row>
    <row r="31" spans="1:52" s="181" customFormat="1" hidden="1" outlineLevel="1">
      <c r="A31" s="183"/>
      <c r="B31" s="181" t="s">
        <v>2309</v>
      </c>
      <c r="E31" s="193">
        <f>E29+E30</f>
        <v>960</v>
      </c>
      <c r="F31" s="193">
        <f>F29+F30</f>
        <v>597</v>
      </c>
      <c r="G31" s="194">
        <f t="shared" si="13"/>
        <v>1557</v>
      </c>
      <c r="H31" s="193">
        <f>H29+H30</f>
        <v>1282</v>
      </c>
      <c r="I31" s="193">
        <f>I29+I30</f>
        <v>786</v>
      </c>
      <c r="J31" s="194">
        <f t="shared" si="14"/>
        <v>2068</v>
      </c>
      <c r="K31" s="193">
        <f>K29+K30</f>
        <v>-1246</v>
      </c>
      <c r="L31" s="193">
        <f>L29+L30</f>
        <v>-958</v>
      </c>
      <c r="M31" s="194">
        <f t="shared" si="27"/>
        <v>-2204</v>
      </c>
      <c r="N31" s="193">
        <f>N29+N30</f>
        <v>-965</v>
      </c>
      <c r="O31" s="193">
        <f>O29+O30</f>
        <v>1729</v>
      </c>
      <c r="P31" s="194">
        <f t="shared" si="15"/>
        <v>764</v>
      </c>
      <c r="Q31" s="193">
        <f>Q29+Q30</f>
        <v>727.09889999999996</v>
      </c>
      <c r="R31" s="193">
        <f>R29+R30</f>
        <v>273.15960000000001</v>
      </c>
      <c r="S31" s="194">
        <f t="shared" si="28"/>
        <v>1000.2584999999999</v>
      </c>
      <c r="T31" s="193">
        <f>T29+T30</f>
        <v>919.94079999999997</v>
      </c>
      <c r="U31" s="193">
        <f>U29+U30</f>
        <v>-722.52637499999992</v>
      </c>
      <c r="V31" s="194">
        <f t="shared" si="16"/>
        <v>197.41442500000005</v>
      </c>
      <c r="W31" s="193">
        <f>W29+W30</f>
        <v>1339.1501000000001</v>
      </c>
      <c r="X31" s="193">
        <f>X29+X30</f>
        <v>722.82069999999999</v>
      </c>
      <c r="Y31" s="194">
        <f>W31+X31</f>
        <v>2061.9708000000001</v>
      </c>
      <c r="Z31" s="232">
        <f>Z33/(1-0.24)</f>
        <v>821.17486580974048</v>
      </c>
      <c r="AA31" s="232">
        <f>AA33/(1-0.24)</f>
        <v>572.34719898674098</v>
      </c>
      <c r="AB31" s="194">
        <f t="shared" si="18"/>
        <v>1393.5220647964816</v>
      </c>
      <c r="AC31" s="232">
        <f>AC33/(1-0.26)</f>
        <v>775.70607606201906</v>
      </c>
      <c r="AD31" s="232">
        <f>AD33/(1-0.26)</f>
        <v>851.49345130945767</v>
      </c>
      <c r="AE31" s="194">
        <f t="shared" si="19"/>
        <v>1627.1995273714767</v>
      </c>
      <c r="AF31" s="232">
        <f>AF33/(1-0.267)</f>
        <v>702.10212651988752</v>
      </c>
      <c r="AG31" s="232">
        <f>AG33/(1-0.2677)</f>
        <v>720.79308779724931</v>
      </c>
      <c r="AH31" s="194">
        <f t="shared" si="20"/>
        <v>1422.8952143171368</v>
      </c>
      <c r="AI31" s="232">
        <f>AI33/(1-0.29)</f>
        <v>738.78563145100509</v>
      </c>
      <c r="AJ31" s="232">
        <f>AJ33/(1-0.29)</f>
        <v>915.35075091728311</v>
      </c>
      <c r="AK31" s="194">
        <f t="shared" si="21"/>
        <v>1654.1363823682882</v>
      </c>
      <c r="AL31" s="232">
        <f>AL33/(1-0.29)</f>
        <v>872.21627452108726</v>
      </c>
      <c r="AM31" s="232">
        <f>AM33/(1-0.29)</f>
        <v>992.99375004819569</v>
      </c>
      <c r="AN31" s="194">
        <f t="shared" si="22"/>
        <v>1865.210024569283</v>
      </c>
      <c r="AO31" s="232">
        <f>AO33/(1-0.29)</f>
        <v>960.09372614498886</v>
      </c>
      <c r="AP31" s="232">
        <f>AP33/(1-0.29)</f>
        <v>1103.0035492384723</v>
      </c>
      <c r="AQ31" s="194">
        <f t="shared" si="23"/>
        <v>2063.0972753834612</v>
      </c>
      <c r="AR31" s="232">
        <f>AR33/(1-0.29)</f>
        <v>1070.3356473251206</v>
      </c>
      <c r="AS31" s="232">
        <f>AS33/(1-0.29)</f>
        <v>1218.3288376409457</v>
      </c>
      <c r="AT31" s="194">
        <f t="shared" si="24"/>
        <v>2288.6644849660661</v>
      </c>
      <c r="AU31" s="232">
        <f>AU33/(1-0.29)</f>
        <v>1186.0582780985649</v>
      </c>
      <c r="AV31" s="232">
        <f>AV33/(1-0.29)</f>
        <v>1339.431414208105</v>
      </c>
      <c r="AW31" s="194">
        <f t="shared" si="25"/>
        <v>2525.4896923066699</v>
      </c>
      <c r="AX31" s="232">
        <f>AX33/(1-0.29)</f>
        <v>1307.7378576317831</v>
      </c>
      <c r="AY31" s="232">
        <f>AY33/(1-0.29)</f>
        <v>1466.8062108293229</v>
      </c>
      <c r="AZ31" s="194">
        <f t="shared" si="26"/>
        <v>2774.5440684611058</v>
      </c>
    </row>
    <row r="32" spans="1:52" hidden="1" outlineLevel="1">
      <c r="A32" s="180"/>
      <c r="B32" s="175" t="s">
        <v>75</v>
      </c>
      <c r="E32" s="206">
        <v>-527</v>
      </c>
      <c r="F32" s="206">
        <v>83</v>
      </c>
      <c r="G32" s="184">
        <f t="shared" si="13"/>
        <v>-444</v>
      </c>
      <c r="H32" s="206">
        <v>-413</v>
      </c>
      <c r="I32" s="206">
        <f>I22-134</f>
        <v>-220</v>
      </c>
      <c r="J32" s="184">
        <f t="shared" si="14"/>
        <v>-633</v>
      </c>
      <c r="K32" s="206">
        <f>K22+701</f>
        <v>612</v>
      </c>
      <c r="L32" s="206">
        <f>L22+638</f>
        <v>559</v>
      </c>
      <c r="M32" s="184">
        <f>K32+L32</f>
        <v>1171</v>
      </c>
      <c r="N32" s="206">
        <f>N22-161</f>
        <v>-212</v>
      </c>
      <c r="O32" s="206">
        <f>O22-158</f>
        <v>-203</v>
      </c>
      <c r="P32" s="184">
        <f t="shared" si="15"/>
        <v>-415</v>
      </c>
      <c r="Q32" s="206">
        <f>Q22-97</f>
        <v>-166.02868100000001</v>
      </c>
      <c r="R32" s="206">
        <f>R22+29</f>
        <v>-15.366284000000007</v>
      </c>
      <c r="S32" s="184">
        <f t="shared" si="28"/>
        <v>-181.39496500000001</v>
      </c>
      <c r="T32" s="206">
        <f>T22-91</f>
        <v>-168.69283200000001</v>
      </c>
      <c r="U32" s="206">
        <f>U22+295</f>
        <v>231.28264874999999</v>
      </c>
      <c r="V32" s="184">
        <f t="shared" si="16"/>
        <v>62.589816749999983</v>
      </c>
      <c r="W32" s="206">
        <f>W22-159</f>
        <v>-236.07352900000001</v>
      </c>
      <c r="X32" s="206">
        <f>X22-69</f>
        <v>-146.918003</v>
      </c>
      <c r="Y32" s="184">
        <f t="shared" si="17"/>
        <v>-382.99153200000001</v>
      </c>
      <c r="Z32" s="231">
        <f>Z33-Z31</f>
        <v>-197.08196779433774</v>
      </c>
      <c r="AA32" s="231">
        <f>AA33-AA31</f>
        <v>-137.3633277568178</v>
      </c>
      <c r="AB32" s="184">
        <f t="shared" si="18"/>
        <v>-334.44529555115554</v>
      </c>
      <c r="AC32" s="231">
        <f>AC33-AC31</f>
        <v>-201.68357977612493</v>
      </c>
      <c r="AD32" s="231">
        <f>AD33-AD31</f>
        <v>-221.38829734045896</v>
      </c>
      <c r="AE32" s="184">
        <f t="shared" si="19"/>
        <v>-423.07187711658389</v>
      </c>
      <c r="AF32" s="231">
        <f>AF33-AF31</f>
        <v>-187.46126778080998</v>
      </c>
      <c r="AG32" s="231">
        <f>AG33-AG31</f>
        <v>-192.95630960332369</v>
      </c>
      <c r="AH32" s="184">
        <f t="shared" si="20"/>
        <v>-380.41757738413366</v>
      </c>
      <c r="AI32" s="231">
        <f>AI33-AI31</f>
        <v>-214.24783312079148</v>
      </c>
      <c r="AJ32" s="231">
        <f>AJ33-AJ31</f>
        <v>-265.45171776601217</v>
      </c>
      <c r="AK32" s="184">
        <f t="shared" si="21"/>
        <v>-479.69955088680365</v>
      </c>
      <c r="AL32" s="231">
        <f>AL33-AL31</f>
        <v>-252.94271961111531</v>
      </c>
      <c r="AM32" s="231">
        <f>AM33-AM31</f>
        <v>-287.96818751397677</v>
      </c>
      <c r="AN32" s="184">
        <f t="shared" si="22"/>
        <v>-540.91090712509208</v>
      </c>
      <c r="AO32" s="231">
        <f>AO33-AO31</f>
        <v>-278.42718058204684</v>
      </c>
      <c r="AP32" s="231">
        <f>AP33-AP31</f>
        <v>-319.87102927915703</v>
      </c>
      <c r="AQ32" s="184">
        <f t="shared" si="23"/>
        <v>-598.29820986120387</v>
      </c>
      <c r="AR32" s="231">
        <f>AR33-AR31</f>
        <v>-310.39733772428508</v>
      </c>
      <c r="AS32" s="231">
        <f>AS33-AS31</f>
        <v>-353.31536291587429</v>
      </c>
      <c r="AT32" s="184">
        <f t="shared" si="24"/>
        <v>-663.71270064015937</v>
      </c>
      <c r="AU32" s="231">
        <f>AU33-AU31</f>
        <v>-343.95690064858388</v>
      </c>
      <c r="AV32" s="231">
        <f>AV33-AV31</f>
        <v>-388.43511012035049</v>
      </c>
      <c r="AW32" s="184">
        <f t="shared" si="25"/>
        <v>-732.39201076893437</v>
      </c>
      <c r="AX32" s="231">
        <f>AX33-AX31</f>
        <v>-379.24397871321719</v>
      </c>
      <c r="AY32" s="231">
        <f>AY33-AY31</f>
        <v>-425.3738011405037</v>
      </c>
      <c r="AZ32" s="184">
        <f t="shared" si="26"/>
        <v>-804.61777985372089</v>
      </c>
    </row>
    <row r="33" spans="1:54" s="181" customFormat="1" hidden="1" outlineLevel="1">
      <c r="A33" s="183"/>
      <c r="B33" s="181" t="s">
        <v>2310</v>
      </c>
      <c r="E33" s="193">
        <f>E31+E32</f>
        <v>433</v>
      </c>
      <c r="F33" s="193">
        <f>F31+F32</f>
        <v>680</v>
      </c>
      <c r="G33" s="194">
        <f t="shared" si="13"/>
        <v>1113</v>
      </c>
      <c r="H33" s="193">
        <f>H31+H32</f>
        <v>869</v>
      </c>
      <c r="I33" s="193">
        <f>I31+I32</f>
        <v>566</v>
      </c>
      <c r="J33" s="194">
        <f t="shared" si="14"/>
        <v>1435</v>
      </c>
      <c r="K33" s="193">
        <f>K31+K32</f>
        <v>-634</v>
      </c>
      <c r="L33" s="193">
        <f>L31+L32</f>
        <v>-399</v>
      </c>
      <c r="M33" s="194">
        <f t="shared" si="27"/>
        <v>-1033</v>
      </c>
      <c r="N33" s="193">
        <f>N31+N32</f>
        <v>-1177</v>
      </c>
      <c r="O33" s="193">
        <f>O31+O32</f>
        <v>1526</v>
      </c>
      <c r="P33" s="194">
        <f t="shared" si="15"/>
        <v>349</v>
      </c>
      <c r="Q33" s="233">
        <f>Q31+Q32</f>
        <v>561.07021899999995</v>
      </c>
      <c r="R33" s="234">
        <f>R31+R32</f>
        <v>257.793316</v>
      </c>
      <c r="S33" s="194">
        <f t="shared" si="28"/>
        <v>818.86353499999996</v>
      </c>
      <c r="T33" s="232">
        <f>T31+T32</f>
        <v>751.2479679999999</v>
      </c>
      <c r="U33" s="235">
        <f>U31+U32</f>
        <v>-491.2437262499999</v>
      </c>
      <c r="V33" s="194">
        <f t="shared" si="16"/>
        <v>260.00424175000001</v>
      </c>
      <c r="W33" s="193">
        <f>W31+W32</f>
        <v>1103.0765710000001</v>
      </c>
      <c r="X33" s="193">
        <f>X31+X32</f>
        <v>575.90269699999999</v>
      </c>
      <c r="Y33" s="194">
        <f t="shared" si="17"/>
        <v>1678.979268</v>
      </c>
      <c r="Z33" s="232">
        <f>X33*Z35/X35*1.2</f>
        <v>624.09289801540274</v>
      </c>
      <c r="AA33" s="232">
        <f>Z33*AA35/Z35</f>
        <v>434.98387122992318</v>
      </c>
      <c r="AB33" s="194">
        <f t="shared" si="18"/>
        <v>1059.076769245326</v>
      </c>
      <c r="AC33" s="232">
        <f>AA33*AC35/AA35*0.9113</f>
        <v>574.02249628589414</v>
      </c>
      <c r="AD33" s="232">
        <f>AC33*AD35/AC35</f>
        <v>630.10515396899871</v>
      </c>
      <c r="AE33" s="194">
        <f t="shared" si="19"/>
        <v>1204.1276502548928</v>
      </c>
      <c r="AF33" s="232">
        <f>AD33*AF35/AD35</f>
        <v>514.64085873907754</v>
      </c>
      <c r="AG33" s="232">
        <f>AF33*AG35/AF35</f>
        <v>527.83677819392562</v>
      </c>
      <c r="AH33" s="194">
        <f t="shared" si="20"/>
        <v>1042.4776369330032</v>
      </c>
      <c r="AI33" s="232">
        <f>AG33*AI35/AG35</f>
        <v>524.5377983302136</v>
      </c>
      <c r="AJ33" s="232">
        <f>AI33*AJ35/AI35</f>
        <v>649.89903315127094</v>
      </c>
      <c r="AK33" s="194">
        <f t="shared" si="21"/>
        <v>1174.4368314814847</v>
      </c>
      <c r="AL33" s="232">
        <f>AJ33*AL35/AJ35</f>
        <v>619.27355490997195</v>
      </c>
      <c r="AM33" s="232">
        <f>AL33*AM35/AL35</f>
        <v>705.02556253421892</v>
      </c>
      <c r="AN33" s="194">
        <f t="shared" si="22"/>
        <v>1324.2991174441909</v>
      </c>
      <c r="AO33" s="232">
        <f>AM33*AO35/AM35</f>
        <v>681.66654556294202</v>
      </c>
      <c r="AP33" s="232">
        <f>AO33*AP35/AO35</f>
        <v>783.13251995931523</v>
      </c>
      <c r="AQ33" s="194">
        <f t="shared" si="23"/>
        <v>1464.7990655222573</v>
      </c>
      <c r="AR33" s="232">
        <f>AP33*AR35/AP35</f>
        <v>759.93830960083551</v>
      </c>
      <c r="AS33" s="232">
        <f>AR33*AS35/AR35</f>
        <v>865.01347472507143</v>
      </c>
      <c r="AT33" s="194">
        <f t="shared" si="24"/>
        <v>1624.9517843259068</v>
      </c>
      <c r="AU33" s="232">
        <f>AS33*AU35/AS35</f>
        <v>842.10137744998099</v>
      </c>
      <c r="AV33" s="232">
        <f>AU33*AV35/AU35</f>
        <v>950.99630408775454</v>
      </c>
      <c r="AW33" s="194">
        <f t="shared" si="25"/>
        <v>1793.0976815377355</v>
      </c>
      <c r="AX33" s="232">
        <f>AV33*AX35/AV35</f>
        <v>928.49387891856588</v>
      </c>
      <c r="AY33" s="232">
        <f>AX33*AY35/AX35</f>
        <v>1041.4324096888192</v>
      </c>
      <c r="AZ33" s="194">
        <f t="shared" si="26"/>
        <v>1969.9262886073852</v>
      </c>
    </row>
    <row r="34" spans="1:54" hidden="1" outlineLevel="1">
      <c r="A34" s="180"/>
      <c r="B34" s="175" t="s">
        <v>1319</v>
      </c>
      <c r="E34" s="206">
        <v>-259</v>
      </c>
      <c r="F34" s="206">
        <v>-490</v>
      </c>
      <c r="G34" s="184">
        <f t="shared" si="13"/>
        <v>-749</v>
      </c>
      <c r="H34" s="206">
        <v>-665</v>
      </c>
      <c r="I34" s="206">
        <v>-329</v>
      </c>
      <c r="J34" s="184">
        <f t="shared" si="14"/>
        <v>-994</v>
      </c>
      <c r="K34" s="206">
        <v>845</v>
      </c>
      <c r="L34" s="206">
        <v>582</v>
      </c>
      <c r="M34" s="184">
        <f t="shared" si="27"/>
        <v>1427</v>
      </c>
      <c r="N34" s="206">
        <v>1309</v>
      </c>
      <c r="O34" s="206">
        <v>-1321</v>
      </c>
      <c r="P34" s="184">
        <f t="shared" si="15"/>
        <v>-12</v>
      </c>
      <c r="Q34" s="206">
        <v>-333</v>
      </c>
      <c r="R34" s="231">
        <v>-12</v>
      </c>
      <c r="S34" s="184">
        <f t="shared" si="28"/>
        <v>-345</v>
      </c>
      <c r="T34" s="231">
        <v>-524</v>
      </c>
      <c r="U34" s="236">
        <v>657</v>
      </c>
      <c r="V34" s="184">
        <f t="shared" si="16"/>
        <v>133</v>
      </c>
      <c r="W34" s="206">
        <f>-878</f>
        <v>-878</v>
      </c>
      <c r="X34" s="206">
        <v>-386</v>
      </c>
      <c r="Y34" s="184">
        <f t="shared" si="17"/>
        <v>-1264</v>
      </c>
      <c r="Z34" s="231">
        <f>Z35-Z33</f>
        <v>-451.69540501540274</v>
      </c>
      <c r="AA34" s="231">
        <f>AA35-AA33</f>
        <v>-314.82527122992315</v>
      </c>
      <c r="AB34" s="184">
        <f t="shared" si="18"/>
        <v>-766.52067624532583</v>
      </c>
      <c r="AC34" s="231">
        <f>AC35-AC33</f>
        <v>-400.02249628589414</v>
      </c>
      <c r="AD34" s="231">
        <f>AD35-AD33</f>
        <v>-439.10515396899871</v>
      </c>
      <c r="AE34" s="184">
        <f t="shared" si="19"/>
        <v>-839.12765025489284</v>
      </c>
      <c r="AF34" s="231">
        <f>AF35-AF33</f>
        <v>-358.64085873907754</v>
      </c>
      <c r="AG34" s="231">
        <f>AG35-AG33</f>
        <v>-367.83677819392562</v>
      </c>
      <c r="AH34" s="184">
        <f t="shared" si="20"/>
        <v>-726.47763693300317</v>
      </c>
      <c r="AI34" s="231">
        <f>AI35-AI33</f>
        <v>-365.5377983302136</v>
      </c>
      <c r="AJ34" s="231">
        <f>AJ35-AJ33</f>
        <v>-452.89903315127094</v>
      </c>
      <c r="AK34" s="184">
        <f t="shared" si="21"/>
        <v>-818.43683148148455</v>
      </c>
      <c r="AL34" s="231">
        <f>AL35-AL33</f>
        <v>-431.55687263439086</v>
      </c>
      <c r="AM34" s="231">
        <f>AM35-AM33</f>
        <v>-491.31538797713051</v>
      </c>
      <c r="AN34" s="184">
        <f t="shared" si="22"/>
        <v>-922.87226061152137</v>
      </c>
      <c r="AO34" s="231">
        <f>AO35-AO33</f>
        <v>-475.03704986304223</v>
      </c>
      <c r="AP34" s="231">
        <f>AP35-AP33</f>
        <v>-545.74625138169222</v>
      </c>
      <c r="AQ34" s="184">
        <f t="shared" si="23"/>
        <v>-1020.7833012447345</v>
      </c>
      <c r="AR34" s="231">
        <f>AR35-AR33</f>
        <v>-529.58276303931518</v>
      </c>
      <c r="AS34" s="231">
        <f>AS35-AS33</f>
        <v>-602.80712292522981</v>
      </c>
      <c r="AT34" s="184">
        <f t="shared" si="24"/>
        <v>-1132.3898859645451</v>
      </c>
      <c r="AU34" s="231">
        <f>AU35-AU33</f>
        <v>-586.84023241757609</v>
      </c>
      <c r="AV34" s="231">
        <f>AV35-AV33</f>
        <v>-662.72649239581938</v>
      </c>
      <c r="AW34" s="184">
        <f t="shared" si="25"/>
        <v>-1249.5667248133955</v>
      </c>
      <c r="AX34" s="231">
        <f>AX35-AX33</f>
        <v>-647.0450925431868</v>
      </c>
      <c r="AY34" s="231">
        <f>AY35-AY33</f>
        <v>-725.7492431607908</v>
      </c>
      <c r="AZ34" s="184">
        <f t="shared" si="26"/>
        <v>-1372.7943357039776</v>
      </c>
    </row>
    <row r="35" spans="1:54" s="181" customFormat="1" hidden="1" outlineLevel="1">
      <c r="A35" s="183"/>
      <c r="B35" s="181" t="s">
        <v>2311</v>
      </c>
      <c r="E35" s="193">
        <f>E33+E34</f>
        <v>174</v>
      </c>
      <c r="F35" s="193">
        <f>F33+F34</f>
        <v>190</v>
      </c>
      <c r="G35" s="194">
        <f t="shared" si="13"/>
        <v>364</v>
      </c>
      <c r="H35" s="193">
        <f>H33+H34</f>
        <v>204</v>
      </c>
      <c r="I35" s="193">
        <f>I33+I34</f>
        <v>237</v>
      </c>
      <c r="J35" s="194">
        <f t="shared" si="14"/>
        <v>441</v>
      </c>
      <c r="K35" s="193">
        <f>K33+K34</f>
        <v>211</v>
      </c>
      <c r="L35" s="193">
        <f>L33+L34</f>
        <v>183</v>
      </c>
      <c r="M35" s="194">
        <f t="shared" si="27"/>
        <v>394</v>
      </c>
      <c r="N35" s="193">
        <f>N33+N34</f>
        <v>132</v>
      </c>
      <c r="O35" s="193">
        <f>O10</f>
        <v>205</v>
      </c>
      <c r="P35" s="194">
        <f t="shared" si="15"/>
        <v>337</v>
      </c>
      <c r="Q35" s="193">
        <f>Q10</f>
        <v>228.07021900000001</v>
      </c>
      <c r="R35" s="193">
        <f>R10</f>
        <v>245.793316</v>
      </c>
      <c r="S35" s="194">
        <f t="shared" si="28"/>
        <v>473.86353500000001</v>
      </c>
      <c r="T35" s="193">
        <f>T10</f>
        <v>227.24796799999996</v>
      </c>
      <c r="U35" s="237">
        <f>U10</f>
        <v>165.75627375000002</v>
      </c>
      <c r="V35" s="194">
        <f t="shared" si="16"/>
        <v>393.00424175000001</v>
      </c>
      <c r="W35" s="193">
        <f>W10</f>
        <v>224.076571</v>
      </c>
      <c r="X35" s="193">
        <f>X10</f>
        <v>190.90269699999999</v>
      </c>
      <c r="Y35" s="194">
        <f t="shared" si="17"/>
        <v>414.97926799999999</v>
      </c>
      <c r="Z35" s="193">
        <f>Z10</f>
        <v>172.397493</v>
      </c>
      <c r="AA35" s="193">
        <f>AA10</f>
        <v>120.15860000000001</v>
      </c>
      <c r="AB35" s="194">
        <f t="shared" si="18"/>
        <v>292.55609300000003</v>
      </c>
      <c r="AC35" s="193">
        <f>AC10</f>
        <v>174</v>
      </c>
      <c r="AD35" s="193">
        <f>AD10</f>
        <v>191</v>
      </c>
      <c r="AE35" s="194">
        <f t="shared" si="19"/>
        <v>365</v>
      </c>
      <c r="AF35" s="193">
        <f>AF10</f>
        <v>156</v>
      </c>
      <c r="AG35" s="193">
        <f>AG10</f>
        <v>160</v>
      </c>
      <c r="AH35" s="194">
        <f t="shared" si="20"/>
        <v>316</v>
      </c>
      <c r="AI35" s="193">
        <f>AI10</f>
        <v>159</v>
      </c>
      <c r="AJ35" s="193">
        <f>AJ10</f>
        <v>197</v>
      </c>
      <c r="AK35" s="194">
        <f t="shared" si="21"/>
        <v>356</v>
      </c>
      <c r="AL35" s="193">
        <f>AL10</f>
        <v>187.71668227558109</v>
      </c>
      <c r="AM35" s="193">
        <f>AM10</f>
        <v>213.71017455708844</v>
      </c>
      <c r="AN35" s="194">
        <f t="shared" si="22"/>
        <v>401.4268568326695</v>
      </c>
      <c r="AO35" s="193">
        <f>AO10</f>
        <v>206.62949569989979</v>
      </c>
      <c r="AP35" s="193">
        <f>AP10</f>
        <v>237.38626857762299</v>
      </c>
      <c r="AQ35" s="194">
        <f t="shared" si="23"/>
        <v>444.01576427752275</v>
      </c>
      <c r="AR35" s="193">
        <f>AR10</f>
        <v>230.3555465615203</v>
      </c>
      <c r="AS35" s="193">
        <f>AS10</f>
        <v>262.20635179984163</v>
      </c>
      <c r="AT35" s="194">
        <f t="shared" si="24"/>
        <v>492.56189836136195</v>
      </c>
      <c r="AU35" s="193">
        <f>AU10</f>
        <v>255.26114503240484</v>
      </c>
      <c r="AV35" s="193">
        <f>AV10</f>
        <v>288.26981169193522</v>
      </c>
      <c r="AW35" s="194">
        <f t="shared" si="25"/>
        <v>543.53095672434006</v>
      </c>
      <c r="AX35" s="193">
        <f>AX10</f>
        <v>281.44878637537909</v>
      </c>
      <c r="AY35" s="193">
        <f>AY10</f>
        <v>315.68316652802844</v>
      </c>
      <c r="AZ35" s="194">
        <f t="shared" si="26"/>
        <v>597.13195290340752</v>
      </c>
    </row>
    <row r="36" spans="1:54" hidden="1" outlineLevel="1">
      <c r="E36" s="207"/>
      <c r="F36" s="206"/>
      <c r="G36" s="184"/>
      <c r="H36" s="207"/>
      <c r="I36" s="206"/>
      <c r="J36" s="184"/>
      <c r="K36" s="206"/>
      <c r="L36" s="206"/>
      <c r="M36" s="184"/>
      <c r="N36" s="206"/>
      <c r="O36" s="206"/>
      <c r="P36" s="184"/>
      <c r="Q36" s="230"/>
      <c r="R36" s="230"/>
      <c r="S36" s="184"/>
      <c r="T36" s="206"/>
      <c r="U36" s="206"/>
      <c r="V36" s="184"/>
      <c r="W36" s="230"/>
      <c r="X36" s="206"/>
      <c r="Y36" s="184"/>
      <c r="Z36" s="206"/>
      <c r="AA36" s="206"/>
      <c r="AB36" s="184"/>
      <c r="AC36" s="206"/>
      <c r="AD36" s="206"/>
      <c r="AE36" s="184"/>
      <c r="AF36" s="206"/>
      <c r="AG36" s="206"/>
      <c r="AH36" s="184"/>
      <c r="AI36" s="206"/>
      <c r="AJ36" s="206"/>
      <c r="AK36" s="184"/>
      <c r="AL36" s="206"/>
      <c r="AM36" s="206"/>
      <c r="AN36" s="184"/>
      <c r="AO36" s="206"/>
      <c r="AP36" s="206"/>
      <c r="AQ36" s="184"/>
      <c r="AR36" s="206"/>
      <c r="AS36" s="206"/>
      <c r="AT36" s="184"/>
      <c r="AU36" s="206"/>
      <c r="AV36" s="206"/>
      <c r="AW36" s="184"/>
      <c r="AX36" s="206"/>
      <c r="AY36" s="206"/>
      <c r="AZ36" s="184"/>
    </row>
    <row r="37" spans="1:54" collapsed="1">
      <c r="A37" s="178"/>
      <c r="B37" s="179" t="s">
        <v>1634</v>
      </c>
      <c r="C37" s="178"/>
      <c r="D37" s="178"/>
      <c r="E37" s="238"/>
      <c r="F37" s="238"/>
      <c r="G37" s="239"/>
      <c r="H37" s="238"/>
      <c r="I37" s="238"/>
      <c r="J37" s="239"/>
      <c r="K37" s="238"/>
      <c r="L37" s="238"/>
      <c r="M37" s="239"/>
      <c r="N37" s="238"/>
      <c r="O37" s="238"/>
      <c r="P37" s="210"/>
      <c r="Q37" s="238"/>
      <c r="R37" s="238"/>
      <c r="S37" s="239"/>
      <c r="T37" s="238"/>
      <c r="U37" s="238"/>
      <c r="V37" s="239"/>
      <c r="W37" s="238"/>
      <c r="X37" s="238"/>
      <c r="Y37" s="239"/>
      <c r="Z37" s="238"/>
      <c r="AA37" s="238"/>
      <c r="AB37" s="239"/>
      <c r="AC37" s="238"/>
      <c r="AD37" s="238"/>
      <c r="AE37" s="239"/>
      <c r="AF37" s="238"/>
      <c r="AG37" s="238"/>
      <c r="AH37" s="239"/>
      <c r="AI37" s="238"/>
      <c r="AJ37" s="238"/>
      <c r="AK37" s="239"/>
      <c r="AL37" s="238"/>
      <c r="AM37" s="238"/>
      <c r="AN37" s="239"/>
      <c r="AO37" s="238"/>
      <c r="AP37" s="238"/>
      <c r="AQ37" s="239"/>
      <c r="AR37" s="238"/>
      <c r="AS37" s="238"/>
      <c r="AT37" s="239"/>
      <c r="AU37" s="238"/>
      <c r="AV37" s="238"/>
      <c r="AW37" s="239"/>
      <c r="AX37" s="238"/>
      <c r="AY37" s="238"/>
      <c r="AZ37" s="239"/>
    </row>
    <row r="38" spans="1:54">
      <c r="A38" s="180"/>
      <c r="B38" s="175" t="s">
        <v>2302</v>
      </c>
      <c r="E38" s="206">
        <v>547</v>
      </c>
      <c r="F38" s="206">
        <v>574</v>
      </c>
      <c r="G38" s="184">
        <f>E38+F38</f>
        <v>1121</v>
      </c>
      <c r="H38" s="206">
        <v>621</v>
      </c>
      <c r="I38" s="206">
        <v>694</v>
      </c>
      <c r="J38" s="184">
        <f>H38+I38</f>
        <v>1315</v>
      </c>
      <c r="K38" s="206">
        <v>631</v>
      </c>
      <c r="L38" s="206">
        <v>590</v>
      </c>
      <c r="M38" s="184">
        <f>K38+L38</f>
        <v>1221</v>
      </c>
      <c r="N38" s="206">
        <v>497</v>
      </c>
      <c r="O38" s="206">
        <v>509</v>
      </c>
      <c r="P38" s="184">
        <f>N38+O38</f>
        <v>1006</v>
      </c>
      <c r="Q38" s="206">
        <v>750</v>
      </c>
      <c r="R38" s="206">
        <v>806</v>
      </c>
      <c r="S38" s="184">
        <f>Q38+R38</f>
        <v>1556</v>
      </c>
      <c r="T38" s="206">
        <v>772</v>
      </c>
      <c r="U38" s="206">
        <v>771</v>
      </c>
      <c r="V38" s="184">
        <f>T38+U38</f>
        <v>1543</v>
      </c>
      <c r="W38" s="206">
        <v>784</v>
      </c>
      <c r="X38" s="206">
        <v>805</v>
      </c>
      <c r="Y38" s="184">
        <f>W38+X38</f>
        <v>1589</v>
      </c>
      <c r="Z38" s="206">
        <v>776</v>
      </c>
      <c r="AA38" s="206">
        <v>837</v>
      </c>
      <c r="AB38" s="184">
        <f>Z38+AA38</f>
        <v>1613</v>
      </c>
      <c r="AC38" s="401">
        <f>AB38/AB40*AC40</f>
        <v>864.19055800000001</v>
      </c>
      <c r="AD38" s="401">
        <f>AC38/AC40*AD40</f>
        <v>853.88973517460317</v>
      </c>
      <c r="AE38" s="184">
        <f>AC38+AD38</f>
        <v>1718.0802931746032</v>
      </c>
      <c r="AF38" s="401">
        <f>AE38/AE40*AF40</f>
        <v>943.22095238095233</v>
      </c>
      <c r="AG38" s="401">
        <f>AF38/AF40*AG40</f>
        <v>912.49714285714276</v>
      </c>
      <c r="AH38" s="184">
        <f>AF38+AG38</f>
        <v>1855.718095238095</v>
      </c>
      <c r="AI38" s="401">
        <f>AH38/AH40*AI40</f>
        <v>918.64190476190458</v>
      </c>
      <c r="AJ38" s="401">
        <f>AI38/AI40*AJ40</f>
        <v>975.4809523809522</v>
      </c>
      <c r="AK38" s="184">
        <f>AI38+AJ38</f>
        <v>1894.1228571428569</v>
      </c>
      <c r="AL38" s="206">
        <f>AL$46*AL50/2</f>
        <v>993.28586618455802</v>
      </c>
      <c r="AM38" s="206">
        <f>AM$46*AM50/2</f>
        <v>1019.236616575191</v>
      </c>
      <c r="AN38" s="184">
        <f>AL38+AM38</f>
        <v>2012.522482759749</v>
      </c>
      <c r="AO38" s="206">
        <f>AO$46*AO50/2</f>
        <v>1046.8543944364299</v>
      </c>
      <c r="AP38" s="206">
        <f>AP$46*AP50/2</f>
        <v>1078.7719203136141</v>
      </c>
      <c r="AQ38" s="184">
        <f>AO38+AP38</f>
        <v>2125.626314750044</v>
      </c>
      <c r="AR38" s="206">
        <f>AR$46*AR50/2</f>
        <v>1107.1574146332314</v>
      </c>
      <c r="AS38" s="206">
        <f>AS$46*AS50/2</f>
        <v>1140.0690831249747</v>
      </c>
      <c r="AT38" s="184">
        <f>AR38+AS38</f>
        <v>2247.2264977582063</v>
      </c>
      <c r="AU38" s="206">
        <f>AU$46*AU50/2</f>
        <v>1169.2606278400076</v>
      </c>
      <c r="AV38" s="206">
        <f>AV$46*AV50/2</f>
        <v>1203.2117581125613</v>
      </c>
      <c r="AW38" s="184">
        <f>AU38+AV38</f>
        <v>2372.4723859525689</v>
      </c>
      <c r="AX38" s="206">
        <f>AX$46*AX50/2</f>
        <v>1233.2487497959139</v>
      </c>
      <c r="AY38" s="206">
        <f>AY$46*AY50/2</f>
        <v>1268.286026921875</v>
      </c>
      <c r="AZ38" s="184">
        <f>AX38+AY38</f>
        <v>2501.5347767177891</v>
      </c>
    </row>
    <row r="39" spans="1:54">
      <c r="A39" s="180"/>
      <c r="B39" s="175" t="s">
        <v>2303</v>
      </c>
      <c r="E39" s="206">
        <v>-196</v>
      </c>
      <c r="F39" s="206">
        <v>-193</v>
      </c>
      <c r="G39" s="184">
        <f>E39+F39</f>
        <v>-389</v>
      </c>
      <c r="H39" s="206">
        <v>-208</v>
      </c>
      <c r="I39" s="206">
        <v>-233</v>
      </c>
      <c r="J39" s="184">
        <f>H39+I39</f>
        <v>-441</v>
      </c>
      <c r="K39" s="206">
        <v>-205</v>
      </c>
      <c r="L39" s="206">
        <v>-205</v>
      </c>
      <c r="M39" s="184">
        <f>K39+L39</f>
        <v>-410</v>
      </c>
      <c r="N39" s="206">
        <v>-162</v>
      </c>
      <c r="O39" s="206">
        <v>-165</v>
      </c>
      <c r="P39" s="184">
        <f>N39+O39</f>
        <v>-327</v>
      </c>
      <c r="Q39" s="206">
        <v>-256</v>
      </c>
      <c r="R39" s="206">
        <v>-292</v>
      </c>
      <c r="S39" s="184">
        <f>Q39+R39</f>
        <v>-548</v>
      </c>
      <c r="T39" s="206">
        <v>-271</v>
      </c>
      <c r="U39" s="206">
        <v>-273</v>
      </c>
      <c r="V39" s="184">
        <f>T39+U39</f>
        <v>-544</v>
      </c>
      <c r="W39" s="206">
        <v>-274</v>
      </c>
      <c r="X39" s="206">
        <v>-281</v>
      </c>
      <c r="Y39" s="184">
        <f>W39+X39</f>
        <v>-555</v>
      </c>
      <c r="Z39" s="206">
        <v>-271</v>
      </c>
      <c r="AA39" s="206">
        <v>-292</v>
      </c>
      <c r="AB39" s="184">
        <f>Z39+AA39</f>
        <v>-563</v>
      </c>
      <c r="AC39" s="206">
        <f>AC40-AC38</f>
        <v>-301.636258</v>
      </c>
      <c r="AD39" s="206">
        <f>AD40-AD38</f>
        <v>-298.04086850793647</v>
      </c>
      <c r="AE39" s="184">
        <f>AC39+AD39</f>
        <v>-599.67712650793646</v>
      </c>
      <c r="AF39" s="206">
        <f>AF40-AF38</f>
        <v>-329.22095238095233</v>
      </c>
      <c r="AG39" s="206">
        <f>AG40-AG38</f>
        <v>-318.49714285714276</v>
      </c>
      <c r="AH39" s="184">
        <f>AF39+AG39</f>
        <v>-647.71809523809509</v>
      </c>
      <c r="AI39" s="206">
        <f>AI40-AI38</f>
        <v>-320.64190476190458</v>
      </c>
      <c r="AJ39" s="206">
        <f>AJ40-AJ38</f>
        <v>-340.4809523809522</v>
      </c>
      <c r="AK39" s="184">
        <f>AI39+AJ39</f>
        <v>-661.12285714285679</v>
      </c>
      <c r="AL39" s="206">
        <f>AL$46*AL51/2</f>
        <v>-346.95357784430945</v>
      </c>
      <c r="AM39" s="206">
        <f>AM$46*AM51/2</f>
        <v>-356.20846298316849</v>
      </c>
      <c r="AN39" s="184">
        <f>AL39+AM39</f>
        <v>-703.16204082747799</v>
      </c>
      <c r="AO39" s="206">
        <f>AO$46*AO51/2</f>
        <v>-365.23551189595565</v>
      </c>
      <c r="AP39" s="206">
        <f>AP$46*AP51/2</f>
        <v>-374.50646385132956</v>
      </c>
      <c r="AQ39" s="184">
        <f>AO39+AP39</f>
        <v>-739.74197574728521</v>
      </c>
      <c r="AR39" s="206">
        <f>AR$46*AR51/2</f>
        <v>-383.53114089565349</v>
      </c>
      <c r="AS39" s="206">
        <f>AS$46*AS51/2</f>
        <v>-392.79273631935035</v>
      </c>
      <c r="AT39" s="184">
        <f>AR39+AS39</f>
        <v>-776.3238772150039</v>
      </c>
      <c r="AU39" s="206">
        <f>AU$46*AU51/2</f>
        <v>-401.7879708690698</v>
      </c>
      <c r="AV39" s="206">
        <f>AV$46*AV51/2</f>
        <v>-411.0113717193808</v>
      </c>
      <c r="AW39" s="184">
        <f>AU39+AV39</f>
        <v>-812.7993425884506</v>
      </c>
      <c r="AX39" s="206">
        <f>AX$46*AX51/2</f>
        <v>-419.94653594360375</v>
      </c>
      <c r="AY39" s="206">
        <f>AY$46*AY51/2</f>
        <v>-429.09915102568931</v>
      </c>
      <c r="AZ39" s="184">
        <f>AX39+AY39</f>
        <v>-849.045686969293</v>
      </c>
    </row>
    <row r="40" spans="1:54" s="181" customFormat="1">
      <c r="A40" s="183"/>
      <c r="B40" s="181" t="s">
        <v>2304</v>
      </c>
      <c r="E40" s="193">
        <f t="shared" ref="E40:AK40" si="29">E38+E39</f>
        <v>351</v>
      </c>
      <c r="F40" s="193">
        <f t="shared" si="29"/>
        <v>381</v>
      </c>
      <c r="G40" s="194">
        <f t="shared" si="29"/>
        <v>732</v>
      </c>
      <c r="H40" s="193">
        <f t="shared" si="29"/>
        <v>413</v>
      </c>
      <c r="I40" s="193">
        <f t="shared" si="29"/>
        <v>461</v>
      </c>
      <c r="J40" s="194">
        <f>J38+J39</f>
        <v>874</v>
      </c>
      <c r="K40" s="193">
        <f t="shared" si="29"/>
        <v>426</v>
      </c>
      <c r="L40" s="193">
        <f>L38+L39</f>
        <v>385</v>
      </c>
      <c r="M40" s="194">
        <f t="shared" si="29"/>
        <v>811</v>
      </c>
      <c r="N40" s="193">
        <f t="shared" si="29"/>
        <v>335</v>
      </c>
      <c r="O40" s="193">
        <f t="shared" si="29"/>
        <v>344</v>
      </c>
      <c r="P40" s="194">
        <f t="shared" si="29"/>
        <v>679</v>
      </c>
      <c r="Q40" s="193">
        <f>Q38+Q39</f>
        <v>494</v>
      </c>
      <c r="R40" s="193">
        <f t="shared" si="29"/>
        <v>514</v>
      </c>
      <c r="S40" s="194">
        <f t="shared" si="29"/>
        <v>1008</v>
      </c>
      <c r="T40" s="193">
        <f t="shared" si="29"/>
        <v>501</v>
      </c>
      <c r="U40" s="193">
        <f>U38+U39</f>
        <v>498</v>
      </c>
      <c r="V40" s="194">
        <f t="shared" si="29"/>
        <v>999</v>
      </c>
      <c r="W40" s="193">
        <f t="shared" si="29"/>
        <v>510</v>
      </c>
      <c r="X40" s="193">
        <f t="shared" si="29"/>
        <v>524</v>
      </c>
      <c r="Y40" s="194">
        <f t="shared" si="29"/>
        <v>1034</v>
      </c>
      <c r="Z40" s="193">
        <f t="shared" si="29"/>
        <v>505</v>
      </c>
      <c r="AA40" s="193">
        <f t="shared" si="29"/>
        <v>545</v>
      </c>
      <c r="AB40" s="194">
        <f t="shared" si="29"/>
        <v>1050</v>
      </c>
      <c r="AC40" s="439">
        <f>AC42-AC41</f>
        <v>562.55430000000001</v>
      </c>
      <c r="AD40" s="439">
        <f>AD42-AD41</f>
        <v>555.84886666666671</v>
      </c>
      <c r="AE40" s="194">
        <f t="shared" si="29"/>
        <v>1118.4031666666667</v>
      </c>
      <c r="AF40" s="438">
        <f>584+30</f>
        <v>614</v>
      </c>
      <c r="AG40" s="438">
        <f>552+42</f>
        <v>594</v>
      </c>
      <c r="AH40" s="194">
        <f t="shared" si="29"/>
        <v>1208</v>
      </c>
      <c r="AI40" s="438">
        <f>560+38</f>
        <v>598</v>
      </c>
      <c r="AJ40" s="438">
        <f>595+40</f>
        <v>635</v>
      </c>
      <c r="AK40" s="194">
        <f t="shared" si="29"/>
        <v>1233</v>
      </c>
      <c r="AL40" s="193">
        <f t="shared" ref="AL40:AZ40" si="30">AL38+AL39</f>
        <v>646.33228834024862</v>
      </c>
      <c r="AM40" s="193">
        <f t="shared" si="30"/>
        <v>663.02815359202248</v>
      </c>
      <c r="AN40" s="194">
        <f t="shared" si="30"/>
        <v>1309.360441932271</v>
      </c>
      <c r="AO40" s="193">
        <f t="shared" si="30"/>
        <v>681.61888254047426</v>
      </c>
      <c r="AP40" s="193">
        <f t="shared" si="30"/>
        <v>704.26545646228465</v>
      </c>
      <c r="AQ40" s="194">
        <f t="shared" si="30"/>
        <v>1385.8843390027587</v>
      </c>
      <c r="AR40" s="193">
        <f t="shared" si="30"/>
        <v>723.62627373757789</v>
      </c>
      <c r="AS40" s="193">
        <f t="shared" si="30"/>
        <v>747.27634680562437</v>
      </c>
      <c r="AT40" s="194">
        <f t="shared" si="30"/>
        <v>1470.9026205432024</v>
      </c>
      <c r="AU40" s="193">
        <f t="shared" si="30"/>
        <v>767.47265697093781</v>
      </c>
      <c r="AV40" s="193">
        <f t="shared" si="30"/>
        <v>792.20038639318045</v>
      </c>
      <c r="AW40" s="194">
        <f t="shared" si="30"/>
        <v>1559.6730433641183</v>
      </c>
      <c r="AX40" s="193">
        <f t="shared" si="30"/>
        <v>813.30221385231016</v>
      </c>
      <c r="AY40" s="193">
        <f t="shared" si="30"/>
        <v>839.18687589618571</v>
      </c>
      <c r="AZ40" s="194">
        <f t="shared" si="30"/>
        <v>1652.4890897484961</v>
      </c>
    </row>
    <row r="41" spans="1:54">
      <c r="A41" s="180"/>
      <c r="B41" s="175" t="s">
        <v>637</v>
      </c>
      <c r="E41" s="206">
        <v>-245</v>
      </c>
      <c r="F41" s="206">
        <v>-275</v>
      </c>
      <c r="G41" s="184">
        <f>E41+F41</f>
        <v>-520</v>
      </c>
      <c r="H41" s="206">
        <v>-265</v>
      </c>
      <c r="I41" s="206">
        <v>-282</v>
      </c>
      <c r="J41" s="184">
        <f>H41+I41</f>
        <v>-547</v>
      </c>
      <c r="K41" s="196">
        <v>-252</v>
      </c>
      <c r="L41" s="206">
        <v>-259</v>
      </c>
      <c r="M41" s="184">
        <f>K41+L41</f>
        <v>-511</v>
      </c>
      <c r="N41" s="206">
        <v>-239</v>
      </c>
      <c r="O41" s="206">
        <v>-241</v>
      </c>
      <c r="P41" s="184">
        <f>N41+O41</f>
        <v>-480</v>
      </c>
      <c r="Q41" s="240">
        <f>-0.0069*Q46/2</f>
        <v>-367.90109999999999</v>
      </c>
      <c r="R41" s="240">
        <f>-0.0068*R46/2</f>
        <v>-381.84039999999999</v>
      </c>
      <c r="S41" s="184">
        <f>Q41+R41</f>
        <v>-749.74149999999997</v>
      </c>
      <c r="T41" s="240">
        <f>-0.0064*T46/2</f>
        <v>-376.05920000000003</v>
      </c>
      <c r="U41" s="240">
        <f>-0.0065*U46/2</f>
        <v>-372.52637499999997</v>
      </c>
      <c r="V41" s="184">
        <f>T41+U41</f>
        <v>-748.58557500000006</v>
      </c>
      <c r="W41" s="240">
        <f>-0.0062*W46/2</f>
        <v>-370.84989999999999</v>
      </c>
      <c r="X41" s="240">
        <f>-0.0061*X46/2</f>
        <v>-372.17930000000001</v>
      </c>
      <c r="Y41" s="184">
        <f>W41+X41</f>
        <v>-743.02919999999995</v>
      </c>
      <c r="Z41" s="240">
        <f>-0.0052*Z46/2</f>
        <v>-339.83170000000001</v>
      </c>
      <c r="AA41" s="381">
        <f>-0.0052*AA46/2</f>
        <v>-366.34</v>
      </c>
      <c r="AB41" s="184">
        <f>Z41+AA41</f>
        <v>-706.17169999999999</v>
      </c>
      <c r="AC41" s="440">
        <f>-0.49%*AC46/2</f>
        <v>-366.55430000000001</v>
      </c>
      <c r="AD41" s="440">
        <f>-0.44%*AD46/2</f>
        <v>-345.18220000000002</v>
      </c>
      <c r="AE41" s="184">
        <f>AC41+AD41</f>
        <v>-711.73649999999998</v>
      </c>
      <c r="AF41" s="206">
        <f>AF42-AF40</f>
        <v>-404</v>
      </c>
      <c r="AG41" s="206">
        <f>AG42-AG40</f>
        <v>-382</v>
      </c>
      <c r="AH41" s="184">
        <f>AF41+AG41</f>
        <v>-786</v>
      </c>
      <c r="AI41" s="206">
        <f>AI42-AI40</f>
        <v>-388</v>
      </c>
      <c r="AJ41" s="206">
        <f>AJ42-AJ40</f>
        <v>-370</v>
      </c>
      <c r="AK41" s="184">
        <f>AI41+AJ41</f>
        <v>-758</v>
      </c>
      <c r="AL41" s="206">
        <f>AI41*(1+AL56)</f>
        <v>-393.81999999999994</v>
      </c>
      <c r="AM41" s="206">
        <f>AJ41*(1+AM56)</f>
        <v>-375.54999999999995</v>
      </c>
      <c r="AN41" s="184">
        <f>AL41+AM41</f>
        <v>-769.36999999999989</v>
      </c>
      <c r="AO41" s="206">
        <f>AL41*(1+AO56)</f>
        <v>-403.66549999999989</v>
      </c>
      <c r="AP41" s="206">
        <f>AM41*(1+AP56)</f>
        <v>-384.93874999999991</v>
      </c>
      <c r="AQ41" s="184">
        <f>AO41+AP41</f>
        <v>-788.60424999999987</v>
      </c>
      <c r="AR41" s="206">
        <f>AO41*(1+AR56)</f>
        <v>-413.75713749999983</v>
      </c>
      <c r="AS41" s="206">
        <f>AP41*(1+AS56)</f>
        <v>-394.56221874999989</v>
      </c>
      <c r="AT41" s="184">
        <f>AR41+AS41</f>
        <v>-808.31935624999971</v>
      </c>
      <c r="AU41" s="206">
        <f>AR41*(1+AU56)</f>
        <v>-424.10106593749981</v>
      </c>
      <c r="AV41" s="206">
        <f>AS41*(1+AV56)</f>
        <v>-404.42627421874982</v>
      </c>
      <c r="AW41" s="184">
        <f>AU41+AV41</f>
        <v>-828.52734015624969</v>
      </c>
      <c r="AX41" s="206">
        <f>AU41*(1+AX56)</f>
        <v>-434.70359258593726</v>
      </c>
      <c r="AY41" s="206">
        <f>AV41*(1+AY56)</f>
        <v>-414.53693107421856</v>
      </c>
      <c r="AZ41" s="184">
        <f>AX41+AY41</f>
        <v>-849.24052366015576</v>
      </c>
    </row>
    <row r="42" spans="1:54" s="181" customFormat="1">
      <c r="A42" s="183"/>
      <c r="B42" s="181" t="s">
        <v>2305</v>
      </c>
      <c r="E42" s="193">
        <f t="shared" ref="E42:AK42" si="31">E40+E41</f>
        <v>106</v>
      </c>
      <c r="F42" s="193">
        <f t="shared" si="31"/>
        <v>106</v>
      </c>
      <c r="G42" s="194">
        <f t="shared" si="31"/>
        <v>212</v>
      </c>
      <c r="H42" s="193">
        <f t="shared" si="31"/>
        <v>148</v>
      </c>
      <c r="I42" s="193">
        <f t="shared" si="31"/>
        <v>179</v>
      </c>
      <c r="J42" s="194">
        <f t="shared" si="31"/>
        <v>327</v>
      </c>
      <c r="K42" s="193">
        <f t="shared" si="31"/>
        <v>174</v>
      </c>
      <c r="L42" s="193">
        <f t="shared" si="31"/>
        <v>126</v>
      </c>
      <c r="M42" s="194">
        <f t="shared" si="31"/>
        <v>300</v>
      </c>
      <c r="N42" s="193">
        <f t="shared" si="31"/>
        <v>96</v>
      </c>
      <c r="O42" s="193">
        <f t="shared" si="31"/>
        <v>103</v>
      </c>
      <c r="P42" s="194">
        <f t="shared" si="31"/>
        <v>199</v>
      </c>
      <c r="Q42" s="193">
        <f>Q40+Q41</f>
        <v>126.09890000000001</v>
      </c>
      <c r="R42" s="193">
        <f>R40+R41</f>
        <v>132.15960000000001</v>
      </c>
      <c r="S42" s="194">
        <f t="shared" si="31"/>
        <v>258.25850000000003</v>
      </c>
      <c r="T42" s="193">
        <f t="shared" si="31"/>
        <v>124.94079999999997</v>
      </c>
      <c r="U42" s="193">
        <f t="shared" si="31"/>
        <v>125.47362500000003</v>
      </c>
      <c r="V42" s="194">
        <f t="shared" si="31"/>
        <v>250.41442499999994</v>
      </c>
      <c r="W42" s="193">
        <f t="shared" si="31"/>
        <v>139.15010000000001</v>
      </c>
      <c r="X42" s="193">
        <f t="shared" si="31"/>
        <v>151.82069999999999</v>
      </c>
      <c r="Y42" s="194">
        <f t="shared" si="31"/>
        <v>290.97080000000005</v>
      </c>
      <c r="Z42" s="193">
        <f t="shared" si="31"/>
        <v>165.16829999999999</v>
      </c>
      <c r="AA42" s="193">
        <f>AA40+AA41</f>
        <v>178.66000000000003</v>
      </c>
      <c r="AB42" s="194">
        <f t="shared" si="31"/>
        <v>343.82830000000001</v>
      </c>
      <c r="AC42" s="193">
        <f>AC44-AC43</f>
        <v>196</v>
      </c>
      <c r="AD42" s="193">
        <f>AD44-AD43</f>
        <v>210.66666666666666</v>
      </c>
      <c r="AE42" s="194">
        <f t="shared" si="31"/>
        <v>406.66666666666674</v>
      </c>
      <c r="AF42" s="193">
        <f>AF44-AF43</f>
        <v>210</v>
      </c>
      <c r="AG42" s="193">
        <f>AG44-AG43</f>
        <v>212</v>
      </c>
      <c r="AH42" s="194">
        <f t="shared" si="31"/>
        <v>422</v>
      </c>
      <c r="AI42" s="193">
        <f>AI44-AI43</f>
        <v>210</v>
      </c>
      <c r="AJ42" s="193">
        <f>AJ44-AJ43</f>
        <v>265</v>
      </c>
      <c r="AK42" s="194">
        <f t="shared" si="31"/>
        <v>475</v>
      </c>
      <c r="AL42" s="193">
        <f t="shared" ref="AL42:AZ42" si="32">AL40+AL41</f>
        <v>252.51228834024869</v>
      </c>
      <c r="AM42" s="193">
        <f t="shared" si="32"/>
        <v>287.47815359202252</v>
      </c>
      <c r="AN42" s="194">
        <f t="shared" si="32"/>
        <v>539.9904419322711</v>
      </c>
      <c r="AO42" s="193">
        <f t="shared" si="32"/>
        <v>277.95338254047437</v>
      </c>
      <c r="AP42" s="193">
        <f t="shared" si="32"/>
        <v>319.32670646228473</v>
      </c>
      <c r="AQ42" s="194">
        <f t="shared" si="32"/>
        <v>597.28008900275881</v>
      </c>
      <c r="AR42" s="193">
        <f t="shared" si="32"/>
        <v>309.86913623757806</v>
      </c>
      <c r="AS42" s="193">
        <f t="shared" si="32"/>
        <v>352.71412805562449</v>
      </c>
      <c r="AT42" s="194">
        <f t="shared" si="32"/>
        <v>662.58326429320266</v>
      </c>
      <c r="AU42" s="193">
        <f t="shared" si="32"/>
        <v>343.37159103343799</v>
      </c>
      <c r="AV42" s="193">
        <f t="shared" si="32"/>
        <v>387.77411217443063</v>
      </c>
      <c r="AW42" s="194">
        <f t="shared" si="32"/>
        <v>731.14570320786856</v>
      </c>
      <c r="AX42" s="193">
        <f t="shared" si="32"/>
        <v>378.5986212663729</v>
      </c>
      <c r="AY42" s="193">
        <f t="shared" si="32"/>
        <v>424.64994482196715</v>
      </c>
      <c r="AZ42" s="194">
        <f t="shared" si="32"/>
        <v>803.24856608834034</v>
      </c>
    </row>
    <row r="43" spans="1:54">
      <c r="A43" s="180"/>
      <c r="B43" s="175" t="s">
        <v>75</v>
      </c>
      <c r="E43" s="206">
        <v>-26</v>
      </c>
      <c r="F43" s="206">
        <v>-18</v>
      </c>
      <c r="G43" s="184">
        <f>E43+F43</f>
        <v>-44</v>
      </c>
      <c r="H43" s="206">
        <v>-41</v>
      </c>
      <c r="I43" s="206">
        <v>-47</v>
      </c>
      <c r="J43" s="184">
        <f>H43+I43</f>
        <v>-88</v>
      </c>
      <c r="K43" s="196">
        <v>-49</v>
      </c>
      <c r="L43" s="206">
        <v>-38</v>
      </c>
      <c r="M43" s="184">
        <f>K43+L43</f>
        <v>-87</v>
      </c>
      <c r="N43" s="206">
        <v>-28</v>
      </c>
      <c r="O43" s="206">
        <v>-37</v>
      </c>
      <c r="P43" s="184">
        <f>N43+O43</f>
        <v>-65</v>
      </c>
      <c r="Q43" s="240">
        <f>Q260-Q236-Q155</f>
        <v>-30.028681000000006</v>
      </c>
      <c r="R43" s="240">
        <f>R260-R236-R155</f>
        <v>-12.366284000000007</v>
      </c>
      <c r="S43" s="184">
        <f>Q43+R43</f>
        <v>-42.394965000000013</v>
      </c>
      <c r="T43" s="240">
        <f>T260-T236-T155</f>
        <v>-34.692831999999996</v>
      </c>
      <c r="U43" s="240">
        <f>U260-U236-U155</f>
        <v>-32.717351250000007</v>
      </c>
      <c r="V43" s="184">
        <f>T43+U43</f>
        <v>-67.410183250000003</v>
      </c>
      <c r="W43" s="240">
        <f>W260-W236-W155</f>
        <v>-38.073529000000008</v>
      </c>
      <c r="X43" s="240">
        <f>X260-X236-X155</f>
        <v>-44.918002999999999</v>
      </c>
      <c r="Y43" s="184">
        <f>W43+X43</f>
        <v>-82.991532000000007</v>
      </c>
      <c r="Z43" s="240">
        <f>Z260-Z236-Z155</f>
        <v>-40.770807000000005</v>
      </c>
      <c r="AA43" s="240">
        <f>AA260-AA236-AA155</f>
        <v>-37.501400000000011</v>
      </c>
      <c r="AB43" s="184">
        <f>Z43+AA43</f>
        <v>-78.272207000000009</v>
      </c>
      <c r="AC43" s="401">
        <f>AC44-AC44/0.75</f>
        <v>-49</v>
      </c>
      <c r="AD43" s="401">
        <f>AD44-AD44/0.75</f>
        <v>-52.666666666666657</v>
      </c>
      <c r="AE43" s="184">
        <f>AC43+AD43</f>
        <v>-101.66666666666666</v>
      </c>
      <c r="AF43" s="401">
        <f>(-54/156)*AF44</f>
        <v>-54</v>
      </c>
      <c r="AG43" s="401">
        <f>(-52/160)*AG44</f>
        <v>-52</v>
      </c>
      <c r="AH43" s="184">
        <f>AF43+AG43</f>
        <v>-106</v>
      </c>
      <c r="AI43" s="401">
        <f>(-51/159)*AI44</f>
        <v>-51</v>
      </c>
      <c r="AJ43" s="401">
        <f>(-68/197)*AJ44</f>
        <v>-68</v>
      </c>
      <c r="AK43" s="184">
        <f>AI43+AJ43</f>
        <v>-119</v>
      </c>
      <c r="AL43" s="206">
        <f>-AL58*AL42</f>
        <v>-64.795606064667581</v>
      </c>
      <c r="AM43" s="206">
        <f>-AM58*AM42</f>
        <v>-73.767979034934086</v>
      </c>
      <c r="AN43" s="184">
        <f>AL43+AM43</f>
        <v>-138.56358509960165</v>
      </c>
      <c r="AO43" s="206">
        <f>-AO58*AO42</f>
        <v>-71.323886840574559</v>
      </c>
      <c r="AP43" s="206">
        <f>-AP58*AP42</f>
        <v>-81.940437884661748</v>
      </c>
      <c r="AQ43" s="184">
        <f>AO43+AP43</f>
        <v>-153.26432472523629</v>
      </c>
      <c r="AR43" s="206">
        <f>-AR58*AR42</f>
        <v>-79.513589676057762</v>
      </c>
      <c r="AS43" s="206">
        <f>-AS58*AS42</f>
        <v>-90.507776255782886</v>
      </c>
      <c r="AT43" s="184">
        <f>AR43+AS43</f>
        <v>-170.02136593184065</v>
      </c>
      <c r="AU43" s="206">
        <f>-AU58*AU42</f>
        <v>-88.110446001033139</v>
      </c>
      <c r="AV43" s="206">
        <f>-AV58*AV42</f>
        <v>-99.50430048249541</v>
      </c>
      <c r="AW43" s="184">
        <f>AU43+AV43</f>
        <v>-187.61474648352856</v>
      </c>
      <c r="AX43" s="206">
        <f>-AX58*AX42</f>
        <v>-97.149834890993802</v>
      </c>
      <c r="AY43" s="206">
        <f>-AY58*AY42</f>
        <v>-108.96677829393875</v>
      </c>
      <c r="AZ43" s="184">
        <f>AX43+AY43</f>
        <v>-206.11661318493253</v>
      </c>
    </row>
    <row r="44" spans="1:54" s="181" customFormat="1">
      <c r="A44" s="183"/>
      <c r="B44" s="181" t="s">
        <v>2296</v>
      </c>
      <c r="E44" s="193">
        <f t="shared" ref="E44:AK44" si="33">E42+E43</f>
        <v>80</v>
      </c>
      <c r="F44" s="193">
        <f t="shared" si="33"/>
        <v>88</v>
      </c>
      <c r="G44" s="194">
        <f t="shared" si="33"/>
        <v>168</v>
      </c>
      <c r="H44" s="193">
        <f t="shared" si="33"/>
        <v>107</v>
      </c>
      <c r="I44" s="193">
        <f t="shared" si="33"/>
        <v>132</v>
      </c>
      <c r="J44" s="194">
        <f t="shared" si="33"/>
        <v>239</v>
      </c>
      <c r="K44" s="193">
        <f>K42+K43</f>
        <v>125</v>
      </c>
      <c r="L44" s="193">
        <f>L42+L43</f>
        <v>88</v>
      </c>
      <c r="M44" s="194">
        <f>M42+M43</f>
        <v>213</v>
      </c>
      <c r="N44" s="193">
        <f t="shared" si="33"/>
        <v>68</v>
      </c>
      <c r="O44" s="193">
        <f t="shared" si="33"/>
        <v>66</v>
      </c>
      <c r="P44" s="194">
        <f t="shared" si="33"/>
        <v>134</v>
      </c>
      <c r="Q44" s="193">
        <f>Q42+Q43</f>
        <v>96.070219000000009</v>
      </c>
      <c r="R44" s="193">
        <f>R42+R43</f>
        <v>119.793316</v>
      </c>
      <c r="S44" s="194">
        <f t="shared" si="33"/>
        <v>215.86353500000001</v>
      </c>
      <c r="T44" s="193">
        <f>T42+T43</f>
        <v>90.247967999999972</v>
      </c>
      <c r="U44" s="193">
        <f>U42+U43</f>
        <v>92.75627375000002</v>
      </c>
      <c r="V44" s="194">
        <f>V42+V43</f>
        <v>183.00424174999995</v>
      </c>
      <c r="W44" s="193">
        <f t="shared" si="33"/>
        <v>101.076571</v>
      </c>
      <c r="X44" s="193">
        <f t="shared" si="33"/>
        <v>106.90269699999999</v>
      </c>
      <c r="Y44" s="194">
        <f t="shared" si="33"/>
        <v>207.97926800000005</v>
      </c>
      <c r="Z44" s="193">
        <f t="shared" si="33"/>
        <v>124.39749299999998</v>
      </c>
      <c r="AA44" s="193">
        <f t="shared" si="33"/>
        <v>141.15860000000001</v>
      </c>
      <c r="AB44" s="194">
        <f t="shared" si="33"/>
        <v>265.55609300000003</v>
      </c>
      <c r="AC44" s="193">
        <v>147</v>
      </c>
      <c r="AD44" s="193">
        <v>158</v>
      </c>
      <c r="AE44" s="194">
        <f t="shared" si="33"/>
        <v>305.00000000000011</v>
      </c>
      <c r="AF44" s="193">
        <v>156</v>
      </c>
      <c r="AG44" s="193">
        <v>160</v>
      </c>
      <c r="AH44" s="194">
        <f t="shared" si="33"/>
        <v>316</v>
      </c>
      <c r="AI44" s="193">
        <v>159</v>
      </c>
      <c r="AJ44" s="193">
        <v>197</v>
      </c>
      <c r="AK44" s="194">
        <f t="shared" si="33"/>
        <v>356</v>
      </c>
      <c r="AL44" s="193">
        <f t="shared" ref="AL44:AZ44" si="34">AL42+AL43</f>
        <v>187.71668227558109</v>
      </c>
      <c r="AM44" s="193">
        <f t="shared" si="34"/>
        <v>213.71017455708844</v>
      </c>
      <c r="AN44" s="194">
        <f t="shared" si="34"/>
        <v>401.42685683266944</v>
      </c>
      <c r="AO44" s="193">
        <f t="shared" si="34"/>
        <v>206.62949569989979</v>
      </c>
      <c r="AP44" s="193">
        <f t="shared" si="34"/>
        <v>237.38626857762299</v>
      </c>
      <c r="AQ44" s="194">
        <f t="shared" si="34"/>
        <v>444.01576427752252</v>
      </c>
      <c r="AR44" s="193">
        <f t="shared" si="34"/>
        <v>230.3555465615203</v>
      </c>
      <c r="AS44" s="193">
        <f t="shared" si="34"/>
        <v>262.20635179984163</v>
      </c>
      <c r="AT44" s="194">
        <f t="shared" si="34"/>
        <v>492.56189836136201</v>
      </c>
      <c r="AU44" s="193">
        <f t="shared" si="34"/>
        <v>255.26114503240484</v>
      </c>
      <c r="AV44" s="193">
        <f t="shared" si="34"/>
        <v>288.26981169193522</v>
      </c>
      <c r="AW44" s="194">
        <f t="shared" si="34"/>
        <v>543.53095672434006</v>
      </c>
      <c r="AX44" s="193">
        <f t="shared" si="34"/>
        <v>281.44878637537909</v>
      </c>
      <c r="AY44" s="193">
        <f t="shared" si="34"/>
        <v>315.68316652802844</v>
      </c>
      <c r="AZ44" s="194">
        <f t="shared" si="34"/>
        <v>597.13195290340786</v>
      </c>
    </row>
    <row r="45" spans="1:54">
      <c r="E45" s="206"/>
      <c r="F45" s="206"/>
      <c r="G45" s="184"/>
      <c r="H45" s="206"/>
      <c r="I45" s="206"/>
      <c r="J45" s="184"/>
      <c r="K45" s="206"/>
      <c r="L45" s="206"/>
      <c r="M45" s="184"/>
      <c r="N45" s="206"/>
      <c r="O45" s="206"/>
      <c r="P45" s="241"/>
      <c r="Q45" s="206"/>
      <c r="R45" s="206"/>
      <c r="S45" s="184"/>
      <c r="T45" s="206"/>
      <c r="U45" s="206"/>
      <c r="V45" s="184"/>
      <c r="W45" s="206"/>
      <c r="X45" s="206"/>
      <c r="Y45" s="184"/>
      <c r="Z45" s="206"/>
      <c r="AA45" s="206"/>
      <c r="AB45" s="184"/>
      <c r="AC45" s="206"/>
      <c r="AD45" s="206"/>
      <c r="AE45" s="184"/>
      <c r="AF45" s="206"/>
      <c r="AG45" s="206"/>
      <c r="AH45" s="184"/>
      <c r="AI45" s="297"/>
      <c r="AJ45" s="297"/>
      <c r="AK45" s="184"/>
      <c r="AL45" s="206"/>
      <c r="AM45" s="206"/>
      <c r="AN45" s="184"/>
      <c r="AO45" s="206"/>
      <c r="AP45" s="206"/>
      <c r="AQ45" s="184"/>
      <c r="AR45" s="206"/>
      <c r="AS45" s="206"/>
      <c r="AT45" s="184"/>
      <c r="AU45" s="206"/>
      <c r="AV45" s="206"/>
      <c r="AW45" s="184"/>
      <c r="AX45" s="206"/>
      <c r="AY45" s="206"/>
      <c r="AZ45" s="184"/>
    </row>
    <row r="46" spans="1:54" s="181" customFormat="1">
      <c r="B46" s="181" t="s">
        <v>2312</v>
      </c>
      <c r="E46" s="193">
        <v>87300</v>
      </c>
      <c r="F46" s="193">
        <v>92300</v>
      </c>
      <c r="G46" s="194">
        <f>AVERAGE(E46:F46)</f>
        <v>89800</v>
      </c>
      <c r="H46" s="193">
        <v>98228</v>
      </c>
      <c r="I46" s="193">
        <v>106284</v>
      </c>
      <c r="J46" s="194">
        <v>102109</v>
      </c>
      <c r="K46" s="193">
        <v>106546</v>
      </c>
      <c r="L46" s="193">
        <v>98763</v>
      </c>
      <c r="M46" s="194">
        <f>AVERAGE(K46:L46)</f>
        <v>102654.5</v>
      </c>
      <c r="N46" s="193">
        <v>73365</v>
      </c>
      <c r="O46" s="193">
        <v>76541</v>
      </c>
      <c r="P46" s="194">
        <v>74953</v>
      </c>
      <c r="Q46" s="193">
        <v>106638</v>
      </c>
      <c r="R46" s="193">
        <v>112306</v>
      </c>
      <c r="S46" s="194">
        <v>109386</v>
      </c>
      <c r="T46" s="237">
        <f>AVERAGE(S71:T71)</f>
        <v>117518.5</v>
      </c>
      <c r="U46" s="237">
        <f>AVERAGE(T71:U71)</f>
        <v>114623.5</v>
      </c>
      <c r="V46" s="194">
        <v>116375</v>
      </c>
      <c r="W46" s="193">
        <v>119629</v>
      </c>
      <c r="X46" s="193">
        <v>122026</v>
      </c>
      <c r="Y46" s="194">
        <f>AVERAGE(W46:X46)</f>
        <v>120827.5</v>
      </c>
      <c r="Z46" s="193">
        <f>AVERAGE(Y71:Z71)</f>
        <v>130704.5</v>
      </c>
      <c r="AA46" s="193">
        <f>AVERAGE(Z71:AA71)</f>
        <v>140900</v>
      </c>
      <c r="AB46" s="194">
        <f>AVERAGE(Z46:AA46)</f>
        <v>135802.25</v>
      </c>
      <c r="AC46" s="193">
        <v>149614</v>
      </c>
      <c r="AD46" s="193">
        <v>156901</v>
      </c>
      <c r="AE46" s="194">
        <f>AVERAGE(AC46:AD46)</f>
        <v>153257.5</v>
      </c>
      <c r="AF46" s="193">
        <v>160171</v>
      </c>
      <c r="AG46" s="193">
        <v>173926</v>
      </c>
      <c r="AH46" s="194">
        <v>167045</v>
      </c>
      <c r="AI46" s="193">
        <v>179665</v>
      </c>
      <c r="AJ46" s="193">
        <v>194305</v>
      </c>
      <c r="AK46" s="194">
        <f>AVERAGE(AI46:AJ46)</f>
        <v>186985</v>
      </c>
      <c r="AL46" s="193">
        <f>AVERAGE(AK71:AL71)</f>
        <v>200864.50923752022</v>
      </c>
      <c r="AM46" s="193">
        <f>AVERAGE(AL71:AM71)</f>
        <v>209251.09496458579</v>
      </c>
      <c r="AN46" s="194">
        <f>AVERAGE(AL46:AM46)</f>
        <v>205057.80210105301</v>
      </c>
      <c r="AO46" s="193">
        <f>AVERAGE(AN71:AO71)</f>
        <v>217751.84803410264</v>
      </c>
      <c r="AP46" s="193">
        <f>AVERAGE(AO71:AP71)</f>
        <v>226657.4549855701</v>
      </c>
      <c r="AQ46" s="194">
        <f>AVERAGE(AO46:AP46)</f>
        <v>222204.65150983637</v>
      </c>
      <c r="AR46" s="193">
        <f>AVERAGE(AQ71:AR71)</f>
        <v>235685.35361475835</v>
      </c>
      <c r="AS46" s="193">
        <f>AVERAGE(AR71:AS71)</f>
        <v>245142.83012925627</v>
      </c>
      <c r="AT46" s="194">
        <f>AVERAGE(AR46:AS46)</f>
        <v>240414.0918720073</v>
      </c>
      <c r="AU46" s="193">
        <f>AVERAGE(AT71:AU71)</f>
        <v>254731.23465301411</v>
      </c>
      <c r="AV46" s="193">
        <f>AVERAGE(AU71:AV71)</f>
        <v>264775.46976423997</v>
      </c>
      <c r="AW46" s="194">
        <f>AVERAGE(AU46:AV46)</f>
        <v>259753.35220862704</v>
      </c>
      <c r="AX46" s="193">
        <f>AVERAGE(AW71:AX71)</f>
        <v>274959.80499497638</v>
      </c>
      <c r="AY46" s="193">
        <f>AVERAGE(AX71:AY71)</f>
        <v>285627.84312818653</v>
      </c>
      <c r="AZ46" s="194">
        <f>AVERAGE(AX46:AY46)</f>
        <v>280293.82406158146</v>
      </c>
    </row>
    <row r="47" spans="1:54">
      <c r="B47" s="175" t="s">
        <v>2313</v>
      </c>
      <c r="E47" s="206"/>
      <c r="F47" s="206"/>
      <c r="G47" s="184"/>
      <c r="H47" s="207">
        <f t="shared" ref="H47:AK47" si="35">H46/E46-1</f>
        <v>0.12517754868270337</v>
      </c>
      <c r="I47" s="207">
        <f t="shared" si="35"/>
        <v>0.15150595882990259</v>
      </c>
      <c r="J47" s="229">
        <f t="shared" si="35"/>
        <v>0.1370712694877505</v>
      </c>
      <c r="K47" s="207">
        <f>K46/H46-1</f>
        <v>8.4680539153805467E-2</v>
      </c>
      <c r="L47" s="207">
        <f>L46/I46-1</f>
        <v>-7.0763238116743787E-2</v>
      </c>
      <c r="M47" s="229">
        <f>M46/J46-1</f>
        <v>5.3423302549235885E-3</v>
      </c>
      <c r="N47" s="207">
        <f>N46/K46-1</f>
        <v>-0.31142417359638086</v>
      </c>
      <c r="O47" s="207">
        <f t="shared" si="35"/>
        <v>-0.22500329070603364</v>
      </c>
      <c r="P47" s="229">
        <f>P46/M46-1</f>
        <v>-0.26985178438353896</v>
      </c>
      <c r="Q47" s="207">
        <f>Q46/N46-1</f>
        <v>0.45352688611735847</v>
      </c>
      <c r="R47" s="207">
        <f t="shared" si="35"/>
        <v>0.46726590977384674</v>
      </c>
      <c r="S47" s="229">
        <f t="shared" si="35"/>
        <v>0.45939455392045692</v>
      </c>
      <c r="T47" s="207">
        <f t="shared" si="35"/>
        <v>0.10203210862919398</v>
      </c>
      <c r="U47" s="207">
        <f t="shared" si="35"/>
        <v>2.0635584919772798E-2</v>
      </c>
      <c r="V47" s="229">
        <f t="shared" si="35"/>
        <v>6.3893002760865292E-2</v>
      </c>
      <c r="W47" s="207">
        <f>W46/T46-1</f>
        <v>1.7958874560175531E-2</v>
      </c>
      <c r="X47" s="207">
        <f t="shared" si="35"/>
        <v>6.4580997788411532E-2</v>
      </c>
      <c r="Y47" s="229">
        <f t="shared" si="35"/>
        <v>3.8259935553168534E-2</v>
      </c>
      <c r="Z47" s="207">
        <f t="shared" si="35"/>
        <v>9.2582066221401194E-2</v>
      </c>
      <c r="AA47" s="207">
        <f t="shared" si="35"/>
        <v>0.15467195515709764</v>
      </c>
      <c r="AB47" s="229">
        <f t="shared" si="35"/>
        <v>0.12393494858372467</v>
      </c>
      <c r="AC47" s="395">
        <f t="shared" si="35"/>
        <v>0.14467367229131356</v>
      </c>
      <c r="AD47" s="395">
        <f t="shared" si="35"/>
        <v>0.11356281050390349</v>
      </c>
      <c r="AE47" s="396">
        <f t="shared" si="35"/>
        <v>0.12853432104401796</v>
      </c>
      <c r="AF47" s="395">
        <f t="shared" si="35"/>
        <v>7.0561578461908692E-2</v>
      </c>
      <c r="AG47" s="395">
        <f t="shared" si="35"/>
        <v>0.10850791263280657</v>
      </c>
      <c r="AH47" s="229">
        <f t="shared" si="35"/>
        <v>8.9962970817088816E-2</v>
      </c>
      <c r="AI47" s="395">
        <f t="shared" si="35"/>
        <v>0.12170742518932887</v>
      </c>
      <c r="AJ47" s="395">
        <f t="shared" si="35"/>
        <v>0.11717052079620061</v>
      </c>
      <c r="AK47" s="229">
        <f t="shared" si="35"/>
        <v>0.11936903229668649</v>
      </c>
      <c r="AL47" s="207">
        <f t="shared" ref="AL47:AZ47" si="36">AL46/AI46-1</f>
        <v>0.11799465247833596</v>
      </c>
      <c r="AM47" s="207">
        <f t="shared" si="36"/>
        <v>7.6920794444742979E-2</v>
      </c>
      <c r="AN47" s="229">
        <f t="shared" si="36"/>
        <v>9.665375351527139E-2</v>
      </c>
      <c r="AO47" s="207">
        <f t="shared" si="36"/>
        <v>8.407328333256392E-2</v>
      </c>
      <c r="AP47" s="207">
        <f t="shared" si="36"/>
        <v>8.3184080943185634E-2</v>
      </c>
      <c r="AQ47" s="229">
        <f t="shared" si="36"/>
        <v>8.3619590345230366E-2</v>
      </c>
      <c r="AR47" s="207">
        <f t="shared" si="36"/>
        <v>8.2357535619385969E-2</v>
      </c>
      <c r="AS47" s="207">
        <f t="shared" si="36"/>
        <v>8.1556440068838665E-2</v>
      </c>
      <c r="AT47" s="229">
        <f t="shared" si="36"/>
        <v>8.1948961187092051E-2</v>
      </c>
      <c r="AU47" s="207">
        <f t="shared" si="36"/>
        <v>8.0810626312347589E-2</v>
      </c>
      <c r="AV47" s="207">
        <f t="shared" si="36"/>
        <v>8.0086534142695509E-2</v>
      </c>
      <c r="AW47" s="229">
        <f t="shared" si="36"/>
        <v>8.0441459092654544E-2</v>
      </c>
      <c r="AX47" s="207">
        <f t="shared" si="36"/>
        <v>7.9411425024170645E-2</v>
      </c>
      <c r="AY47" s="207">
        <f t="shared" si="36"/>
        <v>7.8754929157575759E-2</v>
      </c>
      <c r="AZ47" s="229">
        <f t="shared" si="36"/>
        <v>7.9076830686892752E-2</v>
      </c>
    </row>
    <row r="48" spans="1:54">
      <c r="B48" s="175" t="s">
        <v>2314</v>
      </c>
      <c r="E48" s="206"/>
      <c r="F48" s="207">
        <f>F46/E46-1</f>
        <v>5.7273768613974818E-2</v>
      </c>
      <c r="G48" s="184" t="s">
        <v>1089</v>
      </c>
      <c r="H48" s="207">
        <f>H46/F46-1</f>
        <v>6.4225352112676104E-2</v>
      </c>
      <c r="I48" s="207">
        <f>I46/H46-1</f>
        <v>8.2013275237203143E-2</v>
      </c>
      <c r="J48" s="184" t="s">
        <v>1089</v>
      </c>
      <c r="K48" s="207">
        <f>K46/I46-1</f>
        <v>2.4650935230137172E-3</v>
      </c>
      <c r="L48" s="207">
        <f>L46/K46-1</f>
        <v>-7.3048260845080981E-2</v>
      </c>
      <c r="M48" s="184" t="s">
        <v>1089</v>
      </c>
      <c r="N48" s="207">
        <f>N46/L46-1</f>
        <v>-0.25716108259165882</v>
      </c>
      <c r="O48" s="207">
        <f>O46/N46-1</f>
        <v>4.3290397328426433E-2</v>
      </c>
      <c r="P48" s="184" t="s">
        <v>1089</v>
      </c>
      <c r="Q48" s="207">
        <f>Q46/O46-1</f>
        <v>0.39321409440691912</v>
      </c>
      <c r="R48" s="207">
        <f>R46/Q46-1</f>
        <v>5.3151784542095681E-2</v>
      </c>
      <c r="S48" s="184" t="s">
        <v>1089</v>
      </c>
      <c r="T48" s="207">
        <f>T46/R46-1</f>
        <v>4.6413370612433891E-2</v>
      </c>
      <c r="U48" s="207">
        <f>U46/T46-1</f>
        <v>-2.4634419261648111E-2</v>
      </c>
      <c r="V48" s="184" t="s">
        <v>1089</v>
      </c>
      <c r="W48" s="207">
        <f>W46/U46-1</f>
        <v>4.36690556474022E-2</v>
      </c>
      <c r="X48" s="207">
        <f>X46/W46-1</f>
        <v>2.0036947562881879E-2</v>
      </c>
      <c r="Y48" s="184" t="s">
        <v>1089</v>
      </c>
      <c r="Z48" s="207">
        <f>Z46/X46-1</f>
        <v>7.1120089161326172E-2</v>
      </c>
      <c r="AA48" s="207">
        <f>AA46/Z46-1</f>
        <v>7.8004200314449879E-2</v>
      </c>
      <c r="AB48" s="184" t="s">
        <v>1089</v>
      </c>
      <c r="AC48" s="395">
        <f>AC46/AA46-1</f>
        <v>6.1845280340667053E-2</v>
      </c>
      <c r="AD48" s="395">
        <f>AD46/AC46-1</f>
        <v>4.8705335062226851E-2</v>
      </c>
      <c r="AE48" s="397" t="s">
        <v>1089</v>
      </c>
      <c r="AF48" s="395">
        <f>AF46/AD46-1</f>
        <v>2.0841167360309942E-2</v>
      </c>
      <c r="AG48" s="395">
        <f>AG46/AF46-1</f>
        <v>8.5876968989392566E-2</v>
      </c>
      <c r="AH48" s="184" t="s">
        <v>1089</v>
      </c>
      <c r="AI48" s="395">
        <f>AI46/AG46-1</f>
        <v>3.2996791739015485E-2</v>
      </c>
      <c r="AJ48" s="395">
        <f>AJ46/AI46-1</f>
        <v>8.1484985946066235E-2</v>
      </c>
      <c r="AK48" s="184" t="s">
        <v>1089</v>
      </c>
      <c r="AL48" s="207">
        <f>AL46/AJ46-1</f>
        <v>3.375882883878556E-2</v>
      </c>
      <c r="AM48" s="207">
        <f>AM46/AL46-1</f>
        <v>4.1752451734260898E-2</v>
      </c>
      <c r="AN48" s="184" t="s">
        <v>1089</v>
      </c>
      <c r="AO48" s="207">
        <f>AO46/AM46-1</f>
        <v>4.0624652745332224E-2</v>
      </c>
      <c r="AP48" s="207">
        <f>AP46/AO46-1</f>
        <v>4.0897962666533783E-2</v>
      </c>
      <c r="AQ48" s="184" t="s">
        <v>1089</v>
      </c>
      <c r="AR48" s="207">
        <f>AR46/AP46-1</f>
        <v>3.9830583246260209E-2</v>
      </c>
      <c r="AS48" s="207">
        <f>AS46/AR46-1</f>
        <v>4.0127552983019621E-2</v>
      </c>
      <c r="AT48" s="184" t="s">
        <v>1089</v>
      </c>
      <c r="AU48" s="207">
        <f>AU46/AS46-1</f>
        <v>3.9113542577207561E-2</v>
      </c>
      <c r="AV48" s="207">
        <f>AV46/AU46-1</f>
        <v>3.9430716554676781E-2</v>
      </c>
      <c r="AW48" s="184" t="s">
        <v>1089</v>
      </c>
      <c r="AX48" s="207">
        <f>AX46/AV46-1</f>
        <v>3.8464043666147418E-2</v>
      </c>
      <c r="AY48" s="207">
        <f>AY46/AX46-1</f>
        <v>3.8798536874889988E-2</v>
      </c>
      <c r="AZ48" s="184" t="s">
        <v>1089</v>
      </c>
      <c r="BB48" s="175" t="s">
        <v>2529</v>
      </c>
    </row>
    <row r="49" spans="2:58">
      <c r="B49" s="175" t="s">
        <v>2315</v>
      </c>
      <c r="G49" s="197"/>
      <c r="J49" s="197"/>
      <c r="K49" s="242"/>
      <c r="M49" s="197"/>
      <c r="P49" s="197"/>
      <c r="S49" s="197"/>
      <c r="V49" s="197"/>
      <c r="Y49" s="243"/>
      <c r="Z49" s="244"/>
      <c r="AB49" s="245"/>
      <c r="AE49" s="378"/>
      <c r="AH49" s="245"/>
      <c r="AK49" s="197"/>
      <c r="AN49" s="197"/>
      <c r="AQ49" s="197"/>
      <c r="AT49" s="197"/>
      <c r="AW49" s="197"/>
      <c r="AZ49" s="197"/>
      <c r="BB49" s="196" t="s">
        <v>2285</v>
      </c>
      <c r="BC49" s="196" t="s">
        <v>2288</v>
      </c>
      <c r="BD49" s="196" t="s">
        <v>2291</v>
      </c>
      <c r="BE49" s="196" t="s">
        <v>2398</v>
      </c>
      <c r="BF49" s="196" t="s">
        <v>2521</v>
      </c>
    </row>
    <row r="50" spans="2:58">
      <c r="B50" s="175" t="s">
        <v>2316</v>
      </c>
      <c r="E50" s="246">
        <f t="shared" ref="E50:F52" si="37">E38/E$46*2</f>
        <v>1.2531500572737686E-2</v>
      </c>
      <c r="F50" s="246">
        <f t="shared" si="37"/>
        <v>1.2437703141928495E-2</v>
      </c>
      <c r="G50" s="226">
        <f>G38/G$46</f>
        <v>1.2483296213808464E-2</v>
      </c>
      <c r="H50" s="246">
        <f t="shared" ref="H50:I52" si="38">H38/H$46*2</f>
        <v>1.2644052612289776E-2</v>
      </c>
      <c r="I50" s="246">
        <f t="shared" si="38"/>
        <v>1.3059350419630425E-2</v>
      </c>
      <c r="J50" s="226">
        <f>J38/J$46</f>
        <v>1.28783946566904E-2</v>
      </c>
      <c r="K50" s="246">
        <f t="shared" ref="K50:L52" si="39">K38/K$46*2</f>
        <v>1.1844649259474781E-2</v>
      </c>
      <c r="L50" s="246">
        <f t="shared" si="39"/>
        <v>1.194779421443253E-2</v>
      </c>
      <c r="M50" s="226">
        <f>M38/M$46</f>
        <v>1.1894266690695487E-2</v>
      </c>
      <c r="N50" s="246">
        <f t="shared" ref="N50:O52" si="40">N38/N$46*2</f>
        <v>1.3548694881755606E-2</v>
      </c>
      <c r="O50" s="246">
        <f t="shared" si="40"/>
        <v>1.3300061404998629E-2</v>
      </c>
      <c r="P50" s="226">
        <f>P38/P$46</f>
        <v>1.3421744293090336E-2</v>
      </c>
      <c r="Q50" s="246">
        <f t="shared" ref="Q50:R52" si="41">Q38/Q$46*2</f>
        <v>1.4066280312834073E-2</v>
      </c>
      <c r="R50" s="246">
        <f t="shared" si="41"/>
        <v>1.4353640945274517E-2</v>
      </c>
      <c r="S50" s="226">
        <f>S38/S$46</f>
        <v>1.4224855100287056E-2</v>
      </c>
      <c r="T50" s="246">
        <f t="shared" ref="T50:U52" si="42">T38/T$46*2</f>
        <v>1.3138356939545688E-2</v>
      </c>
      <c r="U50" s="246">
        <f t="shared" si="42"/>
        <v>1.3452738749034883E-2</v>
      </c>
      <c r="V50" s="226">
        <f>V38/V$46</f>
        <v>1.3258861439312567E-2</v>
      </c>
      <c r="W50" s="246">
        <f t="shared" ref="W50:X52" si="43">W38/W$46*2</f>
        <v>1.3107189728243152E-2</v>
      </c>
      <c r="X50" s="246">
        <f t="shared" si="43"/>
        <v>1.3193909494697851E-2</v>
      </c>
      <c r="Y50" s="226">
        <f>Y38/Y$46</f>
        <v>1.3150979702468394E-2</v>
      </c>
      <c r="Z50" s="246">
        <f t="shared" ref="Z50:AD52" si="44">Z38/Z$46*2</f>
        <v>1.1874112980042768E-2</v>
      </c>
      <c r="AA50" s="246">
        <f t="shared" si="44"/>
        <v>1.1880766501064585E-2</v>
      </c>
      <c r="AB50" s="226">
        <f>AB38/AB$46</f>
        <v>1.1877564620615637E-2</v>
      </c>
      <c r="AC50" s="246">
        <f>AC38/AC$46*2</f>
        <v>1.1552268611226222E-2</v>
      </c>
      <c r="AD50" s="246">
        <f>AD38/AD$46*2</f>
        <v>1.0884439680749048E-2</v>
      </c>
      <c r="AE50" s="226">
        <f>AE38/AE$46</f>
        <v>1.1210415758932536E-2</v>
      </c>
      <c r="AF50" s="246">
        <f t="shared" ref="AF50:AG52" si="45">AF38/AF$46*2</f>
        <v>1.1777674515123866E-2</v>
      </c>
      <c r="AG50" s="246">
        <f t="shared" si="45"/>
        <v>1.0492935419168414E-2</v>
      </c>
      <c r="AH50" s="226">
        <f>AH38/AH$46</f>
        <v>1.1109090935006106E-2</v>
      </c>
      <c r="AI50" s="246">
        <f t="shared" ref="AI50:AJ52" si="46">AI38/AI$46*2</f>
        <v>1.0226164303140897E-2</v>
      </c>
      <c r="AJ50" s="246">
        <f t="shared" si="46"/>
        <v>1.0040718997256398E-2</v>
      </c>
      <c r="AK50" s="226">
        <f>AK38/AK$46</f>
        <v>1.0129811787805743E-2</v>
      </c>
      <c r="AL50" s="247">
        <f>AJ50*0.985</f>
        <v>9.890108212297551E-3</v>
      </c>
      <c r="AM50" s="247">
        <f>AL50*0.985</f>
        <v>9.7417565891130872E-3</v>
      </c>
      <c r="AN50" s="226">
        <f>AN38/AN$46</f>
        <v>9.8144155557074227E-3</v>
      </c>
      <c r="AO50" s="247">
        <f>AM50*0.987</f>
        <v>9.6151137534546162E-3</v>
      </c>
      <c r="AP50" s="247">
        <f>AO50*0.99</f>
        <v>9.5189626159200708E-3</v>
      </c>
      <c r="AQ50" s="226">
        <f>AQ38/AQ$46</f>
        <v>9.5660747887446832E-3</v>
      </c>
      <c r="AR50" s="247">
        <f>AP50*0.987</f>
        <v>9.3952161019131095E-3</v>
      </c>
      <c r="AS50" s="247">
        <f>AR50*0.99</f>
        <v>9.3012639408939779E-3</v>
      </c>
      <c r="AT50" s="226">
        <f>AT38/AT$46</f>
        <v>9.3473160423333031E-3</v>
      </c>
      <c r="AU50" s="247">
        <f>AS50*0.987</f>
        <v>9.1803475096623559E-3</v>
      </c>
      <c r="AV50" s="247">
        <f>AU50*0.99</f>
        <v>9.0885440345657327E-3</v>
      </c>
      <c r="AW50" s="226">
        <f>AW38/AW$46</f>
        <v>9.1335582997483771E-3</v>
      </c>
      <c r="AX50" s="247">
        <f>AV50*0.987</f>
        <v>8.9703929621163785E-3</v>
      </c>
      <c r="AY50" s="247">
        <f>AX50*0.99</f>
        <v>8.8806890324952155E-3</v>
      </c>
      <c r="AZ50" s="226">
        <f>AZ38/AZ$46</f>
        <v>8.9246874599998097E-3</v>
      </c>
      <c r="BB50" s="403">
        <f>AE50/AB50-1</f>
        <v>-5.6168826101366309E-2</v>
      </c>
      <c r="BC50" s="402">
        <f>AH50/AE50-1</f>
        <v>-9.0384537117362829E-3</v>
      </c>
      <c r="BD50" s="402">
        <f>AK50/AH50-1</f>
        <v>-8.8151150524345301E-2</v>
      </c>
      <c r="BE50" s="402">
        <f>AN50/AK50-1</f>
        <v>-3.1135448387895392E-2</v>
      </c>
      <c r="BF50" s="402">
        <f>AQ50/AN50-1</f>
        <v>-2.5303673515059244E-2</v>
      </c>
    </row>
    <row r="51" spans="2:58">
      <c r="B51" s="175" t="s">
        <v>2317</v>
      </c>
      <c r="E51" s="246">
        <f t="shared" si="37"/>
        <v>-4.4902634593356246E-3</v>
      </c>
      <c r="F51" s="246">
        <f t="shared" si="37"/>
        <v>-4.1820151679306606E-3</v>
      </c>
      <c r="G51" s="226">
        <f>G39/G$46</f>
        <v>-4.3318485523385301E-3</v>
      </c>
      <c r="H51" s="246">
        <f t="shared" si="38"/>
        <v>-4.2350449973530971E-3</v>
      </c>
      <c r="I51" s="246">
        <f t="shared" si="38"/>
        <v>-4.3844793195589177E-3</v>
      </c>
      <c r="J51" s="226">
        <f>J39/J$46</f>
        <v>-4.3189141015973122E-3</v>
      </c>
      <c r="K51" s="246">
        <f t="shared" si="39"/>
        <v>-3.8481031667073379E-3</v>
      </c>
      <c r="L51" s="246">
        <f t="shared" si="39"/>
        <v>-4.1513522270485914E-3</v>
      </c>
      <c r="M51" s="226">
        <f>M39/M$46</f>
        <v>-3.9939798060484441E-3</v>
      </c>
      <c r="N51" s="246">
        <f t="shared" si="40"/>
        <v>-4.4162747904314048E-3</v>
      </c>
      <c r="O51" s="246">
        <f t="shared" si="40"/>
        <v>-4.3114147972981801E-3</v>
      </c>
      <c r="P51" s="226">
        <f>P39/P$46</f>
        <v>-4.3627339799607754E-3</v>
      </c>
      <c r="Q51" s="246">
        <f t="shared" si="41"/>
        <v>-4.8012903467806976E-3</v>
      </c>
      <c r="R51" s="246">
        <f t="shared" si="41"/>
        <v>-5.2000783573451104E-3</v>
      </c>
      <c r="S51" s="226">
        <f>S39/S$46</f>
        <v>-5.0097818733658784E-3</v>
      </c>
      <c r="T51" s="246">
        <f t="shared" si="42"/>
        <v>-4.6120398064985512E-3</v>
      </c>
      <c r="U51" s="246">
        <f t="shared" si="42"/>
        <v>-4.7634211134714955E-3</v>
      </c>
      <c r="V51" s="226">
        <f>V39/V$46</f>
        <v>-4.6745435016111708E-3</v>
      </c>
      <c r="W51" s="246">
        <f t="shared" si="43"/>
        <v>-4.5808290631870197E-3</v>
      </c>
      <c r="X51" s="246">
        <f t="shared" si="43"/>
        <v>-4.6055758608821067E-3</v>
      </c>
      <c r="Y51" s="226">
        <f>Y39/Y$46</f>
        <v>-4.5933251950094145E-3</v>
      </c>
      <c r="Z51" s="246">
        <f t="shared" si="44"/>
        <v>-4.1467585278242144E-3</v>
      </c>
      <c r="AA51" s="246">
        <f t="shared" si="44"/>
        <v>-4.1447835344215755E-3</v>
      </c>
      <c r="AB51" s="226">
        <f>AB39/AB$46</f>
        <v>-4.1457339624343488E-3</v>
      </c>
      <c r="AC51" s="246">
        <f t="shared" si="44"/>
        <v>-4.0321929498576339E-3</v>
      </c>
      <c r="AD51" s="246">
        <f t="shared" si="44"/>
        <v>-3.7990945692881048E-3</v>
      </c>
      <c r="AE51" s="226">
        <f>AE39/AE$46</f>
        <v>-3.912872952435845E-3</v>
      </c>
      <c r="AF51" s="246">
        <f t="shared" si="45"/>
        <v>-4.1108684141442876E-3</v>
      </c>
      <c r="AG51" s="246">
        <f t="shared" si="45"/>
        <v>-3.6624442907574805E-3</v>
      </c>
      <c r="AH51" s="226">
        <f>AH39/AH$46</f>
        <v>-3.8775066313753485E-3</v>
      </c>
      <c r="AI51" s="246">
        <f t="shared" si="46"/>
        <v>-3.5693307518092515E-3</v>
      </c>
      <c r="AJ51" s="246">
        <f t="shared" si="46"/>
        <v>-3.5046030969964974E-3</v>
      </c>
      <c r="AK51" s="226">
        <f>AK39/AK$46</f>
        <v>-3.5356999606538319E-3</v>
      </c>
      <c r="AL51" s="248">
        <f>AJ51+0.01%/2</f>
        <v>-3.4546030969964973E-3</v>
      </c>
      <c r="AM51" s="248">
        <f>AL51+0.01%/2</f>
        <v>-3.4046030969964972E-3</v>
      </c>
      <c r="AN51" s="226">
        <f>AN39/AN$46</f>
        <v>-3.4290918639660341E-3</v>
      </c>
      <c r="AO51" s="248">
        <f>AM51+0.01%/2</f>
        <v>-3.354603096996497E-3</v>
      </c>
      <c r="AP51" s="248">
        <f>AO51+0.01%/2</f>
        <v>-3.3046030969964969E-3</v>
      </c>
      <c r="AQ51" s="226">
        <f>AQ39/AQ$46</f>
        <v>-3.3291021169938873E-3</v>
      </c>
      <c r="AR51" s="248">
        <f>AP51+0.01%/2</f>
        <v>-3.2546030969964968E-3</v>
      </c>
      <c r="AS51" s="248">
        <f>AR51+0.01%/2</f>
        <v>-3.2046030969964967E-3</v>
      </c>
      <c r="AT51" s="226">
        <f>AT39/AT$46</f>
        <v>-3.2291113685145654E-3</v>
      </c>
      <c r="AU51" s="248">
        <f>AS51+0.01%/2</f>
        <v>-3.1546030969964965E-3</v>
      </c>
      <c r="AV51" s="248">
        <f>AU51+0.01%/2</f>
        <v>-3.1046030969964964E-3</v>
      </c>
      <c r="AW51" s="226">
        <f>AW39/AW$46</f>
        <v>-3.1291197425457346E-3</v>
      </c>
      <c r="AX51" s="248">
        <f>AV51+0.01%/2</f>
        <v>-3.0546030969964963E-3</v>
      </c>
      <c r="AY51" s="248">
        <f>AX51+0.01%/2</f>
        <v>-3.0046030969964961E-3</v>
      </c>
      <c r="AZ51" s="226">
        <f>AZ39/AZ$46</f>
        <v>-3.0291273445352648E-3</v>
      </c>
      <c r="BB51" s="403">
        <f>AE51/AB51-1</f>
        <v>-5.616882610136642E-2</v>
      </c>
      <c r="BC51" s="402">
        <f>AH51/AE51-1</f>
        <v>-9.0384537117363939E-3</v>
      </c>
      <c r="BD51" s="402">
        <f>AK51/AH51-1</f>
        <v>-8.8151150524345634E-2</v>
      </c>
      <c r="BE51" s="402">
        <f>AN51/AK51-1</f>
        <v>-3.0151907083225349E-2</v>
      </c>
      <c r="BF51" s="402">
        <f>AQ51/AN51-1</f>
        <v>-2.9159250011021931E-2</v>
      </c>
    </row>
    <row r="52" spans="2:58">
      <c r="B52" s="175" t="s">
        <v>2318</v>
      </c>
      <c r="E52" s="246">
        <f t="shared" si="37"/>
        <v>8.0412371134020617E-3</v>
      </c>
      <c r="F52" s="246">
        <f t="shared" si="37"/>
        <v>8.2556879739978332E-3</v>
      </c>
      <c r="G52" s="226">
        <f>G40/G$46</f>
        <v>8.1514476614699335E-3</v>
      </c>
      <c r="H52" s="246">
        <f t="shared" si="38"/>
        <v>8.4090076149366776E-3</v>
      </c>
      <c r="I52" s="246">
        <f t="shared" si="38"/>
        <v>8.6748711000715073E-3</v>
      </c>
      <c r="J52" s="226">
        <f>J40/J$46</f>
        <v>8.5594805550930873E-3</v>
      </c>
      <c r="K52" s="246">
        <f t="shared" si="39"/>
        <v>7.9965460927674432E-3</v>
      </c>
      <c r="L52" s="242">
        <f t="shared" si="39"/>
        <v>7.7964419873839397E-3</v>
      </c>
      <c r="M52" s="226">
        <f>M40/M$46</f>
        <v>7.9002868846470443E-3</v>
      </c>
      <c r="N52" s="242">
        <f t="shared" si="40"/>
        <v>9.1324200913242004E-3</v>
      </c>
      <c r="O52" s="246">
        <f t="shared" si="40"/>
        <v>8.9886466077004484E-3</v>
      </c>
      <c r="P52" s="226">
        <f>P40/P$46</f>
        <v>9.0590103131295615E-3</v>
      </c>
      <c r="Q52" s="246">
        <f t="shared" si="41"/>
        <v>9.2649899660533774E-3</v>
      </c>
      <c r="R52" s="246">
        <f t="shared" si="41"/>
        <v>9.1535625879294071E-3</v>
      </c>
      <c r="S52" s="226">
        <f>S40/S$46</f>
        <v>9.2150732269211787E-3</v>
      </c>
      <c r="T52" s="246">
        <f t="shared" si="42"/>
        <v>8.5263171330471378E-3</v>
      </c>
      <c r="U52" s="246">
        <f t="shared" si="42"/>
        <v>8.6893176355633886E-3</v>
      </c>
      <c r="V52" s="226">
        <f>V40/V$46</f>
        <v>8.5843179377013967E-3</v>
      </c>
      <c r="W52" s="246">
        <f t="shared" si="43"/>
        <v>8.5263606650561319E-3</v>
      </c>
      <c r="X52" s="246">
        <f t="shared" si="43"/>
        <v>8.5883336338157448E-3</v>
      </c>
      <c r="Y52" s="226">
        <f>Y40/Y$46</f>
        <v>8.5576545074589807E-3</v>
      </c>
      <c r="Z52" s="246">
        <f t="shared" si="44"/>
        <v>7.7273544522185539E-3</v>
      </c>
      <c r="AA52" s="246">
        <f t="shared" si="44"/>
        <v>7.7359829666430093E-3</v>
      </c>
      <c r="AB52" s="226">
        <f>AB40/AB$46</f>
        <v>7.7318306581812893E-3</v>
      </c>
      <c r="AC52" s="246">
        <f>AC40/AC$46*2</f>
        <v>7.5200756613685886E-3</v>
      </c>
      <c r="AD52" s="246">
        <f>AD40/AD$46*2</f>
        <v>7.0853451114609427E-3</v>
      </c>
      <c r="AE52" s="226">
        <f>AE40/AE$46</f>
        <v>7.2975428064966912E-3</v>
      </c>
      <c r="AF52" s="246">
        <f t="shared" si="45"/>
        <v>7.666806100979578E-3</v>
      </c>
      <c r="AG52" s="246">
        <f t="shared" si="45"/>
        <v>6.8304911284109331E-3</v>
      </c>
      <c r="AH52" s="226">
        <f>AH40/AH$46</f>
        <v>7.2315843036307578E-3</v>
      </c>
      <c r="AI52" s="246">
        <f t="shared" si="46"/>
        <v>6.6568335513316453E-3</v>
      </c>
      <c r="AJ52" s="246">
        <f t="shared" si="46"/>
        <v>6.5361159002599008E-3</v>
      </c>
      <c r="AK52" s="226">
        <f>AK40/AK$46</f>
        <v>6.5941118271519109E-3</v>
      </c>
      <c r="AL52" s="246">
        <f>AL40/AL$46*2</f>
        <v>6.4355051153010545E-3</v>
      </c>
      <c r="AM52" s="246">
        <f>AM40/AM$46*2</f>
        <v>6.3371534921165895E-3</v>
      </c>
      <c r="AN52" s="226">
        <f>AN40/AN$46</f>
        <v>6.385323691741389E-3</v>
      </c>
      <c r="AO52" s="246">
        <f>AO40/AO$46*2</f>
        <v>6.2605106564581191E-3</v>
      </c>
      <c r="AP52" s="246">
        <f>AP40/AP$46*2</f>
        <v>6.2143595189235751E-3</v>
      </c>
      <c r="AQ52" s="226">
        <f>AQ40/AQ$46</f>
        <v>6.236972671750796E-3</v>
      </c>
      <c r="AR52" s="246">
        <f>AR40/AR$46*2</f>
        <v>6.1406130049166128E-3</v>
      </c>
      <c r="AS52" s="246">
        <f>AS40/AS$46*2</f>
        <v>6.0966608438974825E-3</v>
      </c>
      <c r="AT52" s="226">
        <f>AT40/AT$46</f>
        <v>6.1182046738187373E-3</v>
      </c>
      <c r="AU52" s="246">
        <f>AU40/AU$46*2</f>
        <v>6.0257444126658594E-3</v>
      </c>
      <c r="AV52" s="246">
        <f>AV40/AV$46*2</f>
        <v>5.9839409375692359E-3</v>
      </c>
      <c r="AW52" s="226">
        <f>AW40/AW$46</f>
        <v>6.0044385572026425E-3</v>
      </c>
      <c r="AX52" s="246">
        <f>AX40/AX$46*2</f>
        <v>5.9157898651198814E-3</v>
      </c>
      <c r="AY52" s="246">
        <f>AY40/AY$46*2</f>
        <v>5.8760859354987189E-3</v>
      </c>
      <c r="AZ52" s="226">
        <f>AZ40/AZ$46</f>
        <v>5.8955601154645453E-3</v>
      </c>
      <c r="BB52" s="403">
        <f>AE52/AB52-1</f>
        <v>-5.616882610136642E-2</v>
      </c>
      <c r="BC52" s="402">
        <f>AH52/AE52-1</f>
        <v>-9.0384537117361718E-3</v>
      </c>
      <c r="BD52" s="402">
        <f>AK52/AH52-1</f>
        <v>-8.815115052434519E-2</v>
      </c>
      <c r="BE52" s="402">
        <f>AN52/AK52-1</f>
        <v>-3.166281386839942E-2</v>
      </c>
      <c r="BF52" s="402">
        <f>AQ52/AN52-1</f>
        <v>-2.3233124451069953E-2</v>
      </c>
    </row>
    <row r="53" spans="2:58">
      <c r="E53" s="246"/>
      <c r="F53" s="246"/>
      <c r="G53" s="226"/>
      <c r="H53" s="246"/>
      <c r="I53" s="246"/>
      <c r="J53" s="226"/>
      <c r="K53" s="242"/>
      <c r="L53" s="242"/>
      <c r="M53" s="226"/>
      <c r="N53" s="242"/>
      <c r="O53" s="242"/>
      <c r="P53" s="226"/>
      <c r="Q53" s="242"/>
      <c r="R53" s="242"/>
      <c r="S53" s="226"/>
      <c r="T53" s="242"/>
      <c r="U53" s="242"/>
      <c r="V53" s="226"/>
      <c r="W53" s="242"/>
      <c r="X53" s="242"/>
      <c r="Y53" s="226"/>
      <c r="Z53" s="242"/>
      <c r="AA53" s="242"/>
      <c r="AB53" s="226"/>
      <c r="AC53" s="242"/>
      <c r="AD53" s="242"/>
      <c r="AE53" s="226"/>
      <c r="AF53" s="242"/>
      <c r="AG53" s="242"/>
      <c r="AH53" s="226"/>
      <c r="AI53" s="242"/>
      <c r="AJ53" s="242"/>
      <c r="AK53" s="226"/>
      <c r="AL53" s="242"/>
      <c r="AM53" s="242"/>
      <c r="AN53" s="226"/>
      <c r="AO53" s="242"/>
      <c r="AP53" s="242"/>
      <c r="AQ53" s="226"/>
      <c r="AR53" s="242"/>
      <c r="AS53" s="242"/>
      <c r="AT53" s="226"/>
      <c r="AU53" s="242"/>
      <c r="AV53" s="242"/>
      <c r="AW53" s="226"/>
      <c r="AX53" s="242"/>
      <c r="AY53" s="242"/>
      <c r="AZ53" s="226"/>
    </row>
    <row r="54" spans="2:58">
      <c r="B54" s="175" t="s">
        <v>2319</v>
      </c>
      <c r="E54" s="246"/>
      <c r="F54" s="246"/>
      <c r="G54" s="226"/>
      <c r="H54" s="207">
        <f t="shared" ref="H54:AK54" si="47">H38/E38-1</f>
        <v>0.13528336380255945</v>
      </c>
      <c r="I54" s="207">
        <f t="shared" si="47"/>
        <v>0.20905923344947741</v>
      </c>
      <c r="J54" s="229">
        <f t="shared" si="47"/>
        <v>0.17305976806422829</v>
      </c>
      <c r="K54" s="207">
        <f>K38/H38-1</f>
        <v>1.6103059581320522E-2</v>
      </c>
      <c r="L54" s="207">
        <f>L38/I38-1</f>
        <v>-0.14985590778097979</v>
      </c>
      <c r="M54" s="229">
        <f t="shared" si="47"/>
        <v>-7.1482889733840316E-2</v>
      </c>
      <c r="N54" s="207">
        <f>N38/K38-1</f>
        <v>-0.21236133122028522</v>
      </c>
      <c r="O54" s="207">
        <f>O38/L38-1</f>
        <v>-0.13728813559322028</v>
      </c>
      <c r="P54" s="229">
        <f t="shared" si="47"/>
        <v>-0.17608517608517604</v>
      </c>
      <c r="Q54" s="207">
        <f>Q38/N38-1</f>
        <v>0.5090543259557343</v>
      </c>
      <c r="R54" s="207">
        <f>R38/O38-1</f>
        <v>0.58349705304518662</v>
      </c>
      <c r="S54" s="229">
        <f t="shared" si="47"/>
        <v>0.54671968190854869</v>
      </c>
      <c r="T54" s="207">
        <f>T38/Q38-1</f>
        <v>2.9333333333333433E-2</v>
      </c>
      <c r="U54" s="207">
        <f t="shared" si="47"/>
        <v>-4.3424317617866026E-2</v>
      </c>
      <c r="V54" s="229">
        <f t="shared" si="47"/>
        <v>-8.3547557840617515E-3</v>
      </c>
      <c r="W54" s="207">
        <f t="shared" si="47"/>
        <v>1.5544041450777257E-2</v>
      </c>
      <c r="X54" s="207">
        <f t="shared" si="47"/>
        <v>4.4098573281452724E-2</v>
      </c>
      <c r="Y54" s="229">
        <f t="shared" si="47"/>
        <v>2.9812054439403823E-2</v>
      </c>
      <c r="Z54" s="207">
        <f t="shared" si="47"/>
        <v>-1.0204081632653073E-2</v>
      </c>
      <c r="AA54" s="207">
        <f t="shared" si="47"/>
        <v>3.9751552795030953E-2</v>
      </c>
      <c r="AB54" s="229">
        <f t="shared" si="47"/>
        <v>1.5103838892385202E-2</v>
      </c>
      <c r="AC54" s="395">
        <f t="shared" si="47"/>
        <v>0.11364762628865988</v>
      </c>
      <c r="AD54" s="207">
        <f t="shared" si="47"/>
        <v>2.0178895071210512E-2</v>
      </c>
      <c r="AE54" s="396">
        <f t="shared" si="47"/>
        <v>6.5145873015872935E-2</v>
      </c>
      <c r="AF54" s="395">
        <f t="shared" si="47"/>
        <v>9.1450194230139115E-2</v>
      </c>
      <c r="AG54" s="207">
        <f t="shared" si="47"/>
        <v>6.8635803041426247E-2</v>
      </c>
      <c r="AH54" s="396">
        <f t="shared" si="47"/>
        <v>8.0111390957852135E-2</v>
      </c>
      <c r="AI54" s="395">
        <f t="shared" si="47"/>
        <v>-2.6058631921824227E-2</v>
      </c>
      <c r="AJ54" s="395">
        <f t="shared" si="47"/>
        <v>6.9023569023568987E-2</v>
      </c>
      <c r="AK54" s="229">
        <f t="shared" si="47"/>
        <v>2.0695364238410674E-2</v>
      </c>
      <c r="AL54" s="207">
        <f t="shared" ref="AL54:AZ54" si="48">AL38/AI38-1</f>
        <v>8.1254688073477022E-2</v>
      </c>
      <c r="AM54" s="207">
        <f t="shared" si="48"/>
        <v>4.4855477790150644E-2</v>
      </c>
      <c r="AN54" s="229">
        <f t="shared" si="48"/>
        <v>6.2508947173304907E-2</v>
      </c>
      <c r="AO54" s="207">
        <f t="shared" si="48"/>
        <v>5.3930625689501577E-2</v>
      </c>
      <c r="AP54" s="207">
        <f t="shared" si="48"/>
        <v>5.8411661012015115E-2</v>
      </c>
      <c r="AQ54" s="229">
        <f t="shared" si="48"/>
        <v>5.6200034016612443E-2</v>
      </c>
      <c r="AR54" s="207">
        <f t="shared" si="48"/>
        <v>5.7604018779770616E-2</v>
      </c>
      <c r="AS54" s="207">
        <f t="shared" si="48"/>
        <v>5.6821244284464223E-2</v>
      </c>
      <c r="AT54" s="229">
        <f t="shared" si="48"/>
        <v>5.7206754623030376E-2</v>
      </c>
      <c r="AU54" s="207">
        <f t="shared" si="48"/>
        <v>5.6092487288584181E-2</v>
      </c>
      <c r="AV54" s="207">
        <f t="shared" si="48"/>
        <v>5.538495510685193E-2</v>
      </c>
      <c r="AW54" s="229">
        <f t="shared" si="48"/>
        <v>5.5733540130158632E-2</v>
      </c>
      <c r="AX54" s="207">
        <f t="shared" si="48"/>
        <v>5.4725285733868034E-2</v>
      </c>
      <c r="AY54" s="207">
        <f t="shared" si="48"/>
        <v>5.4083803927742258E-2</v>
      </c>
      <c r="AZ54" s="229">
        <f t="shared" si="48"/>
        <v>5.439995488647198E-2</v>
      </c>
    </row>
    <row r="55" spans="2:58">
      <c r="B55" s="175" t="s">
        <v>2320</v>
      </c>
      <c r="E55" s="246"/>
      <c r="F55" s="246"/>
      <c r="G55" s="226"/>
      <c r="H55" s="207">
        <f t="shared" ref="H55:AK57" si="49">H40/E40-1</f>
        <v>0.1766381766381766</v>
      </c>
      <c r="I55" s="207">
        <f t="shared" si="49"/>
        <v>0.20997375328083989</v>
      </c>
      <c r="J55" s="229">
        <f t="shared" si="49"/>
        <v>0.19398907103825147</v>
      </c>
      <c r="K55" s="207">
        <f t="shared" si="49"/>
        <v>3.14769975786926E-2</v>
      </c>
      <c r="L55" s="207">
        <f t="shared" si="49"/>
        <v>-0.16485900216919736</v>
      </c>
      <c r="M55" s="229">
        <f t="shared" si="49"/>
        <v>-7.2082379862700274E-2</v>
      </c>
      <c r="N55" s="207">
        <f t="shared" si="49"/>
        <v>-0.21361502347417838</v>
      </c>
      <c r="O55" s="207">
        <f>O40/L40-1</f>
        <v>-0.10649350649350653</v>
      </c>
      <c r="P55" s="229">
        <f t="shared" si="49"/>
        <v>-0.16276202219482117</v>
      </c>
      <c r="Q55" s="207">
        <f>Q40/N40-1</f>
        <v>0.4746268656716417</v>
      </c>
      <c r="R55" s="207">
        <f>R40/O40-1</f>
        <v>0.4941860465116279</v>
      </c>
      <c r="S55" s="229">
        <f>S40/P40-1</f>
        <v>0.48453608247422686</v>
      </c>
      <c r="T55" s="207">
        <f>T40/Q40-1</f>
        <v>1.4170040485830038E-2</v>
      </c>
      <c r="U55" s="207">
        <f t="shared" si="49"/>
        <v>-3.1128404669260701E-2</v>
      </c>
      <c r="V55" s="229">
        <f>V40/S40-1</f>
        <v>-8.9285714285713969E-3</v>
      </c>
      <c r="W55" s="207">
        <f t="shared" si="49"/>
        <v>1.7964071856287456E-2</v>
      </c>
      <c r="X55" s="207">
        <f t="shared" si="49"/>
        <v>5.2208835341365445E-2</v>
      </c>
      <c r="Y55" s="229">
        <f>Y40/V40-1</f>
        <v>3.5035035035035023E-2</v>
      </c>
      <c r="Z55" s="207">
        <f t="shared" si="49"/>
        <v>-9.8039215686274161E-3</v>
      </c>
      <c r="AA55" s="207">
        <f t="shared" si="49"/>
        <v>4.0076335877862634E-2</v>
      </c>
      <c r="AB55" s="229">
        <f>AB40/Y40-1</f>
        <v>1.5473887814313247E-2</v>
      </c>
      <c r="AC55" s="395">
        <f t="shared" si="49"/>
        <v>0.11396891089108907</v>
      </c>
      <c r="AD55" s="207">
        <f t="shared" si="49"/>
        <v>1.9906177370030642E-2</v>
      </c>
      <c r="AE55" s="396">
        <f t="shared" si="49"/>
        <v>6.5145873015873157E-2</v>
      </c>
      <c r="AF55" s="395">
        <f t="shared" si="49"/>
        <v>9.1450194230139115E-2</v>
      </c>
      <c r="AG55" s="207">
        <f t="shared" si="49"/>
        <v>6.8635803041426247E-2</v>
      </c>
      <c r="AH55" s="396">
        <f t="shared" si="49"/>
        <v>8.0111390957852135E-2</v>
      </c>
      <c r="AI55" s="395">
        <f t="shared" si="49"/>
        <v>-2.6058631921824116E-2</v>
      </c>
      <c r="AJ55" s="395">
        <f t="shared" si="49"/>
        <v>6.9023569023568987E-2</v>
      </c>
      <c r="AK55" s="229">
        <f t="shared" si="49"/>
        <v>2.0695364238410674E-2</v>
      </c>
      <c r="AL55" s="207">
        <f t="shared" ref="AL55:AZ55" si="50">AL40/AI40-1</f>
        <v>8.0823224649245295E-2</v>
      </c>
      <c r="AM55" s="207">
        <f t="shared" si="50"/>
        <v>4.413882455436613E-2</v>
      </c>
      <c r="AN55" s="229">
        <f t="shared" si="50"/>
        <v>6.1930609839635942E-2</v>
      </c>
      <c r="AO55" s="207">
        <f t="shared" si="50"/>
        <v>5.4595128290495953E-2</v>
      </c>
      <c r="AP55" s="207">
        <f t="shared" si="50"/>
        <v>6.2195402483069318E-2</v>
      </c>
      <c r="AQ55" s="229">
        <f t="shared" si="50"/>
        <v>5.8443721545122118E-2</v>
      </c>
      <c r="AR55" s="207">
        <f t="shared" si="50"/>
        <v>6.1628854882272543E-2</v>
      </c>
      <c r="AS55" s="207">
        <f t="shared" si="50"/>
        <v>6.1071986349287899E-2</v>
      </c>
      <c r="AT55" s="229">
        <f t="shared" si="50"/>
        <v>6.1345870753991116E-2</v>
      </c>
      <c r="AU55" s="207">
        <f t="shared" si="50"/>
        <v>6.0592580486181769E-2</v>
      </c>
      <c r="AV55" s="207">
        <f t="shared" si="50"/>
        <v>6.0117036728905449E-2</v>
      </c>
      <c r="AW55" s="229">
        <f t="shared" si="50"/>
        <v>6.0350985565674753E-2</v>
      </c>
      <c r="AX55" s="207">
        <f t="shared" si="50"/>
        <v>5.9714905104570892E-2</v>
      </c>
      <c r="AY55" s="207">
        <f t="shared" si="50"/>
        <v>5.9311369080404797E-2</v>
      </c>
      <c r="AZ55" s="229">
        <f t="shared" si="50"/>
        <v>5.950993817536232E-2</v>
      </c>
    </row>
    <row r="56" spans="2:58">
      <c r="B56" s="175" t="s">
        <v>2321</v>
      </c>
      <c r="G56" s="197"/>
      <c r="H56" s="207">
        <f t="shared" si="49"/>
        <v>8.163265306122458E-2</v>
      </c>
      <c r="I56" s="207">
        <f t="shared" si="49"/>
        <v>2.5454545454545396E-2</v>
      </c>
      <c r="J56" s="229">
        <f t="shared" si="49"/>
        <v>5.1923076923076961E-2</v>
      </c>
      <c r="K56" s="207">
        <f t="shared" si="49"/>
        <v>-4.9056603773584895E-2</v>
      </c>
      <c r="L56" s="207">
        <f t="shared" si="49"/>
        <v>-8.1560283687943214E-2</v>
      </c>
      <c r="M56" s="229">
        <f>M41/J41-1</f>
        <v>-6.5813528336380211E-2</v>
      </c>
      <c r="N56" s="207">
        <f>N41/K41-1</f>
        <v>-5.1587301587301626E-2</v>
      </c>
      <c r="O56" s="207">
        <f>O41/L41-1</f>
        <v>-6.949806949806947E-2</v>
      </c>
      <c r="P56" s="229">
        <f t="shared" si="49"/>
        <v>-6.0665362035225101E-2</v>
      </c>
      <c r="Q56" s="207">
        <f t="shared" si="49"/>
        <v>0.53933514644351455</v>
      </c>
      <c r="R56" s="207">
        <f t="shared" si="49"/>
        <v>0.58440000000000003</v>
      </c>
      <c r="S56" s="229">
        <f t="shared" si="49"/>
        <v>0.56196145833333322</v>
      </c>
      <c r="T56" s="207">
        <f t="shared" si="49"/>
        <v>2.2174709453165686E-2</v>
      </c>
      <c r="U56" s="207">
        <f t="shared" si="49"/>
        <v>-2.4392455591393691E-2</v>
      </c>
      <c r="V56" s="229">
        <f>V41/S41-1</f>
        <v>-1.5417647282428559E-3</v>
      </c>
      <c r="W56" s="207">
        <f t="shared" si="49"/>
        <v>-1.3852340269829955E-2</v>
      </c>
      <c r="X56" s="207">
        <f t="shared" si="49"/>
        <v>-9.3167899856749781E-4</v>
      </c>
      <c r="Y56" s="229">
        <f>Y41/V41-1</f>
        <v>-7.4224980891465231E-3</v>
      </c>
      <c r="Z56" s="207">
        <f t="shared" si="49"/>
        <v>-8.3640847685276354E-2</v>
      </c>
      <c r="AA56" s="207">
        <f t="shared" si="49"/>
        <v>-1.5689480849687354E-2</v>
      </c>
      <c r="AB56" s="229">
        <f>AB41/Y41-1</f>
        <v>-4.9604376247932014E-2</v>
      </c>
      <c r="AC56" s="395">
        <f t="shared" si="49"/>
        <v>7.8634806582199346E-2</v>
      </c>
      <c r="AD56" s="207">
        <f t="shared" si="49"/>
        <v>-5.7754544958235399E-2</v>
      </c>
      <c r="AE56" s="396">
        <f>AE41/AB41-1</f>
        <v>7.8802364920598222E-3</v>
      </c>
      <c r="AF56" s="395">
        <f t="shared" si="49"/>
        <v>0.10215594251656568</v>
      </c>
      <c r="AG56" s="207">
        <f t="shared" si="49"/>
        <v>0.10666193100339472</v>
      </c>
      <c r="AH56" s="396">
        <f>AH41/AE41-1</f>
        <v>0.10434128360706518</v>
      </c>
      <c r="AI56" s="395">
        <f t="shared" si="49"/>
        <v>-3.9603960396039639E-2</v>
      </c>
      <c r="AJ56" s="395">
        <f t="shared" si="49"/>
        <v>-3.1413612565445059E-2</v>
      </c>
      <c r="AK56" s="229">
        <f>AK41/AH41-1</f>
        <v>-3.5623409669211181E-2</v>
      </c>
      <c r="AL56" s="249">
        <v>1.4999999999999999E-2</v>
      </c>
      <c r="AM56" s="249">
        <f>AL56</f>
        <v>1.4999999999999999E-2</v>
      </c>
      <c r="AN56" s="229">
        <f>AN41/AK41-1</f>
        <v>1.4999999999999902E-2</v>
      </c>
      <c r="AO56" s="249">
        <v>2.5000000000000001E-2</v>
      </c>
      <c r="AP56" s="249">
        <f>AO56</f>
        <v>2.5000000000000001E-2</v>
      </c>
      <c r="AQ56" s="229">
        <f>AQ41/AN41-1</f>
        <v>2.4999999999999911E-2</v>
      </c>
      <c r="AR56" s="249">
        <v>2.5000000000000001E-2</v>
      </c>
      <c r="AS56" s="249">
        <f>AR56</f>
        <v>2.5000000000000001E-2</v>
      </c>
      <c r="AT56" s="229">
        <f>AT41/AQ41-1</f>
        <v>2.4999999999999911E-2</v>
      </c>
      <c r="AU56" s="249">
        <v>2.5000000000000001E-2</v>
      </c>
      <c r="AV56" s="249">
        <f>AU56</f>
        <v>2.5000000000000001E-2</v>
      </c>
      <c r="AW56" s="229">
        <f>AW41/AT41-1</f>
        <v>2.4999999999999911E-2</v>
      </c>
      <c r="AX56" s="249">
        <v>2.5000000000000001E-2</v>
      </c>
      <c r="AY56" s="249">
        <f>AX56</f>
        <v>2.5000000000000001E-2</v>
      </c>
      <c r="AZ56" s="229">
        <f>AZ41/AW41-1</f>
        <v>2.4999999999999689E-2</v>
      </c>
    </row>
    <row r="57" spans="2:58">
      <c r="B57" s="175" t="s">
        <v>2322</v>
      </c>
      <c r="E57" s="246"/>
      <c r="F57" s="246"/>
      <c r="G57" s="226"/>
      <c r="H57" s="207">
        <f t="shared" si="49"/>
        <v>0.39622641509433953</v>
      </c>
      <c r="I57" s="207">
        <f t="shared" si="49"/>
        <v>0.68867924528301883</v>
      </c>
      <c r="J57" s="229">
        <f t="shared" si="49"/>
        <v>0.54245283018867929</v>
      </c>
      <c r="K57" s="207">
        <f t="shared" si="49"/>
        <v>0.17567567567567566</v>
      </c>
      <c r="L57" s="207">
        <f t="shared" si="49"/>
        <v>-0.2960893854748603</v>
      </c>
      <c r="M57" s="229">
        <f>M42/J42-1</f>
        <v>-8.256880733944949E-2</v>
      </c>
      <c r="N57" s="207">
        <f>N42/K42-1</f>
        <v>-0.44827586206896552</v>
      </c>
      <c r="O57" s="207">
        <f>O42/L42-1</f>
        <v>-0.18253968253968256</v>
      </c>
      <c r="P57" s="229">
        <f t="shared" si="49"/>
        <v>-0.33666666666666667</v>
      </c>
      <c r="Q57" s="207">
        <f t="shared" si="49"/>
        <v>0.31353020833333356</v>
      </c>
      <c r="R57" s="207">
        <f t="shared" si="49"/>
        <v>0.28310291262135934</v>
      </c>
      <c r="S57" s="229">
        <f t="shared" si="49"/>
        <v>0.29778140703517608</v>
      </c>
      <c r="T57" s="207">
        <f t="shared" si="49"/>
        <v>-9.1840610822143676E-3</v>
      </c>
      <c r="U57" s="207">
        <f>U42/R42-1</f>
        <v>-5.0590157657862012E-2</v>
      </c>
      <c r="V57" s="229">
        <f>V42/S42-1</f>
        <v>-3.0372959650892706E-2</v>
      </c>
      <c r="W57" s="207">
        <f>W42/T42-1</f>
        <v>0.1137282617047437</v>
      </c>
      <c r="X57" s="207">
        <f>X42/U42-1</f>
        <v>0.20998098205897819</v>
      </c>
      <c r="Y57" s="229">
        <f>Y42/V42-1</f>
        <v>0.1619570238415784</v>
      </c>
      <c r="Z57" s="207">
        <f>Z42/W42-1</f>
        <v>0.1869793841326739</v>
      </c>
      <c r="AA57" s="207">
        <f>AA42/X42-1</f>
        <v>0.17678287611636656</v>
      </c>
      <c r="AB57" s="229">
        <f>AB42/Y42-1</f>
        <v>0.18165912180878618</v>
      </c>
      <c r="AC57" s="395">
        <f>AC42/Z42-1</f>
        <v>0.18666838612494052</v>
      </c>
      <c r="AD57" s="207">
        <f>AD42/AA42-1</f>
        <v>0.17914847568939107</v>
      </c>
      <c r="AE57" s="396">
        <f>AE42/AB42-1</f>
        <v>0.18276089160393938</v>
      </c>
      <c r="AF57" s="395">
        <f>AF42/AC42-1</f>
        <v>7.1428571428571397E-2</v>
      </c>
      <c r="AG57" s="207">
        <f>AG42/AD42-1</f>
        <v>6.3291139240506666E-3</v>
      </c>
      <c r="AH57" s="396">
        <f>AH42/AE42-1</f>
        <v>3.7704918032786638E-2</v>
      </c>
      <c r="AI57" s="395">
        <f>AI42/AF42-1</f>
        <v>0</v>
      </c>
      <c r="AJ57" s="395">
        <f>AJ42/AG42-1</f>
        <v>0.25</v>
      </c>
      <c r="AK57" s="229">
        <f>AK42/AH42-1</f>
        <v>0.12559241706161139</v>
      </c>
      <c r="AL57" s="207">
        <f>AL42/AI42-1</f>
        <v>0.20243946828689841</v>
      </c>
      <c r="AM57" s="207">
        <f>AM42/AJ42-1</f>
        <v>8.4823221101971713E-2</v>
      </c>
      <c r="AN57" s="229">
        <f>AN42/AK42-1</f>
        <v>0.13682198301530768</v>
      </c>
      <c r="AO57" s="207">
        <f>AO42/AL42-1</f>
        <v>0.10075190545160706</v>
      </c>
      <c r="AP57" s="207">
        <f>AP42/AM42-1</f>
        <v>0.11078599355226282</v>
      </c>
      <c r="AQ57" s="229">
        <f>AQ42/AN42-1</f>
        <v>0.10609381689328745</v>
      </c>
      <c r="AR57" s="207">
        <f>AR42/AO42-1</f>
        <v>0.11482412412252718</v>
      </c>
      <c r="AS57" s="207">
        <f>AS42/AP42-1</f>
        <v>0.10455568205750154</v>
      </c>
      <c r="AT57" s="229">
        <f>AT42/AQ42-1</f>
        <v>0.10933425790147555</v>
      </c>
      <c r="AU57" s="207">
        <f>AU42/AR42-1</f>
        <v>0.10811807591632316</v>
      </c>
      <c r="AV57" s="207">
        <f>AV42/AS42-1</f>
        <v>9.9400566436275595E-2</v>
      </c>
      <c r="AW57" s="229">
        <f>AW42/AT42-1</f>
        <v>0.10347746858321805</v>
      </c>
      <c r="AX57" s="207">
        <f>AX42/AU42-1</f>
        <v>0.102591568879979</v>
      </c>
      <c r="AY57" s="207">
        <f>AY42/AV42-1</f>
        <v>9.5096169367151706E-2</v>
      </c>
      <c r="AZ57" s="229">
        <f>AZ42/AW42-1</f>
        <v>9.8616271099076114E-2</v>
      </c>
    </row>
    <row r="58" spans="2:58">
      <c r="B58" s="175" t="s">
        <v>2323</v>
      </c>
      <c r="E58" s="207">
        <f t="shared" ref="E58:Z58" si="51">-E43/E42</f>
        <v>0.24528301886792453</v>
      </c>
      <c r="F58" s="207">
        <f t="shared" si="51"/>
        <v>0.16981132075471697</v>
      </c>
      <c r="G58" s="229">
        <f t="shared" si="51"/>
        <v>0.20754716981132076</v>
      </c>
      <c r="H58" s="207">
        <f t="shared" si="51"/>
        <v>0.27702702702702703</v>
      </c>
      <c r="I58" s="207">
        <f t="shared" si="51"/>
        <v>0.26256983240223464</v>
      </c>
      <c r="J58" s="229">
        <f t="shared" si="51"/>
        <v>0.26911314984709478</v>
      </c>
      <c r="K58" s="207">
        <f t="shared" si="51"/>
        <v>0.28160919540229884</v>
      </c>
      <c r="L58" s="207">
        <f t="shared" si="51"/>
        <v>0.30158730158730157</v>
      </c>
      <c r="M58" s="229">
        <f t="shared" si="51"/>
        <v>0.28999999999999998</v>
      </c>
      <c r="N58" s="207">
        <f t="shared" si="51"/>
        <v>0.29166666666666669</v>
      </c>
      <c r="O58" s="207">
        <f t="shared" si="51"/>
        <v>0.35922330097087379</v>
      </c>
      <c r="P58" s="229">
        <f t="shared" si="51"/>
        <v>0.32663316582914576</v>
      </c>
      <c r="Q58" s="207">
        <f>-Q43/Q42</f>
        <v>0.23813594726044401</v>
      </c>
      <c r="R58" s="207">
        <f t="shared" si="51"/>
        <v>9.3570834052161225E-2</v>
      </c>
      <c r="S58" s="229">
        <f t="shared" si="51"/>
        <v>0.16415709453899874</v>
      </c>
      <c r="T58" s="207">
        <f t="shared" si="51"/>
        <v>0.27767416248335214</v>
      </c>
      <c r="U58" s="207">
        <f t="shared" si="51"/>
        <v>0.26075082512360664</v>
      </c>
      <c r="V58" s="229">
        <f t="shared" si="51"/>
        <v>0.2691944892950956</v>
      </c>
      <c r="W58" s="207">
        <f t="shared" si="51"/>
        <v>0.27361481594335907</v>
      </c>
      <c r="X58" s="207">
        <f t="shared" si="51"/>
        <v>0.29586217821416977</v>
      </c>
      <c r="Y58" s="229">
        <f t="shared" si="51"/>
        <v>0.2852228883448098</v>
      </c>
      <c r="Z58" s="207">
        <f t="shared" si="51"/>
        <v>0.24684401910051751</v>
      </c>
      <c r="AA58" s="207">
        <f t="shared" ref="AA58:AK58" si="52">-AA43/AA42</f>
        <v>0.20990372775103552</v>
      </c>
      <c r="AB58" s="229">
        <f t="shared" si="52"/>
        <v>0.22764911148965924</v>
      </c>
      <c r="AC58" s="207">
        <f t="shared" si="52"/>
        <v>0.25</v>
      </c>
      <c r="AD58" s="207">
        <f t="shared" si="52"/>
        <v>0.24999999999999997</v>
      </c>
      <c r="AE58" s="229">
        <f t="shared" si="52"/>
        <v>0.24999999999999992</v>
      </c>
      <c r="AF58" s="207">
        <f t="shared" si="52"/>
        <v>0.25714285714285712</v>
      </c>
      <c r="AG58" s="207">
        <f t="shared" si="52"/>
        <v>0.24528301886792453</v>
      </c>
      <c r="AH58" s="229">
        <f t="shared" si="52"/>
        <v>0.25118483412322273</v>
      </c>
      <c r="AI58" s="207">
        <f t="shared" si="52"/>
        <v>0.24285714285714285</v>
      </c>
      <c r="AJ58" s="207">
        <f t="shared" si="52"/>
        <v>0.25660377358490566</v>
      </c>
      <c r="AK58" s="229">
        <f t="shared" si="52"/>
        <v>0.25052631578947371</v>
      </c>
      <c r="AL58" s="249">
        <f>AJ58</f>
        <v>0.25660377358490566</v>
      </c>
      <c r="AM58" s="249">
        <f>AL58</f>
        <v>0.25660377358490566</v>
      </c>
      <c r="AN58" s="229">
        <f>-AN43/AN42</f>
        <v>0.25660377358490566</v>
      </c>
      <c r="AO58" s="249">
        <f>AM58</f>
        <v>0.25660377358490566</v>
      </c>
      <c r="AP58" s="249">
        <f>AO58</f>
        <v>0.25660377358490566</v>
      </c>
      <c r="AQ58" s="229">
        <f>-AQ43/AQ42</f>
        <v>0.25660377358490577</v>
      </c>
      <c r="AR58" s="249">
        <f>AP58</f>
        <v>0.25660377358490566</v>
      </c>
      <c r="AS58" s="249">
        <f>AR58</f>
        <v>0.25660377358490566</v>
      </c>
      <c r="AT58" s="229">
        <f>-AT43/AT42</f>
        <v>0.2566037735849056</v>
      </c>
      <c r="AU58" s="249">
        <f>AS58</f>
        <v>0.25660377358490566</v>
      </c>
      <c r="AV58" s="249">
        <f>AU58</f>
        <v>0.25660377358490566</v>
      </c>
      <c r="AW58" s="229">
        <f>-AW43/AW42</f>
        <v>0.25660377358490571</v>
      </c>
      <c r="AX58" s="249">
        <f>AV58</f>
        <v>0.25660377358490566</v>
      </c>
      <c r="AY58" s="249">
        <f>AX58</f>
        <v>0.25660377358490566</v>
      </c>
      <c r="AZ58" s="229">
        <f>-AZ43/AZ42</f>
        <v>0.25660377358490555</v>
      </c>
    </row>
    <row r="59" spans="2:58">
      <c r="B59" s="175" t="s">
        <v>2324</v>
      </c>
      <c r="E59" s="246"/>
      <c r="F59" s="246"/>
      <c r="G59" s="226"/>
      <c r="H59" s="207">
        <f t="shared" ref="H59:AK59" si="53">H44/E44-1</f>
        <v>0.33749999999999991</v>
      </c>
      <c r="I59" s="207">
        <f t="shared" si="53"/>
        <v>0.5</v>
      </c>
      <c r="J59" s="229">
        <f t="shared" si="53"/>
        <v>0.42261904761904767</v>
      </c>
      <c r="K59" s="207">
        <f>K44/H44-1</f>
        <v>0.16822429906542058</v>
      </c>
      <c r="L59" s="207">
        <f>L44/I44-1</f>
        <v>-0.33333333333333337</v>
      </c>
      <c r="M59" s="229">
        <f>M44/J44-1</f>
        <v>-0.10878661087866104</v>
      </c>
      <c r="N59" s="207">
        <f t="shared" si="53"/>
        <v>-0.45599999999999996</v>
      </c>
      <c r="O59" s="207">
        <f t="shared" si="53"/>
        <v>-0.25</v>
      </c>
      <c r="P59" s="229">
        <f t="shared" si="53"/>
        <v>-0.37089201877934275</v>
      </c>
      <c r="Q59" s="207">
        <f t="shared" si="53"/>
        <v>0.4127973382352943</v>
      </c>
      <c r="R59" s="207">
        <f t="shared" si="53"/>
        <v>0.81505024242424251</v>
      </c>
      <c r="S59" s="229">
        <f t="shared" si="53"/>
        <v>0.61092190298507476</v>
      </c>
      <c r="T59" s="207">
        <f t="shared" si="53"/>
        <v>-6.0604119159966108E-2</v>
      </c>
      <c r="U59" s="207">
        <f t="shared" si="53"/>
        <v>-0.22569741912812546</v>
      </c>
      <c r="V59" s="229">
        <f t="shared" si="53"/>
        <v>-0.15222252915482026</v>
      </c>
      <c r="W59" s="207">
        <f t="shared" si="53"/>
        <v>0.11998722231618597</v>
      </c>
      <c r="X59" s="207">
        <f t="shared" si="53"/>
        <v>0.15251176743179551</v>
      </c>
      <c r="Y59" s="229">
        <f t="shared" si="53"/>
        <v>0.13647238999038169</v>
      </c>
      <c r="Z59" s="207">
        <f t="shared" si="53"/>
        <v>0.23072529834831834</v>
      </c>
      <c r="AA59" s="207">
        <f t="shared" si="53"/>
        <v>0.32044002594247001</v>
      </c>
      <c r="AB59" s="229">
        <f t="shared" si="53"/>
        <v>0.27683925207391336</v>
      </c>
      <c r="AC59" s="395">
        <f t="shared" si="53"/>
        <v>0.18169584012436668</v>
      </c>
      <c r="AD59" s="207">
        <f t="shared" si="53"/>
        <v>0.11930835244894733</v>
      </c>
      <c r="AE59" s="396">
        <f t="shared" si="53"/>
        <v>0.14853324039527904</v>
      </c>
      <c r="AF59" s="395">
        <f t="shared" si="53"/>
        <v>6.1224489795918435E-2</v>
      </c>
      <c r="AG59" s="207">
        <f t="shared" si="53"/>
        <v>1.2658227848101333E-2</v>
      </c>
      <c r="AH59" s="396">
        <f t="shared" si="53"/>
        <v>3.6065573770491355E-2</v>
      </c>
      <c r="AI59" s="395">
        <f t="shared" si="53"/>
        <v>1.9230769230769162E-2</v>
      </c>
      <c r="AJ59" s="395">
        <f t="shared" si="53"/>
        <v>0.23124999999999996</v>
      </c>
      <c r="AK59" s="229">
        <f t="shared" si="53"/>
        <v>0.12658227848101267</v>
      </c>
      <c r="AL59" s="207">
        <f t="shared" ref="AL59:AZ59" si="54">AL44/AI44-1</f>
        <v>0.18060806462629619</v>
      </c>
      <c r="AM59" s="207">
        <f t="shared" si="54"/>
        <v>8.4823221101971713E-2</v>
      </c>
      <c r="AN59" s="229">
        <f t="shared" si="54"/>
        <v>0.12760353042884676</v>
      </c>
      <c r="AO59" s="207">
        <f t="shared" si="54"/>
        <v>0.10075190545160706</v>
      </c>
      <c r="AP59" s="207">
        <f t="shared" si="54"/>
        <v>0.11078599355226282</v>
      </c>
      <c r="AQ59" s="229">
        <f t="shared" si="54"/>
        <v>0.10609381689328723</v>
      </c>
      <c r="AR59" s="207">
        <f t="shared" si="54"/>
        <v>0.11482412412252718</v>
      </c>
      <c r="AS59" s="207">
        <f t="shared" si="54"/>
        <v>0.10455568205750154</v>
      </c>
      <c r="AT59" s="229">
        <f t="shared" si="54"/>
        <v>0.10933425790147577</v>
      </c>
      <c r="AU59" s="207">
        <f t="shared" si="54"/>
        <v>0.10811807591632294</v>
      </c>
      <c r="AV59" s="207">
        <f t="shared" si="54"/>
        <v>9.9400566436275595E-2</v>
      </c>
      <c r="AW59" s="229">
        <f t="shared" si="54"/>
        <v>0.10347746858321805</v>
      </c>
      <c r="AX59" s="207">
        <f t="shared" si="54"/>
        <v>0.102591568879979</v>
      </c>
      <c r="AY59" s="207">
        <f t="shared" si="54"/>
        <v>9.5096169367151706E-2</v>
      </c>
      <c r="AZ59" s="229">
        <f t="shared" si="54"/>
        <v>9.8616271099076336E-2</v>
      </c>
    </row>
    <row r="60" spans="2:58">
      <c r="G60" s="197"/>
      <c r="J60" s="197"/>
      <c r="M60" s="197"/>
      <c r="P60" s="197"/>
      <c r="S60" s="197"/>
      <c r="V60" s="197"/>
      <c r="Y60" s="197"/>
      <c r="AB60" s="197"/>
      <c r="AE60" s="197"/>
      <c r="AH60" s="197"/>
      <c r="AK60" s="197"/>
      <c r="AN60" s="197"/>
      <c r="AQ60" s="197"/>
      <c r="AT60" s="197"/>
      <c r="AW60" s="197"/>
      <c r="AZ60" s="197"/>
    </row>
    <row r="61" spans="2:58">
      <c r="B61" s="181" t="s">
        <v>2325</v>
      </c>
      <c r="G61" s="197"/>
      <c r="J61" s="197"/>
      <c r="M61" s="197"/>
      <c r="P61" s="197"/>
      <c r="S61" s="197"/>
      <c r="V61" s="197"/>
      <c r="Y61" s="197"/>
      <c r="AB61" s="197"/>
      <c r="AE61" s="197"/>
      <c r="AH61" s="197"/>
      <c r="AK61" s="197"/>
      <c r="AN61" s="197"/>
      <c r="AQ61" s="197"/>
      <c r="AT61" s="197"/>
      <c r="AW61" s="197"/>
      <c r="AZ61" s="197"/>
    </row>
    <row r="62" spans="2:58">
      <c r="B62" s="175" t="s">
        <v>2326</v>
      </c>
      <c r="E62" s="206">
        <v>54870</v>
      </c>
      <c r="F62" s="206">
        <v>57757</v>
      </c>
      <c r="G62" s="184">
        <f t="shared" ref="G62:G68" si="55">F62</f>
        <v>57757</v>
      </c>
      <c r="H62" s="206">
        <v>63898</v>
      </c>
      <c r="I62" s="206">
        <v>68772</v>
      </c>
      <c r="J62" s="184">
        <f t="shared" ref="J62:J68" si="56">I62</f>
        <v>68772</v>
      </c>
      <c r="K62" s="206">
        <v>61618</v>
      </c>
      <c r="L62" s="206">
        <v>56992</v>
      </c>
      <c r="M62" s="184">
        <f t="shared" ref="M62:M68" si="57">L62</f>
        <v>56992</v>
      </c>
      <c r="N62" s="206">
        <v>47397</v>
      </c>
      <c r="O62" s="206">
        <v>58512</v>
      </c>
      <c r="P62" s="184">
        <f t="shared" ref="P62:P68" si="58">O62</f>
        <v>58512</v>
      </c>
      <c r="Q62" s="206">
        <v>79999</v>
      </c>
      <c r="R62" s="220">
        <v>78725</v>
      </c>
      <c r="S62" s="184">
        <f t="shared" ref="S62:S68" si="59">R62</f>
        <v>78725</v>
      </c>
      <c r="T62" s="206">
        <v>81473</v>
      </c>
      <c r="U62" s="206">
        <v>74712</v>
      </c>
      <c r="V62" s="184">
        <f t="shared" ref="V62:V68" si="60">U62</f>
        <v>74712</v>
      </c>
      <c r="W62" s="250">
        <v>78687</v>
      </c>
      <c r="X62" s="250">
        <v>78770</v>
      </c>
      <c r="Y62" s="184">
        <f t="shared" ref="Y62:Y68" si="61">X62</f>
        <v>78770</v>
      </c>
      <c r="Z62" s="250">
        <v>88077</v>
      </c>
      <c r="AA62" s="206">
        <v>95031</v>
      </c>
      <c r="AB62" s="184">
        <f t="shared" ref="AB62:AB68" si="62">AA62</f>
        <v>95031</v>
      </c>
      <c r="AC62" s="231"/>
      <c r="AD62" s="231"/>
      <c r="AE62" s="184"/>
      <c r="AF62" s="231"/>
      <c r="AG62" s="231"/>
      <c r="AH62" s="184"/>
      <c r="AI62" s="231"/>
      <c r="AJ62" s="231"/>
      <c r="AK62" s="184"/>
      <c r="AL62" s="231"/>
      <c r="AM62" s="231"/>
      <c r="AN62" s="184"/>
      <c r="AO62" s="231"/>
      <c r="AP62" s="231"/>
      <c r="AQ62" s="184"/>
      <c r="AR62" s="231"/>
      <c r="AS62" s="231"/>
      <c r="AT62" s="184"/>
      <c r="AU62" s="231"/>
      <c r="AV62" s="231"/>
      <c r="AW62" s="184"/>
      <c r="AX62" s="231"/>
      <c r="AY62" s="231"/>
      <c r="AZ62" s="184"/>
    </row>
    <row r="63" spans="2:58">
      <c r="B63" s="175" t="s">
        <v>2327</v>
      </c>
      <c r="E63" s="206">
        <v>6250</v>
      </c>
      <c r="F63" s="206">
        <v>5942</v>
      </c>
      <c r="G63" s="184">
        <f t="shared" si="55"/>
        <v>5942</v>
      </c>
      <c r="H63" s="206">
        <v>5538</v>
      </c>
      <c r="I63" s="206">
        <v>5624</v>
      </c>
      <c r="J63" s="184">
        <f t="shared" si="56"/>
        <v>5624</v>
      </c>
      <c r="K63" s="206">
        <v>4027</v>
      </c>
      <c r="L63" s="206">
        <v>4454</v>
      </c>
      <c r="M63" s="184">
        <f t="shared" si="57"/>
        <v>4454</v>
      </c>
      <c r="N63" s="206">
        <v>4145</v>
      </c>
      <c r="O63" s="206">
        <v>3012</v>
      </c>
      <c r="P63" s="184">
        <f t="shared" si="58"/>
        <v>3012</v>
      </c>
      <c r="Q63" s="206">
        <v>4888</v>
      </c>
      <c r="R63" s="220">
        <v>4702</v>
      </c>
      <c r="S63" s="184">
        <f t="shared" si="59"/>
        <v>4702</v>
      </c>
      <c r="T63" s="206">
        <v>4758</v>
      </c>
      <c r="U63" s="206">
        <v>4144</v>
      </c>
      <c r="V63" s="184">
        <f t="shared" si="60"/>
        <v>4144</v>
      </c>
      <c r="W63" s="250">
        <v>3989</v>
      </c>
      <c r="X63" s="250">
        <v>3861</v>
      </c>
      <c r="Y63" s="184">
        <f t="shared" si="61"/>
        <v>3861</v>
      </c>
      <c r="Z63" s="250">
        <v>3806</v>
      </c>
      <c r="AA63" s="206">
        <v>3747</v>
      </c>
      <c r="AB63" s="184">
        <f t="shared" si="62"/>
        <v>3747</v>
      </c>
      <c r="AC63" s="231"/>
      <c r="AD63" s="231"/>
      <c r="AE63" s="184"/>
      <c r="AF63" s="231"/>
      <c r="AG63" s="231"/>
      <c r="AH63" s="184"/>
      <c r="AI63" s="231"/>
      <c r="AJ63" s="231"/>
      <c r="AK63" s="184"/>
      <c r="AL63" s="231"/>
      <c r="AM63" s="231"/>
      <c r="AN63" s="184"/>
      <c r="AO63" s="231"/>
      <c r="AP63" s="231"/>
      <c r="AQ63" s="184"/>
      <c r="AR63" s="231"/>
      <c r="AS63" s="231"/>
      <c r="AT63" s="184"/>
      <c r="AU63" s="231"/>
      <c r="AV63" s="231"/>
      <c r="AW63" s="184"/>
      <c r="AX63" s="231"/>
      <c r="AY63" s="231"/>
      <c r="AZ63" s="184"/>
    </row>
    <row r="64" spans="2:58">
      <c r="B64" s="175" t="s">
        <v>2328</v>
      </c>
      <c r="E64" s="206">
        <f>E62+E63</f>
        <v>61120</v>
      </c>
      <c r="F64" s="206">
        <f>F62+F63</f>
        <v>63699</v>
      </c>
      <c r="G64" s="184">
        <f t="shared" si="55"/>
        <v>63699</v>
      </c>
      <c r="H64" s="206">
        <f>H62+H63</f>
        <v>69436</v>
      </c>
      <c r="I64" s="206">
        <f>I62+I63</f>
        <v>74396</v>
      </c>
      <c r="J64" s="184">
        <f t="shared" si="56"/>
        <v>74396</v>
      </c>
      <c r="K64" s="206">
        <f>K62+K63</f>
        <v>65645</v>
      </c>
      <c r="L64" s="206">
        <f>L62+L63</f>
        <v>61446</v>
      </c>
      <c r="M64" s="184">
        <f t="shared" si="57"/>
        <v>61446</v>
      </c>
      <c r="N64" s="206">
        <f>N62+N63</f>
        <v>51542</v>
      </c>
      <c r="O64" s="206">
        <f>O62+O63</f>
        <v>61524</v>
      </c>
      <c r="P64" s="184">
        <f t="shared" si="58"/>
        <v>61524</v>
      </c>
      <c r="Q64" s="206">
        <f>Q62+Q63</f>
        <v>84887</v>
      </c>
      <c r="R64" s="206">
        <f>R62+R63</f>
        <v>83427</v>
      </c>
      <c r="S64" s="184">
        <f t="shared" si="59"/>
        <v>83427</v>
      </c>
      <c r="T64" s="206">
        <f>T62+T63</f>
        <v>86231</v>
      </c>
      <c r="U64" s="206">
        <f>U62+U63</f>
        <v>78856</v>
      </c>
      <c r="V64" s="184">
        <f t="shared" si="60"/>
        <v>78856</v>
      </c>
      <c r="W64" s="206">
        <f>W62+W63</f>
        <v>82676</v>
      </c>
      <c r="X64" s="206">
        <f>X62+X63</f>
        <v>82631</v>
      </c>
      <c r="Y64" s="184">
        <f t="shared" si="61"/>
        <v>82631</v>
      </c>
      <c r="Z64" s="206">
        <f>Z62+Z63</f>
        <v>91883</v>
      </c>
      <c r="AA64" s="206">
        <f>AA62+AA63</f>
        <v>98778</v>
      </c>
      <c r="AB64" s="184">
        <f t="shared" si="62"/>
        <v>98778</v>
      </c>
      <c r="AC64" s="206">
        <v>103209</v>
      </c>
      <c r="AD64" s="206">
        <v>105765</v>
      </c>
      <c r="AE64" s="184">
        <f>AD64</f>
        <v>105765</v>
      </c>
      <c r="AF64" s="206">
        <v>112907</v>
      </c>
      <c r="AG64" s="206">
        <v>107335</v>
      </c>
      <c r="AH64" s="184">
        <f>AG64</f>
        <v>107335</v>
      </c>
      <c r="AI64" s="206">
        <v>125924</v>
      </c>
      <c r="AJ64" s="206">
        <v>132216</v>
      </c>
      <c r="AK64" s="184">
        <f>AJ64</f>
        <v>132216</v>
      </c>
      <c r="AL64" s="401">
        <f>AK64+AL122+AL131+AL137*2/3</f>
        <v>136692.39666666667</v>
      </c>
      <c r="AM64" s="401">
        <f>AL64+AM122+AM131+AM137*2/3</f>
        <v>144050.6047590462</v>
      </c>
      <c r="AN64" s="184">
        <f>AM64</f>
        <v>144050.6047590462</v>
      </c>
      <c r="AO64" s="401">
        <f>AN64+AO122+AO131+AO137*2/3</f>
        <v>148569.73563171286</v>
      </c>
      <c r="AP64" s="401">
        <f>AO64+AP122+AP131+AP137*2/3</f>
        <v>156570.98003849859</v>
      </c>
      <c r="AQ64" s="184">
        <f>AP64</f>
        <v>156570.98003849859</v>
      </c>
      <c r="AR64" s="401">
        <f>AQ64+AR122+AR131+AR137*2/3</f>
        <v>161136.79219872065</v>
      </c>
      <c r="AS64" s="401">
        <f>AR64+AS122+AS131+AS137*2/3</f>
        <v>169820.38984649599</v>
      </c>
      <c r="AT64" s="184">
        <f>AS64</f>
        <v>169820.38984649599</v>
      </c>
      <c r="AU64" s="401">
        <f>AT64+AU122+AU131+AU137*2/3</f>
        <v>174437.19176425246</v>
      </c>
      <c r="AV64" s="401">
        <f>AU64+AV122+AV131+AV137*2/3</f>
        <v>183845.09665958033</v>
      </c>
      <c r="AW64" s="184">
        <f>AV64</f>
        <v>183845.09665958033</v>
      </c>
      <c r="AX64" s="401">
        <f>AW64+AX122+AX131+AX137*2/3</f>
        <v>188517.59109283303</v>
      </c>
      <c r="AY64" s="401">
        <f>AX64+AY122+AY131+AY137*2/3</f>
        <v>198694.58801150892</v>
      </c>
      <c r="AZ64" s="184">
        <f>AY64</f>
        <v>198694.58801150892</v>
      </c>
    </row>
    <row r="65" spans="2:52">
      <c r="B65" s="175" t="s">
        <v>2329</v>
      </c>
      <c r="E65" s="206">
        <v>21353</v>
      </c>
      <c r="F65" s="206">
        <v>22259</v>
      </c>
      <c r="G65" s="184">
        <f t="shared" si="55"/>
        <v>22259</v>
      </c>
      <c r="H65" s="206">
        <v>24037</v>
      </c>
      <c r="I65" s="206">
        <f>H65+I123+I132</f>
        <v>24755</v>
      </c>
      <c r="J65" s="184">
        <f t="shared" si="56"/>
        <v>24755</v>
      </c>
      <c r="K65" s="206">
        <v>24567</v>
      </c>
      <c r="L65" s="206">
        <v>22175</v>
      </c>
      <c r="M65" s="184">
        <f t="shared" si="57"/>
        <v>22175</v>
      </c>
      <c r="N65" s="206">
        <v>18564</v>
      </c>
      <c r="O65" s="206">
        <v>23506</v>
      </c>
      <c r="P65" s="184">
        <f t="shared" si="58"/>
        <v>23506</v>
      </c>
      <c r="Q65" s="206">
        <v>29319</v>
      </c>
      <c r="R65" s="206">
        <v>32652</v>
      </c>
      <c r="S65" s="184">
        <f t="shared" si="59"/>
        <v>32652</v>
      </c>
      <c r="T65" s="206">
        <v>32727</v>
      </c>
      <c r="U65" s="206">
        <v>31433</v>
      </c>
      <c r="V65" s="184">
        <f t="shared" si="60"/>
        <v>31433</v>
      </c>
      <c r="W65" s="206">
        <v>40871</v>
      </c>
      <c r="X65" s="206">
        <v>42112</v>
      </c>
      <c r="Y65" s="184">
        <f t="shared" si="61"/>
        <v>42112</v>
      </c>
      <c r="Z65" s="206">
        <v>44783</v>
      </c>
      <c r="AA65" s="206">
        <v>46356</v>
      </c>
      <c r="AB65" s="184">
        <f t="shared" si="62"/>
        <v>46356</v>
      </c>
      <c r="AC65" s="206">
        <v>50562</v>
      </c>
      <c r="AD65" s="206">
        <v>52287</v>
      </c>
      <c r="AE65" s="184">
        <f>AD65</f>
        <v>52287</v>
      </c>
      <c r="AF65" s="206">
        <v>61458</v>
      </c>
      <c r="AG65" s="206">
        <v>61030</v>
      </c>
      <c r="AH65" s="184">
        <f>AG65</f>
        <v>61030</v>
      </c>
      <c r="AI65" s="206">
        <v>62441</v>
      </c>
      <c r="AJ65" s="206">
        <v>65136</v>
      </c>
      <c r="AK65" s="184">
        <f>AJ65</f>
        <v>65136</v>
      </c>
      <c r="AL65" s="401">
        <f>AK65+AL123+AL132+AL137*1/3</f>
        <v>67684.621808373762</v>
      </c>
      <c r="AM65" s="401">
        <f>AL65+AM123+AM132+AM137*1/3</f>
        <v>70074.566695084897</v>
      </c>
      <c r="AN65" s="184">
        <f>AM65</f>
        <v>70074.566695084897</v>
      </c>
      <c r="AO65" s="401">
        <f>AN65+AO123+AO132+AO137*1/3</f>
        <v>72808.788982361308</v>
      </c>
      <c r="AP65" s="401">
        <f>AO65+AP123+AP132+AP137*1/3</f>
        <v>75365.405318567384</v>
      </c>
      <c r="AQ65" s="184">
        <f>AP65</f>
        <v>75365.405318567384</v>
      </c>
      <c r="AR65" s="401">
        <f>AQ65+AR123+AR132+AR137*1/3</f>
        <v>78297.52967372995</v>
      </c>
      <c r="AS65" s="401">
        <f>AR65+AS123+AS132+AS137*1/3</f>
        <v>81030.948539565812</v>
      </c>
      <c r="AT65" s="184">
        <f>AS65</f>
        <v>81030.948539565812</v>
      </c>
      <c r="AU65" s="401">
        <f>AT65+AU123+AU132+AU137*1/3</f>
        <v>84173.939155713815</v>
      </c>
      <c r="AV65" s="401">
        <f>AU65+AV123+AV132+AV137*1/3</f>
        <v>87094.71194893308</v>
      </c>
      <c r="AW65" s="184">
        <f>AV65</f>
        <v>87094.71194893308</v>
      </c>
      <c r="AX65" s="401">
        <f>AW65+AX123+AX132+AX137*1/3</f>
        <v>90462.210288605987</v>
      </c>
      <c r="AY65" s="401">
        <f>AX65+AY123+AY132+AY137*1/3</f>
        <v>93581.296863424868</v>
      </c>
      <c r="AZ65" s="184">
        <f>AY65</f>
        <v>93581.296863424868</v>
      </c>
    </row>
    <row r="66" spans="2:52">
      <c r="B66" s="175" t="s">
        <v>2330</v>
      </c>
      <c r="E66" s="206">
        <v>3725</v>
      </c>
      <c r="F66" s="206">
        <v>3868</v>
      </c>
      <c r="G66" s="184">
        <f t="shared" si="55"/>
        <v>3868</v>
      </c>
      <c r="H66" s="206">
        <v>3933</v>
      </c>
      <c r="I66" s="206">
        <f>H66+I124+I133-43</f>
        <v>4780</v>
      </c>
      <c r="J66" s="184">
        <f t="shared" si="56"/>
        <v>4780</v>
      </c>
      <c r="K66" s="206">
        <v>4585</v>
      </c>
      <c r="L66" s="206">
        <v>4493</v>
      </c>
      <c r="M66" s="184">
        <f t="shared" si="57"/>
        <v>4493</v>
      </c>
      <c r="N66" s="206">
        <v>463</v>
      </c>
      <c r="O66" s="206">
        <v>0</v>
      </c>
      <c r="P66" s="184">
        <f t="shared" si="58"/>
        <v>0</v>
      </c>
      <c r="Q66" s="206">
        <v>0</v>
      </c>
      <c r="R66" s="206">
        <v>0</v>
      </c>
      <c r="S66" s="184">
        <f t="shared" si="59"/>
        <v>0</v>
      </c>
      <c r="T66" s="206">
        <f>S66+T124+T133</f>
        <v>0</v>
      </c>
      <c r="U66" s="206">
        <f>T66+U124+U133</f>
        <v>0</v>
      </c>
      <c r="V66" s="184">
        <f t="shared" si="60"/>
        <v>0</v>
      </c>
      <c r="W66" s="206">
        <f>V66+W124+W133</f>
        <v>0</v>
      </c>
      <c r="X66" s="206">
        <v>0</v>
      </c>
      <c r="Y66" s="184">
        <f t="shared" si="61"/>
        <v>0</v>
      </c>
      <c r="Z66" s="206">
        <v>0</v>
      </c>
      <c r="AA66" s="206">
        <v>0</v>
      </c>
      <c r="AB66" s="184">
        <f t="shared" si="62"/>
        <v>0</v>
      </c>
      <c r="AC66" s="206"/>
      <c r="AD66" s="206"/>
      <c r="AE66" s="184"/>
      <c r="AF66" s="206"/>
      <c r="AG66" s="206"/>
      <c r="AH66" s="184"/>
      <c r="AI66" s="206"/>
      <c r="AJ66" s="206"/>
      <c r="AK66" s="184"/>
      <c r="AL66" s="206"/>
      <c r="AM66" s="206"/>
      <c r="AN66" s="184"/>
      <c r="AO66" s="206"/>
      <c r="AP66" s="206"/>
      <c r="AQ66" s="184"/>
      <c r="AR66" s="206"/>
      <c r="AS66" s="206"/>
      <c r="AT66" s="184"/>
      <c r="AU66" s="206"/>
      <c r="AV66" s="206"/>
      <c r="AW66" s="184"/>
      <c r="AX66" s="206"/>
      <c r="AY66" s="206"/>
      <c r="AZ66" s="184"/>
    </row>
    <row r="67" spans="2:52">
      <c r="B67" s="175" t="s">
        <v>2331</v>
      </c>
      <c r="E67" s="206">
        <v>4344</v>
      </c>
      <c r="F67" s="206">
        <v>4227</v>
      </c>
      <c r="G67" s="184">
        <f t="shared" si="55"/>
        <v>4227</v>
      </c>
      <c r="H67" s="206">
        <v>4997</v>
      </c>
      <c r="I67" s="206">
        <f>H67+I125+I134</f>
        <v>6234</v>
      </c>
      <c r="J67" s="184">
        <f t="shared" si="56"/>
        <v>6234</v>
      </c>
      <c r="K67" s="206">
        <v>8129</v>
      </c>
      <c r="L67" s="206">
        <v>6485</v>
      </c>
      <c r="M67" s="184">
        <f t="shared" si="57"/>
        <v>6485</v>
      </c>
      <c r="N67" s="206">
        <v>6266</v>
      </c>
      <c r="O67" s="206">
        <v>7375</v>
      </c>
      <c r="P67" s="184">
        <f t="shared" si="58"/>
        <v>7375</v>
      </c>
      <c r="Q67" s="206">
        <v>7443</v>
      </c>
      <c r="R67" s="206">
        <v>7093</v>
      </c>
      <c r="S67" s="184">
        <f t="shared" si="59"/>
        <v>7093</v>
      </c>
      <c r="T67" s="206">
        <v>6155</v>
      </c>
      <c r="U67" s="206">
        <v>6439</v>
      </c>
      <c r="V67" s="184">
        <f t="shared" si="60"/>
        <v>6439</v>
      </c>
      <c r="W67" s="206">
        <f>V67+W125+W134</f>
        <v>6724</v>
      </c>
      <c r="X67" s="206">
        <v>7309</v>
      </c>
      <c r="Y67" s="184">
        <f t="shared" si="61"/>
        <v>7309</v>
      </c>
      <c r="Z67" s="206">
        <v>7706</v>
      </c>
      <c r="AA67" s="206">
        <v>7613</v>
      </c>
      <c r="AB67" s="184">
        <f t="shared" si="62"/>
        <v>7613</v>
      </c>
      <c r="AC67" s="206"/>
      <c r="AD67" s="206"/>
      <c r="AE67" s="184"/>
      <c r="AF67" s="206"/>
      <c r="AG67" s="206"/>
      <c r="AH67" s="184"/>
      <c r="AI67" s="206"/>
      <c r="AJ67" s="206"/>
      <c r="AK67" s="184"/>
      <c r="AL67" s="206"/>
      <c r="AM67" s="206"/>
      <c r="AN67" s="184"/>
      <c r="AO67" s="206"/>
      <c r="AP67" s="206"/>
      <c r="AQ67" s="184"/>
      <c r="AR67" s="206"/>
      <c r="AS67" s="206"/>
      <c r="AT67" s="184"/>
      <c r="AU67" s="206"/>
      <c r="AV67" s="206"/>
      <c r="AW67" s="184"/>
      <c r="AX67" s="206"/>
      <c r="AY67" s="206"/>
      <c r="AZ67" s="184"/>
    </row>
    <row r="68" spans="2:52" s="181" customFormat="1">
      <c r="B68" s="181" t="s">
        <v>2332</v>
      </c>
      <c r="E68" s="193">
        <f>SUM(E64:E67)</f>
        <v>90542</v>
      </c>
      <c r="F68" s="193">
        <f>SUM(F64:F67)</f>
        <v>94053</v>
      </c>
      <c r="G68" s="194">
        <f t="shared" si="55"/>
        <v>94053</v>
      </c>
      <c r="H68" s="193">
        <f>SUM(H64:H67)</f>
        <v>102403</v>
      </c>
      <c r="I68" s="193">
        <f>I90</f>
        <v>110165</v>
      </c>
      <c r="J68" s="194">
        <f t="shared" si="56"/>
        <v>110165</v>
      </c>
      <c r="K68" s="193">
        <f>K90</f>
        <v>102926</v>
      </c>
      <c r="L68" s="193">
        <f>L90</f>
        <v>94599</v>
      </c>
      <c r="M68" s="194">
        <f t="shared" si="57"/>
        <v>94599</v>
      </c>
      <c r="N68" s="193">
        <f>N90</f>
        <v>76835</v>
      </c>
      <c r="O68" s="193">
        <f>O90</f>
        <v>92405</v>
      </c>
      <c r="P68" s="194">
        <f t="shared" si="58"/>
        <v>92405</v>
      </c>
      <c r="Q68" s="193">
        <f>Q90</f>
        <v>121649</v>
      </c>
      <c r="R68" s="193">
        <f>R90</f>
        <v>123172</v>
      </c>
      <c r="S68" s="194">
        <f t="shared" si="59"/>
        <v>123172</v>
      </c>
      <c r="T68" s="193">
        <f>T90</f>
        <v>125113</v>
      </c>
      <c r="U68" s="193">
        <f>U90</f>
        <v>116728</v>
      </c>
      <c r="V68" s="194">
        <f t="shared" si="60"/>
        <v>116728</v>
      </c>
      <c r="W68" s="193">
        <f>W90</f>
        <v>130271</v>
      </c>
      <c r="X68" s="193">
        <f>X90</f>
        <v>132052</v>
      </c>
      <c r="Y68" s="194">
        <f t="shared" si="61"/>
        <v>132052</v>
      </c>
      <c r="Z68" s="193">
        <f>Z90</f>
        <v>144372</v>
      </c>
      <c r="AA68" s="193">
        <f>AA90</f>
        <v>152747</v>
      </c>
      <c r="AB68" s="194">
        <f t="shared" si="62"/>
        <v>152747</v>
      </c>
      <c r="AC68" s="193">
        <f>AC64+AC65</f>
        <v>153771</v>
      </c>
      <c r="AD68" s="193">
        <f>AD64+AD65</f>
        <v>158052</v>
      </c>
      <c r="AE68" s="194">
        <f>AD68</f>
        <v>158052</v>
      </c>
      <c r="AF68" s="193">
        <f>AF64+AF65</f>
        <v>174365</v>
      </c>
      <c r="AG68" s="193">
        <f>AG64+AG65</f>
        <v>168365</v>
      </c>
      <c r="AH68" s="194">
        <f>AG68</f>
        <v>168365</v>
      </c>
      <c r="AI68" s="193">
        <f>AI64+AI65</f>
        <v>188365</v>
      </c>
      <c r="AJ68" s="193">
        <f>AJ64+AJ65</f>
        <v>197352</v>
      </c>
      <c r="AK68" s="194">
        <f>AJ68</f>
        <v>197352</v>
      </c>
      <c r="AL68" s="193">
        <f>AL90</f>
        <v>204377.01847504044</v>
      </c>
      <c r="AM68" s="193">
        <f>AM90</f>
        <v>214125.17145413111</v>
      </c>
      <c r="AN68" s="194">
        <f>AM68</f>
        <v>214125.17145413111</v>
      </c>
      <c r="AO68" s="193">
        <f>AO90</f>
        <v>221378.52461407418</v>
      </c>
      <c r="AP68" s="193">
        <f>AP90</f>
        <v>231936.385357066</v>
      </c>
      <c r="AQ68" s="194">
        <f>AP68</f>
        <v>231936.385357066</v>
      </c>
      <c r="AR68" s="193">
        <f>AR90</f>
        <v>239434.32187245067</v>
      </c>
      <c r="AS68" s="193">
        <f>AS90</f>
        <v>250851.33838606186</v>
      </c>
      <c r="AT68" s="194">
        <f>AS68</f>
        <v>250851.33838606186</v>
      </c>
      <c r="AU68" s="193">
        <f>AU90</f>
        <v>258611.13091996638</v>
      </c>
      <c r="AV68" s="193">
        <f>AV90</f>
        <v>270939.80860851356</v>
      </c>
      <c r="AW68" s="194">
        <f>AV68</f>
        <v>270939.80860851356</v>
      </c>
      <c r="AX68" s="193">
        <f>AX90</f>
        <v>278979.80138143915</v>
      </c>
      <c r="AY68" s="193">
        <f>AY90</f>
        <v>292275.88487493386</v>
      </c>
      <c r="AZ68" s="194">
        <f>AY68</f>
        <v>292275.88487493386</v>
      </c>
    </row>
    <row r="69" spans="2:52" s="181" customFormat="1">
      <c r="B69" s="175" t="s">
        <v>2333</v>
      </c>
      <c r="E69" s="193"/>
      <c r="F69" s="193"/>
      <c r="G69" s="194"/>
      <c r="H69" s="193"/>
      <c r="I69" s="206">
        <f>I68-SUM(I64:I67)</f>
        <v>0</v>
      </c>
      <c r="J69" s="194"/>
      <c r="K69" s="206">
        <f>K68-SUM(K64:K67)</f>
        <v>0</v>
      </c>
      <c r="L69" s="206">
        <f>L68-SUM(L64:L67)</f>
        <v>0</v>
      </c>
      <c r="M69" s="194"/>
      <c r="N69" s="206">
        <f>N68-SUM(N64:N67)</f>
        <v>0</v>
      </c>
      <c r="O69" s="206">
        <f>O68-SUM(O64:O67)</f>
        <v>0</v>
      </c>
      <c r="P69" s="194"/>
      <c r="Q69" s="206">
        <f>Q68-SUM(Q64:Q67)</f>
        <v>0</v>
      </c>
      <c r="R69" s="206">
        <f>R68-SUM(R64:R67)</f>
        <v>0</v>
      </c>
      <c r="S69" s="194"/>
      <c r="T69" s="206">
        <f>T68-SUM(T64:T67)</f>
        <v>0</v>
      </c>
      <c r="U69" s="206">
        <f>U68-SUM(U64:U67)</f>
        <v>0</v>
      </c>
      <c r="V69" s="194"/>
      <c r="W69" s="206">
        <f>W68-SUM(W64:W67)</f>
        <v>0</v>
      </c>
      <c r="X69" s="206">
        <f>X68-SUM(X64:X67)</f>
        <v>0</v>
      </c>
      <c r="Y69" s="194"/>
      <c r="Z69" s="206">
        <f>Z68-SUM(Z64:Z67)</f>
        <v>0</v>
      </c>
      <c r="AA69" s="206">
        <f>AA68-SUM(AA64:AA67)</f>
        <v>0</v>
      </c>
      <c r="AB69" s="194"/>
      <c r="AC69" s="206">
        <f>AC68-SUM(AC64:AC67)</f>
        <v>0</v>
      </c>
      <c r="AD69" s="206">
        <f>AD68-SUM(AD64:AD67)</f>
        <v>0</v>
      </c>
      <c r="AE69" s="194"/>
      <c r="AF69" s="206">
        <f>AF68-SUM(AF64:AF67)</f>
        <v>0</v>
      </c>
      <c r="AG69" s="206">
        <f>AG68-SUM(AG64:AG67)</f>
        <v>0</v>
      </c>
      <c r="AH69" s="194"/>
      <c r="AI69" s="206">
        <f>AI68-SUM(AI64:AI67)</f>
        <v>0</v>
      </c>
      <c r="AJ69" s="206">
        <f>AJ68-SUM(AJ64:AJ67)</f>
        <v>0</v>
      </c>
      <c r="AK69" s="194"/>
      <c r="AL69" s="206">
        <f>AL68-SUM(AL64:AL67)</f>
        <v>0</v>
      </c>
      <c r="AM69" s="206">
        <f>AM68-SUM(AM64:AM67)</f>
        <v>0</v>
      </c>
      <c r="AN69" s="194"/>
      <c r="AO69" s="206">
        <f>AO68-SUM(AO64:AO67)</f>
        <v>0</v>
      </c>
      <c r="AP69" s="206">
        <f>AP68-SUM(AP64:AP67)</f>
        <v>0</v>
      </c>
      <c r="AQ69" s="194"/>
      <c r="AR69" s="206">
        <f>AR68-SUM(AR64:AR67)</f>
        <v>0</v>
      </c>
      <c r="AS69" s="206">
        <f>AS68-SUM(AS64:AS67)</f>
        <v>0</v>
      </c>
      <c r="AT69" s="194"/>
      <c r="AU69" s="206">
        <f>AU68-SUM(AU64:AU67)</f>
        <v>0</v>
      </c>
      <c r="AV69" s="206">
        <f>AV68-SUM(AV64:AV67)</f>
        <v>0</v>
      </c>
      <c r="AW69" s="194"/>
      <c r="AX69" s="206">
        <f>AX68-SUM(AX64:AX67)</f>
        <v>0</v>
      </c>
      <c r="AY69" s="206">
        <f>AY68-SUM(AY64:AY67)</f>
        <v>0</v>
      </c>
      <c r="AZ69" s="194"/>
    </row>
    <row r="70" spans="2:52" s="181" customFormat="1">
      <c r="B70" s="181" t="s">
        <v>2334</v>
      </c>
      <c r="E70" s="193"/>
      <c r="F70" s="193"/>
      <c r="G70" s="194"/>
      <c r="H70" s="206">
        <f>H68-H66</f>
        <v>98470</v>
      </c>
      <c r="I70" s="206">
        <f>I68-I66</f>
        <v>105385</v>
      </c>
      <c r="J70" s="194">
        <f>I70</f>
        <v>105385</v>
      </c>
      <c r="K70" s="206">
        <f>K68-K66</f>
        <v>98341</v>
      </c>
      <c r="L70" s="206">
        <f>L68-L66</f>
        <v>90106</v>
      </c>
      <c r="M70" s="194">
        <f>L70</f>
        <v>90106</v>
      </c>
      <c r="N70" s="206">
        <f>N68-N66</f>
        <v>76372</v>
      </c>
      <c r="O70" s="206">
        <f>O68-O66</f>
        <v>92405</v>
      </c>
      <c r="P70" s="194">
        <f>O70</f>
        <v>92405</v>
      </c>
      <c r="Q70" s="206">
        <f>Q68-Q66</f>
        <v>121649</v>
      </c>
      <c r="R70" s="206">
        <f>R68-R66</f>
        <v>123172</v>
      </c>
      <c r="S70" s="194">
        <f>R70</f>
        <v>123172</v>
      </c>
      <c r="T70" s="206">
        <f>T68-T66</f>
        <v>125113</v>
      </c>
      <c r="U70" s="206">
        <f>U68-U66</f>
        <v>116728</v>
      </c>
      <c r="V70" s="194">
        <f>U70</f>
        <v>116728</v>
      </c>
      <c r="W70" s="206">
        <f>W68-W66</f>
        <v>130271</v>
      </c>
      <c r="X70" s="206">
        <f>X68-X66</f>
        <v>132052</v>
      </c>
      <c r="Y70" s="194">
        <f>X70</f>
        <v>132052</v>
      </c>
      <c r="Z70" s="206">
        <f>Z68-Z66</f>
        <v>144372</v>
      </c>
      <c r="AA70" s="206">
        <f>AA68-AA66</f>
        <v>152747</v>
      </c>
      <c r="AB70" s="194">
        <f>AA70</f>
        <v>152747</v>
      </c>
      <c r="AC70" s="206">
        <f>AC68-AC66</f>
        <v>153771</v>
      </c>
      <c r="AD70" s="206">
        <f>AD68-AD66</f>
        <v>158052</v>
      </c>
      <c r="AE70" s="194">
        <f>AD70</f>
        <v>158052</v>
      </c>
      <c r="AF70" s="206">
        <f>AF68-AF66</f>
        <v>174365</v>
      </c>
      <c r="AG70" s="206">
        <f>AG68-AG66</f>
        <v>168365</v>
      </c>
      <c r="AH70" s="194">
        <f>AG70</f>
        <v>168365</v>
      </c>
      <c r="AI70" s="206">
        <f>AI68-AI66</f>
        <v>188365</v>
      </c>
      <c r="AJ70" s="206">
        <f>AJ68-AJ66</f>
        <v>197352</v>
      </c>
      <c r="AK70" s="194">
        <f>AJ70</f>
        <v>197352</v>
      </c>
      <c r="AL70" s="206">
        <f>AL68-AL66</f>
        <v>204377.01847504044</v>
      </c>
      <c r="AM70" s="206">
        <f>AM68-AM66</f>
        <v>214125.17145413111</v>
      </c>
      <c r="AN70" s="194">
        <f>AM70</f>
        <v>214125.17145413111</v>
      </c>
      <c r="AO70" s="206">
        <f>AO68-AO66</f>
        <v>221378.52461407418</v>
      </c>
      <c r="AP70" s="206">
        <f>AP68-AP66</f>
        <v>231936.385357066</v>
      </c>
      <c r="AQ70" s="194">
        <f>AP70</f>
        <v>231936.385357066</v>
      </c>
      <c r="AR70" s="206">
        <f>AR68-AR66</f>
        <v>239434.32187245067</v>
      </c>
      <c r="AS70" s="206">
        <f>AS68-AS66</f>
        <v>250851.33838606186</v>
      </c>
      <c r="AT70" s="194">
        <f>AS70</f>
        <v>250851.33838606186</v>
      </c>
      <c r="AU70" s="206">
        <f>AU68-AU66</f>
        <v>258611.13091996638</v>
      </c>
      <c r="AV70" s="206">
        <f>AV68-AV66</f>
        <v>270939.80860851356</v>
      </c>
      <c r="AW70" s="194">
        <f>AV70</f>
        <v>270939.80860851356</v>
      </c>
      <c r="AX70" s="206">
        <f>AX68-AX66</f>
        <v>278979.80138143915</v>
      </c>
      <c r="AY70" s="206">
        <f>AY68-AY66</f>
        <v>292275.88487493386</v>
      </c>
      <c r="AZ70" s="194">
        <f>AY70</f>
        <v>292275.88487493386</v>
      </c>
    </row>
    <row r="71" spans="2:52" s="181" customFormat="1">
      <c r="B71" s="181" t="s">
        <v>2335</v>
      </c>
      <c r="E71" s="193"/>
      <c r="F71" s="193"/>
      <c r="G71" s="194"/>
      <c r="H71" s="206">
        <f>H68-H66-H67</f>
        <v>93473</v>
      </c>
      <c r="I71" s="206">
        <f>I68-I66-I67</f>
        <v>99151</v>
      </c>
      <c r="J71" s="194">
        <f>I71</f>
        <v>99151</v>
      </c>
      <c r="K71" s="206">
        <f>K68-K66-K67</f>
        <v>90212</v>
      </c>
      <c r="L71" s="206">
        <f>L68-L66-L67</f>
        <v>83621</v>
      </c>
      <c r="M71" s="194">
        <f>L71</f>
        <v>83621</v>
      </c>
      <c r="N71" s="206">
        <f>N68-N66-N67</f>
        <v>70106</v>
      </c>
      <c r="O71" s="206">
        <f>O68-O66-O67</f>
        <v>85030</v>
      </c>
      <c r="P71" s="194">
        <f>O71</f>
        <v>85030</v>
      </c>
      <c r="Q71" s="206">
        <f>Q68-Q66-Q67</f>
        <v>114206</v>
      </c>
      <c r="R71" s="206">
        <f>R68-R66-R67</f>
        <v>116079</v>
      </c>
      <c r="S71" s="194">
        <f>R71</f>
        <v>116079</v>
      </c>
      <c r="T71" s="206">
        <f>T68-T66-T67</f>
        <v>118958</v>
      </c>
      <c r="U71" s="206">
        <f>U68-U66-U67</f>
        <v>110289</v>
      </c>
      <c r="V71" s="194">
        <f>U71</f>
        <v>110289</v>
      </c>
      <c r="W71" s="206">
        <f>W68-W66-W67</f>
        <v>123547</v>
      </c>
      <c r="X71" s="206">
        <f>X68-X66-X67</f>
        <v>124743</v>
      </c>
      <c r="Y71" s="194">
        <f>X71</f>
        <v>124743</v>
      </c>
      <c r="Z71" s="206">
        <f>Z68-Z66-Z67</f>
        <v>136666</v>
      </c>
      <c r="AA71" s="206">
        <f>AA68-AA66-AA67</f>
        <v>145134</v>
      </c>
      <c r="AB71" s="194">
        <f>AA71</f>
        <v>145134</v>
      </c>
      <c r="AC71" s="206">
        <f>AC68-AC66-AC67</f>
        <v>153771</v>
      </c>
      <c r="AD71" s="206">
        <f>AD68-AD66-AD67</f>
        <v>158052</v>
      </c>
      <c r="AE71" s="194">
        <f>AD71</f>
        <v>158052</v>
      </c>
      <c r="AF71" s="206">
        <f>AF68-AF66-AF67</f>
        <v>174365</v>
      </c>
      <c r="AG71" s="206">
        <f>AG68-AG66-AG67</f>
        <v>168365</v>
      </c>
      <c r="AH71" s="194">
        <f>AG71</f>
        <v>168365</v>
      </c>
      <c r="AI71" s="206">
        <f>AI68-AI66-AI67</f>
        <v>188365</v>
      </c>
      <c r="AJ71" s="206">
        <f>AJ68-AJ66-AJ67</f>
        <v>197352</v>
      </c>
      <c r="AK71" s="194">
        <f>AJ71</f>
        <v>197352</v>
      </c>
      <c r="AL71" s="206">
        <f>AL68-AL66-AL67</f>
        <v>204377.01847504044</v>
      </c>
      <c r="AM71" s="206">
        <f>AM68-AM66-AM67</f>
        <v>214125.17145413111</v>
      </c>
      <c r="AN71" s="194">
        <f>AM71</f>
        <v>214125.17145413111</v>
      </c>
      <c r="AO71" s="206">
        <f>AO68-AO66-AO67</f>
        <v>221378.52461407418</v>
      </c>
      <c r="AP71" s="206">
        <f>AP68-AP66-AP67</f>
        <v>231936.385357066</v>
      </c>
      <c r="AQ71" s="194">
        <f>AP71</f>
        <v>231936.385357066</v>
      </c>
      <c r="AR71" s="206">
        <f>AR68-AR66-AR67</f>
        <v>239434.32187245067</v>
      </c>
      <c r="AS71" s="206">
        <f>AS68-AS66-AS67</f>
        <v>250851.33838606186</v>
      </c>
      <c r="AT71" s="194">
        <f>AS71</f>
        <v>250851.33838606186</v>
      </c>
      <c r="AU71" s="206">
        <f>AU68-AU66-AU67</f>
        <v>258611.13091996638</v>
      </c>
      <c r="AV71" s="206">
        <f>AV68-AV66-AV67</f>
        <v>270939.80860851356</v>
      </c>
      <c r="AW71" s="194">
        <f>AV71</f>
        <v>270939.80860851356</v>
      </c>
      <c r="AX71" s="206">
        <f>AX68-AX66-AX67</f>
        <v>278979.80138143915</v>
      </c>
      <c r="AY71" s="206">
        <f>AY68-AY66-AY67</f>
        <v>292275.88487493386</v>
      </c>
      <c r="AZ71" s="194">
        <f>AY71</f>
        <v>292275.88487493386</v>
      </c>
    </row>
    <row r="72" spans="2:52">
      <c r="E72" s="206"/>
      <c r="F72" s="206"/>
      <c r="G72" s="184"/>
      <c r="H72" s="206"/>
      <c r="I72" s="206"/>
      <c r="J72" s="184"/>
      <c r="K72" s="206"/>
      <c r="L72" s="206"/>
      <c r="M72" s="184"/>
      <c r="N72" s="206"/>
      <c r="O72" s="206"/>
      <c r="P72" s="184"/>
      <c r="Q72" s="206"/>
      <c r="R72" s="206"/>
      <c r="S72" s="184"/>
      <c r="T72" s="206"/>
      <c r="U72" s="206"/>
      <c r="V72" s="184"/>
      <c r="W72" s="206"/>
      <c r="X72" s="206"/>
      <c r="Y72" s="378"/>
      <c r="Z72" s="206"/>
      <c r="AA72" s="206"/>
      <c r="AB72" s="184"/>
      <c r="AC72" s="206"/>
      <c r="AD72" s="206"/>
      <c r="AE72" s="184"/>
      <c r="AF72" s="206"/>
      <c r="AG72" s="206"/>
      <c r="AH72" s="184"/>
      <c r="AI72" s="206"/>
      <c r="AJ72" s="206"/>
      <c r="AK72" s="184"/>
      <c r="AL72" s="206"/>
      <c r="AM72" s="206"/>
      <c r="AN72" s="184"/>
      <c r="AO72" s="206"/>
      <c r="AP72" s="206"/>
      <c r="AQ72" s="184"/>
      <c r="AR72" s="206"/>
      <c r="AS72" s="206"/>
      <c r="AT72" s="184"/>
      <c r="AU72" s="206"/>
      <c r="AV72" s="206"/>
      <c r="AW72" s="184"/>
      <c r="AX72" s="206"/>
      <c r="AY72" s="206"/>
      <c r="AZ72" s="184"/>
    </row>
    <row r="73" spans="2:52">
      <c r="B73" s="181" t="s">
        <v>2336</v>
      </c>
      <c r="E73" s="206"/>
      <c r="F73" s="206"/>
      <c r="G73" s="184"/>
      <c r="H73" s="206"/>
      <c r="I73" s="206"/>
      <c r="J73" s="184"/>
      <c r="K73" s="206"/>
      <c r="L73" s="206"/>
      <c r="M73" s="184"/>
      <c r="N73" s="206"/>
      <c r="O73" s="206"/>
      <c r="P73" s="184"/>
      <c r="Q73" s="206"/>
      <c r="R73" s="206"/>
      <c r="S73" s="184"/>
      <c r="T73" s="206"/>
      <c r="U73" s="206"/>
      <c r="V73" s="184"/>
      <c r="W73" s="206"/>
      <c r="X73" s="206"/>
      <c r="Y73" s="184"/>
      <c r="Z73" s="206"/>
      <c r="AA73" s="297"/>
      <c r="AB73" s="184"/>
      <c r="AC73" s="206"/>
      <c r="AD73" s="206"/>
      <c r="AE73" s="184"/>
      <c r="AF73" s="206"/>
      <c r="AG73" s="206"/>
      <c r="AH73" s="184"/>
      <c r="AI73" s="206"/>
      <c r="AJ73" s="206"/>
      <c r="AK73" s="184"/>
      <c r="AL73" s="206"/>
      <c r="AM73" s="206"/>
      <c r="AN73" s="184"/>
      <c r="AO73" s="206"/>
      <c r="AP73" s="206"/>
      <c r="AQ73" s="184"/>
      <c r="AR73" s="206"/>
      <c r="AS73" s="206"/>
      <c r="AT73" s="184"/>
      <c r="AU73" s="206"/>
      <c r="AV73" s="206"/>
      <c r="AW73" s="184"/>
      <c r="AX73" s="206"/>
      <c r="AY73" s="206"/>
      <c r="AZ73" s="184"/>
    </row>
    <row r="74" spans="2:52">
      <c r="B74" s="175" t="s">
        <v>2326</v>
      </c>
      <c r="E74" s="207">
        <f t="shared" ref="E74:AK80" si="63">E62/E$68</f>
        <v>0.60601709703783879</v>
      </c>
      <c r="F74" s="207">
        <f t="shared" si="63"/>
        <v>0.61408992801930828</v>
      </c>
      <c r="G74" s="229">
        <f t="shared" si="63"/>
        <v>0.61408992801930828</v>
      </c>
      <c r="H74" s="207">
        <f t="shared" si="63"/>
        <v>0.62398562542113023</v>
      </c>
      <c r="I74" s="207">
        <f t="shared" si="63"/>
        <v>0.62426360459311037</v>
      </c>
      <c r="J74" s="229">
        <f t="shared" si="63"/>
        <v>0.62426360459311037</v>
      </c>
      <c r="K74" s="207">
        <f t="shared" si="63"/>
        <v>0.59866311719099163</v>
      </c>
      <c r="L74" s="207">
        <f t="shared" si="63"/>
        <v>0.60245879977589611</v>
      </c>
      <c r="M74" s="229">
        <f t="shared" si="63"/>
        <v>0.60245879977589611</v>
      </c>
      <c r="N74" s="207">
        <f t="shared" si="63"/>
        <v>0.61686731307346909</v>
      </c>
      <c r="O74" s="207">
        <f t="shared" si="63"/>
        <v>0.63321248850170442</v>
      </c>
      <c r="P74" s="229">
        <f t="shared" si="63"/>
        <v>0.63321248850170442</v>
      </c>
      <c r="Q74" s="207">
        <f t="shared" si="63"/>
        <v>0.65762151764502785</v>
      </c>
      <c r="R74" s="207">
        <f t="shared" si="63"/>
        <v>0.63914688403208519</v>
      </c>
      <c r="S74" s="229">
        <f t="shared" si="63"/>
        <v>0.63914688403208519</v>
      </c>
      <c r="T74" s="207">
        <f t="shared" si="63"/>
        <v>0.65119531943123421</v>
      </c>
      <c r="U74" s="207">
        <f t="shared" si="63"/>
        <v>0.64005208690288529</v>
      </c>
      <c r="V74" s="229">
        <f t="shared" si="63"/>
        <v>0.64005208690288529</v>
      </c>
      <c r="W74" s="207">
        <f t="shared" si="63"/>
        <v>0.6040254546291961</v>
      </c>
      <c r="X74" s="207">
        <f t="shared" si="63"/>
        <v>0.59650743646442306</v>
      </c>
      <c r="Y74" s="229">
        <f t="shared" si="63"/>
        <v>0.59650743646442306</v>
      </c>
      <c r="Z74" s="207">
        <f t="shared" si="63"/>
        <v>0.61006981963261575</v>
      </c>
      <c r="AA74" s="207">
        <f t="shared" si="63"/>
        <v>0.62214642513437257</v>
      </c>
      <c r="AB74" s="229">
        <f t="shared" si="63"/>
        <v>0.62214642513437257</v>
      </c>
      <c r="AC74" s="207"/>
      <c r="AD74" s="207"/>
      <c r="AE74" s="229"/>
      <c r="AF74" s="207"/>
      <c r="AG74" s="207"/>
      <c r="AH74" s="229"/>
      <c r="AI74" s="207"/>
      <c r="AJ74" s="207"/>
      <c r="AK74" s="229"/>
      <c r="AL74" s="207"/>
      <c r="AM74" s="207"/>
      <c r="AN74" s="229"/>
      <c r="AO74" s="207"/>
      <c r="AP74" s="207"/>
      <c r="AQ74" s="229"/>
      <c r="AR74" s="207"/>
      <c r="AS74" s="207"/>
      <c r="AT74" s="229"/>
      <c r="AU74" s="207"/>
      <c r="AV74" s="207"/>
      <c r="AW74" s="229"/>
      <c r="AX74" s="207"/>
      <c r="AY74" s="207"/>
      <c r="AZ74" s="229"/>
    </row>
    <row r="75" spans="2:52">
      <c r="B75" s="175" t="s">
        <v>2327</v>
      </c>
      <c r="E75" s="207">
        <f t="shared" si="63"/>
        <v>6.9028738044222576E-2</v>
      </c>
      <c r="F75" s="207">
        <f t="shared" si="63"/>
        <v>6.3177144801335419E-2</v>
      </c>
      <c r="G75" s="229">
        <f t="shared" si="63"/>
        <v>6.3177144801335419E-2</v>
      </c>
      <c r="H75" s="207">
        <f t="shared" si="63"/>
        <v>5.4080446861908341E-2</v>
      </c>
      <c r="I75" s="207">
        <f t="shared" si="63"/>
        <v>5.1050696682249354E-2</v>
      </c>
      <c r="J75" s="229">
        <f t="shared" si="63"/>
        <v>5.1050696682249354E-2</v>
      </c>
      <c r="K75" s="207">
        <f t="shared" si="63"/>
        <v>3.9125196743291298E-2</v>
      </c>
      <c r="L75" s="207">
        <f t="shared" si="63"/>
        <v>4.7082950136893627E-2</v>
      </c>
      <c r="M75" s="229">
        <f t="shared" si="63"/>
        <v>4.7082950136893627E-2</v>
      </c>
      <c r="N75" s="207">
        <f t="shared" si="63"/>
        <v>5.3946769050562893E-2</v>
      </c>
      <c r="O75" s="207">
        <f t="shared" si="63"/>
        <v>3.2595638764136139E-2</v>
      </c>
      <c r="P75" s="229">
        <f t="shared" si="63"/>
        <v>3.2595638764136139E-2</v>
      </c>
      <c r="Q75" s="207">
        <f t="shared" si="63"/>
        <v>4.0181176992823614E-2</v>
      </c>
      <c r="R75" s="207">
        <f t="shared" si="63"/>
        <v>3.8174260383853471E-2</v>
      </c>
      <c r="S75" s="229">
        <f t="shared" si="63"/>
        <v>3.8174260383853471E-2</v>
      </c>
      <c r="T75" s="207">
        <f t="shared" si="63"/>
        <v>3.802962122241494E-2</v>
      </c>
      <c r="U75" s="207">
        <f t="shared" si="63"/>
        <v>3.5501336440271397E-2</v>
      </c>
      <c r="V75" s="229">
        <f t="shared" si="63"/>
        <v>3.5501336440271397E-2</v>
      </c>
      <c r="W75" s="207">
        <f t="shared" si="63"/>
        <v>3.0620782829639752E-2</v>
      </c>
      <c r="X75" s="207">
        <f t="shared" si="63"/>
        <v>2.9238481810195983E-2</v>
      </c>
      <c r="Y75" s="229">
        <f t="shared" si="63"/>
        <v>2.9238481810195983E-2</v>
      </c>
      <c r="Z75" s="207">
        <f t="shared" si="63"/>
        <v>2.6362452553126647E-2</v>
      </c>
      <c r="AA75" s="207">
        <f t="shared" si="63"/>
        <v>2.4530760014926642E-2</v>
      </c>
      <c r="AB75" s="229">
        <f t="shared" si="63"/>
        <v>2.4530760014926642E-2</v>
      </c>
      <c r="AC75" s="207"/>
      <c r="AD75" s="207"/>
      <c r="AE75" s="229"/>
      <c r="AF75" s="207"/>
      <c r="AG75" s="207"/>
      <c r="AH75" s="229"/>
      <c r="AI75" s="207"/>
      <c r="AJ75" s="207"/>
      <c r="AK75" s="229"/>
      <c r="AL75" s="207"/>
      <c r="AM75" s="207"/>
      <c r="AN75" s="229"/>
      <c r="AO75" s="207"/>
      <c r="AP75" s="207"/>
      <c r="AQ75" s="229"/>
      <c r="AR75" s="207"/>
      <c r="AS75" s="207"/>
      <c r="AT75" s="229"/>
      <c r="AU75" s="207"/>
      <c r="AV75" s="207"/>
      <c r="AW75" s="229"/>
      <c r="AX75" s="207"/>
      <c r="AY75" s="207"/>
      <c r="AZ75" s="229"/>
    </row>
    <row r="76" spans="2:52">
      <c r="B76" s="175" t="s">
        <v>2328</v>
      </c>
      <c r="E76" s="207">
        <f t="shared" si="63"/>
        <v>0.6750458350820614</v>
      </c>
      <c r="F76" s="207">
        <f t="shared" si="63"/>
        <v>0.67726707282064369</v>
      </c>
      <c r="G76" s="229">
        <f t="shared" si="63"/>
        <v>0.67726707282064369</v>
      </c>
      <c r="H76" s="207">
        <f t="shared" si="63"/>
        <v>0.67806607228303861</v>
      </c>
      <c r="I76" s="207">
        <f t="shared" si="63"/>
        <v>0.67531430127535974</v>
      </c>
      <c r="J76" s="229">
        <f t="shared" si="63"/>
        <v>0.67531430127535974</v>
      </c>
      <c r="K76" s="207">
        <f t="shared" si="63"/>
        <v>0.63778831393428292</v>
      </c>
      <c r="L76" s="207">
        <f t="shared" si="63"/>
        <v>0.64954174991278979</v>
      </c>
      <c r="M76" s="229">
        <f t="shared" si="63"/>
        <v>0.64954174991278979</v>
      </c>
      <c r="N76" s="207">
        <f t="shared" si="63"/>
        <v>0.67081408212403204</v>
      </c>
      <c r="O76" s="207">
        <f t="shared" si="63"/>
        <v>0.6658081272658406</v>
      </c>
      <c r="P76" s="229">
        <f t="shared" si="63"/>
        <v>0.6658081272658406</v>
      </c>
      <c r="Q76" s="207">
        <f t="shared" si="63"/>
        <v>0.69780269463785149</v>
      </c>
      <c r="R76" s="207">
        <f t="shared" si="63"/>
        <v>0.67732114441593871</v>
      </c>
      <c r="S76" s="229">
        <f t="shared" si="63"/>
        <v>0.67732114441593871</v>
      </c>
      <c r="T76" s="207">
        <f t="shared" si="63"/>
        <v>0.68922494065364914</v>
      </c>
      <c r="U76" s="207">
        <f t="shared" si="63"/>
        <v>0.67555342334315671</v>
      </c>
      <c r="V76" s="229">
        <f t="shared" si="63"/>
        <v>0.67555342334315671</v>
      </c>
      <c r="W76" s="207">
        <f t="shared" si="63"/>
        <v>0.63464623745883586</v>
      </c>
      <c r="X76" s="207">
        <f t="shared" si="63"/>
        <v>0.62574591827461912</v>
      </c>
      <c r="Y76" s="229">
        <f t="shared" si="63"/>
        <v>0.62574591827461912</v>
      </c>
      <c r="Z76" s="207">
        <f t="shared" si="63"/>
        <v>0.63643227218574239</v>
      </c>
      <c r="AA76" s="207">
        <f t="shared" si="63"/>
        <v>0.64667718514929917</v>
      </c>
      <c r="AB76" s="229">
        <f t="shared" si="63"/>
        <v>0.64667718514929917</v>
      </c>
      <c r="AC76" s="207">
        <f t="shared" si="63"/>
        <v>0.67118637454396468</v>
      </c>
      <c r="AD76" s="207">
        <f t="shared" si="63"/>
        <v>0.66917849821577713</v>
      </c>
      <c r="AE76" s="229">
        <f t="shared" si="63"/>
        <v>0.66917849821577713</v>
      </c>
      <c r="AF76" s="207">
        <f t="shared" ref="AF76:AH80" si="64">AF64/AF$68</f>
        <v>0.64753247498064403</v>
      </c>
      <c r="AG76" s="207">
        <f t="shared" si="64"/>
        <v>0.63751373503994302</v>
      </c>
      <c r="AH76" s="229">
        <f t="shared" si="64"/>
        <v>0.63751373503994302</v>
      </c>
      <c r="AI76" s="207">
        <f t="shared" si="63"/>
        <v>0.66851060441164756</v>
      </c>
      <c r="AJ76" s="207">
        <f t="shared" si="63"/>
        <v>0.66995013985163565</v>
      </c>
      <c r="AK76" s="229">
        <f t="shared" si="63"/>
        <v>0.66995013985163565</v>
      </c>
      <c r="AL76" s="207">
        <f t="shared" ref="AL76:AZ76" si="65">AL64/AL$68</f>
        <v>0.66882469314112358</v>
      </c>
      <c r="AM76" s="207">
        <f t="shared" si="65"/>
        <v>0.67274017239913353</v>
      </c>
      <c r="AN76" s="229">
        <f t="shared" si="65"/>
        <v>0.67274017239913353</v>
      </c>
      <c r="AO76" s="207">
        <f t="shared" si="65"/>
        <v>0.67111177965754454</v>
      </c>
      <c r="AP76" s="207">
        <f t="shared" si="65"/>
        <v>0.67506001612234146</v>
      </c>
      <c r="AQ76" s="229">
        <f t="shared" si="65"/>
        <v>0.67506001612234146</v>
      </c>
      <c r="AR76" s="207">
        <f t="shared" si="65"/>
        <v>0.67298953190411859</v>
      </c>
      <c r="AS76" s="207">
        <f t="shared" si="65"/>
        <v>0.6769762160293572</v>
      </c>
      <c r="AT76" s="229">
        <f t="shared" si="65"/>
        <v>0.6769762160293572</v>
      </c>
      <c r="AU76" s="207">
        <f t="shared" si="65"/>
        <v>0.67451540520982589</v>
      </c>
      <c r="AV76" s="207">
        <f t="shared" si="65"/>
        <v>0.67854590140802029</v>
      </c>
      <c r="AW76" s="229">
        <f t="shared" si="65"/>
        <v>0.67854590140802029</v>
      </c>
      <c r="AX76" s="207">
        <f t="shared" si="65"/>
        <v>0.67573921179719976</v>
      </c>
      <c r="AY76" s="207">
        <f t="shared" si="65"/>
        <v>0.67981861759320728</v>
      </c>
      <c r="AZ76" s="229">
        <f t="shared" si="65"/>
        <v>0.67981861759320728</v>
      </c>
    </row>
    <row r="77" spans="2:52">
      <c r="B77" s="175" t="s">
        <v>2329</v>
      </c>
      <c r="E77" s="207">
        <f t="shared" si="63"/>
        <v>0.23583530295332553</v>
      </c>
      <c r="F77" s="207">
        <f t="shared" si="63"/>
        <v>0.23666443388302341</v>
      </c>
      <c r="G77" s="229">
        <f t="shared" si="63"/>
        <v>0.23666443388302341</v>
      </c>
      <c r="H77" s="207">
        <f t="shared" si="63"/>
        <v>0.23472945128560688</v>
      </c>
      <c r="I77" s="207">
        <f t="shared" si="63"/>
        <v>0.22470839195751827</v>
      </c>
      <c r="J77" s="229">
        <f t="shared" si="63"/>
        <v>0.22470839195751827</v>
      </c>
      <c r="K77" s="207">
        <f t="shared" si="63"/>
        <v>0.23868604628568096</v>
      </c>
      <c r="L77" s="207">
        <f t="shared" si="63"/>
        <v>0.23441051173902472</v>
      </c>
      <c r="M77" s="229">
        <f t="shared" si="63"/>
        <v>0.23441051173902472</v>
      </c>
      <c r="N77" s="207">
        <f t="shared" si="63"/>
        <v>0.24160864189496975</v>
      </c>
      <c r="O77" s="207">
        <f t="shared" si="63"/>
        <v>0.25438017423299603</v>
      </c>
      <c r="P77" s="229">
        <f t="shared" si="63"/>
        <v>0.25438017423299603</v>
      </c>
      <c r="Q77" s="207">
        <f t="shared" si="63"/>
        <v>0.2410130786114148</v>
      </c>
      <c r="R77" s="207">
        <f t="shared" si="63"/>
        <v>0.26509271587698502</v>
      </c>
      <c r="S77" s="229">
        <f t="shared" si="63"/>
        <v>0.26509271587698502</v>
      </c>
      <c r="T77" s="207">
        <f t="shared" si="63"/>
        <v>0.26157953210297891</v>
      </c>
      <c r="U77" s="207">
        <f t="shared" si="63"/>
        <v>0.26928414776231924</v>
      </c>
      <c r="V77" s="229">
        <f t="shared" si="63"/>
        <v>0.26928414776231924</v>
      </c>
      <c r="W77" s="207">
        <f t="shared" si="63"/>
        <v>0.31373828403865789</v>
      </c>
      <c r="X77" s="207">
        <f t="shared" si="63"/>
        <v>0.31890467391633598</v>
      </c>
      <c r="Y77" s="229">
        <f t="shared" si="63"/>
        <v>0.31890467391633598</v>
      </c>
      <c r="Z77" s="207">
        <f t="shared" si="63"/>
        <v>0.31019172692765912</v>
      </c>
      <c r="AA77" s="207">
        <f t="shared" si="63"/>
        <v>0.30348222878354403</v>
      </c>
      <c r="AB77" s="229">
        <f t="shared" si="63"/>
        <v>0.30348222878354403</v>
      </c>
      <c r="AC77" s="207">
        <f t="shared" si="63"/>
        <v>0.32881362545603526</v>
      </c>
      <c r="AD77" s="207">
        <f t="shared" si="63"/>
        <v>0.33082150178422293</v>
      </c>
      <c r="AE77" s="229">
        <f t="shared" si="63"/>
        <v>0.33082150178422293</v>
      </c>
      <c r="AF77" s="207">
        <f t="shared" si="64"/>
        <v>0.35246752501935597</v>
      </c>
      <c r="AG77" s="207">
        <f t="shared" si="64"/>
        <v>0.36248626496005704</v>
      </c>
      <c r="AH77" s="229">
        <f t="shared" si="64"/>
        <v>0.36248626496005704</v>
      </c>
      <c r="AI77" s="207">
        <f t="shared" si="63"/>
        <v>0.33148939558835239</v>
      </c>
      <c r="AJ77" s="207">
        <f t="shared" si="63"/>
        <v>0.33004986014836435</v>
      </c>
      <c r="AK77" s="229">
        <f t="shared" si="63"/>
        <v>0.33004986014836435</v>
      </c>
      <c r="AL77" s="207">
        <f t="shared" ref="AL77:AZ77" si="66">AL65/AL$68</f>
        <v>0.33117530685887636</v>
      </c>
      <c r="AM77" s="207">
        <f t="shared" si="66"/>
        <v>0.32725982760086636</v>
      </c>
      <c r="AN77" s="229">
        <f t="shared" si="66"/>
        <v>0.32725982760086636</v>
      </c>
      <c r="AO77" s="207">
        <f t="shared" si="66"/>
        <v>0.32888822034245535</v>
      </c>
      <c r="AP77" s="207">
        <f t="shared" si="66"/>
        <v>0.32493998387765838</v>
      </c>
      <c r="AQ77" s="229">
        <f t="shared" si="66"/>
        <v>0.32493998387765838</v>
      </c>
      <c r="AR77" s="207">
        <f t="shared" si="66"/>
        <v>0.32701046809588108</v>
      </c>
      <c r="AS77" s="207">
        <f t="shared" si="66"/>
        <v>0.32302378397064258</v>
      </c>
      <c r="AT77" s="229">
        <f t="shared" si="66"/>
        <v>0.32302378397064258</v>
      </c>
      <c r="AU77" s="207">
        <f t="shared" si="66"/>
        <v>0.32548459479017366</v>
      </c>
      <c r="AV77" s="207">
        <f t="shared" si="66"/>
        <v>0.32145409859197915</v>
      </c>
      <c r="AW77" s="229">
        <f t="shared" si="66"/>
        <v>0.32145409859197915</v>
      </c>
      <c r="AX77" s="207">
        <f t="shared" si="66"/>
        <v>0.3242607882027998</v>
      </c>
      <c r="AY77" s="207">
        <f t="shared" si="66"/>
        <v>0.3201813824067925</v>
      </c>
      <c r="AZ77" s="229">
        <f t="shared" si="66"/>
        <v>0.3201813824067925</v>
      </c>
    </row>
    <row r="78" spans="2:52">
      <c r="B78" s="175" t="s">
        <v>2330</v>
      </c>
      <c r="E78" s="207">
        <f t="shared" si="63"/>
        <v>4.1141127874356649E-2</v>
      </c>
      <c r="F78" s="207">
        <f t="shared" si="63"/>
        <v>4.112574824832807E-2</v>
      </c>
      <c r="G78" s="229">
        <f t="shared" si="63"/>
        <v>4.112574824832807E-2</v>
      </c>
      <c r="H78" s="207">
        <f t="shared" si="63"/>
        <v>3.8407077917639129E-2</v>
      </c>
      <c r="I78" s="207">
        <f t="shared" si="63"/>
        <v>4.3389461262651474E-2</v>
      </c>
      <c r="J78" s="229">
        <f t="shared" si="63"/>
        <v>4.3389461262651474E-2</v>
      </c>
      <c r="K78" s="207">
        <f t="shared" si="63"/>
        <v>4.4546567436799252E-2</v>
      </c>
      <c r="L78" s="207">
        <f t="shared" si="63"/>
        <v>4.7495216651338809E-2</v>
      </c>
      <c r="M78" s="229">
        <f t="shared" si="63"/>
        <v>4.7495216651338809E-2</v>
      </c>
      <c r="N78" s="207">
        <f t="shared" si="63"/>
        <v>6.0258996551050955E-3</v>
      </c>
      <c r="O78" s="207">
        <f t="shared" si="63"/>
        <v>0</v>
      </c>
      <c r="P78" s="229">
        <f t="shared" si="63"/>
        <v>0</v>
      </c>
      <c r="Q78" s="207">
        <f t="shared" si="63"/>
        <v>0</v>
      </c>
      <c r="R78" s="207">
        <f t="shared" si="63"/>
        <v>0</v>
      </c>
      <c r="S78" s="229">
        <f t="shared" si="63"/>
        <v>0</v>
      </c>
      <c r="T78" s="207">
        <f t="shared" si="63"/>
        <v>0</v>
      </c>
      <c r="U78" s="207">
        <f t="shared" si="63"/>
        <v>0</v>
      </c>
      <c r="V78" s="229">
        <f t="shared" si="63"/>
        <v>0</v>
      </c>
      <c r="W78" s="207">
        <f t="shared" si="63"/>
        <v>0</v>
      </c>
      <c r="X78" s="207">
        <f t="shared" si="63"/>
        <v>0</v>
      </c>
      <c r="Y78" s="229">
        <f t="shared" si="63"/>
        <v>0</v>
      </c>
      <c r="Z78" s="207">
        <f t="shared" si="63"/>
        <v>0</v>
      </c>
      <c r="AA78" s="207">
        <f t="shared" si="63"/>
        <v>0</v>
      </c>
      <c r="AB78" s="229">
        <f t="shared" si="63"/>
        <v>0</v>
      </c>
      <c r="AC78" s="207">
        <f t="shared" si="63"/>
        <v>0</v>
      </c>
      <c r="AD78" s="207">
        <f t="shared" si="63"/>
        <v>0</v>
      </c>
      <c r="AE78" s="229">
        <f t="shared" si="63"/>
        <v>0</v>
      </c>
      <c r="AF78" s="207">
        <f t="shared" si="64"/>
        <v>0</v>
      </c>
      <c r="AG78" s="207">
        <f t="shared" si="64"/>
        <v>0</v>
      </c>
      <c r="AH78" s="229">
        <f t="shared" si="64"/>
        <v>0</v>
      </c>
      <c r="AI78" s="207">
        <f t="shared" si="63"/>
        <v>0</v>
      </c>
      <c r="AJ78" s="207">
        <f t="shared" si="63"/>
        <v>0</v>
      </c>
      <c r="AK78" s="229">
        <f t="shared" si="63"/>
        <v>0</v>
      </c>
      <c r="AL78" s="207">
        <f t="shared" ref="AL78:AZ78" si="67">AL66/AL$68</f>
        <v>0</v>
      </c>
      <c r="AM78" s="207">
        <f t="shared" si="67"/>
        <v>0</v>
      </c>
      <c r="AN78" s="229">
        <f t="shared" si="67"/>
        <v>0</v>
      </c>
      <c r="AO78" s="207">
        <f t="shared" si="67"/>
        <v>0</v>
      </c>
      <c r="AP78" s="207">
        <f t="shared" si="67"/>
        <v>0</v>
      </c>
      <c r="AQ78" s="229">
        <f t="shared" si="67"/>
        <v>0</v>
      </c>
      <c r="AR78" s="207">
        <f t="shared" si="67"/>
        <v>0</v>
      </c>
      <c r="AS78" s="207">
        <f t="shared" si="67"/>
        <v>0</v>
      </c>
      <c r="AT78" s="229">
        <f t="shared" si="67"/>
        <v>0</v>
      </c>
      <c r="AU78" s="207">
        <f t="shared" si="67"/>
        <v>0</v>
      </c>
      <c r="AV78" s="207">
        <f t="shared" si="67"/>
        <v>0</v>
      </c>
      <c r="AW78" s="229">
        <f t="shared" si="67"/>
        <v>0</v>
      </c>
      <c r="AX78" s="207">
        <f t="shared" si="67"/>
        <v>0</v>
      </c>
      <c r="AY78" s="207">
        <f t="shared" si="67"/>
        <v>0</v>
      </c>
      <c r="AZ78" s="229">
        <f t="shared" si="67"/>
        <v>0</v>
      </c>
    </row>
    <row r="79" spans="2:52">
      <c r="B79" s="175" t="s">
        <v>2331</v>
      </c>
      <c r="E79" s="207">
        <f t="shared" si="63"/>
        <v>4.7977734090256456E-2</v>
      </c>
      <c r="F79" s="207">
        <f t="shared" si="63"/>
        <v>4.4942745048004849E-2</v>
      </c>
      <c r="G79" s="229">
        <f t="shared" si="63"/>
        <v>4.4942745048004849E-2</v>
      </c>
      <c r="H79" s="207">
        <f t="shared" si="63"/>
        <v>4.8797398513715416E-2</v>
      </c>
      <c r="I79" s="207">
        <f t="shared" si="63"/>
        <v>5.6587845504470567E-2</v>
      </c>
      <c r="J79" s="229">
        <f t="shared" si="63"/>
        <v>5.6587845504470567E-2</v>
      </c>
      <c r="K79" s="207">
        <f t="shared" si="63"/>
        <v>7.8979072343236895E-2</v>
      </c>
      <c r="L79" s="207">
        <f t="shared" si="63"/>
        <v>6.8552521696846697E-2</v>
      </c>
      <c r="M79" s="229">
        <f t="shared" si="63"/>
        <v>6.8552521696846697E-2</v>
      </c>
      <c r="N79" s="207">
        <f t="shared" si="63"/>
        <v>8.1551376325893155E-2</v>
      </c>
      <c r="O79" s="207">
        <f t="shared" si="63"/>
        <v>7.9811698501163361E-2</v>
      </c>
      <c r="P79" s="229">
        <f t="shared" si="63"/>
        <v>7.9811698501163361E-2</v>
      </c>
      <c r="Q79" s="207">
        <f t="shared" si="63"/>
        <v>6.1184226750733671E-2</v>
      </c>
      <c r="R79" s="207">
        <f t="shared" si="63"/>
        <v>5.7586139707076281E-2</v>
      </c>
      <c r="S79" s="229">
        <f t="shared" si="63"/>
        <v>5.7586139707076281E-2</v>
      </c>
      <c r="T79" s="207">
        <f t="shared" si="63"/>
        <v>4.9195527243371992E-2</v>
      </c>
      <c r="U79" s="207">
        <f t="shared" si="63"/>
        <v>5.5162428894524024E-2</v>
      </c>
      <c r="V79" s="229">
        <f t="shared" si="63"/>
        <v>5.5162428894524024E-2</v>
      </c>
      <c r="W79" s="207">
        <f t="shared" si="63"/>
        <v>5.1615478502506314E-2</v>
      </c>
      <c r="X79" s="207">
        <f t="shared" si="63"/>
        <v>5.5349407809044925E-2</v>
      </c>
      <c r="Y79" s="229">
        <f t="shared" si="63"/>
        <v>5.5349407809044925E-2</v>
      </c>
      <c r="Z79" s="207">
        <f t="shared" si="63"/>
        <v>5.337600088659851E-2</v>
      </c>
      <c r="AA79" s="207">
        <f t="shared" si="63"/>
        <v>4.98405860671568E-2</v>
      </c>
      <c r="AB79" s="229">
        <f t="shared" si="63"/>
        <v>4.98405860671568E-2</v>
      </c>
      <c r="AC79" s="207">
        <f t="shared" si="63"/>
        <v>0</v>
      </c>
      <c r="AD79" s="207">
        <f t="shared" si="63"/>
        <v>0</v>
      </c>
      <c r="AE79" s="229">
        <f t="shared" si="63"/>
        <v>0</v>
      </c>
      <c r="AF79" s="207">
        <f t="shared" si="64"/>
        <v>0</v>
      </c>
      <c r="AG79" s="207">
        <f t="shared" si="64"/>
        <v>0</v>
      </c>
      <c r="AH79" s="229">
        <f t="shared" si="64"/>
        <v>0</v>
      </c>
      <c r="AI79" s="207">
        <f t="shared" si="63"/>
        <v>0</v>
      </c>
      <c r="AJ79" s="207">
        <f t="shared" si="63"/>
        <v>0</v>
      </c>
      <c r="AK79" s="229">
        <f t="shared" si="63"/>
        <v>0</v>
      </c>
      <c r="AL79" s="207">
        <f t="shared" ref="AL79:AZ79" si="68">AL67/AL$68</f>
        <v>0</v>
      </c>
      <c r="AM79" s="207">
        <f t="shared" si="68"/>
        <v>0</v>
      </c>
      <c r="AN79" s="229">
        <f t="shared" si="68"/>
        <v>0</v>
      </c>
      <c r="AO79" s="207">
        <f t="shared" si="68"/>
        <v>0</v>
      </c>
      <c r="AP79" s="207">
        <f t="shared" si="68"/>
        <v>0</v>
      </c>
      <c r="AQ79" s="229">
        <f t="shared" si="68"/>
        <v>0</v>
      </c>
      <c r="AR79" s="207">
        <f t="shared" si="68"/>
        <v>0</v>
      </c>
      <c r="AS79" s="207">
        <f t="shared" si="68"/>
        <v>0</v>
      </c>
      <c r="AT79" s="229">
        <f t="shared" si="68"/>
        <v>0</v>
      </c>
      <c r="AU79" s="207">
        <f t="shared" si="68"/>
        <v>0</v>
      </c>
      <c r="AV79" s="207">
        <f t="shared" si="68"/>
        <v>0</v>
      </c>
      <c r="AW79" s="229">
        <f t="shared" si="68"/>
        <v>0</v>
      </c>
      <c r="AX79" s="207">
        <f t="shared" si="68"/>
        <v>0</v>
      </c>
      <c r="AY79" s="207">
        <f t="shared" si="68"/>
        <v>0</v>
      </c>
      <c r="AZ79" s="229">
        <f t="shared" si="68"/>
        <v>0</v>
      </c>
    </row>
    <row r="80" spans="2:52">
      <c r="B80" s="181" t="s">
        <v>2332</v>
      </c>
      <c r="E80" s="251">
        <f t="shared" si="63"/>
        <v>1</v>
      </c>
      <c r="F80" s="251">
        <f t="shared" si="63"/>
        <v>1</v>
      </c>
      <c r="G80" s="252">
        <f t="shared" si="63"/>
        <v>1</v>
      </c>
      <c r="H80" s="251">
        <f t="shared" si="63"/>
        <v>1</v>
      </c>
      <c r="I80" s="251">
        <f t="shared" si="63"/>
        <v>1</v>
      </c>
      <c r="J80" s="252">
        <f t="shared" si="63"/>
        <v>1</v>
      </c>
      <c r="K80" s="251">
        <f t="shared" si="63"/>
        <v>1</v>
      </c>
      <c r="L80" s="251">
        <f t="shared" si="63"/>
        <v>1</v>
      </c>
      <c r="M80" s="252">
        <f t="shared" si="63"/>
        <v>1</v>
      </c>
      <c r="N80" s="251">
        <f t="shared" si="63"/>
        <v>1</v>
      </c>
      <c r="O80" s="251">
        <f t="shared" si="63"/>
        <v>1</v>
      </c>
      <c r="P80" s="252">
        <f t="shared" si="63"/>
        <v>1</v>
      </c>
      <c r="Q80" s="251">
        <f t="shared" si="63"/>
        <v>1</v>
      </c>
      <c r="R80" s="251">
        <f t="shared" si="63"/>
        <v>1</v>
      </c>
      <c r="S80" s="252">
        <f t="shared" si="63"/>
        <v>1</v>
      </c>
      <c r="T80" s="251">
        <f t="shared" si="63"/>
        <v>1</v>
      </c>
      <c r="U80" s="251">
        <f t="shared" si="63"/>
        <v>1</v>
      </c>
      <c r="V80" s="252">
        <f t="shared" si="63"/>
        <v>1</v>
      </c>
      <c r="W80" s="251">
        <f t="shared" si="63"/>
        <v>1</v>
      </c>
      <c r="X80" s="251">
        <f t="shared" si="63"/>
        <v>1</v>
      </c>
      <c r="Y80" s="252">
        <f t="shared" si="63"/>
        <v>1</v>
      </c>
      <c r="Z80" s="251">
        <f t="shared" si="63"/>
        <v>1</v>
      </c>
      <c r="AA80" s="251">
        <f t="shared" si="63"/>
        <v>1</v>
      </c>
      <c r="AB80" s="252">
        <f t="shared" si="63"/>
        <v>1</v>
      </c>
      <c r="AC80" s="251">
        <f t="shared" si="63"/>
        <v>1</v>
      </c>
      <c r="AD80" s="251">
        <f t="shared" si="63"/>
        <v>1</v>
      </c>
      <c r="AE80" s="252">
        <f t="shared" si="63"/>
        <v>1</v>
      </c>
      <c r="AF80" s="251">
        <f t="shared" si="64"/>
        <v>1</v>
      </c>
      <c r="AG80" s="251">
        <f t="shared" si="64"/>
        <v>1</v>
      </c>
      <c r="AH80" s="252">
        <f t="shared" si="64"/>
        <v>1</v>
      </c>
      <c r="AI80" s="251">
        <f t="shared" si="63"/>
        <v>1</v>
      </c>
      <c r="AJ80" s="251">
        <f t="shared" si="63"/>
        <v>1</v>
      </c>
      <c r="AK80" s="252">
        <f t="shared" si="63"/>
        <v>1</v>
      </c>
      <c r="AL80" s="251">
        <f t="shared" ref="AL80:AZ80" si="69">AL68/AL$68</f>
        <v>1</v>
      </c>
      <c r="AM80" s="251">
        <f t="shared" si="69"/>
        <v>1</v>
      </c>
      <c r="AN80" s="252">
        <f t="shared" si="69"/>
        <v>1</v>
      </c>
      <c r="AO80" s="251">
        <f t="shared" si="69"/>
        <v>1</v>
      </c>
      <c r="AP80" s="251">
        <f t="shared" si="69"/>
        <v>1</v>
      </c>
      <c r="AQ80" s="252">
        <f t="shared" si="69"/>
        <v>1</v>
      </c>
      <c r="AR80" s="251">
        <f t="shared" si="69"/>
        <v>1</v>
      </c>
      <c r="AS80" s="251">
        <f t="shared" si="69"/>
        <v>1</v>
      </c>
      <c r="AT80" s="252">
        <f t="shared" si="69"/>
        <v>1</v>
      </c>
      <c r="AU80" s="251">
        <f t="shared" si="69"/>
        <v>1</v>
      </c>
      <c r="AV80" s="251">
        <f t="shared" si="69"/>
        <v>1</v>
      </c>
      <c r="AW80" s="252">
        <f t="shared" si="69"/>
        <v>1</v>
      </c>
      <c r="AX80" s="251">
        <f t="shared" si="69"/>
        <v>1</v>
      </c>
      <c r="AY80" s="251">
        <f t="shared" si="69"/>
        <v>1</v>
      </c>
      <c r="AZ80" s="252">
        <f t="shared" si="69"/>
        <v>1</v>
      </c>
    </row>
    <row r="81" spans="2:52">
      <c r="B81" s="181"/>
      <c r="E81" s="251"/>
      <c r="F81" s="251"/>
      <c r="G81" s="252"/>
      <c r="H81" s="251"/>
      <c r="I81" s="251"/>
      <c r="J81" s="252"/>
      <c r="K81" s="251"/>
      <c r="L81" s="251"/>
      <c r="M81" s="252"/>
      <c r="N81" s="251"/>
      <c r="O81" s="251"/>
      <c r="P81" s="252"/>
      <c r="Q81" s="251"/>
      <c r="R81" s="251"/>
      <c r="S81" s="252"/>
      <c r="T81" s="251"/>
      <c r="U81" s="251"/>
      <c r="V81" s="252"/>
      <c r="W81" s="251"/>
      <c r="X81" s="251"/>
      <c r="Y81" s="252"/>
      <c r="Z81" s="251"/>
      <c r="AA81" s="251"/>
      <c r="AB81" s="252"/>
      <c r="AC81" s="251"/>
      <c r="AD81" s="251"/>
      <c r="AE81" s="252"/>
      <c r="AF81" s="251"/>
      <c r="AG81" s="251"/>
      <c r="AH81" s="252"/>
      <c r="AI81" s="251"/>
      <c r="AJ81" s="251"/>
      <c r="AK81" s="252"/>
      <c r="AL81" s="251"/>
      <c r="AM81" s="251"/>
      <c r="AN81" s="252"/>
      <c r="AO81" s="251"/>
      <c r="AP81" s="251"/>
      <c r="AQ81" s="252"/>
      <c r="AR81" s="251"/>
      <c r="AS81" s="251"/>
      <c r="AT81" s="252"/>
      <c r="AU81" s="251"/>
      <c r="AV81" s="251"/>
      <c r="AW81" s="252"/>
      <c r="AX81" s="251"/>
      <c r="AY81" s="251"/>
      <c r="AZ81" s="252"/>
    </row>
    <row r="82" spans="2:52">
      <c r="E82" s="206"/>
      <c r="F82" s="206"/>
      <c r="G82" s="184"/>
      <c r="H82" s="206"/>
      <c r="I82" s="206"/>
      <c r="J82" s="184"/>
      <c r="K82" s="206"/>
      <c r="L82" s="206"/>
      <c r="M82" s="184"/>
      <c r="N82" s="206"/>
      <c r="O82" s="227"/>
      <c r="P82" s="184"/>
      <c r="Q82" s="206"/>
      <c r="R82" s="206"/>
      <c r="S82" s="184"/>
      <c r="T82" s="206"/>
      <c r="U82" s="206"/>
      <c r="V82" s="184"/>
      <c r="W82" s="206"/>
      <c r="X82" s="206"/>
      <c r="Y82" s="184"/>
      <c r="Z82" s="206"/>
      <c r="AA82" s="206"/>
      <c r="AB82" s="184"/>
      <c r="AC82" s="206"/>
      <c r="AD82" s="206"/>
      <c r="AE82" s="184"/>
      <c r="AF82" s="206"/>
      <c r="AG82" s="206"/>
      <c r="AH82" s="184"/>
      <c r="AI82" s="206"/>
      <c r="AJ82" s="206"/>
      <c r="AK82" s="184"/>
      <c r="AL82" s="206"/>
      <c r="AM82" s="206"/>
      <c r="AN82" s="184"/>
      <c r="AO82" s="206"/>
      <c r="AP82" s="206"/>
      <c r="AQ82" s="184"/>
      <c r="AR82" s="206"/>
      <c r="AS82" s="206"/>
      <c r="AT82" s="184"/>
      <c r="AU82" s="206"/>
      <c r="AV82" s="206"/>
      <c r="AW82" s="184"/>
      <c r="AX82" s="206"/>
      <c r="AY82" s="206"/>
      <c r="AZ82" s="184"/>
    </row>
    <row r="83" spans="2:52">
      <c r="B83" s="181" t="s">
        <v>2337</v>
      </c>
      <c r="E83" s="206"/>
      <c r="F83" s="206"/>
      <c r="G83" s="184"/>
      <c r="H83" s="206"/>
      <c r="I83" s="206"/>
      <c r="J83" s="184"/>
      <c r="K83" s="206"/>
      <c r="L83" s="206"/>
      <c r="M83" s="184"/>
      <c r="N83" s="206"/>
      <c r="O83" s="206"/>
      <c r="P83" s="184"/>
      <c r="Q83" s="206"/>
      <c r="R83" s="206"/>
      <c r="S83" s="184"/>
      <c r="T83" s="206"/>
      <c r="U83" s="206"/>
      <c r="V83" s="184"/>
      <c r="W83" s="206"/>
      <c r="X83" s="206"/>
      <c r="Y83" s="184"/>
      <c r="Z83" s="206"/>
      <c r="AA83" s="206"/>
      <c r="AB83" s="184"/>
      <c r="AC83" s="206"/>
      <c r="AD83" s="206"/>
      <c r="AE83" s="184"/>
      <c r="AF83" s="206"/>
      <c r="AG83" s="206"/>
      <c r="AH83" s="184"/>
      <c r="AI83" s="206"/>
      <c r="AJ83" s="206"/>
      <c r="AK83" s="184"/>
      <c r="AL83" s="206"/>
      <c r="AM83" s="206"/>
      <c r="AN83" s="184"/>
      <c r="AO83" s="206"/>
      <c r="AP83" s="206"/>
      <c r="AQ83" s="184"/>
      <c r="AR83" s="206"/>
      <c r="AS83" s="206"/>
      <c r="AT83" s="184"/>
      <c r="AU83" s="206"/>
      <c r="AV83" s="206"/>
      <c r="AW83" s="184"/>
      <c r="AX83" s="206"/>
      <c r="AY83" s="206"/>
      <c r="AZ83" s="184"/>
    </row>
    <row r="84" spans="2:52">
      <c r="B84" s="181" t="s">
        <v>2338</v>
      </c>
      <c r="E84" s="193">
        <v>84155</v>
      </c>
      <c r="F84" s="193">
        <f>E90</f>
        <v>90542</v>
      </c>
      <c r="G84" s="194">
        <f>E84</f>
        <v>84155</v>
      </c>
      <c r="H84" s="193">
        <f>G90</f>
        <v>94053</v>
      </c>
      <c r="I84" s="193">
        <f>H90</f>
        <v>102403</v>
      </c>
      <c r="J84" s="194">
        <f>H84</f>
        <v>94053</v>
      </c>
      <c r="K84" s="193">
        <f>J90</f>
        <v>110165</v>
      </c>
      <c r="L84" s="193">
        <f>K90</f>
        <v>102926</v>
      </c>
      <c r="M84" s="194">
        <f>K84</f>
        <v>110165</v>
      </c>
      <c r="N84" s="193">
        <f>M90</f>
        <v>94599</v>
      </c>
      <c r="O84" s="193">
        <f>N90</f>
        <v>76835</v>
      </c>
      <c r="P84" s="194">
        <f>N84</f>
        <v>94599</v>
      </c>
      <c r="Q84" s="193">
        <f>P90+(23543-P65)</f>
        <v>92442</v>
      </c>
      <c r="R84" s="193">
        <f>Q90</f>
        <v>121649</v>
      </c>
      <c r="S84" s="194">
        <f>Q84</f>
        <v>92442</v>
      </c>
      <c r="T84" s="237">
        <f>S90</f>
        <v>123172</v>
      </c>
      <c r="U84" s="237">
        <f>T90</f>
        <v>125113</v>
      </c>
      <c r="V84" s="237">
        <f>T84</f>
        <v>123172</v>
      </c>
      <c r="W84" s="193">
        <f>V90</f>
        <v>116728</v>
      </c>
      <c r="X84" s="193">
        <f>W90</f>
        <v>130271</v>
      </c>
      <c r="Y84" s="194">
        <f>W84</f>
        <v>116728</v>
      </c>
      <c r="Z84" s="193">
        <f>Y90</f>
        <v>132052</v>
      </c>
      <c r="AA84" s="193">
        <f>Z90</f>
        <v>144372</v>
      </c>
      <c r="AB84" s="194">
        <f>Z84</f>
        <v>132052</v>
      </c>
      <c r="AC84" s="398">
        <v>145104</v>
      </c>
      <c r="AD84" s="193">
        <f>AC64+AC65</f>
        <v>153771</v>
      </c>
      <c r="AE84" s="194">
        <f>AC84</f>
        <v>145104</v>
      </c>
      <c r="AF84" s="398">
        <v>158052</v>
      </c>
      <c r="AG84" s="193">
        <f>AF64+AF65</f>
        <v>174365</v>
      </c>
      <c r="AH84" s="194">
        <f>AG84</f>
        <v>174365</v>
      </c>
      <c r="AI84" s="398">
        <v>168365</v>
      </c>
      <c r="AJ84" s="193">
        <f>AI64+AI65</f>
        <v>188365</v>
      </c>
      <c r="AK84" s="194">
        <f>AI84</f>
        <v>168365</v>
      </c>
      <c r="AL84" s="193">
        <f>AK90</f>
        <v>197352</v>
      </c>
      <c r="AM84" s="193">
        <f>AL90</f>
        <v>204377.01847504044</v>
      </c>
      <c r="AN84" s="194">
        <f>AL84</f>
        <v>197352</v>
      </c>
      <c r="AO84" s="193">
        <f>AN90</f>
        <v>214125.17145413111</v>
      </c>
      <c r="AP84" s="193">
        <f>AO90</f>
        <v>221378.52461407418</v>
      </c>
      <c r="AQ84" s="194">
        <f>AO84</f>
        <v>214125.17145413111</v>
      </c>
      <c r="AR84" s="193">
        <f>AQ90</f>
        <v>231936.38535706603</v>
      </c>
      <c r="AS84" s="193">
        <f>AR90</f>
        <v>239434.32187245067</v>
      </c>
      <c r="AT84" s="194">
        <f>AR84</f>
        <v>231936.38535706603</v>
      </c>
      <c r="AU84" s="193">
        <f>AT90</f>
        <v>250851.33838606189</v>
      </c>
      <c r="AV84" s="193">
        <f>AU90</f>
        <v>258611.13091996638</v>
      </c>
      <c r="AW84" s="194">
        <f>AU84</f>
        <v>250851.33838606189</v>
      </c>
      <c r="AX84" s="193">
        <f>AW90</f>
        <v>270939.80860851356</v>
      </c>
      <c r="AY84" s="193">
        <f>AX90</f>
        <v>278979.80138143915</v>
      </c>
      <c r="AZ84" s="194">
        <f>AX84</f>
        <v>270939.80860851356</v>
      </c>
    </row>
    <row r="85" spans="2:52">
      <c r="B85" s="175" t="s">
        <v>2339</v>
      </c>
      <c r="E85" s="206">
        <f>E108</f>
        <v>11585</v>
      </c>
      <c r="F85" s="206">
        <f>F108</f>
        <v>15738</v>
      </c>
      <c r="G85" s="184">
        <f>E85+F85</f>
        <v>27323</v>
      </c>
      <c r="H85" s="206">
        <f>H108</f>
        <v>14719</v>
      </c>
      <c r="I85" s="206">
        <f>I108</f>
        <v>25452</v>
      </c>
      <c r="J85" s="184">
        <f>H85+I85</f>
        <v>40171</v>
      </c>
      <c r="K85" s="206">
        <f>K108</f>
        <v>20245</v>
      </c>
      <c r="L85" s="206">
        <f>L108</f>
        <v>17113</v>
      </c>
      <c r="M85" s="184">
        <f>K85+L85</f>
        <v>37358</v>
      </c>
      <c r="N85" s="206">
        <f>N108</f>
        <v>11316</v>
      </c>
      <c r="O85" s="206">
        <f>O108</f>
        <v>9276</v>
      </c>
      <c r="P85" s="184">
        <f>N85+O85</f>
        <v>20592</v>
      </c>
      <c r="Q85" s="206">
        <f>Q108</f>
        <v>11153</v>
      </c>
      <c r="R85" s="206">
        <f>R108</f>
        <v>13605</v>
      </c>
      <c r="S85" s="184">
        <f>Q85+R85</f>
        <v>24758</v>
      </c>
      <c r="T85" s="253">
        <f>T108</f>
        <v>8486</v>
      </c>
      <c r="U85" s="253">
        <f>U108</f>
        <v>10761</v>
      </c>
      <c r="V85" s="253">
        <f>T85+U85</f>
        <v>19247</v>
      </c>
      <c r="W85" s="206">
        <f>W108</f>
        <v>7419</v>
      </c>
      <c r="X85" s="206">
        <f>8604+1083</f>
        <v>9687</v>
      </c>
      <c r="Y85" s="184">
        <f>W85+X85</f>
        <v>17106</v>
      </c>
      <c r="Z85" s="206"/>
      <c r="AA85" s="206"/>
      <c r="AB85" s="184"/>
      <c r="AC85" s="206">
        <v>12739</v>
      </c>
      <c r="AD85" s="206"/>
      <c r="AE85" s="184"/>
      <c r="AF85" s="206">
        <v>11320</v>
      </c>
      <c r="AG85" s="206">
        <v>10832</v>
      </c>
      <c r="AH85" s="184"/>
      <c r="AI85" s="206">
        <v>11034</v>
      </c>
      <c r="AJ85" s="206">
        <v>12567</v>
      </c>
      <c r="AK85" s="184"/>
      <c r="AL85" s="206"/>
      <c r="AM85" s="206"/>
      <c r="AN85" s="184"/>
      <c r="AO85" s="206"/>
      <c r="AP85" s="206"/>
      <c r="AQ85" s="184"/>
      <c r="AR85" s="206"/>
      <c r="AS85" s="206"/>
      <c r="AT85" s="184"/>
      <c r="AU85" s="206"/>
      <c r="AV85" s="206"/>
      <c r="AW85" s="184"/>
      <c r="AX85" s="206"/>
      <c r="AY85" s="206"/>
      <c r="AZ85" s="184"/>
    </row>
    <row r="86" spans="2:52">
      <c r="B86" s="175" t="s">
        <v>2340</v>
      </c>
      <c r="E86" s="206">
        <f>E117</f>
        <v>-12313</v>
      </c>
      <c r="F86" s="206">
        <f>F117</f>
        <v>-12963</v>
      </c>
      <c r="G86" s="184">
        <f>E86+F86</f>
        <v>-25276</v>
      </c>
      <c r="H86" s="206">
        <f>H117</f>
        <v>-12497</v>
      </c>
      <c r="I86" s="206">
        <f>I117</f>
        <v>-21273</v>
      </c>
      <c r="J86" s="184">
        <f>H86+I86</f>
        <v>-33770</v>
      </c>
      <c r="K86" s="206">
        <f>K117</f>
        <v>-15982</v>
      </c>
      <c r="L86" s="206">
        <f>L117</f>
        <v>-19595</v>
      </c>
      <c r="M86" s="184">
        <f>K86+L86</f>
        <v>-35577</v>
      </c>
      <c r="N86" s="206">
        <f>N117</f>
        <v>-12368</v>
      </c>
      <c r="O86" s="206">
        <f>O117</f>
        <v>-5623</v>
      </c>
      <c r="P86" s="184">
        <f>N86+O86</f>
        <v>-17991</v>
      </c>
      <c r="Q86" s="206">
        <f>Q117</f>
        <v>-6486</v>
      </c>
      <c r="R86" s="206">
        <f>R117</f>
        <v>-11326</v>
      </c>
      <c r="S86" s="184">
        <f>Q86+R86</f>
        <v>-17812</v>
      </c>
      <c r="T86" s="253">
        <f>T117</f>
        <v>-8637</v>
      </c>
      <c r="U86" s="253">
        <f>U117</f>
        <v>-10365</v>
      </c>
      <c r="V86" s="253">
        <f>T86+U86</f>
        <v>-19002</v>
      </c>
      <c r="W86" s="206">
        <f>W117</f>
        <v>-8614</v>
      </c>
      <c r="X86" s="206">
        <f>-9475-498</f>
        <v>-9973</v>
      </c>
      <c r="Y86" s="184">
        <f>W86+X86</f>
        <v>-18587</v>
      </c>
      <c r="Z86" s="206"/>
      <c r="AA86" s="206"/>
      <c r="AB86" s="184"/>
      <c r="AC86" s="206">
        <v>-10184</v>
      </c>
      <c r="AD86" s="206"/>
      <c r="AE86" s="184"/>
      <c r="AF86" s="206">
        <v>-12362</v>
      </c>
      <c r="AG86" s="206">
        <v>-10650</v>
      </c>
      <c r="AH86" s="184"/>
      <c r="AI86" s="206">
        <v>-10866</v>
      </c>
      <c r="AJ86" s="206">
        <v>-12483</v>
      </c>
      <c r="AK86" s="184"/>
      <c r="AL86" s="206"/>
      <c r="AM86" s="206"/>
      <c r="AN86" s="184"/>
      <c r="AO86" s="206"/>
      <c r="AP86" s="206"/>
      <c r="AQ86" s="184"/>
      <c r="AR86" s="206"/>
      <c r="AS86" s="206"/>
      <c r="AT86" s="184"/>
      <c r="AU86" s="206"/>
      <c r="AV86" s="206"/>
      <c r="AW86" s="184"/>
      <c r="AX86" s="206"/>
      <c r="AY86" s="206"/>
      <c r="AZ86" s="184"/>
    </row>
    <row r="87" spans="2:52">
      <c r="B87" s="175" t="s">
        <v>2341</v>
      </c>
      <c r="E87" s="206">
        <f>E126</f>
        <v>-728</v>
      </c>
      <c r="F87" s="206">
        <f>F126</f>
        <v>2775</v>
      </c>
      <c r="G87" s="184">
        <f>E87+F87</f>
        <v>2047</v>
      </c>
      <c r="H87" s="206">
        <f>H126</f>
        <v>2222</v>
      </c>
      <c r="I87" s="206">
        <f>I126</f>
        <v>4179</v>
      </c>
      <c r="J87" s="184">
        <f>H87+I87</f>
        <v>6401</v>
      </c>
      <c r="K87" s="206">
        <f>K126</f>
        <v>4263</v>
      </c>
      <c r="L87" s="206">
        <f>L126</f>
        <v>-2482</v>
      </c>
      <c r="M87" s="184">
        <f>K87+L87</f>
        <v>1781</v>
      </c>
      <c r="N87" s="206">
        <f>N126</f>
        <v>-1052</v>
      </c>
      <c r="O87" s="206">
        <f>O126</f>
        <v>3653</v>
      </c>
      <c r="P87" s="184">
        <f>N87+O87</f>
        <v>2601</v>
      </c>
      <c r="Q87" s="206">
        <f>Q126</f>
        <v>4667</v>
      </c>
      <c r="R87" s="206">
        <f>R126</f>
        <v>2279</v>
      </c>
      <c r="S87" s="184">
        <f>Q87+R87</f>
        <v>6946</v>
      </c>
      <c r="T87" s="253">
        <f>T126</f>
        <v>-151</v>
      </c>
      <c r="U87" s="253">
        <f>U126</f>
        <v>396</v>
      </c>
      <c r="V87" s="253">
        <f>T87+U87</f>
        <v>245</v>
      </c>
      <c r="W87" s="206">
        <f>W126</f>
        <v>-1195</v>
      </c>
      <c r="X87" s="206">
        <f>X85+X86</f>
        <v>-286</v>
      </c>
      <c r="Y87" s="184">
        <f>W87+X87</f>
        <v>-1481</v>
      </c>
      <c r="Z87" s="206">
        <f>Z126</f>
        <v>1720</v>
      </c>
      <c r="AA87" s="206">
        <f>AA126</f>
        <v>1201</v>
      </c>
      <c r="AB87" s="184">
        <f>Z87+AA87</f>
        <v>2921</v>
      </c>
      <c r="AC87" s="206">
        <f>AC85+AC86</f>
        <v>2555</v>
      </c>
      <c r="AD87" s="206">
        <f>AD126</f>
        <v>1546.8</v>
      </c>
      <c r="AE87" s="184">
        <f>AC87+AD87</f>
        <v>4101.8</v>
      </c>
      <c r="AF87" s="206">
        <f>AF85+AF86</f>
        <v>-1042</v>
      </c>
      <c r="AG87" s="206">
        <f>AG85+AG86</f>
        <v>182</v>
      </c>
      <c r="AH87" s="184">
        <f>AF87+AG87</f>
        <v>-860</v>
      </c>
      <c r="AI87" s="206">
        <f>AI85+AI86</f>
        <v>168</v>
      </c>
      <c r="AJ87" s="206">
        <f>AJ85+AJ86</f>
        <v>84</v>
      </c>
      <c r="AK87" s="184">
        <f>AI87+AJ87</f>
        <v>252</v>
      </c>
      <c r="AL87" s="206">
        <f>AL126</f>
        <v>180.08999999999997</v>
      </c>
      <c r="AM87" s="206">
        <f>AM126</f>
        <v>86.060000000000059</v>
      </c>
      <c r="AN87" s="184">
        <f>AL87+AM87</f>
        <v>266.15000000000003</v>
      </c>
      <c r="AO87" s="206">
        <f>AO126</f>
        <v>192.96509999999995</v>
      </c>
      <c r="AP87" s="206">
        <f>AP126</f>
        <v>87.755400000000122</v>
      </c>
      <c r="AQ87" s="184">
        <f>AO87+AP87</f>
        <v>280.72050000000007</v>
      </c>
      <c r="AR87" s="206">
        <f>AR126</f>
        <v>206.66565899999995</v>
      </c>
      <c r="AS87" s="206">
        <f>AS126</f>
        <v>88.998386000000096</v>
      </c>
      <c r="AT87" s="184">
        <f>AR87+AS87</f>
        <v>295.66404500000004</v>
      </c>
      <c r="AU87" s="206">
        <f>AU126</f>
        <v>221.23263830999997</v>
      </c>
      <c r="AV87" s="206">
        <f>AV126</f>
        <v>89.687740740000095</v>
      </c>
      <c r="AW87" s="184">
        <f>AU87+AV87</f>
        <v>310.92037905000007</v>
      </c>
      <c r="AX87" s="206">
        <f>AX126</f>
        <v>236.70735275789991</v>
      </c>
      <c r="AY87" s="206">
        <f>AY126</f>
        <v>89.707087406600067</v>
      </c>
      <c r="AZ87" s="184">
        <f>AX87+AY87</f>
        <v>326.41444016449998</v>
      </c>
    </row>
    <row r="88" spans="2:52">
      <c r="B88" s="175" t="s">
        <v>2342</v>
      </c>
      <c r="E88" s="206">
        <f>E135</f>
        <v>8178</v>
      </c>
      <c r="F88" s="206">
        <f>F135</f>
        <v>1792</v>
      </c>
      <c r="G88" s="184">
        <f>E88+F88</f>
        <v>9970</v>
      </c>
      <c r="H88" s="206">
        <f>H135</f>
        <v>7129</v>
      </c>
      <c r="I88" s="206">
        <f>I135</f>
        <v>4877</v>
      </c>
      <c r="J88" s="184">
        <f>H88+I88</f>
        <v>12006</v>
      </c>
      <c r="K88" s="206">
        <f>K135</f>
        <v>-9727</v>
      </c>
      <c r="L88" s="206">
        <f>L135</f>
        <v>-5240</v>
      </c>
      <c r="M88" s="184">
        <f>K88+L88</f>
        <v>-14967</v>
      </c>
      <c r="N88" s="206">
        <f>N135</f>
        <v>-12665</v>
      </c>
      <c r="O88" s="206">
        <f>O135</f>
        <v>14046</v>
      </c>
      <c r="P88" s="184">
        <f>N88+O88</f>
        <v>1381</v>
      </c>
      <c r="Q88" s="206">
        <f>Q135</f>
        <v>4090</v>
      </c>
      <c r="R88" s="206">
        <f>R135</f>
        <v>-1254</v>
      </c>
      <c r="S88" s="184">
        <f>Q88+R88</f>
        <v>2836</v>
      </c>
      <c r="T88" s="253">
        <f>T135</f>
        <v>5801</v>
      </c>
      <c r="U88" s="253">
        <f>U135</f>
        <v>-8413</v>
      </c>
      <c r="V88" s="253">
        <f>T88+U88</f>
        <v>-2612</v>
      </c>
      <c r="W88" s="206">
        <f>W135</f>
        <v>7662</v>
      </c>
      <c r="X88" s="206">
        <v>2986</v>
      </c>
      <c r="Y88" s="184">
        <f>W88+X88</f>
        <v>10648</v>
      </c>
      <c r="Z88" s="206">
        <f>Z135</f>
        <v>11425</v>
      </c>
      <c r="AA88" s="206">
        <f>AA135</f>
        <v>9875</v>
      </c>
      <c r="AB88" s="184">
        <f>Z88+AA88</f>
        <v>21300</v>
      </c>
      <c r="AC88" s="206">
        <v>6621</v>
      </c>
      <c r="AD88" s="206">
        <f>AD135</f>
        <v>5336</v>
      </c>
      <c r="AE88" s="184">
        <f>AC88+AD88</f>
        <v>11957</v>
      </c>
      <c r="AF88" s="206">
        <v>15010</v>
      </c>
      <c r="AG88" s="206">
        <v>-5961</v>
      </c>
      <c r="AH88" s="184">
        <f>AF88+AG88</f>
        <v>9049</v>
      </c>
      <c r="AI88" s="206">
        <v>1546</v>
      </c>
      <c r="AJ88" s="206">
        <v>8986</v>
      </c>
      <c r="AK88" s="184">
        <f>AI88+AJ88</f>
        <v>10532</v>
      </c>
      <c r="AL88" s="206">
        <f>AL135</f>
        <v>6930.4184750404384</v>
      </c>
      <c r="AM88" s="206">
        <f>AM135</f>
        <v>9750.1476790906581</v>
      </c>
      <c r="AN88" s="184">
        <f>AL88+AM88</f>
        <v>16680.566154131098</v>
      </c>
      <c r="AO88" s="206">
        <f>AO135</f>
        <v>7151.0844009430803</v>
      </c>
      <c r="AP88" s="206">
        <f>AP135</f>
        <v>10563.52257422183</v>
      </c>
      <c r="AQ88" s="184">
        <f>AO88+AP88</f>
        <v>17714.606975164912</v>
      </c>
      <c r="AR88" s="206">
        <f>AR135</f>
        <v>7387.4906045515454</v>
      </c>
      <c r="AS88" s="206">
        <f>AS135</f>
        <v>11427.124468223108</v>
      </c>
      <c r="AT88" s="184">
        <f>AR88+AS88</f>
        <v>18814.615072774654</v>
      </c>
      <c r="AU88" s="206">
        <f>AU135</f>
        <v>7640.6394264247629</v>
      </c>
      <c r="AV88" s="206">
        <f>AV135</f>
        <v>12344.13186456232</v>
      </c>
      <c r="AW88" s="184">
        <f>AU88+AV88</f>
        <v>19984.771290987082</v>
      </c>
      <c r="AX88" s="206">
        <f>AX135</f>
        <v>7911.58159442551</v>
      </c>
      <c r="AY88" s="206">
        <f>AY135</f>
        <v>13317.921465573712</v>
      </c>
      <c r="AZ88" s="184">
        <f>AX88+AY88</f>
        <v>21229.503059999224</v>
      </c>
    </row>
    <row r="89" spans="2:52">
      <c r="B89" s="175" t="s">
        <v>269</v>
      </c>
      <c r="E89" s="206">
        <f>E137</f>
        <v>-1063</v>
      </c>
      <c r="F89" s="206">
        <f>F137</f>
        <v>-1056</v>
      </c>
      <c r="G89" s="184">
        <f>E89+F89</f>
        <v>-2119</v>
      </c>
      <c r="H89" s="206">
        <f>H137</f>
        <v>-1001</v>
      </c>
      <c r="I89" s="206">
        <f>I137</f>
        <v>-1294</v>
      </c>
      <c r="J89" s="184">
        <f>H89+I89</f>
        <v>-2295</v>
      </c>
      <c r="K89" s="206">
        <f>K137</f>
        <v>-1775</v>
      </c>
      <c r="L89" s="206">
        <f>L137</f>
        <v>-605</v>
      </c>
      <c r="M89" s="184">
        <f>K89+L89</f>
        <v>-2380</v>
      </c>
      <c r="N89" s="206">
        <f>N137</f>
        <v>-4047</v>
      </c>
      <c r="O89" s="206">
        <f>O137</f>
        <v>-2129</v>
      </c>
      <c r="P89" s="184">
        <f>N89+O89</f>
        <v>-6176</v>
      </c>
      <c r="Q89" s="206">
        <f>Q137</f>
        <v>20450</v>
      </c>
      <c r="R89" s="206">
        <f>R137</f>
        <v>498</v>
      </c>
      <c r="S89" s="184">
        <f>Q89+R89</f>
        <v>20948</v>
      </c>
      <c r="T89" s="253">
        <f>T137</f>
        <v>-734</v>
      </c>
      <c r="U89" s="253">
        <f>U137</f>
        <v>-368</v>
      </c>
      <c r="V89" s="253">
        <f>T89+U89</f>
        <v>-1102</v>
      </c>
      <c r="W89" s="206">
        <f>W137</f>
        <v>7076</v>
      </c>
      <c r="X89" s="206">
        <v>-919</v>
      </c>
      <c r="Y89" s="184">
        <f>W89+X89</f>
        <v>6157</v>
      </c>
      <c r="Z89" s="206">
        <f>Z137</f>
        <v>-825</v>
      </c>
      <c r="AA89" s="206">
        <f>AA137</f>
        <v>-2701</v>
      </c>
      <c r="AB89" s="184">
        <f>Z89+AA89</f>
        <v>-3526</v>
      </c>
      <c r="AC89" s="206">
        <v>-509</v>
      </c>
      <c r="AD89" s="206">
        <f>AD137</f>
        <v>-616</v>
      </c>
      <c r="AE89" s="184">
        <f>AC89+AD89</f>
        <v>-1125</v>
      </c>
      <c r="AF89" s="206">
        <v>5056</v>
      </c>
      <c r="AG89" s="206">
        <v>-345</v>
      </c>
      <c r="AH89" s="184">
        <f>AF89+AG89</f>
        <v>4711</v>
      </c>
      <c r="AI89" s="206">
        <v>18286</v>
      </c>
      <c r="AJ89" s="206">
        <v>-83</v>
      </c>
      <c r="AK89" s="184">
        <f>AI89+AJ89</f>
        <v>18203</v>
      </c>
      <c r="AL89" s="206">
        <f>AL137</f>
        <v>-85.490000000000009</v>
      </c>
      <c r="AM89" s="206">
        <f>AM137</f>
        <v>-88.054700000000011</v>
      </c>
      <c r="AN89" s="184">
        <f>AL89+AM89</f>
        <v>-173.54470000000003</v>
      </c>
      <c r="AO89" s="206">
        <f>AO137</f>
        <v>-90.696341000000018</v>
      </c>
      <c r="AP89" s="206">
        <f>AP137</f>
        <v>-93.417231230000027</v>
      </c>
      <c r="AQ89" s="184">
        <f>AO89+AP89</f>
        <v>-184.11357223000005</v>
      </c>
      <c r="AR89" s="206">
        <f>AR137</f>
        <v>-96.219748166900033</v>
      </c>
      <c r="AS89" s="206">
        <f>AS137</f>
        <v>-99.106340611907029</v>
      </c>
      <c r="AT89" s="184">
        <f>AR89+AS89</f>
        <v>-195.32608877880705</v>
      </c>
      <c r="AU89" s="206">
        <f>AU137</f>
        <v>-102.07953083026425</v>
      </c>
      <c r="AV89" s="206">
        <f>AV137</f>
        <v>-105.14191675517218</v>
      </c>
      <c r="AW89" s="184">
        <f>AU89+AV89</f>
        <v>-207.22144758543641</v>
      </c>
      <c r="AX89" s="206">
        <f>AX137</f>
        <v>-108.29617425782735</v>
      </c>
      <c r="AY89" s="206">
        <f>AY137</f>
        <v>-111.54505948556216</v>
      </c>
      <c r="AZ89" s="184">
        <f>AX89+AY89</f>
        <v>-219.84123374338952</v>
      </c>
    </row>
    <row r="90" spans="2:52">
      <c r="B90" s="181" t="s">
        <v>2343</v>
      </c>
      <c r="E90" s="193">
        <f t="shared" ref="E90:AK90" si="70">E84+SUM(E87:E89)</f>
        <v>90542</v>
      </c>
      <c r="F90" s="193">
        <f t="shared" si="70"/>
        <v>94053</v>
      </c>
      <c r="G90" s="194">
        <f t="shared" si="70"/>
        <v>94053</v>
      </c>
      <c r="H90" s="193">
        <f t="shared" si="70"/>
        <v>102403</v>
      </c>
      <c r="I90" s="193">
        <f t="shared" si="70"/>
        <v>110165</v>
      </c>
      <c r="J90" s="194">
        <f t="shared" si="70"/>
        <v>110165</v>
      </c>
      <c r="K90" s="193">
        <f t="shared" si="70"/>
        <v>102926</v>
      </c>
      <c r="L90" s="193">
        <f t="shared" si="70"/>
        <v>94599</v>
      </c>
      <c r="M90" s="194">
        <f t="shared" si="70"/>
        <v>94599</v>
      </c>
      <c r="N90" s="193">
        <f t="shared" si="70"/>
        <v>76835</v>
      </c>
      <c r="O90" s="193">
        <f t="shared" si="70"/>
        <v>92405</v>
      </c>
      <c r="P90" s="194">
        <f t="shared" si="70"/>
        <v>92405</v>
      </c>
      <c r="Q90" s="193">
        <f t="shared" si="70"/>
        <v>121649</v>
      </c>
      <c r="R90" s="193">
        <f t="shared" si="70"/>
        <v>123172</v>
      </c>
      <c r="S90" s="194">
        <f t="shared" si="70"/>
        <v>123172</v>
      </c>
      <c r="T90" s="237">
        <f>118958+6155</f>
        <v>125113</v>
      </c>
      <c r="U90" s="237">
        <f t="shared" si="70"/>
        <v>116728</v>
      </c>
      <c r="V90" s="237">
        <f>+U90</f>
        <v>116728</v>
      </c>
      <c r="W90" s="193">
        <f t="shared" si="70"/>
        <v>130271</v>
      </c>
      <c r="X90" s="193">
        <f t="shared" si="70"/>
        <v>132052</v>
      </c>
      <c r="Y90" s="194">
        <f t="shared" si="70"/>
        <v>132052</v>
      </c>
      <c r="Z90" s="193">
        <f t="shared" si="70"/>
        <v>144372</v>
      </c>
      <c r="AA90" s="193">
        <f t="shared" si="70"/>
        <v>152747</v>
      </c>
      <c r="AB90" s="194">
        <f t="shared" si="70"/>
        <v>152747</v>
      </c>
      <c r="AC90" s="193">
        <f t="shared" si="70"/>
        <v>153771</v>
      </c>
      <c r="AD90" s="193">
        <f t="shared" si="70"/>
        <v>160037.79999999999</v>
      </c>
      <c r="AE90" s="194">
        <f t="shared" si="70"/>
        <v>160037.79999999999</v>
      </c>
      <c r="AF90" s="193">
        <f t="shared" si="70"/>
        <v>177076</v>
      </c>
      <c r="AG90" s="193">
        <f>AG84+SUM(AG87:AG89)</f>
        <v>168241</v>
      </c>
      <c r="AH90" s="194">
        <f t="shared" si="70"/>
        <v>187265</v>
      </c>
      <c r="AI90" s="193">
        <f t="shared" si="70"/>
        <v>188365</v>
      </c>
      <c r="AJ90" s="193">
        <f t="shared" si="70"/>
        <v>197352</v>
      </c>
      <c r="AK90" s="194">
        <f t="shared" si="70"/>
        <v>197352</v>
      </c>
      <c r="AL90" s="193">
        <f t="shared" ref="AL90:AZ90" si="71">AL84+SUM(AL87:AL89)</f>
        <v>204377.01847504044</v>
      </c>
      <c r="AM90" s="193">
        <f t="shared" si="71"/>
        <v>214125.17145413111</v>
      </c>
      <c r="AN90" s="194">
        <f t="shared" si="71"/>
        <v>214125.17145413111</v>
      </c>
      <c r="AO90" s="193">
        <f t="shared" si="71"/>
        <v>221378.52461407418</v>
      </c>
      <c r="AP90" s="193">
        <f t="shared" si="71"/>
        <v>231936.385357066</v>
      </c>
      <c r="AQ90" s="194">
        <f t="shared" si="71"/>
        <v>231936.38535706603</v>
      </c>
      <c r="AR90" s="193">
        <f t="shared" si="71"/>
        <v>239434.32187245067</v>
      </c>
      <c r="AS90" s="193">
        <f t="shared" si="71"/>
        <v>250851.33838606186</v>
      </c>
      <c r="AT90" s="194">
        <f t="shared" si="71"/>
        <v>250851.33838606189</v>
      </c>
      <c r="AU90" s="193">
        <f t="shared" si="71"/>
        <v>258611.13091996638</v>
      </c>
      <c r="AV90" s="193">
        <f t="shared" si="71"/>
        <v>270939.80860851356</v>
      </c>
      <c r="AW90" s="194">
        <f t="shared" si="71"/>
        <v>270939.80860851356</v>
      </c>
      <c r="AX90" s="193">
        <f t="shared" si="71"/>
        <v>278979.80138143915</v>
      </c>
      <c r="AY90" s="193">
        <f t="shared" si="71"/>
        <v>292275.88487493386</v>
      </c>
      <c r="AZ90" s="194">
        <f t="shared" si="71"/>
        <v>292275.88487493386</v>
      </c>
    </row>
    <row r="91" spans="2:52">
      <c r="B91" s="175" t="s">
        <v>2344</v>
      </c>
      <c r="E91" s="206">
        <f t="shared" ref="E91:AK91" si="72">SUM(E87:E89)</f>
        <v>6387</v>
      </c>
      <c r="F91" s="206">
        <f t="shared" si="72"/>
        <v>3511</v>
      </c>
      <c r="G91" s="184">
        <f t="shared" si="72"/>
        <v>9898</v>
      </c>
      <c r="H91" s="206">
        <f t="shared" si="72"/>
        <v>8350</v>
      </c>
      <c r="I91" s="206">
        <f t="shared" si="72"/>
        <v>7762</v>
      </c>
      <c r="J91" s="184">
        <f t="shared" si="72"/>
        <v>16112</v>
      </c>
      <c r="K91" s="206">
        <f t="shared" si="72"/>
        <v>-7239</v>
      </c>
      <c r="L91" s="206">
        <f t="shared" si="72"/>
        <v>-8327</v>
      </c>
      <c r="M91" s="184">
        <f t="shared" si="72"/>
        <v>-15566</v>
      </c>
      <c r="N91" s="206">
        <f t="shared" si="72"/>
        <v>-17764</v>
      </c>
      <c r="O91" s="206">
        <f t="shared" si="72"/>
        <v>15570</v>
      </c>
      <c r="P91" s="184">
        <f t="shared" si="72"/>
        <v>-2194</v>
      </c>
      <c r="Q91" s="206">
        <f t="shared" si="72"/>
        <v>29207</v>
      </c>
      <c r="R91" s="206">
        <f t="shared" si="72"/>
        <v>1523</v>
      </c>
      <c r="S91" s="184">
        <f t="shared" si="72"/>
        <v>30730</v>
      </c>
      <c r="T91" s="206">
        <f t="shared" si="72"/>
        <v>4916</v>
      </c>
      <c r="U91" s="206">
        <f t="shared" si="72"/>
        <v>-8385</v>
      </c>
      <c r="V91" s="184">
        <f t="shared" si="72"/>
        <v>-3469</v>
      </c>
      <c r="W91" s="206">
        <f t="shared" si="72"/>
        <v>13543</v>
      </c>
      <c r="X91" s="206">
        <f t="shared" si="72"/>
        <v>1781</v>
      </c>
      <c r="Y91" s="184">
        <f t="shared" si="72"/>
        <v>15324</v>
      </c>
      <c r="Z91" s="206">
        <f t="shared" si="72"/>
        <v>12320</v>
      </c>
      <c r="AA91" s="206">
        <f t="shared" si="72"/>
        <v>8375</v>
      </c>
      <c r="AB91" s="184">
        <f t="shared" si="72"/>
        <v>20695</v>
      </c>
      <c r="AC91" s="206">
        <f t="shared" si="72"/>
        <v>8667</v>
      </c>
      <c r="AD91" s="206">
        <f t="shared" si="72"/>
        <v>6266.8</v>
      </c>
      <c r="AE91" s="184">
        <f t="shared" si="72"/>
        <v>14933.8</v>
      </c>
      <c r="AF91" s="206">
        <f t="shared" si="72"/>
        <v>19024</v>
      </c>
      <c r="AG91" s="206">
        <f>SUM(AG87:AG89)</f>
        <v>-6124</v>
      </c>
      <c r="AH91" s="184">
        <f t="shared" si="72"/>
        <v>12900</v>
      </c>
      <c r="AI91" s="206">
        <f t="shared" si="72"/>
        <v>20000</v>
      </c>
      <c r="AJ91" s="206">
        <f t="shared" si="72"/>
        <v>8987</v>
      </c>
      <c r="AK91" s="184">
        <f t="shared" si="72"/>
        <v>28987</v>
      </c>
      <c r="AL91" s="206">
        <f t="shared" ref="AL91:AZ91" si="73">SUM(AL87:AL89)</f>
        <v>7025.0184750404387</v>
      </c>
      <c r="AM91" s="206">
        <f t="shared" si="73"/>
        <v>9748.152979090657</v>
      </c>
      <c r="AN91" s="184">
        <f t="shared" si="73"/>
        <v>16773.171454131101</v>
      </c>
      <c r="AO91" s="206">
        <f t="shared" si="73"/>
        <v>7253.3531599430808</v>
      </c>
      <c r="AP91" s="206">
        <f t="shared" si="73"/>
        <v>10557.86074299183</v>
      </c>
      <c r="AQ91" s="184">
        <f t="shared" si="73"/>
        <v>17811.213902934913</v>
      </c>
      <c r="AR91" s="206">
        <f t="shared" si="73"/>
        <v>7497.9365153846456</v>
      </c>
      <c r="AS91" s="206">
        <f t="shared" si="73"/>
        <v>11417.016513611201</v>
      </c>
      <c r="AT91" s="184">
        <f t="shared" si="73"/>
        <v>18914.953028995849</v>
      </c>
      <c r="AU91" s="206">
        <f t="shared" si="73"/>
        <v>7759.7925339044987</v>
      </c>
      <c r="AV91" s="206">
        <f t="shared" si="73"/>
        <v>12328.677688547148</v>
      </c>
      <c r="AW91" s="184">
        <f t="shared" si="73"/>
        <v>20088.470222451644</v>
      </c>
      <c r="AX91" s="206">
        <f t="shared" si="73"/>
        <v>8039.9927729255824</v>
      </c>
      <c r="AY91" s="206">
        <f t="shared" si="73"/>
        <v>13296.083493494749</v>
      </c>
      <c r="AZ91" s="184">
        <f t="shared" si="73"/>
        <v>21336.076266420332</v>
      </c>
    </row>
    <row r="92" spans="2:52">
      <c r="E92" s="206"/>
      <c r="F92" s="206"/>
      <c r="G92" s="184"/>
      <c r="H92" s="206"/>
      <c r="I92" s="206"/>
      <c r="J92" s="184"/>
      <c r="K92" s="206"/>
      <c r="L92" s="206"/>
      <c r="M92" s="184"/>
      <c r="N92" s="206"/>
      <c r="O92" s="206"/>
      <c r="P92" s="184"/>
      <c r="Q92" s="206"/>
      <c r="R92" s="206"/>
      <c r="S92" s="184"/>
      <c r="T92" s="206"/>
      <c r="U92" s="206"/>
      <c r="V92" s="184"/>
      <c r="W92" s="206"/>
      <c r="X92" s="206"/>
      <c r="Y92" s="184"/>
      <c r="Z92" s="206"/>
      <c r="AA92" s="206"/>
      <c r="AB92" s="184"/>
      <c r="AC92" s="206"/>
      <c r="AD92" s="206"/>
      <c r="AE92" s="184"/>
      <c r="AF92" s="206"/>
      <c r="AG92" s="206"/>
      <c r="AH92" s="184"/>
      <c r="AI92" s="206"/>
      <c r="AJ92" s="206"/>
      <c r="AK92" s="184"/>
      <c r="AL92" s="206"/>
      <c r="AM92" s="206"/>
      <c r="AN92" s="184"/>
      <c r="AO92" s="206"/>
      <c r="AP92" s="206"/>
      <c r="AQ92" s="184"/>
      <c r="AR92" s="206"/>
      <c r="AS92" s="206"/>
      <c r="AT92" s="184"/>
      <c r="AU92" s="206"/>
      <c r="AV92" s="206"/>
      <c r="AW92" s="184"/>
      <c r="AX92" s="206"/>
      <c r="AY92" s="206"/>
      <c r="AZ92" s="184"/>
    </row>
    <row r="93" spans="2:52">
      <c r="B93" s="181" t="s">
        <v>2345</v>
      </c>
      <c r="E93" s="206"/>
      <c r="F93" s="206"/>
      <c r="G93" s="184"/>
      <c r="H93" s="206"/>
      <c r="I93" s="206"/>
      <c r="J93" s="184"/>
      <c r="K93" s="206"/>
      <c r="L93" s="206"/>
      <c r="M93" s="184"/>
      <c r="N93" s="206"/>
      <c r="O93" s="206"/>
      <c r="P93" s="184"/>
      <c r="Q93" s="206"/>
      <c r="R93" s="206"/>
      <c r="S93" s="184"/>
      <c r="T93" s="206"/>
      <c r="U93" s="206"/>
      <c r="V93" s="184"/>
      <c r="W93" s="206"/>
      <c r="X93" s="206"/>
      <c r="Y93" s="184"/>
      <c r="Z93" s="206"/>
      <c r="AA93" s="206"/>
      <c r="AB93" s="184"/>
      <c r="AC93" s="206"/>
      <c r="AD93" s="206"/>
      <c r="AE93" s="184"/>
      <c r="AF93" s="206"/>
      <c r="AG93" s="206"/>
      <c r="AH93" s="184"/>
      <c r="AI93" s="206"/>
      <c r="AJ93" s="206"/>
      <c r="AK93" s="184"/>
      <c r="AL93" s="206"/>
      <c r="AM93" s="206"/>
      <c r="AN93" s="184"/>
      <c r="AO93" s="206"/>
      <c r="AP93" s="206"/>
      <c r="AQ93" s="184"/>
      <c r="AR93" s="206"/>
      <c r="AS93" s="206"/>
      <c r="AT93" s="184"/>
      <c r="AU93" s="206"/>
      <c r="AV93" s="206"/>
      <c r="AW93" s="184"/>
      <c r="AX93" s="206"/>
      <c r="AY93" s="206"/>
      <c r="AZ93" s="184"/>
    </row>
    <row r="94" spans="2:52">
      <c r="B94" s="175" t="s">
        <v>2339</v>
      </c>
      <c r="E94" s="207"/>
      <c r="F94" s="227">
        <f t="shared" ref="F94:Y98" si="74">F85/F$84</f>
        <v>0.17381988469439597</v>
      </c>
      <c r="G94" s="229">
        <f t="shared" si="74"/>
        <v>0.32467470738518212</v>
      </c>
      <c r="H94" s="227">
        <f t="shared" si="74"/>
        <v>0.1564968687867479</v>
      </c>
      <c r="I94" s="227">
        <f t="shared" si="74"/>
        <v>0.24854740583771959</v>
      </c>
      <c r="J94" s="229">
        <f t="shared" si="74"/>
        <v>0.42711024635046196</v>
      </c>
      <c r="K94" s="227">
        <f t="shared" si="74"/>
        <v>0.183769799845686</v>
      </c>
      <c r="L94" s="227">
        <f t="shared" si="74"/>
        <v>0.16626508365233275</v>
      </c>
      <c r="M94" s="229">
        <f t="shared" si="74"/>
        <v>0.33910951754186902</v>
      </c>
      <c r="N94" s="227">
        <f t="shared" si="74"/>
        <v>0.11962071480671042</v>
      </c>
      <c r="O94" s="227">
        <f t="shared" si="74"/>
        <v>0.1207262315351077</v>
      </c>
      <c r="P94" s="229">
        <f t="shared" si="74"/>
        <v>0.21767671962705737</v>
      </c>
      <c r="Q94" s="227">
        <f t="shared" si="74"/>
        <v>0.12064862292031761</v>
      </c>
      <c r="R94" s="227">
        <f t="shared" si="74"/>
        <v>0.11183815732147408</v>
      </c>
      <c r="S94" s="229">
        <f t="shared" si="74"/>
        <v>0.26782198567750587</v>
      </c>
      <c r="T94" s="227">
        <f t="shared" si="74"/>
        <v>6.8895528204462056E-2</v>
      </c>
      <c r="U94" s="227">
        <f t="shared" si="74"/>
        <v>8.6010246736949791E-2</v>
      </c>
      <c r="V94" s="229">
        <f t="shared" si="74"/>
        <v>0.15626116325138831</v>
      </c>
      <c r="W94" s="227">
        <f t="shared" si="74"/>
        <v>6.3558015214858474E-2</v>
      </c>
      <c r="X94" s="227">
        <f t="shared" si="74"/>
        <v>7.4360371840240733E-2</v>
      </c>
      <c r="Y94" s="229">
        <f t="shared" si="74"/>
        <v>0.14654581591391955</v>
      </c>
      <c r="Z94" s="206"/>
      <c r="AA94" s="206"/>
      <c r="AB94" s="184"/>
      <c r="AC94" s="206"/>
      <c r="AD94" s="206"/>
      <c r="AE94" s="184"/>
      <c r="AF94" s="206"/>
      <c r="AG94" s="206"/>
      <c r="AH94" s="184"/>
      <c r="AI94" s="206"/>
      <c r="AJ94" s="206"/>
      <c r="AK94" s="184"/>
      <c r="AL94" s="206"/>
      <c r="AM94" s="206"/>
      <c r="AN94" s="184"/>
      <c r="AO94" s="206"/>
      <c r="AP94" s="206"/>
      <c r="AQ94" s="184"/>
      <c r="AR94" s="206"/>
      <c r="AS94" s="206"/>
      <c r="AT94" s="184"/>
      <c r="AU94" s="206"/>
      <c r="AV94" s="206"/>
      <c r="AW94" s="184"/>
      <c r="AX94" s="206"/>
      <c r="AY94" s="206"/>
      <c r="AZ94" s="184"/>
    </row>
    <row r="95" spans="2:52">
      <c r="B95" s="175" t="s">
        <v>2340</v>
      </c>
      <c r="E95" s="207"/>
      <c r="F95" s="227">
        <f t="shared" si="74"/>
        <v>-0.14317112500276116</v>
      </c>
      <c r="G95" s="229">
        <f t="shared" si="74"/>
        <v>-0.30035054363971242</v>
      </c>
      <c r="H95" s="227">
        <f t="shared" si="74"/>
        <v>-0.1328718913803919</v>
      </c>
      <c r="I95" s="227">
        <f t="shared" si="74"/>
        <v>-0.20773805454918312</v>
      </c>
      <c r="J95" s="229">
        <f t="shared" si="74"/>
        <v>-0.35905287444313311</v>
      </c>
      <c r="K95" s="227">
        <f t="shared" si="74"/>
        <v>-0.1450732991421958</v>
      </c>
      <c r="L95" s="227">
        <f t="shared" si="74"/>
        <v>-0.19037949594854556</v>
      </c>
      <c r="M95" s="229">
        <f t="shared" si="74"/>
        <v>-0.32294285843961329</v>
      </c>
      <c r="N95" s="227">
        <f t="shared" si="74"/>
        <v>-0.13074133976046259</v>
      </c>
      <c r="O95" s="227">
        <f t="shared" si="74"/>
        <v>-7.31827942994729E-2</v>
      </c>
      <c r="P95" s="229">
        <f t="shared" si="74"/>
        <v>-0.19018171439444392</v>
      </c>
      <c r="Q95" s="227">
        <f t="shared" si="74"/>
        <v>-7.0162912961640816E-2</v>
      </c>
      <c r="R95" s="227">
        <f t="shared" si="74"/>
        <v>-9.3103930159721821E-2</v>
      </c>
      <c r="S95" s="229">
        <f t="shared" si="74"/>
        <v>-0.19268297959801822</v>
      </c>
      <c r="T95" s="227">
        <f t="shared" si="74"/>
        <v>-7.0121456175104735E-2</v>
      </c>
      <c r="U95" s="227">
        <f t="shared" si="74"/>
        <v>-8.2845108022347791E-2</v>
      </c>
      <c r="V95" s="229">
        <f t="shared" si="74"/>
        <v>-0.15427207482219985</v>
      </c>
      <c r="W95" s="227">
        <f t="shared" si="74"/>
        <v>-7.3795490370776512E-2</v>
      </c>
      <c r="X95" s="227">
        <f t="shared" si="74"/>
        <v>-7.6555795226873211E-2</v>
      </c>
      <c r="Y95" s="229">
        <f t="shared" si="74"/>
        <v>-0.15923343156740458</v>
      </c>
      <c r="Z95" s="206"/>
      <c r="AA95" s="206"/>
      <c r="AB95" s="184"/>
      <c r="AC95" s="206"/>
      <c r="AD95" s="206"/>
      <c r="AE95" s="184"/>
      <c r="AF95" s="206"/>
      <c r="AG95" s="206"/>
      <c r="AH95" s="184"/>
      <c r="AI95" s="206"/>
      <c r="AJ95" s="206"/>
      <c r="AK95" s="184"/>
      <c r="AL95" s="206"/>
      <c r="AM95" s="206"/>
      <c r="AN95" s="184"/>
      <c r="AO95" s="206"/>
      <c r="AP95" s="206"/>
      <c r="AQ95" s="184"/>
      <c r="AR95" s="206"/>
      <c r="AS95" s="206"/>
      <c r="AT95" s="184"/>
      <c r="AU95" s="206"/>
      <c r="AV95" s="206"/>
      <c r="AW95" s="184"/>
      <c r="AX95" s="206"/>
      <c r="AY95" s="206"/>
      <c r="AZ95" s="184"/>
    </row>
    <row r="96" spans="2:52">
      <c r="B96" s="175" t="s">
        <v>2341</v>
      </c>
      <c r="E96" s="207"/>
      <c r="F96" s="227">
        <f t="shared" si="74"/>
        <v>3.064875969163482E-2</v>
      </c>
      <c r="G96" s="229">
        <f t="shared" si="74"/>
        <v>2.4324163745469668E-2</v>
      </c>
      <c r="H96" s="227">
        <f t="shared" si="74"/>
        <v>2.3624977406355992E-2</v>
      </c>
      <c r="I96" s="227">
        <f t="shared" si="74"/>
        <v>4.0809351288536466E-2</v>
      </c>
      <c r="J96" s="229">
        <f t="shared" si="74"/>
        <v>6.8057371907328842E-2</v>
      </c>
      <c r="K96" s="227">
        <f t="shared" si="74"/>
        <v>3.8696500703490219E-2</v>
      </c>
      <c r="L96" s="227">
        <f t="shared" si="74"/>
        <v>-2.4114412296212813E-2</v>
      </c>
      <c r="M96" s="229">
        <f t="shared" si="74"/>
        <v>1.6166659102255707E-2</v>
      </c>
      <c r="N96" s="227">
        <f t="shared" si="74"/>
        <v>-1.1120624953752154E-2</v>
      </c>
      <c r="O96" s="227">
        <f t="shared" si="74"/>
        <v>4.7543437235634804E-2</v>
      </c>
      <c r="P96" s="229">
        <f t="shared" si="74"/>
        <v>2.7495005232613452E-2</v>
      </c>
      <c r="Q96" s="227">
        <f t="shared" si="74"/>
        <v>5.0485709958676794E-2</v>
      </c>
      <c r="R96" s="227">
        <f t="shared" si="74"/>
        <v>1.8734227161752253E-2</v>
      </c>
      <c r="S96" s="229">
        <f t="shared" si="74"/>
        <v>7.5139006079487675E-2</v>
      </c>
      <c r="T96" s="227">
        <f t="shared" si="74"/>
        <v>-1.2259279706426786E-3</v>
      </c>
      <c r="U96" s="227">
        <f t="shared" si="74"/>
        <v>3.1651387146019996E-3</v>
      </c>
      <c r="V96" s="229">
        <f t="shared" si="74"/>
        <v>1.9890884291884521E-3</v>
      </c>
      <c r="W96" s="227">
        <f t="shared" si="74"/>
        <v>-1.0237475155918031E-2</v>
      </c>
      <c r="X96" s="227">
        <f t="shared" si="74"/>
        <v>-2.1954233866324814E-3</v>
      </c>
      <c r="Y96" s="229">
        <f>Y87/Y$84</f>
        <v>-1.2687615653485026E-2</v>
      </c>
      <c r="Z96" s="227">
        <f t="shared" ref="Z96:AK98" si="75">Z87/Z$84</f>
        <v>1.3025171901978008E-2</v>
      </c>
      <c r="AA96" s="227">
        <f t="shared" si="75"/>
        <v>8.3187875765383876E-3</v>
      </c>
      <c r="AB96" s="229">
        <f t="shared" si="75"/>
        <v>2.212007391027777E-2</v>
      </c>
      <c r="AC96" s="227">
        <f t="shared" si="75"/>
        <v>1.7608060425625759E-2</v>
      </c>
      <c r="AD96" s="227">
        <f t="shared" si="75"/>
        <v>1.0059113877128977E-2</v>
      </c>
      <c r="AE96" s="229">
        <f t="shared" si="75"/>
        <v>2.8268000882125926E-2</v>
      </c>
      <c r="AF96" s="227">
        <f>AF87/AF$84</f>
        <v>-6.5927669374636197E-3</v>
      </c>
      <c r="AG96" s="227">
        <f t="shared" si="75"/>
        <v>1.0437874573452242E-3</v>
      </c>
      <c r="AH96" s="229">
        <f t="shared" si="75"/>
        <v>-4.9321824907521579E-3</v>
      </c>
      <c r="AI96" s="227">
        <f t="shared" si="75"/>
        <v>9.9783209099278355E-4</v>
      </c>
      <c r="AJ96" s="227">
        <f t="shared" si="75"/>
        <v>4.4594271759615639E-4</v>
      </c>
      <c r="AK96" s="229">
        <f t="shared" si="75"/>
        <v>1.4967481364891752E-3</v>
      </c>
      <c r="AL96" s="227">
        <f t="shared" ref="AL96:AZ96" si="76">AL87/AL$84</f>
        <v>9.1253192265596482E-4</v>
      </c>
      <c r="AM96" s="227">
        <f t="shared" si="76"/>
        <v>4.2108452624535248E-4</v>
      </c>
      <c r="AN96" s="229">
        <f t="shared" si="76"/>
        <v>1.348605537314038E-3</v>
      </c>
      <c r="AO96" s="227">
        <f t="shared" si="76"/>
        <v>9.0117896317171674E-4</v>
      </c>
      <c r="AP96" s="227">
        <f t="shared" si="76"/>
        <v>3.9640430413466157E-4</v>
      </c>
      <c r="AQ96" s="229">
        <f t="shared" si="76"/>
        <v>1.3110112094417386E-3</v>
      </c>
      <c r="AR96" s="227">
        <f t="shared" si="76"/>
        <v>8.9104457966712812E-4</v>
      </c>
      <c r="AS96" s="227">
        <f t="shared" si="76"/>
        <v>3.717027087178025E-4</v>
      </c>
      <c r="AT96" s="229">
        <f t="shared" si="76"/>
        <v>1.27476352856334E-3</v>
      </c>
      <c r="AU96" s="227">
        <f t="shared" si="76"/>
        <v>8.8192727905450304E-4</v>
      </c>
      <c r="AV96" s="227">
        <f t="shared" si="76"/>
        <v>3.4680541560972556E-4</v>
      </c>
      <c r="AW96" s="229">
        <f t="shared" si="76"/>
        <v>1.2394607142637267E-3</v>
      </c>
      <c r="AX96" s="227">
        <f t="shared" si="76"/>
        <v>8.736529119643809E-4</v>
      </c>
      <c r="AY96" s="227">
        <f t="shared" si="76"/>
        <v>3.2155405861783795E-4</v>
      </c>
      <c r="AZ96" s="229">
        <f t="shared" si="76"/>
        <v>1.2047489139410401E-3</v>
      </c>
    </row>
    <row r="97" spans="2:52">
      <c r="B97" s="175" t="s">
        <v>2342</v>
      </c>
      <c r="E97" s="207"/>
      <c r="F97" s="227">
        <f t="shared" si="74"/>
        <v>1.9791919772039496E-2</v>
      </c>
      <c r="G97" s="229">
        <f t="shared" si="74"/>
        <v>0.11847186738755867</v>
      </c>
      <c r="H97" s="227">
        <f t="shared" si="74"/>
        <v>7.579768853731407E-2</v>
      </c>
      <c r="I97" s="227">
        <f t="shared" si="74"/>
        <v>4.7625557844985011E-2</v>
      </c>
      <c r="J97" s="229">
        <f t="shared" si="74"/>
        <v>0.12765143057637715</v>
      </c>
      <c r="K97" s="227">
        <f t="shared" si="74"/>
        <v>-8.8294830481550401E-2</v>
      </c>
      <c r="L97" s="227">
        <f t="shared" si="74"/>
        <v>-5.0910362784913434E-2</v>
      </c>
      <c r="M97" s="229">
        <f t="shared" si="74"/>
        <v>-0.13585984659374575</v>
      </c>
      <c r="N97" s="227">
        <f t="shared" si="74"/>
        <v>-0.13388090783200668</v>
      </c>
      <c r="O97" s="227">
        <f t="shared" si="74"/>
        <v>0.18280731437495934</v>
      </c>
      <c r="P97" s="229">
        <f t="shared" si="74"/>
        <v>1.4598462985866659E-2</v>
      </c>
      <c r="Q97" s="227">
        <f t="shared" si="74"/>
        <v>4.4243958373899307E-2</v>
      </c>
      <c r="R97" s="227">
        <f t="shared" si="74"/>
        <v>-1.0308346143412606E-2</v>
      </c>
      <c r="S97" s="229">
        <f t="shared" si="74"/>
        <v>3.0678695830899376E-2</v>
      </c>
      <c r="T97" s="227">
        <f t="shared" si="74"/>
        <v>4.7096742766213104E-2</v>
      </c>
      <c r="U97" s="227">
        <f t="shared" si="74"/>
        <v>-6.7243212136228844E-2</v>
      </c>
      <c r="V97" s="229">
        <f>V88/V$84</f>
        <v>-2.1206118273633619E-2</v>
      </c>
      <c r="W97" s="227">
        <f t="shared" si="74"/>
        <v>6.5639777945308758E-2</v>
      </c>
      <c r="X97" s="227">
        <f t="shared" si="74"/>
        <v>2.2921448365330735E-2</v>
      </c>
      <c r="Y97" s="229">
        <f>Y88/Y$84</f>
        <v>9.1220615447878836E-2</v>
      </c>
      <c r="Z97" s="227">
        <f t="shared" si="75"/>
        <v>8.651894708145276E-2</v>
      </c>
      <c r="AA97" s="227">
        <f>AA88/AA$84</f>
        <v>6.8399689690521709E-2</v>
      </c>
      <c r="AB97" s="229">
        <f t="shared" si="75"/>
        <v>0.16130009390240208</v>
      </c>
      <c r="AC97" s="227">
        <f t="shared" si="75"/>
        <v>4.5629341713529607E-2</v>
      </c>
      <c r="AD97" s="227">
        <f t="shared" si="75"/>
        <v>3.4700951414766111E-2</v>
      </c>
      <c r="AE97" s="229">
        <f t="shared" si="75"/>
        <v>8.2402966148417689E-2</v>
      </c>
      <c r="AF97" s="227">
        <f>AF88/AF$84</f>
        <v>9.4968744463847343E-2</v>
      </c>
      <c r="AG97" s="227">
        <f t="shared" si="75"/>
        <v>-3.4186906776015831E-2</v>
      </c>
      <c r="AH97" s="229">
        <f t="shared" si="75"/>
        <v>5.1896882975367764E-2</v>
      </c>
      <c r="AI97" s="227">
        <f t="shared" si="75"/>
        <v>9.1824310278264491E-3</v>
      </c>
      <c r="AJ97" s="227">
        <f t="shared" si="75"/>
        <v>4.7705253099036442E-2</v>
      </c>
      <c r="AK97" s="229">
        <f t="shared" si="75"/>
        <v>6.2554568942476171E-2</v>
      </c>
      <c r="AL97" s="227">
        <f t="shared" ref="AL97:AZ97" si="77">AL88/AL$84</f>
        <v>3.511704201143357E-2</v>
      </c>
      <c r="AM97" s="227">
        <f t="shared" si="77"/>
        <v>4.7706673440298747E-2</v>
      </c>
      <c r="AN97" s="229">
        <f t="shared" si="77"/>
        <v>8.4521900736405503E-2</v>
      </c>
      <c r="AO97" s="227">
        <f t="shared" si="77"/>
        <v>3.3396748044052134E-2</v>
      </c>
      <c r="AP97" s="227">
        <f t="shared" si="77"/>
        <v>4.7717015878740082E-2</v>
      </c>
      <c r="AQ97" s="229">
        <f t="shared" si="77"/>
        <v>8.2730147300592596E-2</v>
      </c>
      <c r="AR97" s="227">
        <f t="shared" si="77"/>
        <v>3.1851365593968818E-2</v>
      </c>
      <c r="AS97" s="227">
        <f t="shared" si="77"/>
        <v>4.7725507265873372E-2</v>
      </c>
      <c r="AT97" s="229">
        <f t="shared" si="77"/>
        <v>8.1119721874640574E-2</v>
      </c>
      <c r="AU97" s="227">
        <f t="shared" si="77"/>
        <v>3.0458834605322168E-2</v>
      </c>
      <c r="AV97" s="227">
        <f t="shared" si="77"/>
        <v>4.7732407420554984E-2</v>
      </c>
      <c r="AW97" s="229">
        <f t="shared" si="77"/>
        <v>7.966778817911023E-2</v>
      </c>
      <c r="AX97" s="227">
        <f t="shared" si="77"/>
        <v>2.920051370471408E-2</v>
      </c>
      <c r="AY97" s="227">
        <f t="shared" si="77"/>
        <v>4.7737941598734575E-2</v>
      </c>
      <c r="AZ97" s="229">
        <f t="shared" si="77"/>
        <v>7.8355052987706814E-2</v>
      </c>
    </row>
    <row r="98" spans="2:52">
      <c r="B98" s="175" t="s">
        <v>269</v>
      </c>
      <c r="E98" s="207"/>
      <c r="F98" s="227">
        <f t="shared" si="74"/>
        <v>-1.1663095579951845E-2</v>
      </c>
      <c r="G98" s="229">
        <f t="shared" si="74"/>
        <v>-2.5179727883072902E-2</v>
      </c>
      <c r="H98" s="227">
        <f t="shared" si="74"/>
        <v>-1.0642935366229679E-2</v>
      </c>
      <c r="I98" s="227">
        <f t="shared" si="74"/>
        <v>-1.2636348544476235E-2</v>
      </c>
      <c r="J98" s="229">
        <f t="shared" si="74"/>
        <v>-2.4401135529967147E-2</v>
      </c>
      <c r="K98" s="227">
        <f t="shared" si="74"/>
        <v>-1.6112195343348613E-2</v>
      </c>
      <c r="L98" s="227">
        <f t="shared" si="74"/>
        <v>-5.8780094436779824E-3</v>
      </c>
      <c r="M98" s="229">
        <f t="shared" si="74"/>
        <v>-2.1603957699813915E-2</v>
      </c>
      <c r="N98" s="227">
        <f t="shared" si="74"/>
        <v>-4.2780579075888753E-2</v>
      </c>
      <c r="O98" s="227">
        <f t="shared" si="74"/>
        <v>-2.770872649183315E-2</v>
      </c>
      <c r="P98" s="229">
        <f t="shared" si="74"/>
        <v>-6.5286102390088696E-2</v>
      </c>
      <c r="Q98" s="227">
        <f t="shared" si="74"/>
        <v>0.22121979186949656</v>
      </c>
      <c r="R98" s="227">
        <f t="shared" si="74"/>
        <v>4.0937451191542882E-3</v>
      </c>
      <c r="S98" s="229">
        <f t="shared" si="74"/>
        <v>0.2266069535492525</v>
      </c>
      <c r="T98" s="227">
        <f t="shared" si="74"/>
        <v>-5.9591465592829535E-3</v>
      </c>
      <c r="U98" s="227">
        <f t="shared" si="74"/>
        <v>-2.9413410277109495E-3</v>
      </c>
      <c r="V98" s="229">
        <f>V89/V$84</f>
        <v>-8.9468385672068322E-3</v>
      </c>
      <c r="W98" s="227">
        <f t="shared" si="74"/>
        <v>6.0619560002741414E-2</v>
      </c>
      <c r="X98" s="227">
        <f t="shared" si="74"/>
        <v>-7.0545247983050717E-3</v>
      </c>
      <c r="Y98" s="229">
        <f t="shared" si="74"/>
        <v>5.2746556096223703E-2</v>
      </c>
      <c r="Z98" s="227">
        <f t="shared" si="75"/>
        <v>-6.247538848332475E-3</v>
      </c>
      <c r="AA98" s="227">
        <f>AA89/AA$84</f>
        <v>-1.8708613858642951E-2</v>
      </c>
      <c r="AB98" s="229">
        <f t="shared" si="75"/>
        <v>-2.6701602399054919E-2</v>
      </c>
      <c r="AC98" s="227">
        <f t="shared" si="75"/>
        <v>-3.5078288675708456E-3</v>
      </c>
      <c r="AD98" s="227">
        <f t="shared" si="75"/>
        <v>-4.0059569099505105E-3</v>
      </c>
      <c r="AE98" s="229">
        <f t="shared" si="75"/>
        <v>-7.7530598742970563E-3</v>
      </c>
      <c r="AF98" s="227">
        <f>AF89/AF$84</f>
        <v>3.1989471819401212E-2</v>
      </c>
      <c r="AG98" s="227">
        <f t="shared" si="75"/>
        <v>-1.9786080922203422E-3</v>
      </c>
      <c r="AH98" s="229">
        <f t="shared" si="75"/>
        <v>2.7018036876666762E-2</v>
      </c>
      <c r="AI98" s="227">
        <f t="shared" si="75"/>
        <v>0.10860927152317881</v>
      </c>
      <c r="AJ98" s="227">
        <f t="shared" si="75"/>
        <v>-4.406338757200117E-4</v>
      </c>
      <c r="AK98" s="229">
        <f t="shared" si="75"/>
        <v>0.10811629495441452</v>
      </c>
      <c r="AL98" s="227">
        <f t="shared" ref="AL98:AZ98" si="78">AL89/AL$84</f>
        <v>-4.3318537435647984E-4</v>
      </c>
      <c r="AM98" s="227">
        <f t="shared" si="78"/>
        <v>-4.3084442985331884E-4</v>
      </c>
      <c r="AN98" s="229">
        <f t="shared" si="78"/>
        <v>-8.793663099436541E-4</v>
      </c>
      <c r="AO98" s="227">
        <f t="shared" si="78"/>
        <v>-4.2356692762498762E-4</v>
      </c>
      <c r="AP98" s="227">
        <f t="shared" si="78"/>
        <v>-4.2197964501232839E-4</v>
      </c>
      <c r="AQ98" s="229">
        <f t="shared" si="78"/>
        <v>-8.5984086307872498E-4</v>
      </c>
      <c r="AR98" s="227">
        <f t="shared" si="78"/>
        <v>-4.1485404723700314E-4</v>
      </c>
      <c r="AS98" s="227">
        <f t="shared" si="78"/>
        <v>-4.1391868900358437E-4</v>
      </c>
      <c r="AT98" s="229">
        <f t="shared" si="78"/>
        <v>-8.4215371589111624E-4</v>
      </c>
      <c r="AU98" s="227">
        <f t="shared" si="78"/>
        <v>-4.0693237471654689E-4</v>
      </c>
      <c r="AV98" s="227">
        <f t="shared" si="78"/>
        <v>-4.0656377156368781E-4</v>
      </c>
      <c r="AW98" s="229">
        <f t="shared" si="78"/>
        <v>-8.2607272067459017E-4</v>
      </c>
      <c r="AX98" s="227">
        <f t="shared" si="78"/>
        <v>-3.9970565718641475E-4</v>
      </c>
      <c r="AY98" s="227">
        <f t="shared" si="78"/>
        <v>-3.9983202702567909E-4</v>
      </c>
      <c r="AZ98" s="229">
        <f t="shared" si="78"/>
        <v>-8.1140248408842204E-4</v>
      </c>
    </row>
    <row r="99" spans="2:52">
      <c r="B99" s="181" t="s">
        <v>166</v>
      </c>
      <c r="E99" s="251"/>
      <c r="F99" s="251">
        <f t="shared" ref="F99:AK99" si="79">F91/F$84</f>
        <v>3.8777583883722475E-2</v>
      </c>
      <c r="G99" s="252">
        <f t="shared" si="79"/>
        <v>0.11761630324995544</v>
      </c>
      <c r="H99" s="251">
        <f t="shared" si="79"/>
        <v>8.8779730577440374E-2</v>
      </c>
      <c r="I99" s="251">
        <f t="shared" si="79"/>
        <v>7.5798560589045244E-2</v>
      </c>
      <c r="J99" s="252">
        <f t="shared" si="79"/>
        <v>0.17130766695373886</v>
      </c>
      <c r="K99" s="251">
        <f t="shared" si="79"/>
        <v>-6.5710525121408792E-2</v>
      </c>
      <c r="L99" s="251">
        <f t="shared" si="79"/>
        <v>-8.0902784524804233E-2</v>
      </c>
      <c r="M99" s="252">
        <f t="shared" si="79"/>
        <v>-0.14129714519130396</v>
      </c>
      <c r="N99" s="251">
        <f t="shared" si="79"/>
        <v>-0.18778211186164759</v>
      </c>
      <c r="O99" s="251">
        <f t="shared" si="79"/>
        <v>0.20264202511876098</v>
      </c>
      <c r="P99" s="252">
        <f t="shared" si="79"/>
        <v>-2.3192634171608578E-2</v>
      </c>
      <c r="Q99" s="251">
        <f t="shared" si="79"/>
        <v>0.31594946020207265</v>
      </c>
      <c r="R99" s="251">
        <f>R91/R$84</f>
        <v>1.2519626137493937E-2</v>
      </c>
      <c r="S99" s="252">
        <f t="shared" si="79"/>
        <v>0.33242465545963956</v>
      </c>
      <c r="T99" s="251">
        <f t="shared" si="79"/>
        <v>3.9911668236287466E-2</v>
      </c>
      <c r="U99" s="251">
        <f t="shared" si="79"/>
        <v>-6.7019414449337802E-2</v>
      </c>
      <c r="V99" s="252">
        <f t="shared" si="79"/>
        <v>-2.8163868411651999E-2</v>
      </c>
      <c r="W99" s="251">
        <f t="shared" si="79"/>
        <v>0.11602186279213214</v>
      </c>
      <c r="X99" s="251">
        <f t="shared" si="79"/>
        <v>1.3671500180393181E-2</v>
      </c>
      <c r="Y99" s="252">
        <f>Y91/Y$84</f>
        <v>0.13127955589061752</v>
      </c>
      <c r="Z99" s="251">
        <f t="shared" si="79"/>
        <v>9.3296580135098298E-2</v>
      </c>
      <c r="AA99" s="251">
        <f>AA91/AA$84</f>
        <v>5.8009863408417142E-2</v>
      </c>
      <c r="AB99" s="252">
        <f t="shared" si="79"/>
        <v>0.15671856541362494</v>
      </c>
      <c r="AC99" s="251">
        <f t="shared" si="79"/>
        <v>5.972957327158452E-2</v>
      </c>
      <c r="AD99" s="251">
        <f t="shared" si="79"/>
        <v>4.0754108381944584E-2</v>
      </c>
      <c r="AE99" s="252">
        <f t="shared" si="79"/>
        <v>0.10291790715624655</v>
      </c>
      <c r="AF99" s="251">
        <f>AF91/AF$84</f>
        <v>0.12036544934578493</v>
      </c>
      <c r="AG99" s="251">
        <f t="shared" si="79"/>
        <v>-3.5121727410890945E-2</v>
      </c>
      <c r="AH99" s="252">
        <f t="shared" si="79"/>
        <v>7.3982737361282372E-2</v>
      </c>
      <c r="AI99" s="251">
        <f t="shared" si="79"/>
        <v>0.11878953464199804</v>
      </c>
      <c r="AJ99" s="251">
        <f t="shared" si="79"/>
        <v>4.7710561940912589E-2</v>
      </c>
      <c r="AK99" s="252">
        <f t="shared" si="79"/>
        <v>0.17216761203337985</v>
      </c>
      <c r="AL99" s="251">
        <f t="shared" ref="AL99:AZ99" si="80">AL91/AL$84</f>
        <v>3.5596388559733058E-2</v>
      </c>
      <c r="AM99" s="251">
        <f t="shared" si="80"/>
        <v>4.7696913536690776E-2</v>
      </c>
      <c r="AN99" s="252">
        <f t="shared" si="80"/>
        <v>8.49911399637759E-2</v>
      </c>
      <c r="AO99" s="251">
        <f t="shared" si="80"/>
        <v>3.3874360079598861E-2</v>
      </c>
      <c r="AP99" s="251">
        <f t="shared" si="80"/>
        <v>4.7691440537862416E-2</v>
      </c>
      <c r="AQ99" s="252">
        <f t="shared" si="80"/>
        <v>8.3181317646955619E-2</v>
      </c>
      <c r="AR99" s="251">
        <f t="shared" si="80"/>
        <v>3.232755612639894E-2</v>
      </c>
      <c r="AS99" s="251">
        <f t="shared" si="80"/>
        <v>4.7683291285587591E-2</v>
      </c>
      <c r="AT99" s="252">
        <f t="shared" si="80"/>
        <v>8.155233168731281E-2</v>
      </c>
      <c r="AU99" s="251">
        <f t="shared" si="80"/>
        <v>3.0933829509660123E-2</v>
      </c>
      <c r="AV99" s="251">
        <f t="shared" si="80"/>
        <v>4.7672649064601023E-2</v>
      </c>
      <c r="AW99" s="252">
        <f t="shared" si="80"/>
        <v>8.0081176172699359E-2</v>
      </c>
      <c r="AX99" s="251">
        <f t="shared" si="80"/>
        <v>2.9674460959492045E-2</v>
      </c>
      <c r="AY99" s="251">
        <f t="shared" si="80"/>
        <v>4.7659663630326726E-2</v>
      </c>
      <c r="AZ99" s="252">
        <f t="shared" si="80"/>
        <v>7.8748399417559428E-2</v>
      </c>
    </row>
    <row r="100" spans="2:52">
      <c r="E100" s="206"/>
      <c r="F100" s="206"/>
      <c r="G100" s="184"/>
      <c r="H100" s="206"/>
      <c r="I100" s="206"/>
      <c r="J100" s="184"/>
      <c r="K100" s="206"/>
      <c r="L100" s="206"/>
      <c r="M100" s="184"/>
      <c r="N100" s="206"/>
      <c r="O100" s="206"/>
      <c r="P100" s="184"/>
      <c r="Q100" s="206"/>
      <c r="R100" s="206"/>
      <c r="S100" s="184"/>
      <c r="T100" s="206"/>
      <c r="U100" s="206"/>
      <c r="V100" s="184"/>
      <c r="W100" s="206"/>
      <c r="X100" s="206"/>
      <c r="Y100" s="184"/>
      <c r="Z100" s="206"/>
      <c r="AA100" s="206"/>
      <c r="AB100" s="184"/>
      <c r="AC100" s="206"/>
      <c r="AD100" s="206"/>
      <c r="AE100" s="184"/>
      <c r="AF100" s="206"/>
      <c r="AG100" s="206"/>
      <c r="AH100" s="184"/>
      <c r="AI100" s="206"/>
      <c r="AJ100" s="206"/>
      <c r="AK100" s="184"/>
      <c r="AL100" s="206"/>
      <c r="AM100" s="206"/>
      <c r="AN100" s="184"/>
      <c r="AO100" s="206"/>
      <c r="AP100" s="206"/>
      <c r="AQ100" s="184"/>
      <c r="AR100" s="206"/>
      <c r="AS100" s="206"/>
      <c r="AT100" s="184"/>
      <c r="AU100" s="206"/>
      <c r="AV100" s="206"/>
      <c r="AW100" s="184"/>
      <c r="AX100" s="206"/>
      <c r="AY100" s="206"/>
      <c r="AZ100" s="184"/>
    </row>
    <row r="101" spans="2:52">
      <c r="B101" s="181" t="s">
        <v>2346</v>
      </c>
      <c r="E101" s="206"/>
      <c r="F101" s="206"/>
      <c r="G101" s="184"/>
      <c r="H101" s="206"/>
      <c r="I101" s="206"/>
      <c r="J101" s="184"/>
      <c r="K101" s="206"/>
      <c r="L101" s="206"/>
      <c r="M101" s="184"/>
      <c r="N101" s="206"/>
      <c r="O101" s="206"/>
      <c r="P101" s="184"/>
      <c r="Q101" s="206"/>
      <c r="R101" s="206"/>
      <c r="S101" s="184"/>
      <c r="T101" s="206"/>
      <c r="U101" s="206"/>
      <c r="V101" s="184"/>
      <c r="W101" s="206"/>
      <c r="X101" s="206"/>
      <c r="Y101" s="184"/>
      <c r="Z101" s="206"/>
      <c r="AA101" s="206"/>
      <c r="AB101" s="184"/>
      <c r="AC101" s="206"/>
      <c r="AD101" s="206"/>
      <c r="AE101" s="184"/>
      <c r="AF101" s="206"/>
      <c r="AG101" s="206"/>
      <c r="AH101" s="184"/>
      <c r="AI101" s="206"/>
      <c r="AJ101" s="206"/>
      <c r="AK101" s="184"/>
      <c r="AL101" s="206"/>
      <c r="AM101" s="206"/>
      <c r="AN101" s="184"/>
      <c r="AO101" s="206"/>
      <c r="AP101" s="206"/>
      <c r="AQ101" s="184"/>
      <c r="AR101" s="206"/>
      <c r="AS101" s="206"/>
      <c r="AT101" s="184"/>
      <c r="AU101" s="206"/>
      <c r="AV101" s="206"/>
      <c r="AW101" s="184"/>
      <c r="AX101" s="206"/>
      <c r="AY101" s="206"/>
      <c r="AZ101" s="184"/>
    </row>
    <row r="102" spans="2:52">
      <c r="B102" s="175" t="s">
        <v>2326</v>
      </c>
      <c r="E102" s="206">
        <v>4359</v>
      </c>
      <c r="F102" s="206">
        <v>6369</v>
      </c>
      <c r="G102" s="184">
        <f t="shared" ref="G102:G108" si="81">E102+F102</f>
        <v>10728</v>
      </c>
      <c r="H102" s="206">
        <v>5557</v>
      </c>
      <c r="I102" s="206">
        <v>10308</v>
      </c>
      <c r="J102" s="184">
        <f t="shared" ref="J102:M108" si="82">H102+I102</f>
        <v>15865</v>
      </c>
      <c r="K102" s="206">
        <v>6370</v>
      </c>
      <c r="L102" s="206">
        <v>6006</v>
      </c>
      <c r="M102" s="184">
        <f t="shared" si="82"/>
        <v>12376</v>
      </c>
      <c r="N102" s="206">
        <v>3957</v>
      </c>
      <c r="O102" s="206">
        <v>5169</v>
      </c>
      <c r="P102" s="184">
        <f t="shared" ref="P102:P108" si="83">N102+O102</f>
        <v>9126</v>
      </c>
      <c r="Q102" s="206">
        <v>8222</v>
      </c>
      <c r="R102" s="206">
        <v>6223</v>
      </c>
      <c r="S102" s="184">
        <f t="shared" ref="S102:S108" si="84">Q102+R102</f>
        <v>14445</v>
      </c>
      <c r="T102" s="206">
        <v>4775</v>
      </c>
      <c r="U102" s="206">
        <f>11198-W102</f>
        <v>6424</v>
      </c>
      <c r="V102" s="184">
        <f t="shared" ref="V102:V107" si="85">+U102+T102</f>
        <v>11199</v>
      </c>
      <c r="W102" s="206">
        <v>4774</v>
      </c>
      <c r="X102" s="206">
        <v>5576</v>
      </c>
      <c r="Y102" s="184">
        <f t="shared" ref="Y102:Y107" si="86">+X102+W102</f>
        <v>10350</v>
      </c>
      <c r="Z102" s="206">
        <v>8533</v>
      </c>
      <c r="AA102" s="206">
        <v>8062</v>
      </c>
      <c r="AB102" s="184">
        <f t="shared" ref="AB102:AB107" si="87">+AA102+Z102</f>
        <v>16595</v>
      </c>
      <c r="AC102" s="206"/>
      <c r="AD102" s="206"/>
      <c r="AE102" s="184"/>
      <c r="AF102" s="206"/>
      <c r="AG102" s="206"/>
      <c r="AH102" s="184"/>
      <c r="AI102" s="206"/>
      <c r="AJ102" s="206"/>
      <c r="AK102" s="184"/>
      <c r="AL102" s="206"/>
      <c r="AM102" s="206"/>
      <c r="AN102" s="184"/>
      <c r="AO102" s="206"/>
      <c r="AP102" s="206"/>
      <c r="AQ102" s="184"/>
      <c r="AR102" s="206"/>
      <c r="AS102" s="206"/>
      <c r="AT102" s="184"/>
      <c r="AU102" s="206"/>
      <c r="AV102" s="206"/>
      <c r="AW102" s="184"/>
      <c r="AX102" s="206"/>
      <c r="AY102" s="206"/>
      <c r="AZ102" s="184"/>
    </row>
    <row r="103" spans="2:52">
      <c r="B103" s="175" t="s">
        <v>2327</v>
      </c>
      <c r="E103" s="206">
        <v>70</v>
      </c>
      <c r="F103" s="206">
        <v>83</v>
      </c>
      <c r="G103" s="184">
        <f t="shared" si="81"/>
        <v>153</v>
      </c>
      <c r="H103" s="206">
        <v>24</v>
      </c>
      <c r="I103" s="206">
        <v>79</v>
      </c>
      <c r="J103" s="184">
        <f t="shared" si="82"/>
        <v>103</v>
      </c>
      <c r="K103" s="206">
        <v>22</v>
      </c>
      <c r="L103" s="206">
        <v>-31</v>
      </c>
      <c r="M103" s="184">
        <f t="shared" si="82"/>
        <v>-9</v>
      </c>
      <c r="N103" s="206">
        <v>19</v>
      </c>
      <c r="O103" s="206">
        <v>19</v>
      </c>
      <c r="P103" s="184">
        <f t="shared" si="83"/>
        <v>38</v>
      </c>
      <c r="Q103" s="206">
        <v>3</v>
      </c>
      <c r="R103" s="206">
        <v>6</v>
      </c>
      <c r="S103" s="184">
        <f t="shared" si="84"/>
        <v>9</v>
      </c>
      <c r="T103" s="206">
        <v>26</v>
      </c>
      <c r="U103" s="206">
        <f>54-W103</f>
        <v>33</v>
      </c>
      <c r="V103" s="184">
        <f t="shared" si="85"/>
        <v>59</v>
      </c>
      <c r="W103" s="206">
        <v>21</v>
      </c>
      <c r="X103" s="206">
        <v>18</v>
      </c>
      <c r="Y103" s="184">
        <f t="shared" si="86"/>
        <v>39</v>
      </c>
      <c r="Z103" s="206">
        <v>16</v>
      </c>
      <c r="AA103" s="206">
        <v>14</v>
      </c>
      <c r="AB103" s="184">
        <f t="shared" si="87"/>
        <v>30</v>
      </c>
      <c r="AC103" s="206"/>
      <c r="AD103" s="206"/>
      <c r="AE103" s="184"/>
      <c r="AF103" s="206"/>
      <c r="AG103" s="206"/>
      <c r="AH103" s="184"/>
      <c r="AI103" s="206"/>
      <c r="AJ103" s="206"/>
      <c r="AK103" s="184"/>
      <c r="AL103" s="206"/>
      <c r="AM103" s="206"/>
      <c r="AN103" s="184"/>
      <c r="AO103" s="206"/>
      <c r="AP103" s="206"/>
      <c r="AQ103" s="184"/>
      <c r="AR103" s="206"/>
      <c r="AS103" s="206"/>
      <c r="AT103" s="184"/>
      <c r="AU103" s="206"/>
      <c r="AV103" s="206"/>
      <c r="AW103" s="184"/>
      <c r="AX103" s="206"/>
      <c r="AY103" s="206"/>
      <c r="AZ103" s="184"/>
    </row>
    <row r="104" spans="2:52">
      <c r="B104" s="175" t="s">
        <v>2328</v>
      </c>
      <c r="E104" s="206">
        <f>E102+E103</f>
        <v>4429</v>
      </c>
      <c r="F104" s="206">
        <f>F102+F103</f>
        <v>6452</v>
      </c>
      <c r="G104" s="184">
        <f t="shared" si="81"/>
        <v>10881</v>
      </c>
      <c r="H104" s="206">
        <f>H102+H103</f>
        <v>5581</v>
      </c>
      <c r="I104" s="206">
        <f>I102+I103</f>
        <v>10387</v>
      </c>
      <c r="J104" s="184">
        <f t="shared" si="82"/>
        <v>15968</v>
      </c>
      <c r="K104" s="206">
        <f>K102+K103</f>
        <v>6392</v>
      </c>
      <c r="L104" s="206">
        <f>L102+L103</f>
        <v>5975</v>
      </c>
      <c r="M104" s="184">
        <f t="shared" si="82"/>
        <v>12367</v>
      </c>
      <c r="N104" s="206">
        <f>N102+N103</f>
        <v>3976</v>
      </c>
      <c r="O104" s="206">
        <f>O102+O103</f>
        <v>5188</v>
      </c>
      <c r="P104" s="184">
        <f t="shared" si="83"/>
        <v>9164</v>
      </c>
      <c r="Q104" s="206">
        <f>Q102+Q103</f>
        <v>8225</v>
      </c>
      <c r="R104" s="206">
        <f>R102+R103</f>
        <v>6229</v>
      </c>
      <c r="S104" s="184">
        <f t="shared" si="84"/>
        <v>14454</v>
      </c>
      <c r="T104" s="206">
        <f>T102+T103</f>
        <v>4801</v>
      </c>
      <c r="U104" s="206">
        <f>U102+U103</f>
        <v>6457</v>
      </c>
      <c r="V104" s="184">
        <f t="shared" si="85"/>
        <v>11258</v>
      </c>
      <c r="W104" s="206">
        <f>W102+W103</f>
        <v>4795</v>
      </c>
      <c r="X104" s="206">
        <f>X102+X103</f>
        <v>5594</v>
      </c>
      <c r="Y104" s="184">
        <f t="shared" si="86"/>
        <v>10389</v>
      </c>
      <c r="Z104" s="206">
        <f>Z102+Z103</f>
        <v>8549</v>
      </c>
      <c r="AA104" s="206">
        <f>AA102+AA103</f>
        <v>8076</v>
      </c>
      <c r="AB104" s="184">
        <f t="shared" si="87"/>
        <v>16625</v>
      </c>
      <c r="AC104" s="206">
        <v>7613</v>
      </c>
      <c r="AD104" s="206"/>
      <c r="AE104" s="184"/>
      <c r="AF104" s="206">
        <v>7332</v>
      </c>
      <c r="AG104" s="206">
        <v>7863</v>
      </c>
      <c r="AH104" s="184"/>
      <c r="AI104" s="206">
        <v>6909</v>
      </c>
      <c r="AJ104" s="206">
        <v>8838</v>
      </c>
      <c r="AK104" s="184"/>
      <c r="AL104" s="206"/>
      <c r="AM104" s="206"/>
      <c r="AN104" s="184"/>
      <c r="AO104" s="206"/>
      <c r="AP104" s="206"/>
      <c r="AQ104" s="184"/>
      <c r="AR104" s="206"/>
      <c r="AS104" s="206"/>
      <c r="AT104" s="184"/>
      <c r="AU104" s="206"/>
      <c r="AV104" s="206"/>
      <c r="AW104" s="184"/>
      <c r="AX104" s="206"/>
      <c r="AY104" s="206"/>
      <c r="AZ104" s="184"/>
    </row>
    <row r="105" spans="2:52">
      <c r="B105" s="175" t="s">
        <v>2329</v>
      </c>
      <c r="E105" s="206">
        <v>1404</v>
      </c>
      <c r="F105" s="206">
        <v>2163</v>
      </c>
      <c r="G105" s="184">
        <f t="shared" si="81"/>
        <v>3567</v>
      </c>
      <c r="H105" s="206">
        <v>1286</v>
      </c>
      <c r="I105" s="206">
        <v>2493</v>
      </c>
      <c r="J105" s="184">
        <f t="shared" si="82"/>
        <v>3779</v>
      </c>
      <c r="K105" s="206">
        <v>3265</v>
      </c>
      <c r="L105" s="206">
        <v>1007</v>
      </c>
      <c r="M105" s="184">
        <f t="shared" si="82"/>
        <v>4272</v>
      </c>
      <c r="N105" s="206">
        <v>1138</v>
      </c>
      <c r="O105" s="206">
        <v>2377</v>
      </c>
      <c r="P105" s="184">
        <f t="shared" si="83"/>
        <v>3515</v>
      </c>
      <c r="Q105" s="206">
        <v>2432</v>
      </c>
      <c r="R105" s="206">
        <v>6759</v>
      </c>
      <c r="S105" s="184">
        <f t="shared" si="84"/>
        <v>9191</v>
      </c>
      <c r="T105" s="206">
        <v>2709</v>
      </c>
      <c r="U105" s="206">
        <f>4718-W105</f>
        <v>2616</v>
      </c>
      <c r="V105" s="184">
        <f t="shared" si="85"/>
        <v>5325</v>
      </c>
      <c r="W105" s="206">
        <v>2102</v>
      </c>
      <c r="X105" s="206">
        <v>3010</v>
      </c>
      <c r="Y105" s="184">
        <f t="shared" si="86"/>
        <v>5112</v>
      </c>
      <c r="Z105" s="206">
        <v>4499</v>
      </c>
      <c r="AA105" s="206">
        <v>3212</v>
      </c>
      <c r="AB105" s="184">
        <f t="shared" si="87"/>
        <v>7711</v>
      </c>
      <c r="AC105" s="206">
        <v>5126</v>
      </c>
      <c r="AD105" s="206"/>
      <c r="AE105" s="184"/>
      <c r="AF105" s="206">
        <v>3988</v>
      </c>
      <c r="AG105" s="206">
        <v>2969</v>
      </c>
      <c r="AH105" s="184"/>
      <c r="AI105" s="206">
        <v>4125</v>
      </c>
      <c r="AJ105" s="206">
        <v>3729</v>
      </c>
      <c r="AK105" s="184"/>
      <c r="AL105" s="206"/>
      <c r="AM105" s="206"/>
      <c r="AN105" s="184"/>
      <c r="AO105" s="206"/>
      <c r="AP105" s="206"/>
      <c r="AQ105" s="184"/>
      <c r="AR105" s="206"/>
      <c r="AS105" s="206"/>
      <c r="AT105" s="184"/>
      <c r="AU105" s="206"/>
      <c r="AV105" s="206"/>
      <c r="AW105" s="184"/>
      <c r="AX105" s="206"/>
      <c r="AY105" s="206"/>
      <c r="AZ105" s="184"/>
    </row>
    <row r="106" spans="2:52">
      <c r="B106" s="175" t="s">
        <v>2330</v>
      </c>
      <c r="E106" s="206">
        <v>5752</v>
      </c>
      <c r="F106" s="206">
        <v>7123</v>
      </c>
      <c r="G106" s="184">
        <f t="shared" si="81"/>
        <v>12875</v>
      </c>
      <c r="H106" s="206">
        <v>6961</v>
      </c>
      <c r="I106" s="206">
        <v>11218</v>
      </c>
      <c r="J106" s="184">
        <f t="shared" si="82"/>
        <v>18179</v>
      </c>
      <c r="K106" s="206">
        <v>8472</v>
      </c>
      <c r="L106" s="206">
        <v>8365</v>
      </c>
      <c r="M106" s="184">
        <f t="shared" si="82"/>
        <v>16837</v>
      </c>
      <c r="N106" s="206">
        <v>5575</v>
      </c>
      <c r="O106" s="206">
        <v>154</v>
      </c>
      <c r="P106" s="184">
        <f t="shared" si="83"/>
        <v>5729</v>
      </c>
      <c r="Q106" s="206">
        <v>0</v>
      </c>
      <c r="R106" s="206">
        <v>0</v>
      </c>
      <c r="S106" s="184">
        <f t="shared" si="84"/>
        <v>0</v>
      </c>
      <c r="T106" s="206">
        <v>0</v>
      </c>
      <c r="U106" s="206">
        <v>0</v>
      </c>
      <c r="V106" s="184">
        <f t="shared" si="85"/>
        <v>0</v>
      </c>
      <c r="W106" s="206">
        <v>0</v>
      </c>
      <c r="X106" s="206">
        <v>0</v>
      </c>
      <c r="Y106" s="184">
        <f t="shared" si="86"/>
        <v>0</v>
      </c>
      <c r="Z106" s="206">
        <v>0</v>
      </c>
      <c r="AA106" s="206">
        <v>0</v>
      </c>
      <c r="AB106" s="184">
        <f t="shared" si="87"/>
        <v>0</v>
      </c>
      <c r="AC106" s="206"/>
      <c r="AD106" s="206"/>
      <c r="AE106" s="184"/>
      <c r="AF106" s="206"/>
      <c r="AG106" s="206"/>
      <c r="AH106" s="184"/>
      <c r="AI106" s="206"/>
      <c r="AJ106" s="206"/>
      <c r="AK106" s="184"/>
      <c r="AL106" s="206"/>
      <c r="AM106" s="206"/>
      <c r="AN106" s="184"/>
      <c r="AO106" s="206"/>
      <c r="AP106" s="206"/>
      <c r="AQ106" s="184"/>
      <c r="AR106" s="206"/>
      <c r="AS106" s="206"/>
      <c r="AT106" s="184"/>
      <c r="AU106" s="206"/>
      <c r="AV106" s="206"/>
      <c r="AW106" s="184"/>
      <c r="AX106" s="206"/>
      <c r="AY106" s="206"/>
      <c r="AZ106" s="184"/>
    </row>
    <row r="107" spans="2:52">
      <c r="B107" s="175" t="s">
        <v>2331</v>
      </c>
      <c r="E107" s="206">
        <v>0</v>
      </c>
      <c r="F107" s="206">
        <v>0</v>
      </c>
      <c r="G107" s="184">
        <f t="shared" si="81"/>
        <v>0</v>
      </c>
      <c r="H107" s="206">
        <v>891</v>
      </c>
      <c r="I107" s="206">
        <v>1354</v>
      </c>
      <c r="J107" s="184">
        <f t="shared" si="82"/>
        <v>2245</v>
      </c>
      <c r="K107" s="206">
        <v>2116</v>
      </c>
      <c r="L107" s="206">
        <v>1766</v>
      </c>
      <c r="M107" s="184">
        <f t="shared" si="82"/>
        <v>3882</v>
      </c>
      <c r="N107" s="206">
        <v>627</v>
      </c>
      <c r="O107" s="206">
        <v>1557</v>
      </c>
      <c r="P107" s="184">
        <f t="shared" si="83"/>
        <v>2184</v>
      </c>
      <c r="Q107" s="206">
        <v>496</v>
      </c>
      <c r="R107" s="206">
        <v>617</v>
      </c>
      <c r="S107" s="184">
        <f t="shared" si="84"/>
        <v>1113</v>
      </c>
      <c r="T107" s="206">
        <v>976</v>
      </c>
      <c r="U107" s="206">
        <f>2210-W107</f>
        <v>1688</v>
      </c>
      <c r="V107" s="184">
        <f t="shared" si="85"/>
        <v>2664</v>
      </c>
      <c r="W107" s="206">
        <v>522</v>
      </c>
      <c r="X107" s="206">
        <v>1083</v>
      </c>
      <c r="Y107" s="184">
        <f t="shared" si="86"/>
        <v>1605</v>
      </c>
      <c r="Z107" s="206">
        <v>550</v>
      </c>
      <c r="AA107" s="206">
        <v>560</v>
      </c>
      <c r="AB107" s="184">
        <f t="shared" si="87"/>
        <v>1110</v>
      </c>
      <c r="AC107" s="206"/>
      <c r="AD107" s="206"/>
      <c r="AE107" s="184"/>
      <c r="AF107" s="206"/>
      <c r="AG107" s="206"/>
      <c r="AH107" s="184"/>
      <c r="AI107" s="206"/>
      <c r="AJ107" s="206"/>
      <c r="AK107" s="184"/>
      <c r="AL107" s="206"/>
      <c r="AM107" s="206"/>
      <c r="AN107" s="184"/>
      <c r="AO107" s="206"/>
      <c r="AP107" s="206"/>
      <c r="AQ107" s="184"/>
      <c r="AR107" s="206"/>
      <c r="AS107" s="206"/>
      <c r="AT107" s="184"/>
      <c r="AU107" s="206"/>
      <c r="AV107" s="206"/>
      <c r="AW107" s="184"/>
      <c r="AX107" s="206"/>
      <c r="AY107" s="206"/>
      <c r="AZ107" s="184"/>
    </row>
    <row r="108" spans="2:52">
      <c r="B108" s="181" t="s">
        <v>2347</v>
      </c>
      <c r="E108" s="193">
        <f>SUM(E104:E107)</f>
        <v>11585</v>
      </c>
      <c r="F108" s="193">
        <f>SUM(F104:F107)</f>
        <v>15738</v>
      </c>
      <c r="G108" s="194">
        <f t="shared" si="81"/>
        <v>27323</v>
      </c>
      <c r="H108" s="193">
        <f>SUM(H104:H107)</f>
        <v>14719</v>
      </c>
      <c r="I108" s="193">
        <f>SUM(I104:I107)</f>
        <v>25452</v>
      </c>
      <c r="J108" s="194">
        <f t="shared" si="82"/>
        <v>40171</v>
      </c>
      <c r="K108" s="193">
        <f>SUM(K104:K107)</f>
        <v>20245</v>
      </c>
      <c r="L108" s="193">
        <f>SUM(L104:L107)</f>
        <v>17113</v>
      </c>
      <c r="M108" s="194">
        <f t="shared" si="82"/>
        <v>37358</v>
      </c>
      <c r="N108" s="193">
        <f>SUM(N104:N107)</f>
        <v>11316</v>
      </c>
      <c r="O108" s="193">
        <f>SUM(O104:O107)</f>
        <v>9276</v>
      </c>
      <c r="P108" s="194">
        <f t="shared" si="83"/>
        <v>20592</v>
      </c>
      <c r="Q108" s="193">
        <f>SUM(Q104:Q107)</f>
        <v>11153</v>
      </c>
      <c r="R108" s="193">
        <f>SUM(R104:R107)</f>
        <v>13605</v>
      </c>
      <c r="S108" s="194">
        <f t="shared" si="84"/>
        <v>24758</v>
      </c>
      <c r="T108" s="193">
        <f t="shared" ref="T108:Y108" si="88">SUM(T104:T107)</f>
        <v>8486</v>
      </c>
      <c r="U108" s="193">
        <f t="shared" si="88"/>
        <v>10761</v>
      </c>
      <c r="V108" s="194">
        <f t="shared" si="88"/>
        <v>19247</v>
      </c>
      <c r="W108" s="193">
        <f t="shared" si="88"/>
        <v>7419</v>
      </c>
      <c r="X108" s="193">
        <f t="shared" si="88"/>
        <v>9687</v>
      </c>
      <c r="Y108" s="194">
        <f t="shared" si="88"/>
        <v>17106</v>
      </c>
      <c r="Z108" s="193">
        <f>SUM(Z104:Z107)</f>
        <v>13598</v>
      </c>
      <c r="AA108" s="193">
        <f>SUM(AA104:AA107)</f>
        <v>11848</v>
      </c>
      <c r="AB108" s="194">
        <f>SUM(AB104:AB107)</f>
        <v>25446</v>
      </c>
      <c r="AC108" s="193">
        <f>SUM(AC104:AC107)</f>
        <v>12739</v>
      </c>
      <c r="AD108" s="206"/>
      <c r="AE108" s="184"/>
      <c r="AF108" s="193">
        <f>SUM(AF104:AF107)</f>
        <v>11320</v>
      </c>
      <c r="AG108" s="193">
        <f>SUM(AG104:AG107)</f>
        <v>10832</v>
      </c>
      <c r="AH108" s="184"/>
      <c r="AI108" s="193">
        <f>SUM(AI104:AI107)</f>
        <v>11034</v>
      </c>
      <c r="AJ108" s="193">
        <f>SUM(AJ104:AJ107)</f>
        <v>12567</v>
      </c>
      <c r="AK108" s="184"/>
      <c r="AL108" s="206"/>
      <c r="AM108" s="206"/>
      <c r="AN108" s="184"/>
      <c r="AO108" s="206"/>
      <c r="AP108" s="206"/>
      <c r="AQ108" s="184"/>
      <c r="AR108" s="206"/>
      <c r="AS108" s="206"/>
      <c r="AT108" s="184"/>
      <c r="AU108" s="206"/>
      <c r="AV108" s="206"/>
      <c r="AW108" s="184"/>
      <c r="AX108" s="206"/>
      <c r="AY108" s="206"/>
      <c r="AZ108" s="184"/>
    </row>
    <row r="109" spans="2:52">
      <c r="E109" s="206"/>
      <c r="F109" s="206"/>
      <c r="G109" s="184"/>
      <c r="H109" s="206"/>
      <c r="I109" s="206"/>
      <c r="J109" s="184"/>
      <c r="K109" s="206"/>
      <c r="L109" s="206"/>
      <c r="M109" s="184"/>
      <c r="N109" s="206"/>
      <c r="O109" s="206"/>
      <c r="P109" s="184"/>
      <c r="Q109" s="206"/>
      <c r="R109" s="206"/>
      <c r="S109" s="184"/>
      <c r="T109" s="206"/>
      <c r="U109" s="206"/>
      <c r="V109" s="184"/>
      <c r="W109" s="206"/>
      <c r="X109" s="206"/>
      <c r="Y109" s="184"/>
      <c r="Z109" s="206"/>
      <c r="AA109" s="206"/>
      <c r="AB109" s="184"/>
      <c r="AC109" s="206"/>
      <c r="AD109" s="206"/>
      <c r="AE109" s="184"/>
      <c r="AF109" s="206"/>
      <c r="AG109" s="206"/>
      <c r="AH109" s="184"/>
      <c r="AI109" s="206"/>
      <c r="AJ109" s="206"/>
      <c r="AK109" s="184"/>
      <c r="AL109" s="206"/>
      <c r="AM109" s="206"/>
      <c r="AN109" s="184"/>
      <c r="AO109" s="206"/>
      <c r="AP109" s="206"/>
      <c r="AQ109" s="184"/>
      <c r="AR109" s="206"/>
      <c r="AS109" s="206"/>
      <c r="AT109" s="184"/>
      <c r="AU109" s="206"/>
      <c r="AV109" s="206"/>
      <c r="AW109" s="184"/>
      <c r="AX109" s="206"/>
      <c r="AY109" s="206"/>
      <c r="AZ109" s="184"/>
    </row>
    <row r="110" spans="2:52">
      <c r="B110" s="181" t="s">
        <v>2348</v>
      </c>
      <c r="E110" s="206"/>
      <c r="F110" s="206"/>
      <c r="G110" s="184"/>
      <c r="H110" s="206"/>
      <c r="I110" s="206"/>
      <c r="J110" s="184"/>
      <c r="K110" s="206"/>
      <c r="L110" s="206"/>
      <c r="M110" s="184"/>
      <c r="N110" s="206"/>
      <c r="O110" s="206"/>
      <c r="P110" s="184"/>
      <c r="Q110" s="206"/>
      <c r="R110" s="206"/>
      <c r="S110" s="184"/>
      <c r="T110" s="206"/>
      <c r="U110" s="206"/>
      <c r="V110" s="184"/>
      <c r="W110" s="206"/>
      <c r="X110" s="206"/>
      <c r="Y110" s="184"/>
      <c r="Z110" s="206"/>
      <c r="AA110" s="206"/>
      <c r="AB110" s="184"/>
      <c r="AC110" s="206"/>
      <c r="AD110" s="206"/>
      <c r="AE110" s="184"/>
      <c r="AF110" s="206"/>
      <c r="AG110" s="206"/>
      <c r="AH110" s="184"/>
      <c r="AI110" s="206"/>
      <c r="AJ110" s="206"/>
      <c r="AK110" s="184"/>
      <c r="AL110" s="206"/>
      <c r="AM110" s="206"/>
      <c r="AN110" s="184"/>
      <c r="AO110" s="206"/>
      <c r="AP110" s="206"/>
      <c r="AQ110" s="184"/>
      <c r="AR110" s="206"/>
      <c r="AS110" s="206"/>
      <c r="AT110" s="184"/>
      <c r="AU110" s="206"/>
      <c r="AV110" s="206"/>
      <c r="AW110" s="184"/>
      <c r="AX110" s="206"/>
      <c r="AY110" s="206"/>
      <c r="AZ110" s="184"/>
    </row>
    <row r="111" spans="2:52">
      <c r="B111" s="175" t="s">
        <v>2326</v>
      </c>
      <c r="E111" s="206">
        <v>-3690</v>
      </c>
      <c r="F111" s="206">
        <v>-3935</v>
      </c>
      <c r="G111" s="184">
        <f t="shared" ref="G111:G117" si="89">E111+F111</f>
        <v>-7625</v>
      </c>
      <c r="H111" s="206">
        <v>-3997</v>
      </c>
      <c r="I111" s="206">
        <v>-7516</v>
      </c>
      <c r="J111" s="184">
        <f t="shared" ref="J111:J117" si="90">H111+I111</f>
        <v>-11513</v>
      </c>
      <c r="K111" s="206">
        <v>-5993</v>
      </c>
      <c r="L111" s="206">
        <v>-5060</v>
      </c>
      <c r="M111" s="184">
        <f t="shared" ref="M111:M117" si="91">K111+L111</f>
        <v>-11053</v>
      </c>
      <c r="N111" s="206">
        <v>-3888</v>
      </c>
      <c r="O111" s="206">
        <v>-3888</v>
      </c>
      <c r="P111" s="184">
        <f t="shared" ref="P111:P117" si="92">N111+O111</f>
        <v>-7776</v>
      </c>
      <c r="Q111" s="206">
        <v>-4855</v>
      </c>
      <c r="R111" s="206">
        <v>-6097</v>
      </c>
      <c r="S111" s="184">
        <f t="shared" ref="S111:S117" si="93">Q111+R111</f>
        <v>-10952</v>
      </c>
      <c r="T111" s="206">
        <v>-5727</v>
      </c>
      <c r="U111" s="206">
        <f>-13396-W111</f>
        <v>-7069</v>
      </c>
      <c r="V111" s="184">
        <f>SUM(T111:U111)</f>
        <v>-12796</v>
      </c>
      <c r="W111" s="206">
        <v>-6327</v>
      </c>
      <c r="X111" s="206">
        <v>-6991</v>
      </c>
      <c r="Y111" s="184">
        <f>SUM(W111:X111)</f>
        <v>-13318</v>
      </c>
      <c r="Z111" s="206">
        <v>-6247</v>
      </c>
      <c r="AA111" s="206">
        <v>-7096</v>
      </c>
      <c r="AB111" s="184">
        <f>SUM(Z111:AA111)</f>
        <v>-13343</v>
      </c>
      <c r="AC111" s="206"/>
      <c r="AD111" s="206"/>
      <c r="AE111" s="184"/>
      <c r="AF111" s="206"/>
      <c r="AG111" s="206"/>
      <c r="AH111" s="184"/>
      <c r="AI111" s="206"/>
      <c r="AJ111" s="206"/>
      <c r="AK111" s="184"/>
      <c r="AL111" s="206"/>
      <c r="AM111" s="206"/>
      <c r="AN111" s="184"/>
      <c r="AO111" s="206"/>
      <c r="AP111" s="206"/>
      <c r="AQ111" s="184"/>
      <c r="AR111" s="206"/>
      <c r="AS111" s="206"/>
      <c r="AT111" s="184"/>
      <c r="AU111" s="206"/>
      <c r="AV111" s="206"/>
      <c r="AW111" s="184"/>
      <c r="AX111" s="206"/>
      <c r="AY111" s="206"/>
      <c r="AZ111" s="184"/>
    </row>
    <row r="112" spans="2:52">
      <c r="B112" s="175" t="s">
        <v>2327</v>
      </c>
      <c r="E112" s="206">
        <v>-454</v>
      </c>
      <c r="F112" s="206">
        <v>-388</v>
      </c>
      <c r="G112" s="184">
        <f t="shared" si="89"/>
        <v>-842</v>
      </c>
      <c r="H112" s="206">
        <v>-492</v>
      </c>
      <c r="I112" s="206">
        <v>-432</v>
      </c>
      <c r="J112" s="184">
        <f t="shared" si="90"/>
        <v>-924</v>
      </c>
      <c r="K112" s="206">
        <v>-261</v>
      </c>
      <c r="L112" s="206">
        <v>-149</v>
      </c>
      <c r="M112" s="184">
        <f t="shared" si="91"/>
        <v>-410</v>
      </c>
      <c r="N112" s="206">
        <v>-420</v>
      </c>
      <c r="O112" s="206">
        <v>-135</v>
      </c>
      <c r="P112" s="184">
        <f t="shared" si="92"/>
        <v>-555</v>
      </c>
      <c r="Q112" s="206">
        <v>-33</v>
      </c>
      <c r="R112" s="206">
        <v>-41</v>
      </c>
      <c r="S112" s="184">
        <f t="shared" si="93"/>
        <v>-74</v>
      </c>
      <c r="T112" s="206">
        <v>-207</v>
      </c>
      <c r="U112" s="206">
        <f>-417-W112</f>
        <v>-222</v>
      </c>
      <c r="V112" s="184">
        <f t="shared" ref="V112:V117" si="94">SUM(T112:U112)</f>
        <v>-429</v>
      </c>
      <c r="W112" s="206">
        <v>-195</v>
      </c>
      <c r="X112" s="206">
        <v>-213</v>
      </c>
      <c r="Y112" s="184">
        <f t="shared" ref="Y112:Y117" si="95">SUM(W112:X112)</f>
        <v>-408</v>
      </c>
      <c r="Z112" s="206">
        <v>-208</v>
      </c>
      <c r="AA112" s="206">
        <v>-176</v>
      </c>
      <c r="AB112" s="184">
        <f t="shared" ref="AB112:AB117" si="96">SUM(Z112:AA112)</f>
        <v>-384</v>
      </c>
      <c r="AC112" s="206"/>
      <c r="AD112" s="206"/>
      <c r="AE112" s="184"/>
      <c r="AF112" s="206"/>
      <c r="AG112" s="206"/>
      <c r="AH112" s="184"/>
      <c r="AI112" s="206"/>
      <c r="AJ112" s="206"/>
      <c r="AK112" s="184"/>
      <c r="AL112" s="206"/>
      <c r="AM112" s="206"/>
      <c r="AN112" s="184"/>
      <c r="AO112" s="206"/>
      <c r="AP112" s="206"/>
      <c r="AQ112" s="184"/>
      <c r="AR112" s="206"/>
      <c r="AS112" s="206"/>
      <c r="AT112" s="184"/>
      <c r="AU112" s="206"/>
      <c r="AV112" s="206"/>
      <c r="AW112" s="184"/>
      <c r="AX112" s="206"/>
      <c r="AY112" s="206"/>
      <c r="AZ112" s="184"/>
    </row>
    <row r="113" spans="2:52">
      <c r="B113" s="175" t="s">
        <v>2328</v>
      </c>
      <c r="E113" s="206">
        <f>E111+E112</f>
        <v>-4144</v>
      </c>
      <c r="F113" s="206">
        <f>F111+F112</f>
        <v>-4323</v>
      </c>
      <c r="G113" s="184">
        <f t="shared" si="89"/>
        <v>-8467</v>
      </c>
      <c r="H113" s="206">
        <f>H111+H112</f>
        <v>-4489</v>
      </c>
      <c r="I113" s="206">
        <f>I111+I112</f>
        <v>-7948</v>
      </c>
      <c r="J113" s="184">
        <f t="shared" si="90"/>
        <v>-12437</v>
      </c>
      <c r="K113" s="206">
        <f>K111+K112</f>
        <v>-6254</v>
      </c>
      <c r="L113" s="206">
        <f>L111+L112</f>
        <v>-5209</v>
      </c>
      <c r="M113" s="184">
        <f t="shared" si="91"/>
        <v>-11463</v>
      </c>
      <c r="N113" s="206">
        <f>N111+N112</f>
        <v>-4308</v>
      </c>
      <c r="O113" s="206">
        <f>O111+O112</f>
        <v>-4023</v>
      </c>
      <c r="P113" s="184">
        <f t="shared" si="92"/>
        <v>-8331</v>
      </c>
      <c r="Q113" s="206">
        <f>Q111+Q112</f>
        <v>-4888</v>
      </c>
      <c r="R113" s="206">
        <f>R111+R112</f>
        <v>-6138</v>
      </c>
      <c r="S113" s="184">
        <f t="shared" si="93"/>
        <v>-11026</v>
      </c>
      <c r="T113" s="206">
        <f>T111+T112</f>
        <v>-5934</v>
      </c>
      <c r="U113" s="206">
        <f>U111+U112</f>
        <v>-7291</v>
      </c>
      <c r="V113" s="184">
        <f t="shared" si="94"/>
        <v>-13225</v>
      </c>
      <c r="W113" s="206">
        <f>W111+W112</f>
        <v>-6522</v>
      </c>
      <c r="X113" s="206">
        <f>X111+X112</f>
        <v>-7204</v>
      </c>
      <c r="Y113" s="184">
        <f t="shared" si="95"/>
        <v>-13726</v>
      </c>
      <c r="Z113" s="206">
        <f>Z111+Z112</f>
        <v>-6455</v>
      </c>
      <c r="AA113" s="206">
        <f>AA111+AA112</f>
        <v>-7272</v>
      </c>
      <c r="AB113" s="184">
        <f t="shared" si="96"/>
        <v>-13727</v>
      </c>
      <c r="AC113" s="206">
        <v>-6824</v>
      </c>
      <c r="AD113" s="206"/>
      <c r="AE113" s="184"/>
      <c r="AF113" s="206">
        <v>-7733</v>
      </c>
      <c r="AG113" s="206">
        <v>-7721</v>
      </c>
      <c r="AH113" s="184"/>
      <c r="AI113" s="206">
        <v>-6438</v>
      </c>
      <c r="AJ113" s="206">
        <v>-8204</v>
      </c>
      <c r="AK113" s="184"/>
      <c r="AL113" s="206"/>
      <c r="AM113" s="206"/>
      <c r="AN113" s="184"/>
      <c r="AO113" s="206"/>
      <c r="AP113" s="206"/>
      <c r="AQ113" s="184"/>
      <c r="AR113" s="206"/>
      <c r="AS113" s="206"/>
      <c r="AT113" s="184"/>
      <c r="AU113" s="206"/>
      <c r="AV113" s="206"/>
      <c r="AW113" s="184"/>
      <c r="AX113" s="206"/>
      <c r="AY113" s="206"/>
      <c r="AZ113" s="184"/>
    </row>
    <row r="114" spans="2:52">
      <c r="B114" s="175" t="s">
        <v>2329</v>
      </c>
      <c r="E114" s="206">
        <v>-1811</v>
      </c>
      <c r="F114" s="206">
        <v>-1484</v>
      </c>
      <c r="G114" s="184">
        <f t="shared" si="89"/>
        <v>-3295</v>
      </c>
      <c r="H114" s="206">
        <v>-918</v>
      </c>
      <c r="I114" s="206">
        <v>-2756</v>
      </c>
      <c r="J114" s="184">
        <f t="shared" si="90"/>
        <v>-3674</v>
      </c>
      <c r="K114" s="206">
        <v>-841</v>
      </c>
      <c r="L114" s="206">
        <v>-2266</v>
      </c>
      <c r="M114" s="184">
        <f t="shared" si="91"/>
        <v>-3107</v>
      </c>
      <c r="N114" s="206">
        <v>-1453</v>
      </c>
      <c r="O114" s="206">
        <v>-536</v>
      </c>
      <c r="P114" s="184">
        <f t="shared" si="92"/>
        <v>-1989</v>
      </c>
      <c r="Q114" s="206">
        <v>-1170</v>
      </c>
      <c r="R114" s="206">
        <v>-4221</v>
      </c>
      <c r="S114" s="184">
        <f t="shared" si="93"/>
        <v>-5391</v>
      </c>
      <c r="T114" s="206">
        <v>-2077</v>
      </c>
      <c r="U114" s="206">
        <f>-3523-W114</f>
        <v>-1668</v>
      </c>
      <c r="V114" s="184">
        <f t="shared" si="94"/>
        <v>-3745</v>
      </c>
      <c r="W114" s="206">
        <v>-1855</v>
      </c>
      <c r="X114" s="206">
        <v>-2271</v>
      </c>
      <c r="Y114" s="184">
        <f t="shared" si="95"/>
        <v>-4126</v>
      </c>
      <c r="Z114" s="206">
        <v>-5270</v>
      </c>
      <c r="AA114" s="206">
        <v>-2722</v>
      </c>
      <c r="AB114" s="184">
        <f t="shared" si="96"/>
        <v>-7992</v>
      </c>
      <c r="AC114" s="206">
        <v>-3360</v>
      </c>
      <c r="AD114" s="206"/>
      <c r="AE114" s="184"/>
      <c r="AF114" s="206">
        <v>-4629</v>
      </c>
      <c r="AG114" s="206">
        <v>-2929</v>
      </c>
      <c r="AH114" s="184"/>
      <c r="AI114" s="206">
        <v>-4428</v>
      </c>
      <c r="AJ114" s="206">
        <v>-4279</v>
      </c>
      <c r="AK114" s="184"/>
      <c r="AL114" s="206"/>
      <c r="AM114" s="206"/>
      <c r="AN114" s="184"/>
      <c r="AO114" s="206"/>
      <c r="AP114" s="206"/>
      <c r="AQ114" s="184"/>
      <c r="AR114" s="206"/>
      <c r="AS114" s="206"/>
      <c r="AT114" s="184"/>
      <c r="AU114" s="206"/>
      <c r="AV114" s="206"/>
      <c r="AW114" s="184"/>
      <c r="AX114" s="206"/>
      <c r="AY114" s="206"/>
      <c r="AZ114" s="184"/>
    </row>
    <row r="115" spans="2:52">
      <c r="B115" s="175" t="s">
        <v>2330</v>
      </c>
      <c r="E115" s="206">
        <v>-6029</v>
      </c>
      <c r="F115" s="206">
        <v>-7039</v>
      </c>
      <c r="G115" s="184">
        <f t="shared" si="89"/>
        <v>-13068</v>
      </c>
      <c r="H115" s="206">
        <v>-6969</v>
      </c>
      <c r="I115" s="206">
        <v>-10452</v>
      </c>
      <c r="J115" s="184">
        <f t="shared" si="90"/>
        <v>-17421</v>
      </c>
      <c r="K115" s="206">
        <v>-8666</v>
      </c>
      <c r="L115" s="206">
        <v>-8710</v>
      </c>
      <c r="M115" s="184">
        <f t="shared" si="91"/>
        <v>-17376</v>
      </c>
      <c r="N115" s="206">
        <v>-5761</v>
      </c>
      <c r="O115" s="206">
        <v>-616</v>
      </c>
      <c r="P115" s="184">
        <f t="shared" si="92"/>
        <v>-6377</v>
      </c>
      <c r="Q115" s="206">
        <v>0</v>
      </c>
      <c r="R115" s="206">
        <v>0</v>
      </c>
      <c r="S115" s="184">
        <f t="shared" si="93"/>
        <v>0</v>
      </c>
      <c r="T115" s="206">
        <v>0</v>
      </c>
      <c r="U115" s="206">
        <v>0</v>
      </c>
      <c r="V115" s="184">
        <f t="shared" si="94"/>
        <v>0</v>
      </c>
      <c r="W115" s="206">
        <v>0</v>
      </c>
      <c r="X115" s="206">
        <v>0</v>
      </c>
      <c r="Y115" s="184">
        <f t="shared" si="95"/>
        <v>0</v>
      </c>
      <c r="Z115" s="206">
        <v>0</v>
      </c>
      <c r="AA115" s="206">
        <v>0</v>
      </c>
      <c r="AB115" s="184">
        <f t="shared" si="96"/>
        <v>0</v>
      </c>
      <c r="AC115" s="206"/>
      <c r="AD115" s="206"/>
      <c r="AE115" s="184"/>
      <c r="AF115" s="206"/>
      <c r="AG115" s="206"/>
      <c r="AH115" s="184"/>
      <c r="AI115" s="206"/>
      <c r="AJ115" s="206"/>
      <c r="AK115" s="184"/>
      <c r="AL115" s="206"/>
      <c r="AM115" s="206"/>
      <c r="AN115" s="184"/>
      <c r="AO115" s="206"/>
      <c r="AP115" s="206"/>
      <c r="AQ115" s="184"/>
      <c r="AR115" s="206"/>
      <c r="AS115" s="206"/>
      <c r="AT115" s="184"/>
      <c r="AU115" s="206"/>
      <c r="AV115" s="206"/>
      <c r="AW115" s="184"/>
      <c r="AX115" s="206"/>
      <c r="AY115" s="206"/>
      <c r="AZ115" s="184"/>
    </row>
    <row r="116" spans="2:52">
      <c r="B116" s="175" t="s">
        <v>2331</v>
      </c>
      <c r="E116" s="206">
        <v>-329</v>
      </c>
      <c r="F116" s="206">
        <v>-117</v>
      </c>
      <c r="G116" s="184">
        <f t="shared" si="89"/>
        <v>-446</v>
      </c>
      <c r="H116" s="206">
        <v>-121</v>
      </c>
      <c r="I116" s="206">
        <v>-117</v>
      </c>
      <c r="J116" s="184">
        <f t="shared" si="90"/>
        <v>-238</v>
      </c>
      <c r="K116" s="206">
        <v>-221</v>
      </c>
      <c r="L116" s="206">
        <v>-3410</v>
      </c>
      <c r="M116" s="184">
        <f t="shared" si="91"/>
        <v>-3631</v>
      </c>
      <c r="N116" s="206">
        <v>-846</v>
      </c>
      <c r="O116" s="206">
        <v>-448</v>
      </c>
      <c r="P116" s="184">
        <f t="shared" si="92"/>
        <v>-1294</v>
      </c>
      <c r="Q116" s="206">
        <v>-428</v>
      </c>
      <c r="R116" s="206">
        <v>-967</v>
      </c>
      <c r="S116" s="184">
        <f t="shared" si="93"/>
        <v>-1395</v>
      </c>
      <c r="T116" s="206">
        <v>-626</v>
      </c>
      <c r="U116" s="206">
        <f>-1643-W116</f>
        <v>-1406</v>
      </c>
      <c r="V116" s="184">
        <f t="shared" si="94"/>
        <v>-2032</v>
      </c>
      <c r="W116" s="206">
        <v>-237</v>
      </c>
      <c r="X116" s="206">
        <v>-498</v>
      </c>
      <c r="Y116" s="184">
        <f t="shared" si="95"/>
        <v>-735</v>
      </c>
      <c r="Z116" s="206">
        <v>-153</v>
      </c>
      <c r="AA116" s="206">
        <v>-653</v>
      </c>
      <c r="AB116" s="184">
        <f t="shared" si="96"/>
        <v>-806</v>
      </c>
      <c r="AC116" s="206"/>
      <c r="AD116" s="206"/>
      <c r="AE116" s="184"/>
      <c r="AF116" s="206"/>
      <c r="AG116" s="206"/>
      <c r="AH116" s="184"/>
      <c r="AI116" s="206"/>
      <c r="AJ116" s="206"/>
      <c r="AK116" s="184"/>
      <c r="AL116" s="206"/>
      <c r="AM116" s="206"/>
      <c r="AN116" s="184"/>
      <c r="AO116" s="206"/>
      <c r="AP116" s="206"/>
      <c r="AQ116" s="184"/>
      <c r="AR116" s="206"/>
      <c r="AS116" s="206"/>
      <c r="AT116" s="184"/>
      <c r="AU116" s="206"/>
      <c r="AV116" s="206"/>
      <c r="AW116" s="184"/>
      <c r="AX116" s="206"/>
      <c r="AY116" s="206"/>
      <c r="AZ116" s="184"/>
    </row>
    <row r="117" spans="2:52">
      <c r="B117" s="181" t="s">
        <v>2349</v>
      </c>
      <c r="E117" s="193">
        <f>SUM(E113:E116)</f>
        <v>-12313</v>
      </c>
      <c r="F117" s="193">
        <f>SUM(F113:F116)</f>
        <v>-12963</v>
      </c>
      <c r="G117" s="194">
        <f t="shared" si="89"/>
        <v>-25276</v>
      </c>
      <c r="H117" s="193">
        <f>SUM(H113:H116)</f>
        <v>-12497</v>
      </c>
      <c r="I117" s="193">
        <f>SUM(I113:I116)</f>
        <v>-21273</v>
      </c>
      <c r="J117" s="194">
        <f t="shared" si="90"/>
        <v>-33770</v>
      </c>
      <c r="K117" s="193">
        <f>SUM(K113:K116)</f>
        <v>-15982</v>
      </c>
      <c r="L117" s="193">
        <f>SUM(L113:L116)</f>
        <v>-19595</v>
      </c>
      <c r="M117" s="194">
        <f t="shared" si="91"/>
        <v>-35577</v>
      </c>
      <c r="N117" s="193">
        <f>SUM(N113:N116)</f>
        <v>-12368</v>
      </c>
      <c r="O117" s="193">
        <f>SUM(O113:O116)</f>
        <v>-5623</v>
      </c>
      <c r="P117" s="194">
        <f t="shared" si="92"/>
        <v>-17991</v>
      </c>
      <c r="Q117" s="193">
        <f>SUM(Q113:Q116)</f>
        <v>-6486</v>
      </c>
      <c r="R117" s="193">
        <f>SUM(R113:R116)</f>
        <v>-11326</v>
      </c>
      <c r="S117" s="194">
        <f t="shared" si="93"/>
        <v>-17812</v>
      </c>
      <c r="T117" s="193">
        <f>SUM(T113:T116)</f>
        <v>-8637</v>
      </c>
      <c r="U117" s="193">
        <f>SUM(U113:U116)</f>
        <v>-10365</v>
      </c>
      <c r="V117" s="194">
        <f t="shared" si="94"/>
        <v>-19002</v>
      </c>
      <c r="W117" s="193">
        <f>SUM(W113:W116)</f>
        <v>-8614</v>
      </c>
      <c r="X117" s="193">
        <f>SUM(X113:X116)</f>
        <v>-9973</v>
      </c>
      <c r="Y117" s="194">
        <f t="shared" si="95"/>
        <v>-18587</v>
      </c>
      <c r="Z117" s="193">
        <f>SUM(Z113:Z116)</f>
        <v>-11878</v>
      </c>
      <c r="AA117" s="206">
        <f>SUM(AA113:AA116)</f>
        <v>-10647</v>
      </c>
      <c r="AB117" s="194">
        <f t="shared" si="96"/>
        <v>-22525</v>
      </c>
      <c r="AC117" s="193">
        <f>SUM(AC113:AC116)</f>
        <v>-10184</v>
      </c>
      <c r="AD117" s="206"/>
      <c r="AE117" s="184"/>
      <c r="AF117" s="193">
        <f>SUM(AF113:AF116)</f>
        <v>-12362</v>
      </c>
      <c r="AG117" s="193">
        <f>SUM(AG113:AG116)</f>
        <v>-10650</v>
      </c>
      <c r="AH117" s="184"/>
      <c r="AI117" s="193">
        <f>SUM(AI113:AI116)</f>
        <v>-10866</v>
      </c>
      <c r="AJ117" s="193">
        <f>SUM(AJ113:AJ116)</f>
        <v>-12483</v>
      </c>
      <c r="AK117" s="184"/>
      <c r="AL117" s="206"/>
      <c r="AM117" s="206"/>
      <c r="AN117" s="184"/>
      <c r="AO117" s="206"/>
      <c r="AP117" s="206"/>
      <c r="AQ117" s="184"/>
      <c r="AR117" s="206"/>
      <c r="AS117" s="206"/>
      <c r="AT117" s="184"/>
      <c r="AU117" s="206"/>
      <c r="AV117" s="206"/>
      <c r="AW117" s="184"/>
      <c r="AX117" s="206"/>
      <c r="AY117" s="206"/>
      <c r="AZ117" s="184"/>
    </row>
    <row r="118" spans="2:52">
      <c r="E118" s="206"/>
      <c r="F118" s="206"/>
      <c r="G118" s="184"/>
      <c r="H118" s="206"/>
      <c r="I118" s="206"/>
      <c r="J118" s="184"/>
      <c r="K118" s="206"/>
      <c r="L118" s="254"/>
      <c r="M118" s="184"/>
      <c r="N118" s="206"/>
      <c r="O118" s="206"/>
      <c r="P118" s="184"/>
      <c r="Q118" s="206"/>
      <c r="R118" s="206"/>
      <c r="S118" s="184"/>
      <c r="T118" s="206"/>
      <c r="U118" s="206"/>
      <c r="V118" s="184"/>
      <c r="W118" s="206"/>
      <c r="X118" s="206"/>
      <c r="Y118" s="184"/>
      <c r="Z118" s="206"/>
      <c r="AA118" s="206"/>
      <c r="AB118" s="184"/>
      <c r="AC118" s="206"/>
      <c r="AD118" s="206"/>
      <c r="AE118" s="184"/>
      <c r="AF118" s="206"/>
      <c r="AG118" s="206"/>
      <c r="AH118" s="184"/>
      <c r="AI118" s="206"/>
      <c r="AJ118" s="206"/>
      <c r="AK118" s="184"/>
      <c r="AL118" s="206"/>
      <c r="AM118" s="206"/>
      <c r="AN118" s="184"/>
      <c r="AO118" s="206"/>
      <c r="AP118" s="206"/>
      <c r="AQ118" s="184"/>
      <c r="AR118" s="206"/>
      <c r="AS118" s="206"/>
      <c r="AT118" s="184"/>
      <c r="AU118" s="206"/>
      <c r="AV118" s="206"/>
      <c r="AW118" s="184"/>
      <c r="AX118" s="206"/>
      <c r="AY118" s="206"/>
      <c r="AZ118" s="184"/>
    </row>
    <row r="119" spans="2:52">
      <c r="B119" s="181" t="s">
        <v>2341</v>
      </c>
      <c r="E119" s="206"/>
      <c r="F119" s="206"/>
      <c r="G119" s="184"/>
      <c r="H119" s="206"/>
      <c r="I119" s="206"/>
      <c r="J119" s="184"/>
      <c r="K119" s="206"/>
      <c r="L119" s="206"/>
      <c r="M119" s="184"/>
      <c r="N119" s="206"/>
      <c r="O119" s="206"/>
      <c r="P119" s="184"/>
      <c r="Q119" s="206"/>
      <c r="R119" s="206"/>
      <c r="S119" s="184"/>
      <c r="T119" s="206"/>
      <c r="U119" s="206"/>
      <c r="V119" s="184"/>
      <c r="W119" s="206"/>
      <c r="X119" s="206"/>
      <c r="Y119" s="184"/>
      <c r="Z119" s="206"/>
      <c r="AA119" s="206"/>
      <c r="AB119" s="184"/>
      <c r="AC119" s="206"/>
      <c r="AD119" s="206"/>
      <c r="AE119" s="184"/>
      <c r="AF119" s="206"/>
      <c r="AG119" s="206"/>
      <c r="AH119" s="184"/>
      <c r="AI119" s="206"/>
      <c r="AJ119" s="206"/>
      <c r="AK119" s="184"/>
      <c r="AL119" s="206"/>
      <c r="AM119" s="206"/>
      <c r="AN119" s="184"/>
      <c r="AO119" s="206"/>
      <c r="AP119" s="206"/>
      <c r="AQ119" s="184"/>
      <c r="AR119" s="206"/>
      <c r="AS119" s="206"/>
      <c r="AT119" s="184"/>
      <c r="AU119" s="206"/>
      <c r="AV119" s="206"/>
      <c r="AW119" s="184"/>
      <c r="AX119" s="206"/>
      <c r="AY119" s="206"/>
      <c r="AZ119" s="184"/>
    </row>
    <row r="120" spans="2:52">
      <c r="B120" s="175" t="s">
        <v>2326</v>
      </c>
      <c r="E120" s="206">
        <f t="shared" ref="E120:F125" si="97">E102+E111</f>
        <v>669</v>
      </c>
      <c r="F120" s="206">
        <f>F102+F111</f>
        <v>2434</v>
      </c>
      <c r="G120" s="184">
        <f t="shared" ref="G120:G126" si="98">E120+F120</f>
        <v>3103</v>
      </c>
      <c r="H120" s="206">
        <f>H102+H111</f>
        <v>1560</v>
      </c>
      <c r="I120" s="206">
        <f>I102+I111</f>
        <v>2792</v>
      </c>
      <c r="J120" s="184">
        <f t="shared" ref="J120:J126" si="99">H120+I120</f>
        <v>4352</v>
      </c>
      <c r="K120" s="206">
        <f>K102+K111</f>
        <v>377</v>
      </c>
      <c r="L120" s="206">
        <f>L102+L111</f>
        <v>946</v>
      </c>
      <c r="M120" s="184">
        <f t="shared" ref="M120:M126" si="100">K120+L120</f>
        <v>1323</v>
      </c>
      <c r="N120" s="206">
        <f>N102+N111</f>
        <v>69</v>
      </c>
      <c r="O120" s="206">
        <f>O102+O111</f>
        <v>1281</v>
      </c>
      <c r="P120" s="184">
        <f t="shared" ref="P120:P126" si="101">N120+O120</f>
        <v>1350</v>
      </c>
      <c r="Q120" s="206">
        <f>Q102+Q111</f>
        <v>3367</v>
      </c>
      <c r="R120" s="206">
        <f>R102+R111</f>
        <v>126</v>
      </c>
      <c r="S120" s="184">
        <f t="shared" ref="S120:S125" si="102">Q120+R120</f>
        <v>3493</v>
      </c>
      <c r="T120" s="206">
        <f>T102+T111</f>
        <v>-952</v>
      </c>
      <c r="U120" s="206">
        <f>U102+U111</f>
        <v>-645</v>
      </c>
      <c r="V120" s="184">
        <f t="shared" ref="V120:V126" si="103">T120+U120</f>
        <v>-1597</v>
      </c>
      <c r="W120" s="206">
        <f>W102+W111</f>
        <v>-1553</v>
      </c>
      <c r="X120" s="206">
        <f>X102+X111</f>
        <v>-1415</v>
      </c>
      <c r="Y120" s="184">
        <f t="shared" ref="Y120:Y126" si="104">W120+X120</f>
        <v>-2968</v>
      </c>
      <c r="Z120" s="206">
        <f>Z102+Z111</f>
        <v>2286</v>
      </c>
      <c r="AA120" s="206">
        <f>AA102+AA111</f>
        <v>966</v>
      </c>
      <c r="AB120" s="184">
        <f t="shared" ref="AB120:AB126" si="105">Z120+AA120</f>
        <v>3252</v>
      </c>
      <c r="AC120" s="206"/>
      <c r="AD120" s="206"/>
      <c r="AE120" s="378"/>
      <c r="AF120" s="206"/>
      <c r="AG120" s="206"/>
      <c r="AH120" s="378"/>
      <c r="AI120" s="206"/>
      <c r="AJ120" s="206"/>
      <c r="AK120" s="184"/>
      <c r="AL120" s="206"/>
      <c r="AM120" s="206"/>
      <c r="AN120" s="184"/>
      <c r="AO120" s="206"/>
      <c r="AP120" s="206"/>
      <c r="AQ120" s="184"/>
      <c r="AR120" s="206"/>
      <c r="AS120" s="206"/>
      <c r="AT120" s="184"/>
      <c r="AU120" s="206"/>
      <c r="AV120" s="206"/>
      <c r="AW120" s="184"/>
      <c r="AX120" s="206"/>
      <c r="AY120" s="206"/>
      <c r="AZ120" s="184"/>
    </row>
    <row r="121" spans="2:52">
      <c r="B121" s="175" t="s">
        <v>2327</v>
      </c>
      <c r="E121" s="206">
        <f t="shared" si="97"/>
        <v>-384</v>
      </c>
      <c r="F121" s="206">
        <f t="shared" si="97"/>
        <v>-305</v>
      </c>
      <c r="G121" s="184">
        <f t="shared" si="98"/>
        <v>-689</v>
      </c>
      <c r="H121" s="206">
        <f>H103+H112</f>
        <v>-468</v>
      </c>
      <c r="I121" s="206">
        <f>I103+I112</f>
        <v>-353</v>
      </c>
      <c r="J121" s="184">
        <f t="shared" si="99"/>
        <v>-821</v>
      </c>
      <c r="K121" s="206">
        <f>K103+K112</f>
        <v>-239</v>
      </c>
      <c r="L121" s="206">
        <f>L103+L112</f>
        <v>-180</v>
      </c>
      <c r="M121" s="184">
        <f t="shared" si="100"/>
        <v>-419</v>
      </c>
      <c r="N121" s="206">
        <f>N103+N112</f>
        <v>-401</v>
      </c>
      <c r="O121" s="206">
        <f>O103+O112</f>
        <v>-116</v>
      </c>
      <c r="P121" s="184">
        <f t="shared" si="101"/>
        <v>-517</v>
      </c>
      <c r="Q121" s="206">
        <f>Q103+Q112</f>
        <v>-30</v>
      </c>
      <c r="R121" s="206">
        <f>R103+R112</f>
        <v>-35</v>
      </c>
      <c r="S121" s="184">
        <f t="shared" si="102"/>
        <v>-65</v>
      </c>
      <c r="T121" s="206">
        <f>T103+T112</f>
        <v>-181</v>
      </c>
      <c r="U121" s="206">
        <f>U103+U112</f>
        <v>-189</v>
      </c>
      <c r="V121" s="184">
        <f t="shared" si="103"/>
        <v>-370</v>
      </c>
      <c r="W121" s="206">
        <f>W103+W112</f>
        <v>-174</v>
      </c>
      <c r="X121" s="206">
        <f>X103+X112</f>
        <v>-195</v>
      </c>
      <c r="Y121" s="184">
        <f t="shared" si="104"/>
        <v>-369</v>
      </c>
      <c r="Z121" s="206">
        <f>Z103+Z112</f>
        <v>-192</v>
      </c>
      <c r="AA121" s="206">
        <f>AA103+AA112</f>
        <v>-162</v>
      </c>
      <c r="AB121" s="184">
        <f t="shared" si="105"/>
        <v>-354</v>
      </c>
      <c r="AC121" s="206"/>
      <c r="AD121" s="400"/>
      <c r="AE121" s="378"/>
      <c r="AF121" s="206"/>
      <c r="AG121" s="206"/>
      <c r="AH121" s="378"/>
      <c r="AI121" s="206"/>
      <c r="AJ121" s="206"/>
      <c r="AK121" s="184"/>
      <c r="AL121" s="206"/>
      <c r="AM121" s="206"/>
      <c r="AN121" s="184"/>
      <c r="AO121" s="206"/>
      <c r="AP121" s="206"/>
      <c r="AQ121" s="184"/>
      <c r="AR121" s="206"/>
      <c r="AS121" s="206"/>
      <c r="AT121" s="184"/>
      <c r="AU121" s="206"/>
      <c r="AV121" s="206"/>
      <c r="AW121" s="184"/>
      <c r="AX121" s="206"/>
      <c r="AY121" s="206"/>
      <c r="AZ121" s="184"/>
    </row>
    <row r="122" spans="2:52">
      <c r="B122" s="181" t="s">
        <v>2328</v>
      </c>
      <c r="C122" s="181"/>
      <c r="D122" s="181"/>
      <c r="E122" s="193">
        <f t="shared" si="97"/>
        <v>285</v>
      </c>
      <c r="F122" s="193">
        <f t="shared" si="97"/>
        <v>2129</v>
      </c>
      <c r="G122" s="194">
        <f t="shared" si="98"/>
        <v>2414</v>
      </c>
      <c r="H122" s="193">
        <f>H104+H113</f>
        <v>1092</v>
      </c>
      <c r="I122" s="255">
        <f>I120+I121</f>
        <v>2439</v>
      </c>
      <c r="J122" s="194">
        <f t="shared" si="99"/>
        <v>3531</v>
      </c>
      <c r="K122" s="193">
        <f>K120+K121</f>
        <v>138</v>
      </c>
      <c r="L122" s="193">
        <f>L120+L121</f>
        <v>766</v>
      </c>
      <c r="M122" s="194">
        <f t="shared" si="100"/>
        <v>904</v>
      </c>
      <c r="N122" s="193">
        <f>N120+N121</f>
        <v>-332</v>
      </c>
      <c r="O122" s="193">
        <f>O120+O121</f>
        <v>1165</v>
      </c>
      <c r="P122" s="194">
        <f t="shared" si="101"/>
        <v>833</v>
      </c>
      <c r="Q122" s="193">
        <f>Q120+Q121</f>
        <v>3337</v>
      </c>
      <c r="R122" s="255">
        <f>R120+R121</f>
        <v>91</v>
      </c>
      <c r="S122" s="194">
        <f t="shared" si="102"/>
        <v>3428</v>
      </c>
      <c r="T122" s="193">
        <f>T120+T121</f>
        <v>-1133</v>
      </c>
      <c r="U122" s="255">
        <f>U120+U121</f>
        <v>-834</v>
      </c>
      <c r="V122" s="194">
        <f t="shared" si="103"/>
        <v>-1967</v>
      </c>
      <c r="W122" s="193">
        <f>W120+W121</f>
        <v>-1727</v>
      </c>
      <c r="X122" s="193">
        <f>X120+X121</f>
        <v>-1610</v>
      </c>
      <c r="Y122" s="194">
        <f t="shared" si="104"/>
        <v>-3337</v>
      </c>
      <c r="Z122" s="193">
        <f>Z120+Z121</f>
        <v>2094</v>
      </c>
      <c r="AA122" s="193">
        <f>AA120+AA121</f>
        <v>804</v>
      </c>
      <c r="AB122" s="194">
        <f t="shared" si="105"/>
        <v>2898</v>
      </c>
      <c r="AC122" s="193">
        <f>AC104+AC113</f>
        <v>789</v>
      </c>
      <c r="AD122" s="399">
        <f>AC122*1.2</f>
        <v>946.8</v>
      </c>
      <c r="AE122" s="194">
        <f>AC122+AD122</f>
        <v>1735.8</v>
      </c>
      <c r="AF122" s="193">
        <f>AF104+AF113</f>
        <v>-401</v>
      </c>
      <c r="AG122" s="193">
        <f>AG104+AG113</f>
        <v>142</v>
      </c>
      <c r="AH122" s="194">
        <f>AF122+AG122</f>
        <v>-259</v>
      </c>
      <c r="AI122" s="193">
        <f>AI104+AI113</f>
        <v>471</v>
      </c>
      <c r="AJ122" s="193">
        <f>AJ104+AJ113</f>
        <v>634</v>
      </c>
      <c r="AK122" s="194">
        <f>AI122+AJ122</f>
        <v>1105</v>
      </c>
      <c r="AL122" s="399">
        <f>AI122*1.09</f>
        <v>513.39</v>
      </c>
      <c r="AM122" s="399">
        <f>AJ122*1.09</f>
        <v>691.06000000000006</v>
      </c>
      <c r="AN122" s="194">
        <f>AL122+AM122</f>
        <v>1204.45</v>
      </c>
      <c r="AO122" s="399">
        <f>AL122*1.09</f>
        <v>559.5951</v>
      </c>
      <c r="AP122" s="399">
        <f>AM122*1.09</f>
        <v>753.25540000000012</v>
      </c>
      <c r="AQ122" s="194">
        <f>AO122+AP122</f>
        <v>1312.8505</v>
      </c>
      <c r="AR122" s="399">
        <f>AO122*1.09</f>
        <v>609.95865900000001</v>
      </c>
      <c r="AS122" s="399">
        <f>AP122*1.09</f>
        <v>821.04838600000016</v>
      </c>
      <c r="AT122" s="194">
        <f>AR122+AS122</f>
        <v>1431.0070450000003</v>
      </c>
      <c r="AU122" s="399">
        <f>AR122*1.09</f>
        <v>664.85493831000008</v>
      </c>
      <c r="AV122" s="399">
        <f>AS122*1.09</f>
        <v>894.9427407400002</v>
      </c>
      <c r="AW122" s="194">
        <f>AU122+AV122</f>
        <v>1559.7976790500002</v>
      </c>
      <c r="AX122" s="399">
        <f>AU122*1.09</f>
        <v>724.69188275790009</v>
      </c>
      <c r="AY122" s="399">
        <f>AV122*1.09</f>
        <v>975.48758740660026</v>
      </c>
      <c r="AZ122" s="194">
        <f>AX122+AY122</f>
        <v>1700.1794701645003</v>
      </c>
    </row>
    <row r="123" spans="2:52">
      <c r="B123" s="175" t="s">
        <v>2329</v>
      </c>
      <c r="E123" s="206">
        <f t="shared" si="97"/>
        <v>-407</v>
      </c>
      <c r="F123" s="206">
        <f t="shared" si="97"/>
        <v>679</v>
      </c>
      <c r="G123" s="184">
        <f t="shared" si="98"/>
        <v>272</v>
      </c>
      <c r="H123" s="206">
        <f>H105+H114</f>
        <v>368</v>
      </c>
      <c r="I123" s="206">
        <f>I105+I114</f>
        <v>-263</v>
      </c>
      <c r="J123" s="184">
        <f t="shared" si="99"/>
        <v>105</v>
      </c>
      <c r="K123" s="206">
        <f t="shared" ref="K123:L125" si="106">K105+K114</f>
        <v>2424</v>
      </c>
      <c r="L123" s="206">
        <f t="shared" si="106"/>
        <v>-1259</v>
      </c>
      <c r="M123" s="184">
        <f t="shared" si="100"/>
        <v>1165</v>
      </c>
      <c r="N123" s="206">
        <f t="shared" ref="N123:O125" si="107">N105+N114</f>
        <v>-315</v>
      </c>
      <c r="O123" s="206">
        <f t="shared" si="107"/>
        <v>1841</v>
      </c>
      <c r="P123" s="184">
        <f t="shared" si="101"/>
        <v>1526</v>
      </c>
      <c r="Q123" s="206">
        <f t="shared" ref="Q123:R125" si="108">Q105+Q114</f>
        <v>1262</v>
      </c>
      <c r="R123" s="206">
        <f t="shared" si="108"/>
        <v>2538</v>
      </c>
      <c r="S123" s="184">
        <f t="shared" si="102"/>
        <v>3800</v>
      </c>
      <c r="T123" s="206">
        <f t="shared" ref="T123:U125" si="109">T105+T114</f>
        <v>632</v>
      </c>
      <c r="U123" s="206">
        <f t="shared" si="109"/>
        <v>948</v>
      </c>
      <c r="V123" s="184">
        <f t="shared" si="103"/>
        <v>1580</v>
      </c>
      <c r="W123" s="206">
        <f t="shared" ref="W123:X125" si="110">W105+W114</f>
        <v>247</v>
      </c>
      <c r="X123" s="206">
        <f t="shared" si="110"/>
        <v>739</v>
      </c>
      <c r="Y123" s="184">
        <f t="shared" si="104"/>
        <v>986</v>
      </c>
      <c r="Z123" s="206">
        <f t="shared" ref="Z123:AA125" si="111">Z105+Z114</f>
        <v>-771</v>
      </c>
      <c r="AA123" s="206">
        <f t="shared" si="111"/>
        <v>490</v>
      </c>
      <c r="AB123" s="184">
        <f t="shared" si="105"/>
        <v>-281</v>
      </c>
      <c r="AC123" s="206">
        <f>AC105+AC114</f>
        <v>1766</v>
      </c>
      <c r="AD123" s="231">
        <v>600</v>
      </c>
      <c r="AE123" s="184">
        <f>AC123+AD123</f>
        <v>2366</v>
      </c>
      <c r="AF123" s="206">
        <f>AF105+AF114</f>
        <v>-641</v>
      </c>
      <c r="AG123" s="206">
        <f>AG105+AG114</f>
        <v>40</v>
      </c>
      <c r="AH123" s="184">
        <f>AF123+AG123</f>
        <v>-601</v>
      </c>
      <c r="AI123" s="206">
        <f>AI105+AI114</f>
        <v>-303</v>
      </c>
      <c r="AJ123" s="206">
        <f>AJ105+AJ114</f>
        <v>-550</v>
      </c>
      <c r="AK123" s="184">
        <f>AI123+AJ123</f>
        <v>-853</v>
      </c>
      <c r="AL123" s="231">
        <f>AI123*1.1</f>
        <v>-333.3</v>
      </c>
      <c r="AM123" s="231">
        <f>AJ123*1*1.1</f>
        <v>-605</v>
      </c>
      <c r="AN123" s="184">
        <f>AL123+AM123</f>
        <v>-938.3</v>
      </c>
      <c r="AO123" s="231">
        <f>AL123*1.1</f>
        <v>-366.63000000000005</v>
      </c>
      <c r="AP123" s="231">
        <f>AM123*1*1.1</f>
        <v>-665.5</v>
      </c>
      <c r="AQ123" s="184">
        <f>AO123+AP123</f>
        <v>-1032.1300000000001</v>
      </c>
      <c r="AR123" s="231">
        <f>AO123*1.1</f>
        <v>-403.29300000000006</v>
      </c>
      <c r="AS123" s="231">
        <f>AP123*1*1.1</f>
        <v>-732.05000000000007</v>
      </c>
      <c r="AT123" s="184">
        <f>AR123+AS123</f>
        <v>-1135.3430000000001</v>
      </c>
      <c r="AU123" s="231">
        <f>AR123*1.1</f>
        <v>-443.62230000000011</v>
      </c>
      <c r="AV123" s="231">
        <f>AS123*1*1.1</f>
        <v>-805.25500000000011</v>
      </c>
      <c r="AW123" s="184">
        <f>AU123+AV123</f>
        <v>-1248.8773000000001</v>
      </c>
      <c r="AX123" s="231">
        <f>AU123*1.1</f>
        <v>-487.98453000000018</v>
      </c>
      <c r="AY123" s="231">
        <f>AV123*1*1.1</f>
        <v>-885.78050000000019</v>
      </c>
      <c r="AZ123" s="184">
        <f>AX123+AY123</f>
        <v>-1373.7650300000005</v>
      </c>
    </row>
    <row r="124" spans="2:52">
      <c r="B124" s="175" t="s">
        <v>2330</v>
      </c>
      <c r="E124" s="206">
        <f t="shared" si="97"/>
        <v>-277</v>
      </c>
      <c r="F124" s="206">
        <f t="shared" si="97"/>
        <v>84</v>
      </c>
      <c r="G124" s="184">
        <f t="shared" si="98"/>
        <v>-193</v>
      </c>
      <c r="H124" s="206">
        <f>H106+H115</f>
        <v>-8</v>
      </c>
      <c r="I124" s="206">
        <f>I106+I115</f>
        <v>766</v>
      </c>
      <c r="J124" s="184">
        <f t="shared" si="99"/>
        <v>758</v>
      </c>
      <c r="K124" s="206">
        <f t="shared" si="106"/>
        <v>-194</v>
      </c>
      <c r="L124" s="206">
        <f t="shared" si="106"/>
        <v>-345</v>
      </c>
      <c r="M124" s="184">
        <f t="shared" si="100"/>
        <v>-539</v>
      </c>
      <c r="N124" s="206">
        <f t="shared" si="107"/>
        <v>-186</v>
      </c>
      <c r="O124" s="206">
        <f t="shared" si="107"/>
        <v>-462</v>
      </c>
      <c r="P124" s="184">
        <f t="shared" si="101"/>
        <v>-648</v>
      </c>
      <c r="Q124" s="206">
        <f t="shared" si="108"/>
        <v>0</v>
      </c>
      <c r="R124" s="206">
        <f t="shared" si="108"/>
        <v>0</v>
      </c>
      <c r="S124" s="184">
        <f t="shared" si="102"/>
        <v>0</v>
      </c>
      <c r="T124" s="206">
        <f t="shared" si="109"/>
        <v>0</v>
      </c>
      <c r="U124" s="206">
        <f t="shared" si="109"/>
        <v>0</v>
      </c>
      <c r="V124" s="184">
        <f t="shared" si="103"/>
        <v>0</v>
      </c>
      <c r="W124" s="206">
        <f t="shared" si="110"/>
        <v>0</v>
      </c>
      <c r="X124" s="206">
        <f t="shared" si="110"/>
        <v>0</v>
      </c>
      <c r="Y124" s="184">
        <f t="shared" si="104"/>
        <v>0</v>
      </c>
      <c r="Z124" s="206">
        <f t="shared" si="111"/>
        <v>0</v>
      </c>
      <c r="AA124" s="206">
        <f t="shared" si="111"/>
        <v>0</v>
      </c>
      <c r="AB124" s="184">
        <f t="shared" si="105"/>
        <v>0</v>
      </c>
      <c r="AC124" s="206"/>
      <c r="AD124" s="231"/>
      <c r="AE124" s="184"/>
      <c r="AF124" s="231"/>
      <c r="AG124" s="231"/>
      <c r="AH124" s="184"/>
      <c r="AI124" s="231"/>
      <c r="AJ124" s="231"/>
      <c r="AK124" s="184"/>
      <c r="AL124" s="231"/>
      <c r="AM124" s="231"/>
      <c r="AN124" s="184"/>
      <c r="AO124" s="231"/>
      <c r="AP124" s="231"/>
      <c r="AQ124" s="184"/>
      <c r="AR124" s="231"/>
      <c r="AS124" s="231"/>
      <c r="AT124" s="184"/>
      <c r="AU124" s="231"/>
      <c r="AV124" s="231"/>
      <c r="AW124" s="184"/>
      <c r="AX124" s="231"/>
      <c r="AY124" s="231"/>
      <c r="AZ124" s="184"/>
    </row>
    <row r="125" spans="2:52">
      <c r="B125" s="175" t="s">
        <v>2331</v>
      </c>
      <c r="E125" s="206">
        <f t="shared" si="97"/>
        <v>-329</v>
      </c>
      <c r="F125" s="206">
        <f t="shared" si="97"/>
        <v>-117</v>
      </c>
      <c r="G125" s="184">
        <f t="shared" si="98"/>
        <v>-446</v>
      </c>
      <c r="H125" s="206">
        <f>H107+H116</f>
        <v>770</v>
      </c>
      <c r="I125" s="206">
        <f>I107+I116</f>
        <v>1237</v>
      </c>
      <c r="J125" s="184">
        <f t="shared" si="99"/>
        <v>2007</v>
      </c>
      <c r="K125" s="206">
        <f t="shared" si="106"/>
        <v>1895</v>
      </c>
      <c r="L125" s="206">
        <f t="shared" si="106"/>
        <v>-1644</v>
      </c>
      <c r="M125" s="184">
        <f t="shared" si="100"/>
        <v>251</v>
      </c>
      <c r="N125" s="206">
        <f t="shared" si="107"/>
        <v>-219</v>
      </c>
      <c r="O125" s="206">
        <f t="shared" si="107"/>
        <v>1109</v>
      </c>
      <c r="P125" s="184">
        <f t="shared" si="101"/>
        <v>890</v>
      </c>
      <c r="Q125" s="206">
        <f t="shared" si="108"/>
        <v>68</v>
      </c>
      <c r="R125" s="206">
        <f t="shared" si="108"/>
        <v>-350</v>
      </c>
      <c r="S125" s="184">
        <f t="shared" si="102"/>
        <v>-282</v>
      </c>
      <c r="T125" s="206">
        <f t="shared" si="109"/>
        <v>350</v>
      </c>
      <c r="U125" s="206">
        <f t="shared" si="109"/>
        <v>282</v>
      </c>
      <c r="V125" s="184">
        <f t="shared" si="103"/>
        <v>632</v>
      </c>
      <c r="W125" s="206">
        <f t="shared" si="110"/>
        <v>285</v>
      </c>
      <c r="X125" s="206">
        <f t="shared" si="110"/>
        <v>585</v>
      </c>
      <c r="Y125" s="184">
        <f t="shared" si="104"/>
        <v>870</v>
      </c>
      <c r="Z125" s="206">
        <f t="shared" si="111"/>
        <v>397</v>
      </c>
      <c r="AA125" s="206">
        <f t="shared" si="111"/>
        <v>-93</v>
      </c>
      <c r="AB125" s="184">
        <f t="shared" si="105"/>
        <v>304</v>
      </c>
      <c r="AC125" s="206"/>
      <c r="AD125" s="231"/>
      <c r="AE125" s="184"/>
      <c r="AF125" s="231"/>
      <c r="AG125" s="231"/>
      <c r="AH125" s="184"/>
      <c r="AI125" s="231"/>
      <c r="AJ125" s="231"/>
      <c r="AK125" s="184"/>
      <c r="AL125" s="231"/>
      <c r="AM125" s="231"/>
      <c r="AN125" s="184"/>
      <c r="AO125" s="231"/>
      <c r="AP125" s="231"/>
      <c r="AQ125" s="184"/>
      <c r="AR125" s="231"/>
      <c r="AS125" s="231"/>
      <c r="AT125" s="184"/>
      <c r="AU125" s="231"/>
      <c r="AV125" s="231"/>
      <c r="AW125" s="184"/>
      <c r="AX125" s="231"/>
      <c r="AY125" s="231"/>
      <c r="AZ125" s="184"/>
    </row>
    <row r="126" spans="2:52">
      <c r="B126" s="181" t="s">
        <v>2350</v>
      </c>
      <c r="E126" s="193">
        <f>SUM(E122:E125)</f>
        <v>-728</v>
      </c>
      <c r="F126" s="193">
        <f>SUM(F122:F125)</f>
        <v>2775</v>
      </c>
      <c r="G126" s="194">
        <f t="shared" si="98"/>
        <v>2047</v>
      </c>
      <c r="H126" s="193">
        <f>SUM(H122:H125)</f>
        <v>2222</v>
      </c>
      <c r="I126" s="193">
        <f>SUM(I122:I125)</f>
        <v>4179</v>
      </c>
      <c r="J126" s="194">
        <f t="shared" si="99"/>
        <v>6401</v>
      </c>
      <c r="K126" s="193">
        <f>SUM(K122:K125)</f>
        <v>4263</v>
      </c>
      <c r="L126" s="193">
        <f>SUM(L122:L125)</f>
        <v>-2482</v>
      </c>
      <c r="M126" s="194">
        <f t="shared" si="100"/>
        <v>1781</v>
      </c>
      <c r="N126" s="193">
        <f>SUM(N122:N125)</f>
        <v>-1052</v>
      </c>
      <c r="O126" s="193">
        <f>SUM(O122:O125)</f>
        <v>3653</v>
      </c>
      <c r="P126" s="194">
        <f t="shared" si="101"/>
        <v>2601</v>
      </c>
      <c r="Q126" s="193">
        <f>SUM(Q122:Q125)</f>
        <v>4667</v>
      </c>
      <c r="R126" s="193">
        <f>SUM(R122:R125)</f>
        <v>2279</v>
      </c>
      <c r="S126" s="194">
        <f>Q126+R126</f>
        <v>6946</v>
      </c>
      <c r="T126" s="193">
        <f>SUM(T122:T125)</f>
        <v>-151</v>
      </c>
      <c r="U126" s="193">
        <f>SUM(U122:U125)</f>
        <v>396</v>
      </c>
      <c r="V126" s="194">
        <f t="shared" si="103"/>
        <v>245</v>
      </c>
      <c r="W126" s="193">
        <f>SUM(W122:W125)</f>
        <v>-1195</v>
      </c>
      <c r="X126" s="193">
        <f>SUM(X122:X125)</f>
        <v>-286</v>
      </c>
      <c r="Y126" s="194">
        <f t="shared" si="104"/>
        <v>-1481</v>
      </c>
      <c r="Z126" s="193">
        <f>SUM(Z122:Z125)</f>
        <v>1720</v>
      </c>
      <c r="AA126" s="193">
        <f>SUM(AA122:AA125)</f>
        <v>1201</v>
      </c>
      <c r="AB126" s="194">
        <f t="shared" si="105"/>
        <v>2921</v>
      </c>
      <c r="AC126" s="193">
        <f>SUM(AC122:AC125)</f>
        <v>2555</v>
      </c>
      <c r="AD126" s="193">
        <f>SUM(AD122:AD125)</f>
        <v>1546.8</v>
      </c>
      <c r="AE126" s="194">
        <f>AC126+AD126</f>
        <v>4101.8</v>
      </c>
      <c r="AF126" s="193">
        <f>SUM(AF122:AF125)</f>
        <v>-1042</v>
      </c>
      <c r="AG126" s="193">
        <f>SUM(AG122:AG125)</f>
        <v>182</v>
      </c>
      <c r="AH126" s="194">
        <f>AF126+AG126</f>
        <v>-860</v>
      </c>
      <c r="AI126" s="193">
        <f>SUM(AI122:AI125)</f>
        <v>168</v>
      </c>
      <c r="AJ126" s="193">
        <f>SUM(AJ122:AJ125)</f>
        <v>84</v>
      </c>
      <c r="AK126" s="194">
        <f>AI126+AJ126</f>
        <v>252</v>
      </c>
      <c r="AL126" s="193">
        <f>SUM(AL122:AL125)</f>
        <v>180.08999999999997</v>
      </c>
      <c r="AM126" s="193">
        <f>SUM(AM122:AM125)</f>
        <v>86.060000000000059</v>
      </c>
      <c r="AN126" s="194">
        <f>AL126+AM126</f>
        <v>266.15000000000003</v>
      </c>
      <c r="AO126" s="193">
        <f>SUM(AO122:AO125)</f>
        <v>192.96509999999995</v>
      </c>
      <c r="AP126" s="193">
        <f>SUM(AP122:AP125)</f>
        <v>87.755400000000122</v>
      </c>
      <c r="AQ126" s="194">
        <f>AO126+AP126</f>
        <v>280.72050000000007</v>
      </c>
      <c r="AR126" s="193">
        <f>SUM(AR122:AR125)</f>
        <v>206.66565899999995</v>
      </c>
      <c r="AS126" s="193">
        <f>SUM(AS122:AS125)</f>
        <v>88.998386000000096</v>
      </c>
      <c r="AT126" s="194">
        <f>AR126+AS126</f>
        <v>295.66404500000004</v>
      </c>
      <c r="AU126" s="193">
        <f>SUM(AU122:AU125)</f>
        <v>221.23263830999997</v>
      </c>
      <c r="AV126" s="193">
        <f>SUM(AV122:AV125)</f>
        <v>89.687740740000095</v>
      </c>
      <c r="AW126" s="194">
        <f>AU126+AV126</f>
        <v>310.92037905000007</v>
      </c>
      <c r="AX126" s="193">
        <f>SUM(AX122:AX125)</f>
        <v>236.70735275789991</v>
      </c>
      <c r="AY126" s="193">
        <f>SUM(AY122:AY125)</f>
        <v>89.707087406600067</v>
      </c>
      <c r="AZ126" s="194">
        <f>AX126+AY126</f>
        <v>326.41444016449998</v>
      </c>
    </row>
    <row r="127" spans="2:52">
      <c r="E127" s="206"/>
      <c r="F127" s="206"/>
      <c r="G127" s="184"/>
      <c r="H127" s="206"/>
      <c r="I127" s="206"/>
      <c r="J127" s="184"/>
      <c r="K127" s="206"/>
      <c r="L127" s="206"/>
      <c r="M127" s="184"/>
      <c r="N127" s="206"/>
      <c r="O127" s="206"/>
      <c r="P127" s="184"/>
      <c r="Q127" s="206"/>
      <c r="R127" s="206"/>
      <c r="S127" s="184"/>
      <c r="T127" s="206"/>
      <c r="U127" s="206"/>
      <c r="V127" s="184"/>
      <c r="W127" s="206"/>
      <c r="X127" s="206"/>
      <c r="Y127" s="184"/>
      <c r="Z127" s="206"/>
      <c r="AA127" s="206"/>
      <c r="AB127" s="184"/>
      <c r="AC127" s="206"/>
      <c r="AD127" s="206"/>
      <c r="AE127" s="184"/>
      <c r="AF127" s="206"/>
      <c r="AG127" s="206"/>
      <c r="AH127" s="184"/>
      <c r="AI127" s="206"/>
      <c r="AJ127" s="206"/>
      <c r="AK127" s="184"/>
      <c r="AL127" s="206"/>
      <c r="AM127" s="206"/>
      <c r="AN127" s="184"/>
      <c r="AO127" s="206"/>
      <c r="AP127" s="206"/>
      <c r="AQ127" s="184"/>
      <c r="AR127" s="206"/>
      <c r="AS127" s="206"/>
      <c r="AT127" s="184"/>
      <c r="AU127" s="206"/>
      <c r="AV127" s="206"/>
      <c r="AW127" s="184"/>
      <c r="AX127" s="206"/>
      <c r="AY127" s="206"/>
      <c r="AZ127" s="184"/>
    </row>
    <row r="128" spans="2:52">
      <c r="B128" s="181" t="s">
        <v>2342</v>
      </c>
      <c r="E128" s="206"/>
      <c r="F128" s="206"/>
      <c r="G128" s="184"/>
      <c r="H128" s="206"/>
      <c r="I128" s="206"/>
      <c r="J128" s="184"/>
      <c r="K128" s="206"/>
      <c r="L128" s="206"/>
      <c r="M128" s="184"/>
      <c r="N128" s="206"/>
      <c r="O128" s="206"/>
      <c r="P128" s="184"/>
      <c r="Q128" s="206"/>
      <c r="R128" s="206"/>
      <c r="S128" s="184"/>
      <c r="T128" s="206"/>
      <c r="U128" s="206"/>
      <c r="V128" s="184"/>
      <c r="W128" s="206"/>
      <c r="X128" s="206"/>
      <c r="Y128" s="184"/>
      <c r="Z128" s="206"/>
      <c r="AA128" s="206"/>
      <c r="AB128" s="184"/>
      <c r="AC128" s="206"/>
      <c r="AD128" s="206"/>
      <c r="AE128" s="184"/>
      <c r="AF128" s="206"/>
      <c r="AG128" s="206"/>
      <c r="AH128" s="184"/>
      <c r="AI128" s="206"/>
      <c r="AJ128" s="206"/>
      <c r="AK128" s="184"/>
      <c r="AL128" s="206"/>
      <c r="AM128" s="206"/>
      <c r="AN128" s="184"/>
      <c r="AO128" s="206"/>
      <c r="AP128" s="206"/>
      <c r="AQ128" s="184"/>
      <c r="AR128" s="206"/>
      <c r="AS128" s="206"/>
      <c r="AT128" s="184"/>
      <c r="AU128" s="206"/>
      <c r="AV128" s="206"/>
      <c r="AW128" s="184"/>
      <c r="AX128" s="206"/>
      <c r="AY128" s="206"/>
      <c r="AZ128" s="184"/>
    </row>
    <row r="129" spans="2:52">
      <c r="B129" s="175" t="s">
        <v>2326</v>
      </c>
      <c r="E129" s="206">
        <v>5256</v>
      </c>
      <c r="F129" s="206">
        <v>1399</v>
      </c>
      <c r="G129" s="184">
        <f t="shared" ref="G129:G135" si="112">E129+F129</f>
        <v>6655</v>
      </c>
      <c r="H129" s="206">
        <v>5257</v>
      </c>
      <c r="I129" s="206">
        <v>3562</v>
      </c>
      <c r="J129" s="184">
        <f t="shared" ref="J129:J135" si="113">H129+I129</f>
        <v>8819</v>
      </c>
      <c r="K129" s="206">
        <v>-7075</v>
      </c>
      <c r="L129" s="206">
        <v>-4213</v>
      </c>
      <c r="M129" s="184">
        <f t="shared" ref="M129:M135" si="114">K129+L129</f>
        <v>-11288</v>
      </c>
      <c r="N129" s="206">
        <v>-9284</v>
      </c>
      <c r="O129" s="206">
        <v>10756</v>
      </c>
      <c r="P129" s="184">
        <f t="shared" ref="P129:P135" si="115">N129+O129</f>
        <v>1472</v>
      </c>
      <c r="Q129" s="206">
        <v>2654</v>
      </c>
      <c r="R129" s="206">
        <v>-820</v>
      </c>
      <c r="S129" s="184">
        <f t="shared" ref="S129:S135" si="116">Q129+R129</f>
        <v>1834</v>
      </c>
      <c r="T129" s="206">
        <v>3746</v>
      </c>
      <c r="U129" s="206">
        <f>-76-W129</f>
        <v>-6035</v>
      </c>
      <c r="V129" s="184">
        <f t="shared" ref="V129:V135" si="117">T129+U129</f>
        <v>-2289</v>
      </c>
      <c r="W129" s="206">
        <v>5959</v>
      </c>
      <c r="X129" s="206">
        <v>2001</v>
      </c>
      <c r="Y129" s="184">
        <f t="shared" ref="Y129:Y135" si="118">W129+X129</f>
        <v>7960</v>
      </c>
      <c r="Z129" s="206">
        <v>7460</v>
      </c>
      <c r="AA129" s="206">
        <v>6678</v>
      </c>
      <c r="AB129" s="184">
        <f t="shared" ref="AB129:AB135" si="119">Z129+AA129</f>
        <v>14138</v>
      </c>
      <c r="AC129" s="206"/>
      <c r="AD129" s="206"/>
      <c r="AE129" s="184"/>
      <c r="AF129" s="206"/>
      <c r="AG129" s="206"/>
      <c r="AH129" s="184"/>
      <c r="AI129" s="206"/>
      <c r="AJ129" s="206"/>
      <c r="AK129" s="184"/>
      <c r="AL129" s="206"/>
      <c r="AM129" s="206"/>
      <c r="AN129" s="184"/>
      <c r="AO129" s="206"/>
      <c r="AP129" s="206"/>
      <c r="AQ129" s="184"/>
      <c r="AR129" s="206"/>
      <c r="AS129" s="206"/>
      <c r="AT129" s="184"/>
      <c r="AU129" s="206"/>
      <c r="AV129" s="206"/>
      <c r="AW129" s="184"/>
      <c r="AX129" s="206"/>
      <c r="AY129" s="206"/>
      <c r="AZ129" s="184"/>
    </row>
    <row r="130" spans="2:52">
      <c r="B130" s="175" t="s">
        <v>2327</v>
      </c>
      <c r="E130" s="206">
        <v>488</v>
      </c>
      <c r="F130" s="206">
        <v>69</v>
      </c>
      <c r="G130" s="184">
        <f t="shared" si="112"/>
        <v>557</v>
      </c>
      <c r="H130" s="206">
        <v>350</v>
      </c>
      <c r="I130" s="206">
        <v>210</v>
      </c>
      <c r="J130" s="184">
        <f t="shared" si="113"/>
        <v>560</v>
      </c>
      <c r="K130" s="206">
        <v>-185</v>
      </c>
      <c r="L130" s="206">
        <v>-93</v>
      </c>
      <c r="M130" s="184">
        <f t="shared" si="114"/>
        <v>-278</v>
      </c>
      <c r="N130" s="206">
        <v>-174</v>
      </c>
      <c r="O130" s="206">
        <v>183</v>
      </c>
      <c r="P130" s="184">
        <f t="shared" si="115"/>
        <v>9</v>
      </c>
      <c r="Q130" s="206">
        <v>-1</v>
      </c>
      <c r="R130" s="206">
        <v>-33</v>
      </c>
      <c r="S130" s="184">
        <f t="shared" si="116"/>
        <v>-34</v>
      </c>
      <c r="T130" s="206">
        <v>154</v>
      </c>
      <c r="U130" s="206">
        <f>-87-W130</f>
        <v>-137</v>
      </c>
      <c r="V130" s="184">
        <f t="shared" si="117"/>
        <v>17</v>
      </c>
      <c r="W130" s="206">
        <v>50</v>
      </c>
      <c r="X130" s="206">
        <v>80</v>
      </c>
      <c r="Y130" s="184">
        <f t="shared" si="118"/>
        <v>130</v>
      </c>
      <c r="Z130" s="206">
        <v>123</v>
      </c>
      <c r="AA130" s="206">
        <v>131</v>
      </c>
      <c r="AB130" s="184">
        <f t="shared" si="119"/>
        <v>254</v>
      </c>
      <c r="AC130" s="206"/>
      <c r="AD130" s="206"/>
      <c r="AE130" s="184"/>
      <c r="AF130" s="206"/>
      <c r="AG130" s="206"/>
      <c r="AH130" s="184"/>
      <c r="AI130" s="206"/>
      <c r="AJ130" s="206"/>
      <c r="AK130" s="184"/>
      <c r="AL130" s="206"/>
      <c r="AM130" s="206"/>
      <c r="AN130" s="184"/>
      <c r="AO130" s="206"/>
      <c r="AP130" s="206"/>
      <c r="AQ130" s="184"/>
      <c r="AR130" s="206"/>
      <c r="AS130" s="206"/>
      <c r="AT130" s="184"/>
      <c r="AU130" s="206"/>
      <c r="AV130" s="206"/>
      <c r="AW130" s="184"/>
      <c r="AX130" s="206"/>
      <c r="AY130" s="206"/>
      <c r="AZ130" s="184"/>
    </row>
    <row r="131" spans="2:52">
      <c r="B131" s="175" t="s">
        <v>2328</v>
      </c>
      <c r="E131" s="206">
        <f>E129+E130</f>
        <v>5744</v>
      </c>
      <c r="F131" s="206">
        <f>F129+F130</f>
        <v>1468</v>
      </c>
      <c r="G131" s="184">
        <f t="shared" si="112"/>
        <v>7212</v>
      </c>
      <c r="H131" s="206">
        <f>H129+H130</f>
        <v>5607</v>
      </c>
      <c r="I131" s="206">
        <f>I129+I130</f>
        <v>3772</v>
      </c>
      <c r="J131" s="184">
        <f t="shared" si="113"/>
        <v>9379</v>
      </c>
      <c r="K131" s="206">
        <f>K129+K130</f>
        <v>-7260</v>
      </c>
      <c r="L131" s="206">
        <f>L129+L130</f>
        <v>-4306</v>
      </c>
      <c r="M131" s="184">
        <f t="shared" si="114"/>
        <v>-11566</v>
      </c>
      <c r="N131" s="206">
        <f>N129+N130</f>
        <v>-9458</v>
      </c>
      <c r="O131" s="206">
        <f>O129+O130</f>
        <v>10939</v>
      </c>
      <c r="P131" s="184">
        <f t="shared" si="115"/>
        <v>1481</v>
      </c>
      <c r="Q131" s="206">
        <f>Q129+Q130</f>
        <v>2653</v>
      </c>
      <c r="R131" s="206">
        <f>R129+R130</f>
        <v>-853</v>
      </c>
      <c r="S131" s="184">
        <f t="shared" si="116"/>
        <v>1800</v>
      </c>
      <c r="T131" s="206">
        <f>T129+T130</f>
        <v>3900</v>
      </c>
      <c r="U131" s="206">
        <f>U129+U130</f>
        <v>-6172</v>
      </c>
      <c r="V131" s="184">
        <f t="shared" si="117"/>
        <v>-2272</v>
      </c>
      <c r="W131" s="206">
        <f>W129+W130</f>
        <v>6009</v>
      </c>
      <c r="X131" s="206">
        <f>X129+X130</f>
        <v>2081</v>
      </c>
      <c r="Y131" s="184">
        <f t="shared" si="118"/>
        <v>8090</v>
      </c>
      <c r="Z131" s="206">
        <f>Z129+Z130</f>
        <v>7583</v>
      </c>
      <c r="AA131" s="206">
        <f>AA129+AA130</f>
        <v>6809</v>
      </c>
      <c r="AB131" s="184">
        <f t="shared" si="119"/>
        <v>14392</v>
      </c>
      <c r="AC131" s="206">
        <v>4020</v>
      </c>
      <c r="AD131" s="206">
        <v>3351</v>
      </c>
      <c r="AE131" s="184">
        <f>AC131+AD131</f>
        <v>7371</v>
      </c>
      <c r="AF131" s="206">
        <v>10845</v>
      </c>
      <c r="AG131" s="206">
        <v>-5310</v>
      </c>
      <c r="AH131" s="184">
        <f>AF131+AG131</f>
        <v>5535</v>
      </c>
      <c r="AI131" s="206">
        <v>1043</v>
      </c>
      <c r="AJ131" s="206">
        <v>6196</v>
      </c>
      <c r="AK131" s="184">
        <f>AI131+AJ131</f>
        <v>7239</v>
      </c>
      <c r="AL131" s="206">
        <v>4020</v>
      </c>
      <c r="AM131" s="206">
        <f>AL64*AM142</f>
        <v>6725.8512257128641</v>
      </c>
      <c r="AN131" s="184">
        <f>AL131+AM131</f>
        <v>10745.851225712864</v>
      </c>
      <c r="AO131" s="206">
        <v>4020</v>
      </c>
      <c r="AP131" s="206">
        <f>AO64*AP142</f>
        <v>7310.2671609390818</v>
      </c>
      <c r="AQ131" s="184">
        <f>AO131+AP131</f>
        <v>11330.267160939082</v>
      </c>
      <c r="AR131" s="206">
        <v>4020</v>
      </c>
      <c r="AS131" s="206">
        <f>AR64*AS142</f>
        <v>7928.6201555166072</v>
      </c>
      <c r="AT131" s="184">
        <f>AR131+AS131</f>
        <v>11948.620155516608</v>
      </c>
      <c r="AU131" s="206">
        <v>4020</v>
      </c>
      <c r="AV131" s="206">
        <f>AU64*AV142</f>
        <v>8583.0567657579832</v>
      </c>
      <c r="AW131" s="184">
        <f>AU131+AV131</f>
        <v>12603.056765757983</v>
      </c>
      <c r="AX131" s="206">
        <v>4020</v>
      </c>
      <c r="AY131" s="206">
        <f>AX64*AY142</f>
        <v>9275.8727042596602</v>
      </c>
      <c r="AZ131" s="184">
        <f>AX131+AY131</f>
        <v>13295.87270425966</v>
      </c>
    </row>
    <row r="132" spans="2:52">
      <c r="B132" s="175" t="s">
        <v>2329</v>
      </c>
      <c r="E132" s="206">
        <v>2344</v>
      </c>
      <c r="F132" s="206">
        <v>227</v>
      </c>
      <c r="G132" s="184">
        <f t="shared" si="112"/>
        <v>2571</v>
      </c>
      <c r="H132" s="206">
        <v>1410</v>
      </c>
      <c r="I132" s="206">
        <v>981</v>
      </c>
      <c r="J132" s="184">
        <f t="shared" si="113"/>
        <v>2391</v>
      </c>
      <c r="K132" s="206">
        <v>-2612</v>
      </c>
      <c r="L132" s="206">
        <v>-1133</v>
      </c>
      <c r="M132" s="184">
        <f t="shared" si="114"/>
        <v>-3745</v>
      </c>
      <c r="N132" s="206">
        <v>-3296</v>
      </c>
      <c r="O132" s="206">
        <v>3101</v>
      </c>
      <c r="P132" s="184">
        <f t="shared" si="115"/>
        <v>-195</v>
      </c>
      <c r="Q132" s="206">
        <v>1437</v>
      </c>
      <c r="R132" s="206">
        <v>-401</v>
      </c>
      <c r="S132" s="184">
        <f t="shared" si="116"/>
        <v>1036</v>
      </c>
      <c r="T132" s="206">
        <v>1901</v>
      </c>
      <c r="U132" s="206">
        <f>-588-W132</f>
        <v>-2241</v>
      </c>
      <c r="V132" s="184">
        <f t="shared" si="117"/>
        <v>-340</v>
      </c>
      <c r="W132" s="206">
        <v>1653</v>
      </c>
      <c r="X132" s="206">
        <v>905</v>
      </c>
      <c r="Y132" s="184">
        <f t="shared" si="118"/>
        <v>2558</v>
      </c>
      <c r="Z132" s="206">
        <v>3842</v>
      </c>
      <c r="AA132" s="206">
        <v>3066</v>
      </c>
      <c r="AB132" s="184">
        <f t="shared" si="119"/>
        <v>6908</v>
      </c>
      <c r="AC132" s="206">
        <v>2601</v>
      </c>
      <c r="AD132" s="206">
        <v>1985</v>
      </c>
      <c r="AE132" s="184">
        <f>AC132+AD132</f>
        <v>4586</v>
      </c>
      <c r="AF132" s="206">
        <v>4165</v>
      </c>
      <c r="AG132" s="206">
        <v>-651</v>
      </c>
      <c r="AH132" s="184">
        <f>AF132+AG132</f>
        <v>3514</v>
      </c>
      <c r="AI132" s="206">
        <v>503</v>
      </c>
      <c r="AJ132" s="206">
        <v>2790</v>
      </c>
      <c r="AK132" s="184">
        <f>AI132+AJ132</f>
        <v>3293</v>
      </c>
      <c r="AL132" s="206">
        <f>AK65*AL143</f>
        <v>2910.4184750404384</v>
      </c>
      <c r="AM132" s="206">
        <f>AL65*AM143</f>
        <v>3024.2964533777936</v>
      </c>
      <c r="AN132" s="184">
        <f>AL132+AM132</f>
        <v>5934.7149284182324</v>
      </c>
      <c r="AO132" s="206">
        <f>AN65*AO143</f>
        <v>3131.0844009430803</v>
      </c>
      <c r="AP132" s="206">
        <f>AO65*AP143</f>
        <v>3253.2554132827477</v>
      </c>
      <c r="AQ132" s="184">
        <f>AO132+AP132</f>
        <v>6384.3398142258284</v>
      </c>
      <c r="AR132" s="206">
        <f>AQ65*AR143</f>
        <v>3367.4906045515449</v>
      </c>
      <c r="AS132" s="206">
        <f>AR65*AS143</f>
        <v>3498.5043127065001</v>
      </c>
      <c r="AT132" s="184">
        <f>AR132+AS132</f>
        <v>6865.9949172580455</v>
      </c>
      <c r="AU132" s="206">
        <f>AT65*AU143</f>
        <v>3620.6394264247629</v>
      </c>
      <c r="AV132" s="206">
        <f>AU65*AV143</f>
        <v>3761.075098804336</v>
      </c>
      <c r="AW132" s="184">
        <f>AU132+AV132</f>
        <v>7381.7145252290993</v>
      </c>
      <c r="AX132" s="206">
        <f>AW65*AX143</f>
        <v>3891.5815944255105</v>
      </c>
      <c r="AY132" s="206">
        <f>AX65*AY143</f>
        <v>4042.0487613140522</v>
      </c>
      <c r="AZ132" s="184">
        <f>AX132+AY132</f>
        <v>7933.6303557395622</v>
      </c>
    </row>
    <row r="133" spans="2:52">
      <c r="B133" s="175" t="s">
        <v>2330</v>
      </c>
      <c r="E133" s="206">
        <v>90</v>
      </c>
      <c r="F133" s="206">
        <v>97</v>
      </c>
      <c r="G133" s="184">
        <f t="shared" si="112"/>
        <v>187</v>
      </c>
      <c r="H133" s="206">
        <v>112</v>
      </c>
      <c r="I133" s="206">
        <v>124</v>
      </c>
      <c r="J133" s="184">
        <f t="shared" si="113"/>
        <v>236</v>
      </c>
      <c r="K133" s="206">
        <v>145</v>
      </c>
      <c r="L133" s="206">
        <v>199</v>
      </c>
      <c r="M133" s="184">
        <f t="shared" si="114"/>
        <v>344</v>
      </c>
      <c r="N133" s="206">
        <v>89</v>
      </c>
      <c r="O133" s="206">
        <v>6</v>
      </c>
      <c r="P133" s="184">
        <f t="shared" si="115"/>
        <v>95</v>
      </c>
      <c r="Q133" s="206">
        <v>0</v>
      </c>
      <c r="R133" s="206">
        <v>0</v>
      </c>
      <c r="S133" s="184">
        <f t="shared" si="116"/>
        <v>0</v>
      </c>
      <c r="T133" s="206">
        <v>0</v>
      </c>
      <c r="U133" s="206">
        <v>0</v>
      </c>
      <c r="V133" s="184">
        <f t="shared" si="117"/>
        <v>0</v>
      </c>
      <c r="W133" s="206">
        <v>0</v>
      </c>
      <c r="X133" s="206">
        <v>0</v>
      </c>
      <c r="Y133" s="184">
        <f t="shared" si="118"/>
        <v>0</v>
      </c>
      <c r="Z133" s="206">
        <v>0</v>
      </c>
      <c r="AA133" s="206">
        <v>0</v>
      </c>
      <c r="AB133" s="184">
        <f t="shared" si="119"/>
        <v>0</v>
      </c>
      <c r="AC133" s="206"/>
      <c r="AD133" s="206"/>
      <c r="AE133" s="184"/>
      <c r="AF133" s="206"/>
      <c r="AG133" s="206"/>
      <c r="AH133" s="184"/>
      <c r="AI133" s="206"/>
      <c r="AJ133" s="206"/>
      <c r="AK133" s="184"/>
      <c r="AL133" s="206"/>
      <c r="AM133" s="206"/>
      <c r="AN133" s="184"/>
      <c r="AO133" s="206"/>
      <c r="AP133" s="206"/>
      <c r="AQ133" s="184"/>
      <c r="AR133" s="206"/>
      <c r="AS133" s="206"/>
      <c r="AT133" s="184"/>
      <c r="AU133" s="206"/>
      <c r="AV133" s="206"/>
      <c r="AW133" s="184"/>
      <c r="AX133" s="206"/>
      <c r="AY133" s="206"/>
      <c r="AZ133" s="184"/>
    </row>
    <row r="134" spans="2:52">
      <c r="B134" s="175" t="s">
        <v>2331</v>
      </c>
      <c r="E134" s="206">
        <v>0</v>
      </c>
      <c r="F134" s="206">
        <v>0</v>
      </c>
      <c r="G134" s="184">
        <f t="shared" si="112"/>
        <v>0</v>
      </c>
      <c r="H134" s="206">
        <v>0</v>
      </c>
      <c r="I134" s="206">
        <v>0</v>
      </c>
      <c r="J134" s="184">
        <f t="shared" si="113"/>
        <v>0</v>
      </c>
      <c r="K134" s="206">
        <v>0</v>
      </c>
      <c r="L134" s="206">
        <v>0</v>
      </c>
      <c r="M134" s="184">
        <f t="shared" si="114"/>
        <v>0</v>
      </c>
      <c r="N134" s="206">
        <v>0</v>
      </c>
      <c r="O134" s="206">
        <v>0</v>
      </c>
      <c r="P134" s="184">
        <f t="shared" si="115"/>
        <v>0</v>
      </c>
      <c r="Q134" s="206">
        <v>0</v>
      </c>
      <c r="R134" s="206">
        <v>0</v>
      </c>
      <c r="S134" s="184">
        <f t="shared" si="116"/>
        <v>0</v>
      </c>
      <c r="T134" s="206">
        <v>0</v>
      </c>
      <c r="U134" s="206">
        <v>0</v>
      </c>
      <c r="V134" s="184">
        <f t="shared" si="117"/>
        <v>0</v>
      </c>
      <c r="W134" s="206">
        <v>0</v>
      </c>
      <c r="X134" s="206">
        <v>0</v>
      </c>
      <c r="Y134" s="184">
        <f t="shared" si="118"/>
        <v>0</v>
      </c>
      <c r="Z134" s="206">
        <v>0</v>
      </c>
      <c r="AA134" s="206">
        <v>0</v>
      </c>
      <c r="AB134" s="184">
        <f t="shared" si="119"/>
        <v>0</v>
      </c>
      <c r="AC134" s="206"/>
      <c r="AD134" s="206"/>
      <c r="AE134" s="184"/>
      <c r="AF134" s="206"/>
      <c r="AG134" s="206"/>
      <c r="AH134" s="184"/>
      <c r="AI134" s="206"/>
      <c r="AJ134" s="206"/>
      <c r="AK134" s="184"/>
      <c r="AL134" s="206"/>
      <c r="AM134" s="206"/>
      <c r="AN134" s="184"/>
      <c r="AO134" s="206"/>
      <c r="AP134" s="206"/>
      <c r="AQ134" s="184"/>
      <c r="AR134" s="206"/>
      <c r="AS134" s="206"/>
      <c r="AT134" s="184"/>
      <c r="AU134" s="206"/>
      <c r="AV134" s="206"/>
      <c r="AW134" s="184"/>
      <c r="AX134" s="206"/>
      <c r="AY134" s="206"/>
      <c r="AZ134" s="184"/>
    </row>
    <row r="135" spans="2:52">
      <c r="B135" s="181" t="s">
        <v>2351</v>
      </c>
      <c r="E135" s="193">
        <f>SUM(E131:E134)</f>
        <v>8178</v>
      </c>
      <c r="F135" s="193">
        <f>SUM(F131:F134)</f>
        <v>1792</v>
      </c>
      <c r="G135" s="194">
        <f t="shared" si="112"/>
        <v>9970</v>
      </c>
      <c r="H135" s="193">
        <f>SUM(H131:H134)</f>
        <v>7129</v>
      </c>
      <c r="I135" s="193">
        <f>SUM(I131:I134)</f>
        <v>4877</v>
      </c>
      <c r="J135" s="194">
        <f t="shared" si="113"/>
        <v>12006</v>
      </c>
      <c r="K135" s="193">
        <f>SUM(K131:K134)</f>
        <v>-9727</v>
      </c>
      <c r="L135" s="193">
        <f>SUM(L131:L134)</f>
        <v>-5240</v>
      </c>
      <c r="M135" s="194">
        <f t="shared" si="114"/>
        <v>-14967</v>
      </c>
      <c r="N135" s="193">
        <f>SUM(N131:N134)</f>
        <v>-12665</v>
      </c>
      <c r="O135" s="193">
        <f>SUM(O131:O134)</f>
        <v>14046</v>
      </c>
      <c r="P135" s="194">
        <f t="shared" si="115"/>
        <v>1381</v>
      </c>
      <c r="Q135" s="193">
        <f>SUM(Q131:Q134)</f>
        <v>4090</v>
      </c>
      <c r="R135" s="193">
        <f>SUM(R131:R134)</f>
        <v>-1254</v>
      </c>
      <c r="S135" s="194">
        <f t="shared" si="116"/>
        <v>2836</v>
      </c>
      <c r="T135" s="193">
        <f>SUM(T131:T134)</f>
        <v>5801</v>
      </c>
      <c r="U135" s="193">
        <f>SUM(U131:U134)</f>
        <v>-8413</v>
      </c>
      <c r="V135" s="194">
        <f t="shared" si="117"/>
        <v>-2612</v>
      </c>
      <c r="W135" s="193">
        <f>SUM(W131:W134)</f>
        <v>7662</v>
      </c>
      <c r="X135" s="193">
        <f>SUM(X131:X134)</f>
        <v>2986</v>
      </c>
      <c r="Y135" s="194">
        <f t="shared" si="118"/>
        <v>10648</v>
      </c>
      <c r="Z135" s="193">
        <f>SUM(Z131:Z134)</f>
        <v>11425</v>
      </c>
      <c r="AA135" s="193">
        <f>SUM(AA131:AA134)</f>
        <v>9875</v>
      </c>
      <c r="AB135" s="194">
        <f t="shared" si="119"/>
        <v>21300</v>
      </c>
      <c r="AC135" s="193">
        <f>SUM(AC131:AC134)</f>
        <v>6621</v>
      </c>
      <c r="AD135" s="193">
        <f>SUM(AD131:AD134)</f>
        <v>5336</v>
      </c>
      <c r="AE135" s="194">
        <f>AC135+AD135</f>
        <v>11957</v>
      </c>
      <c r="AF135" s="193">
        <f>SUM(AF131:AF134)</f>
        <v>15010</v>
      </c>
      <c r="AG135" s="193">
        <f>SUM(AG131:AG134)</f>
        <v>-5961</v>
      </c>
      <c r="AH135" s="194">
        <f>AF135+AG135</f>
        <v>9049</v>
      </c>
      <c r="AI135" s="193">
        <f>SUM(AI131:AI134)</f>
        <v>1546</v>
      </c>
      <c r="AJ135" s="193">
        <f>SUM(AJ131:AJ134)</f>
        <v>8986</v>
      </c>
      <c r="AK135" s="194">
        <f>AI135+AJ135</f>
        <v>10532</v>
      </c>
      <c r="AL135" s="193">
        <f>SUM(AL131:AL134)</f>
        <v>6930.4184750404384</v>
      </c>
      <c r="AM135" s="193">
        <f>SUM(AM131:AM134)</f>
        <v>9750.1476790906581</v>
      </c>
      <c r="AN135" s="194">
        <f>AL135+AM135</f>
        <v>16680.566154131098</v>
      </c>
      <c r="AO135" s="193">
        <f>SUM(AO131:AO134)</f>
        <v>7151.0844009430803</v>
      </c>
      <c r="AP135" s="193">
        <f>SUM(AP131:AP134)</f>
        <v>10563.52257422183</v>
      </c>
      <c r="AQ135" s="194">
        <f>AO135+AP135</f>
        <v>17714.606975164912</v>
      </c>
      <c r="AR135" s="193">
        <f>SUM(AR131:AR134)</f>
        <v>7387.4906045515454</v>
      </c>
      <c r="AS135" s="193">
        <f>SUM(AS131:AS134)</f>
        <v>11427.124468223108</v>
      </c>
      <c r="AT135" s="194">
        <f>AR135+AS135</f>
        <v>18814.615072774654</v>
      </c>
      <c r="AU135" s="193">
        <f>SUM(AU131:AU134)</f>
        <v>7640.6394264247629</v>
      </c>
      <c r="AV135" s="193">
        <f>SUM(AV131:AV134)</f>
        <v>12344.13186456232</v>
      </c>
      <c r="AW135" s="194">
        <f>AU135+AV135</f>
        <v>19984.771290987082</v>
      </c>
      <c r="AX135" s="193">
        <f>SUM(AX131:AX134)</f>
        <v>7911.58159442551</v>
      </c>
      <c r="AY135" s="193">
        <f>SUM(AY131:AY134)</f>
        <v>13317.921465573712</v>
      </c>
      <c r="AZ135" s="194">
        <f>AX135+AY135</f>
        <v>21229.503059999224</v>
      </c>
    </row>
    <row r="136" spans="2:52">
      <c r="E136" s="206"/>
      <c r="F136" s="206"/>
      <c r="G136" s="184"/>
      <c r="H136" s="206"/>
      <c r="I136" s="206"/>
      <c r="J136" s="184"/>
      <c r="K136" s="206"/>
      <c r="L136" s="206"/>
      <c r="M136" s="184"/>
      <c r="N136" s="206"/>
      <c r="O136" s="206"/>
      <c r="P136" s="184"/>
      <c r="Q136" s="206"/>
      <c r="R136" s="206"/>
      <c r="S136" s="184"/>
      <c r="T136" s="206"/>
      <c r="U136" s="206"/>
      <c r="V136" s="184"/>
      <c r="W136" s="206"/>
      <c r="X136" s="206"/>
      <c r="Y136" s="184"/>
      <c r="Z136" s="206"/>
      <c r="AA136" s="206"/>
      <c r="AB136" s="184"/>
      <c r="AC136" s="206"/>
      <c r="AD136" s="206"/>
      <c r="AE136" s="184"/>
      <c r="AF136" s="206"/>
      <c r="AG136" s="206"/>
      <c r="AH136" s="184"/>
      <c r="AI136" s="206"/>
      <c r="AJ136" s="206"/>
      <c r="AK136" s="184"/>
      <c r="AL136" s="206"/>
      <c r="AM136" s="206"/>
      <c r="AN136" s="184"/>
      <c r="AO136" s="206"/>
      <c r="AP136" s="206"/>
      <c r="AQ136" s="184"/>
      <c r="AR136" s="206"/>
      <c r="AS136" s="206"/>
      <c r="AT136" s="184"/>
      <c r="AU136" s="206"/>
      <c r="AV136" s="206"/>
      <c r="AW136" s="184"/>
      <c r="AX136" s="206"/>
      <c r="AY136" s="206"/>
      <c r="AZ136" s="184"/>
    </row>
    <row r="137" spans="2:52">
      <c r="B137" s="181" t="s">
        <v>269</v>
      </c>
      <c r="E137" s="193">
        <v>-1063</v>
      </c>
      <c r="F137" s="193">
        <v>-1056</v>
      </c>
      <c r="G137" s="194">
        <f>E137+F137</f>
        <v>-2119</v>
      </c>
      <c r="H137" s="193">
        <v>-1001</v>
      </c>
      <c r="I137" s="193">
        <v>-1294</v>
      </c>
      <c r="J137" s="194">
        <f>H137+I137</f>
        <v>-2295</v>
      </c>
      <c r="K137" s="193">
        <v>-1775</v>
      </c>
      <c r="L137" s="193">
        <v>-605</v>
      </c>
      <c r="M137" s="194">
        <f>K137+L137</f>
        <v>-2380</v>
      </c>
      <c r="N137" s="193">
        <f>-114-3933</f>
        <v>-4047</v>
      </c>
      <c r="O137" s="193">
        <f>-2122-7</f>
        <v>-2129</v>
      </c>
      <c r="P137" s="194">
        <f>N137+O137</f>
        <v>-6176</v>
      </c>
      <c r="Q137" s="193">
        <f>18355+2095</f>
        <v>20450</v>
      </c>
      <c r="R137" s="193">
        <f>498</f>
        <v>498</v>
      </c>
      <c r="S137" s="194">
        <f>Q137+R137</f>
        <v>20948</v>
      </c>
      <c r="T137" s="193">
        <f>554-1288</f>
        <v>-734</v>
      </c>
      <c r="U137" s="193">
        <f>6706-W137+2</f>
        <v>-368</v>
      </c>
      <c r="V137" s="194">
        <f>T137+U137</f>
        <v>-1102</v>
      </c>
      <c r="W137" s="193">
        <v>7076</v>
      </c>
      <c r="X137" s="193">
        <v>-919</v>
      </c>
      <c r="Y137" s="194">
        <f>W137+X137</f>
        <v>6157</v>
      </c>
      <c r="Z137" s="193">
        <f>-439+14-400</f>
        <v>-825</v>
      </c>
      <c r="AA137" s="193">
        <f>-690-28-1983</f>
        <v>-2701</v>
      </c>
      <c r="AB137" s="194">
        <f>Z137+AA137</f>
        <v>-3526</v>
      </c>
      <c r="AC137" s="193">
        <v>-509</v>
      </c>
      <c r="AD137" s="193">
        <v>-616</v>
      </c>
      <c r="AE137" s="194">
        <f>AC137+AD137</f>
        <v>-1125</v>
      </c>
      <c r="AF137" s="193">
        <v>5056</v>
      </c>
      <c r="AG137" s="193">
        <v>-345</v>
      </c>
      <c r="AH137" s="194">
        <f>AF137+AG137</f>
        <v>4711</v>
      </c>
      <c r="AI137" s="193">
        <v>18286</v>
      </c>
      <c r="AJ137" s="193">
        <v>-83</v>
      </c>
      <c r="AK137" s="194">
        <f>AI137+AJ137</f>
        <v>18203</v>
      </c>
      <c r="AL137" s="232">
        <f>AJ137*1.03</f>
        <v>-85.490000000000009</v>
      </c>
      <c r="AM137" s="232">
        <f>AL137*1.03</f>
        <v>-88.054700000000011</v>
      </c>
      <c r="AN137" s="194">
        <f>AL137+AM137</f>
        <v>-173.54470000000003</v>
      </c>
      <c r="AO137" s="232">
        <f>AM137*1.03</f>
        <v>-90.696341000000018</v>
      </c>
      <c r="AP137" s="232">
        <f>AO137*1.03</f>
        <v>-93.417231230000027</v>
      </c>
      <c r="AQ137" s="194">
        <f>AO137+AP137</f>
        <v>-184.11357223000005</v>
      </c>
      <c r="AR137" s="232">
        <f>AP137*1.03</f>
        <v>-96.219748166900033</v>
      </c>
      <c r="AS137" s="232">
        <f>AR137*1.03</f>
        <v>-99.106340611907029</v>
      </c>
      <c r="AT137" s="194">
        <f>AR137+AS137</f>
        <v>-195.32608877880705</v>
      </c>
      <c r="AU137" s="232">
        <f>AS137*1.03</f>
        <v>-102.07953083026425</v>
      </c>
      <c r="AV137" s="232">
        <f>AU137*1.03</f>
        <v>-105.14191675517218</v>
      </c>
      <c r="AW137" s="194">
        <f>AU137+AV137</f>
        <v>-207.22144758543641</v>
      </c>
      <c r="AX137" s="232">
        <f>AV137*1.03</f>
        <v>-108.29617425782735</v>
      </c>
      <c r="AY137" s="232">
        <f>AX137*1.03</f>
        <v>-111.54505948556216</v>
      </c>
      <c r="AZ137" s="194">
        <f>AX137+AY137</f>
        <v>-219.84123374338952</v>
      </c>
    </row>
    <row r="138" spans="2:52">
      <c r="E138" s="206"/>
      <c r="F138" s="206"/>
      <c r="G138" s="184"/>
      <c r="H138" s="206"/>
      <c r="I138" s="206"/>
      <c r="J138" s="184"/>
      <c r="K138" s="206"/>
      <c r="L138" s="206"/>
      <c r="M138" s="184"/>
      <c r="N138" s="206"/>
      <c r="O138" s="206"/>
      <c r="P138" s="184"/>
      <c r="Q138" s="206"/>
      <c r="R138" s="206"/>
      <c r="S138" s="184"/>
      <c r="T138" s="206"/>
      <c r="U138" s="206"/>
      <c r="V138" s="184"/>
      <c r="W138" s="206"/>
      <c r="X138" s="206"/>
      <c r="Y138" s="184"/>
      <c r="Z138" s="206"/>
      <c r="AA138" s="206"/>
      <c r="AB138" s="184"/>
      <c r="AC138" s="206"/>
      <c r="AD138" s="206"/>
      <c r="AE138" s="184"/>
      <c r="AF138" s="206"/>
      <c r="AG138" s="206"/>
      <c r="AH138" s="184"/>
      <c r="AI138" s="206"/>
      <c r="AJ138" s="206"/>
      <c r="AK138" s="184"/>
      <c r="AL138" s="206"/>
      <c r="AM138" s="206"/>
      <c r="AN138" s="184"/>
      <c r="AO138" s="206"/>
      <c r="AP138" s="206"/>
      <c r="AQ138" s="184"/>
      <c r="AR138" s="206"/>
      <c r="AS138" s="206"/>
      <c r="AT138" s="184"/>
      <c r="AU138" s="206"/>
      <c r="AV138" s="206"/>
      <c r="AW138" s="184"/>
      <c r="AX138" s="206"/>
      <c r="AY138" s="206"/>
      <c r="AZ138" s="184"/>
    </row>
    <row r="139" spans="2:52">
      <c r="B139" s="181" t="s">
        <v>2352</v>
      </c>
      <c r="E139" s="206"/>
      <c r="F139" s="206"/>
      <c r="G139" s="184"/>
      <c r="H139" s="206"/>
      <c r="I139" s="206"/>
      <c r="J139" s="184"/>
      <c r="K139" s="206"/>
      <c r="L139" s="206"/>
      <c r="M139" s="184"/>
      <c r="N139" s="206"/>
      <c r="O139" s="206"/>
      <c r="P139" s="184"/>
      <c r="Q139" s="206"/>
      <c r="R139" s="206"/>
      <c r="S139" s="184"/>
      <c r="T139" s="206"/>
      <c r="U139" s="206"/>
      <c r="V139" s="184"/>
      <c r="W139" s="206"/>
      <c r="X139" s="206"/>
      <c r="Y139" s="184"/>
      <c r="Z139" s="206"/>
      <c r="AA139" s="206"/>
      <c r="AB139" s="184"/>
      <c r="AC139" s="206"/>
      <c r="AD139" s="206"/>
      <c r="AE139" s="184"/>
      <c r="AF139" s="206"/>
      <c r="AG139" s="206"/>
      <c r="AH139" s="184"/>
      <c r="AI139" s="206"/>
      <c r="AJ139" s="206"/>
      <c r="AK139" s="184"/>
      <c r="AL139" s="206"/>
      <c r="AM139" s="206"/>
      <c r="AN139" s="184"/>
      <c r="AO139" s="206"/>
      <c r="AP139" s="206"/>
      <c r="AQ139" s="184"/>
      <c r="AR139" s="206"/>
      <c r="AS139" s="206"/>
      <c r="AT139" s="184"/>
      <c r="AU139" s="206"/>
      <c r="AV139" s="206"/>
      <c r="AW139" s="184"/>
      <c r="AX139" s="206"/>
      <c r="AY139" s="206"/>
      <c r="AZ139" s="184"/>
    </row>
    <row r="140" spans="2:52">
      <c r="B140" s="175" t="s">
        <v>2326</v>
      </c>
      <c r="E140" s="206"/>
      <c r="F140" s="207">
        <f t="shared" ref="F140:F146" si="120">F129/E62</f>
        <v>2.5496628394386732E-2</v>
      </c>
      <c r="G140" s="184"/>
      <c r="H140" s="207">
        <f t="shared" ref="H140:I146" si="121">H129/G62</f>
        <v>9.1019270391467705E-2</v>
      </c>
      <c r="I140" s="207">
        <f t="shared" si="121"/>
        <v>5.5745093743153153E-2</v>
      </c>
      <c r="J140" s="229">
        <f t="shared" ref="J140:J146" si="122">J129/G62</f>
        <v>0.15269144865557421</v>
      </c>
      <c r="K140" s="207">
        <f t="shared" ref="K140:L146" si="123">K129/J62</f>
        <v>-0.10287617053451986</v>
      </c>
      <c r="L140" s="207">
        <f t="shared" si="123"/>
        <v>-6.8372878055113759E-2</v>
      </c>
      <c r="M140" s="229">
        <f t="shared" ref="M140:M146" si="124">M129/J62</f>
        <v>-0.16413656720758449</v>
      </c>
      <c r="N140" s="207">
        <f t="shared" ref="N140:O146" si="125">N129/M62</f>
        <v>-0.16290005614823133</v>
      </c>
      <c r="O140" s="207">
        <f t="shared" si="125"/>
        <v>0.22693419414730889</v>
      </c>
      <c r="P140" s="229">
        <f t="shared" ref="P140:P146" si="126">P129/M62</f>
        <v>2.5828186412128019E-2</v>
      </c>
      <c r="Q140" s="207">
        <f t="shared" ref="Q140:R143" si="127">Q129/P62</f>
        <v>4.5358217117856169E-2</v>
      </c>
      <c r="R140" s="207">
        <f t="shared" si="127"/>
        <v>-1.0250128126601582E-2</v>
      </c>
      <c r="S140" s="229">
        <f t="shared" ref="S140:S146" si="128">S129/P62</f>
        <v>3.1343997812414551E-2</v>
      </c>
      <c r="T140" s="207">
        <f t="shared" ref="T140:U143" si="129">T129/S62</f>
        <v>4.7583359796760878E-2</v>
      </c>
      <c r="U140" s="207">
        <f t="shared" si="129"/>
        <v>-7.4073619481300548E-2</v>
      </c>
      <c r="V140" s="229">
        <f t="shared" ref="V140:V145" si="130">V129/S62</f>
        <v>-2.9075897110193712E-2</v>
      </c>
      <c r="W140" s="207">
        <f t="shared" ref="W140:X143" si="131">W129/V62</f>
        <v>7.9759610236642034E-2</v>
      </c>
      <c r="X140" s="207">
        <f t="shared" si="131"/>
        <v>2.542986770368676E-2</v>
      </c>
      <c r="Y140" s="229">
        <f>Y129/V62</f>
        <v>0.10654245636577792</v>
      </c>
      <c r="Z140" s="207">
        <f t="shared" ref="Z140:AA143" si="132">Z129/Y62</f>
        <v>9.4706106385679834E-2</v>
      </c>
      <c r="AA140" s="207">
        <f t="shared" si="132"/>
        <v>7.582002111788548E-2</v>
      </c>
      <c r="AB140" s="229">
        <f t="shared" ref="AB140:AB146" si="133">AB129/Y62</f>
        <v>0.17948457534594389</v>
      </c>
      <c r="AC140" s="207"/>
      <c r="AD140" s="256"/>
      <c r="AE140" s="229"/>
      <c r="AF140" s="256"/>
      <c r="AG140" s="249"/>
      <c r="AH140" s="229"/>
      <c r="AI140" s="256"/>
      <c r="AJ140" s="249"/>
      <c r="AK140" s="229"/>
      <c r="AL140" s="256"/>
      <c r="AM140" s="249"/>
      <c r="AN140" s="229"/>
      <c r="AO140" s="256"/>
      <c r="AP140" s="249"/>
      <c r="AQ140" s="229"/>
      <c r="AR140" s="256"/>
      <c r="AS140" s="249"/>
      <c r="AT140" s="229"/>
      <c r="AU140" s="256"/>
      <c r="AV140" s="249"/>
      <c r="AW140" s="229"/>
      <c r="AX140" s="256"/>
      <c r="AY140" s="249"/>
      <c r="AZ140" s="229"/>
    </row>
    <row r="141" spans="2:52">
      <c r="B141" s="175" t="s">
        <v>2327</v>
      </c>
      <c r="E141" s="206"/>
      <c r="F141" s="207">
        <f t="shared" si="120"/>
        <v>1.1039999999999999E-2</v>
      </c>
      <c r="G141" s="184"/>
      <c r="H141" s="207">
        <f t="shared" si="121"/>
        <v>5.8902726354762708E-2</v>
      </c>
      <c r="I141" s="207">
        <f t="shared" si="121"/>
        <v>3.7919826652221017E-2</v>
      </c>
      <c r="J141" s="229">
        <f t="shared" si="122"/>
        <v>9.4244362167620332E-2</v>
      </c>
      <c r="K141" s="207">
        <f t="shared" si="123"/>
        <v>-3.2894736842105261E-2</v>
      </c>
      <c r="L141" s="207">
        <f t="shared" si="123"/>
        <v>-2.3094114725602185E-2</v>
      </c>
      <c r="M141" s="229">
        <f t="shared" si="124"/>
        <v>-4.9431009957325744E-2</v>
      </c>
      <c r="N141" s="207">
        <f t="shared" si="125"/>
        <v>-3.906600808262236E-2</v>
      </c>
      <c r="O141" s="207">
        <f t="shared" si="125"/>
        <v>4.4149577804583839E-2</v>
      </c>
      <c r="P141" s="229">
        <f t="shared" si="126"/>
        <v>2.0206555904804671E-3</v>
      </c>
      <c r="Q141" s="207">
        <f t="shared" si="127"/>
        <v>-3.3200531208499334E-4</v>
      </c>
      <c r="R141" s="207">
        <f t="shared" si="127"/>
        <v>-6.7512274959083468E-3</v>
      </c>
      <c r="S141" s="229">
        <f t="shared" si="128"/>
        <v>-1.1288180610889775E-2</v>
      </c>
      <c r="T141" s="207">
        <f t="shared" si="129"/>
        <v>3.2752020416843899E-2</v>
      </c>
      <c r="U141" s="207">
        <f t="shared" si="129"/>
        <v>-2.8793610760823877E-2</v>
      </c>
      <c r="V141" s="229">
        <f t="shared" si="130"/>
        <v>3.6154827732879625E-3</v>
      </c>
      <c r="W141" s="207">
        <f t="shared" si="131"/>
        <v>1.2065637065637066E-2</v>
      </c>
      <c r="X141" s="207">
        <f t="shared" si="131"/>
        <v>2.0055151667084482E-2</v>
      </c>
      <c r="Y141" s="229">
        <f>Y130/V63</f>
        <v>3.137065637065637E-2</v>
      </c>
      <c r="Z141" s="207">
        <f t="shared" si="132"/>
        <v>3.1857031857031856E-2</v>
      </c>
      <c r="AA141" s="207">
        <f t="shared" si="132"/>
        <v>3.4419337887545982E-2</v>
      </c>
      <c r="AB141" s="229">
        <f t="shared" si="133"/>
        <v>6.5786065786065787E-2</v>
      </c>
      <c r="AC141" s="207"/>
      <c r="AD141" s="249"/>
      <c r="AE141" s="229"/>
      <c r="AF141" s="256"/>
      <c r="AG141" s="249"/>
      <c r="AH141" s="229"/>
      <c r="AI141" s="256"/>
      <c r="AJ141" s="249"/>
      <c r="AK141" s="229"/>
      <c r="AL141" s="256"/>
      <c r="AM141" s="249"/>
      <c r="AN141" s="229"/>
      <c r="AO141" s="256"/>
      <c r="AP141" s="249"/>
      <c r="AQ141" s="229"/>
      <c r="AR141" s="256"/>
      <c r="AS141" s="249"/>
      <c r="AT141" s="229"/>
      <c r="AU141" s="256"/>
      <c r="AV141" s="249"/>
      <c r="AW141" s="229"/>
      <c r="AX141" s="256"/>
      <c r="AY141" s="249"/>
      <c r="AZ141" s="229"/>
    </row>
    <row r="142" spans="2:52">
      <c r="B142" s="175" t="s">
        <v>2328</v>
      </c>
      <c r="E142" s="206"/>
      <c r="F142" s="207">
        <f t="shared" si="120"/>
        <v>2.4018324607329843E-2</v>
      </c>
      <c r="G142" s="184"/>
      <c r="H142" s="207">
        <f t="shared" si="121"/>
        <v>8.8023359864362077E-2</v>
      </c>
      <c r="I142" s="207">
        <f t="shared" si="121"/>
        <v>5.4323405726136295E-2</v>
      </c>
      <c r="J142" s="229">
        <f t="shared" si="122"/>
        <v>0.14723936011554342</v>
      </c>
      <c r="K142" s="207">
        <f t="shared" si="123"/>
        <v>-9.7585891714608311E-2</v>
      </c>
      <c r="L142" s="207">
        <f t="shared" si="123"/>
        <v>-6.5595247162769446E-2</v>
      </c>
      <c r="M142" s="229">
        <f t="shared" si="124"/>
        <v>-0.15546534759933331</v>
      </c>
      <c r="N142" s="207">
        <f t="shared" si="125"/>
        <v>-0.15392377046512384</v>
      </c>
      <c r="O142" s="207">
        <f t="shared" si="125"/>
        <v>0.21223468239494006</v>
      </c>
      <c r="P142" s="229">
        <f t="shared" si="126"/>
        <v>2.4102463952088014E-2</v>
      </c>
      <c r="Q142" s="207">
        <f t="shared" si="127"/>
        <v>4.3121383525128405E-2</v>
      </c>
      <c r="R142" s="207">
        <f t="shared" si="127"/>
        <v>-1.0048652915051774E-2</v>
      </c>
      <c r="S142" s="229">
        <f t="shared" si="128"/>
        <v>2.9256875365710942E-2</v>
      </c>
      <c r="T142" s="207">
        <f t="shared" si="129"/>
        <v>4.6747455859613797E-2</v>
      </c>
      <c r="U142" s="207">
        <f t="shared" si="129"/>
        <v>-7.1575187577553309E-2</v>
      </c>
      <c r="V142" s="229">
        <f t="shared" si="130"/>
        <v>-2.7233389670010908E-2</v>
      </c>
      <c r="W142" s="207">
        <f t="shared" si="131"/>
        <v>7.6202191336106326E-2</v>
      </c>
      <c r="X142" s="207">
        <f t="shared" si="131"/>
        <v>2.5170545261018917E-2</v>
      </c>
      <c r="Y142" s="229">
        <f>Y131/V64</f>
        <v>0.10259206655168915</v>
      </c>
      <c r="Z142" s="207">
        <f t="shared" si="132"/>
        <v>9.1769432779465338E-2</v>
      </c>
      <c r="AA142" s="207">
        <f t="shared" si="132"/>
        <v>7.4105111935831441E-2</v>
      </c>
      <c r="AB142" s="229">
        <f t="shared" si="133"/>
        <v>0.17417192094976461</v>
      </c>
      <c r="AC142" s="207">
        <f>AC131/AB64</f>
        <v>4.0697321265868919E-2</v>
      </c>
      <c r="AD142" s="207">
        <f>AD131/AC64</f>
        <v>3.2468098712321598E-2</v>
      </c>
      <c r="AE142" s="229">
        <f>AE131/AB64</f>
        <v>7.4621879365850699E-2</v>
      </c>
      <c r="AF142" s="207">
        <f>AF131/AE64</f>
        <v>0.10253864700042548</v>
      </c>
      <c r="AG142" s="207">
        <f>AG131/AF64</f>
        <v>-4.7029856430513606E-2</v>
      </c>
      <c r="AH142" s="229">
        <f>AH131/AE64</f>
        <v>5.2333002411005532E-2</v>
      </c>
      <c r="AI142" s="207">
        <f>AI131/AH64</f>
        <v>9.7172404155214977E-3</v>
      </c>
      <c r="AJ142" s="207">
        <f>AJ131/AI64</f>
        <v>4.9204281947841558E-2</v>
      </c>
      <c r="AK142" s="229">
        <f>AK131/AH64</f>
        <v>6.744305212651977E-2</v>
      </c>
      <c r="AL142" s="256">
        <f>AJ142</f>
        <v>4.9204281947841558E-2</v>
      </c>
      <c r="AM142" s="249">
        <f>AL142</f>
        <v>4.9204281947841558E-2</v>
      </c>
      <c r="AN142" s="229">
        <f>AN131/AK64</f>
        <v>8.1274968428275432E-2</v>
      </c>
      <c r="AO142" s="256">
        <f>AM142</f>
        <v>4.9204281947841558E-2</v>
      </c>
      <c r="AP142" s="249">
        <f>AO142</f>
        <v>4.9204281947841558E-2</v>
      </c>
      <c r="AQ142" s="229">
        <f>AQ131/AN64</f>
        <v>7.8654769828222851E-2</v>
      </c>
      <c r="AR142" s="256">
        <f>AP142</f>
        <v>4.9204281947841558E-2</v>
      </c>
      <c r="AS142" s="249">
        <f>AR142</f>
        <v>4.9204281947841558E-2</v>
      </c>
      <c r="AT142" s="229">
        <f>AT131/AQ64</f>
        <v>7.6314398444581572E-2</v>
      </c>
      <c r="AU142" s="256">
        <f>AS142</f>
        <v>4.9204281947841558E-2</v>
      </c>
      <c r="AV142" s="249">
        <f>AU142</f>
        <v>4.9204281947841558E-2</v>
      </c>
      <c r="AW142" s="229">
        <f>AW131/AT64</f>
        <v>7.4214037414177036E-2</v>
      </c>
      <c r="AX142" s="256">
        <f>AV142</f>
        <v>4.9204281947841558E-2</v>
      </c>
      <c r="AY142" s="249">
        <f>AX142</f>
        <v>4.9204281947841558E-2</v>
      </c>
      <c r="AZ142" s="229">
        <f>AZ131/AW64</f>
        <v>7.2321062382638204E-2</v>
      </c>
    </row>
    <row r="143" spans="2:52">
      <c r="B143" s="175" t="s">
        <v>2329</v>
      </c>
      <c r="E143" s="206"/>
      <c r="F143" s="207">
        <f t="shared" si="120"/>
        <v>1.0630824708471877E-2</v>
      </c>
      <c r="G143" s="184"/>
      <c r="H143" s="207">
        <f t="shared" si="121"/>
        <v>6.3345163753987146E-2</v>
      </c>
      <c r="I143" s="207">
        <f t="shared" si="121"/>
        <v>4.0812081374547574E-2</v>
      </c>
      <c r="J143" s="229">
        <f t="shared" si="122"/>
        <v>0.10741722449346332</v>
      </c>
      <c r="K143" s="207">
        <f t="shared" si="123"/>
        <v>-0.10551403756816805</v>
      </c>
      <c r="L143" s="207">
        <f t="shared" si="123"/>
        <v>-4.6118777221475962E-2</v>
      </c>
      <c r="M143" s="229">
        <f t="shared" si="124"/>
        <v>-0.15128256917794386</v>
      </c>
      <c r="N143" s="207">
        <f t="shared" si="125"/>
        <v>-0.14863585118376549</v>
      </c>
      <c r="O143" s="207">
        <f t="shared" si="125"/>
        <v>0.16704374057315233</v>
      </c>
      <c r="P143" s="229">
        <f t="shared" si="126"/>
        <v>-8.7936865839909808E-3</v>
      </c>
      <c r="Q143" s="207">
        <f t="shared" si="127"/>
        <v>6.1133327661022717E-2</v>
      </c>
      <c r="R143" s="207">
        <f t="shared" si="127"/>
        <v>-1.3677137692281455E-2</v>
      </c>
      <c r="S143" s="229">
        <f t="shared" si="128"/>
        <v>4.4073853484216795E-2</v>
      </c>
      <c r="T143" s="207">
        <f t="shared" si="129"/>
        <v>5.8220017150557392E-2</v>
      </c>
      <c r="U143" s="207">
        <f t="shared" si="129"/>
        <v>-6.8475570629755247E-2</v>
      </c>
      <c r="V143" s="229">
        <f t="shared" si="130"/>
        <v>-1.0412838417248561E-2</v>
      </c>
      <c r="W143" s="207">
        <f t="shared" si="131"/>
        <v>5.2588044411923773E-2</v>
      </c>
      <c r="X143" s="207">
        <f t="shared" si="131"/>
        <v>2.2142839666267036E-2</v>
      </c>
      <c r="Y143" s="229">
        <f>Y132/V65</f>
        <v>8.1379441987719917E-2</v>
      </c>
      <c r="Z143" s="207">
        <f t="shared" si="132"/>
        <v>9.123290273556231E-2</v>
      </c>
      <c r="AA143" s="207">
        <f t="shared" si="132"/>
        <v>6.8463479445325229E-2</v>
      </c>
      <c r="AB143" s="229">
        <f t="shared" si="133"/>
        <v>0.16403875379939209</v>
      </c>
      <c r="AC143" s="207">
        <f>AC132/AB65</f>
        <v>5.6109241522133056E-2</v>
      </c>
      <c r="AD143" s="207">
        <f>AD132/AC65</f>
        <v>3.9258731853961476E-2</v>
      </c>
      <c r="AE143" s="229">
        <f>AE132/AB65</f>
        <v>9.8930019846406078E-2</v>
      </c>
      <c r="AF143" s="207">
        <f>AF132/AE65</f>
        <v>7.9656511178686856E-2</v>
      </c>
      <c r="AG143" s="207">
        <f>AG132/AF65</f>
        <v>-1.0592599824270233E-2</v>
      </c>
      <c r="AH143" s="229">
        <f>AH132/AE65</f>
        <v>6.7205997666724041E-2</v>
      </c>
      <c r="AI143" s="207">
        <f>AI132/AH65</f>
        <v>8.2418482713419623E-3</v>
      </c>
      <c r="AJ143" s="207">
        <f>AJ132/AI65</f>
        <v>4.4682179977899139E-2</v>
      </c>
      <c r="AK143" s="229">
        <f>AK132/AH65</f>
        <v>5.3957070293298375E-2</v>
      </c>
      <c r="AL143" s="256">
        <f>AJ143</f>
        <v>4.4682179977899139E-2</v>
      </c>
      <c r="AM143" s="249">
        <f>AL143</f>
        <v>4.4682179977899139E-2</v>
      </c>
      <c r="AN143" s="229">
        <f>AN132/AK65</f>
        <v>9.1112670848965738E-2</v>
      </c>
      <c r="AO143" s="256">
        <f>AM143</f>
        <v>4.4682179977899139E-2</v>
      </c>
      <c r="AP143" s="249">
        <f>AO143</f>
        <v>4.4682179977899139E-2</v>
      </c>
      <c r="AQ143" s="229">
        <f>AQ132/AN65</f>
        <v>9.1107802949477706E-2</v>
      </c>
      <c r="AR143" s="256">
        <f>AP143</f>
        <v>4.4682179977899139E-2</v>
      </c>
      <c r="AS143" s="249">
        <f>AR143</f>
        <v>4.4682179977899139E-2</v>
      </c>
      <c r="AT143" s="229">
        <f>AT132/AQ65</f>
        <v>9.110273988756093E-2</v>
      </c>
      <c r="AU143" s="256">
        <f>AS143</f>
        <v>4.4682179977899139E-2</v>
      </c>
      <c r="AV143" s="249">
        <f>AU143</f>
        <v>4.4682179977899139E-2</v>
      </c>
      <c r="AW143" s="229">
        <f>AW132/AT65</f>
        <v>9.1097471500345986E-2</v>
      </c>
      <c r="AX143" s="256">
        <f>AV143</f>
        <v>4.4682179977899139E-2</v>
      </c>
      <c r="AY143" s="249">
        <f>AX143</f>
        <v>4.4682179977899139E-2</v>
      </c>
      <c r="AZ143" s="229">
        <f>AZ132/AW65</f>
        <v>9.1091986852099002E-2</v>
      </c>
    </row>
    <row r="144" spans="2:52">
      <c r="B144" s="175" t="s">
        <v>2330</v>
      </c>
      <c r="E144" s="206"/>
      <c r="F144" s="207">
        <f t="shared" si="120"/>
        <v>2.6040268456375838E-2</v>
      </c>
      <c r="G144" s="184"/>
      <c r="H144" s="207">
        <f t="shared" si="121"/>
        <v>2.8955532574974147E-2</v>
      </c>
      <c r="I144" s="207">
        <f t="shared" si="121"/>
        <v>3.1528095601322144E-2</v>
      </c>
      <c r="J144" s="229">
        <f t="shared" si="122"/>
        <v>6.1013443640124093E-2</v>
      </c>
      <c r="K144" s="207">
        <f t="shared" si="123"/>
        <v>3.0334728033472803E-2</v>
      </c>
      <c r="L144" s="207">
        <f t="shared" si="123"/>
        <v>4.3402399127589968E-2</v>
      </c>
      <c r="M144" s="229">
        <f t="shared" si="124"/>
        <v>7.1966527196652724E-2</v>
      </c>
      <c r="N144" s="207">
        <f t="shared" si="125"/>
        <v>1.9808591141776095E-2</v>
      </c>
      <c r="O144" s="207">
        <f t="shared" si="125"/>
        <v>1.2958963282937365E-2</v>
      </c>
      <c r="P144" s="229">
        <f t="shared" si="126"/>
        <v>2.1144001780547518E-2</v>
      </c>
      <c r="Q144" s="207"/>
      <c r="R144" s="207"/>
      <c r="S144" s="229"/>
      <c r="T144" s="207"/>
      <c r="U144" s="207"/>
      <c r="V144" s="229"/>
      <c r="W144" s="207"/>
      <c r="X144" s="207"/>
      <c r="Y144" s="229"/>
      <c r="Z144" s="207"/>
      <c r="AA144" s="256"/>
      <c r="AB144" s="229"/>
      <c r="AC144" s="207"/>
      <c r="AD144" s="249"/>
      <c r="AE144" s="229"/>
      <c r="AF144" s="256"/>
      <c r="AG144" s="249"/>
      <c r="AH144" s="229"/>
      <c r="AI144" s="256"/>
      <c r="AJ144" s="249"/>
      <c r="AK144" s="229"/>
      <c r="AL144" s="256"/>
      <c r="AM144" s="249"/>
      <c r="AN144" s="229"/>
      <c r="AO144" s="256"/>
      <c r="AP144" s="249"/>
      <c r="AQ144" s="229"/>
      <c r="AR144" s="256"/>
      <c r="AS144" s="249"/>
      <c r="AT144" s="229"/>
      <c r="AU144" s="256"/>
      <c r="AV144" s="249"/>
      <c r="AW144" s="229"/>
      <c r="AX144" s="256"/>
      <c r="AY144" s="249"/>
      <c r="AZ144" s="229"/>
    </row>
    <row r="145" spans="1:52">
      <c r="B145" s="175" t="s">
        <v>2331</v>
      </c>
      <c r="E145" s="206"/>
      <c r="F145" s="207">
        <f t="shared" si="120"/>
        <v>0</v>
      </c>
      <c r="G145" s="184"/>
      <c r="H145" s="207">
        <f t="shared" si="121"/>
        <v>0</v>
      </c>
      <c r="I145" s="207">
        <f t="shared" si="121"/>
        <v>0</v>
      </c>
      <c r="J145" s="229">
        <f t="shared" si="122"/>
        <v>0</v>
      </c>
      <c r="K145" s="207">
        <f t="shared" si="123"/>
        <v>0</v>
      </c>
      <c r="L145" s="207">
        <f t="shared" si="123"/>
        <v>0</v>
      </c>
      <c r="M145" s="229">
        <f t="shared" si="124"/>
        <v>0</v>
      </c>
      <c r="N145" s="207">
        <f t="shared" si="125"/>
        <v>0</v>
      </c>
      <c r="O145" s="207">
        <f t="shared" si="125"/>
        <v>0</v>
      </c>
      <c r="P145" s="229">
        <f t="shared" si="126"/>
        <v>0</v>
      </c>
      <c r="Q145" s="207">
        <f>Q134/P67</f>
        <v>0</v>
      </c>
      <c r="R145" s="207">
        <f>R134/Q67</f>
        <v>0</v>
      </c>
      <c r="S145" s="229">
        <f t="shared" si="128"/>
        <v>0</v>
      </c>
      <c r="T145" s="207">
        <f>T134/S67</f>
        <v>0</v>
      </c>
      <c r="U145" s="207">
        <f>U134/T67</f>
        <v>0</v>
      </c>
      <c r="V145" s="229">
        <f t="shared" si="130"/>
        <v>0</v>
      </c>
      <c r="W145" s="207">
        <f>W134/V67</f>
        <v>0</v>
      </c>
      <c r="X145" s="207">
        <f>X134/W67</f>
        <v>0</v>
      </c>
      <c r="Y145" s="229">
        <f>Y134/V67</f>
        <v>0</v>
      </c>
      <c r="Z145" s="207">
        <f>Z134/Y67</f>
        <v>0</v>
      </c>
      <c r="AA145" s="207">
        <f>AA134/Z67</f>
        <v>0</v>
      </c>
      <c r="AB145" s="229">
        <f t="shared" si="133"/>
        <v>0</v>
      </c>
      <c r="AC145" s="207"/>
      <c r="AD145" s="249"/>
      <c r="AE145" s="229"/>
      <c r="AF145" s="256"/>
      <c r="AG145" s="249"/>
      <c r="AH145" s="229"/>
      <c r="AI145" s="256"/>
      <c r="AJ145" s="249"/>
      <c r="AK145" s="229"/>
      <c r="AL145" s="256"/>
      <c r="AM145" s="249"/>
      <c r="AN145" s="229"/>
      <c r="AO145" s="256"/>
      <c r="AP145" s="249"/>
      <c r="AQ145" s="229"/>
      <c r="AR145" s="256"/>
      <c r="AS145" s="249"/>
      <c r="AT145" s="229"/>
      <c r="AU145" s="256"/>
      <c r="AV145" s="249"/>
      <c r="AW145" s="229"/>
      <c r="AX145" s="256"/>
      <c r="AY145" s="249"/>
      <c r="AZ145" s="229"/>
    </row>
    <row r="146" spans="1:52">
      <c r="B146" s="181" t="s">
        <v>2353</v>
      </c>
      <c r="E146" s="206"/>
      <c r="F146" s="251">
        <f t="shared" si="120"/>
        <v>1.9791919772039496E-2</v>
      </c>
      <c r="G146" s="184"/>
      <c r="H146" s="251">
        <f t="shared" si="121"/>
        <v>7.579768853731407E-2</v>
      </c>
      <c r="I146" s="251">
        <f t="shared" si="121"/>
        <v>4.7625557844985011E-2</v>
      </c>
      <c r="J146" s="252">
        <f t="shared" si="122"/>
        <v>0.12765143057637715</v>
      </c>
      <c r="K146" s="251">
        <f t="shared" si="123"/>
        <v>-8.8294830481550401E-2</v>
      </c>
      <c r="L146" s="251">
        <f t="shared" si="123"/>
        <v>-5.0910362784913434E-2</v>
      </c>
      <c r="M146" s="252">
        <f t="shared" si="124"/>
        <v>-0.13585984659374575</v>
      </c>
      <c r="N146" s="251">
        <f t="shared" si="125"/>
        <v>-0.13388090783200668</v>
      </c>
      <c r="O146" s="251">
        <f t="shared" si="125"/>
        <v>0.18280731437495934</v>
      </c>
      <c r="P146" s="252">
        <f t="shared" si="126"/>
        <v>1.4598462985866659E-2</v>
      </c>
      <c r="Q146" s="251">
        <f>Q135/P68</f>
        <v>4.4261674151831611E-2</v>
      </c>
      <c r="R146" s="251">
        <f>R135/Q68</f>
        <v>-1.0308346143412606E-2</v>
      </c>
      <c r="S146" s="252">
        <f t="shared" si="128"/>
        <v>3.0690979925328717E-2</v>
      </c>
      <c r="T146" s="251">
        <f>T135/S68</f>
        <v>4.7096742766213104E-2</v>
      </c>
      <c r="U146" s="251">
        <f>U135/T68</f>
        <v>-6.7243212136228844E-2</v>
      </c>
      <c r="V146" s="252">
        <f>V135/S68</f>
        <v>-2.1206118273633619E-2</v>
      </c>
      <c r="W146" s="251">
        <f>W135/V68</f>
        <v>6.5639777945308758E-2</v>
      </c>
      <c r="X146" s="251">
        <f>X135/W68</f>
        <v>2.2921448365330735E-2</v>
      </c>
      <c r="Y146" s="252">
        <f>Y135/V68</f>
        <v>9.1220615447878836E-2</v>
      </c>
      <c r="Z146" s="251">
        <f>Z135/Y68</f>
        <v>8.651894708145276E-2</v>
      </c>
      <c r="AA146" s="251">
        <f>AA135/Z68</f>
        <v>6.8399689690521709E-2</v>
      </c>
      <c r="AB146" s="252">
        <f t="shared" si="133"/>
        <v>0.16130009390240208</v>
      </c>
      <c r="AC146" s="251">
        <f>AC135/AB68</f>
        <v>4.3346186831819934E-2</v>
      </c>
      <c r="AD146" s="251">
        <f>AD135/AC68</f>
        <v>3.4700951414766111E-2</v>
      </c>
      <c r="AE146" s="252">
        <f>AE135/AB68</f>
        <v>7.8279769815446459E-2</v>
      </c>
      <c r="AF146" s="251">
        <f>AF135/AE68</f>
        <v>9.4968744463847343E-2</v>
      </c>
      <c r="AG146" s="251">
        <f>AG135/AF68</f>
        <v>-3.4186906776015831E-2</v>
      </c>
      <c r="AH146" s="252">
        <f>AH135/AE68</f>
        <v>5.7253309037531952E-2</v>
      </c>
      <c r="AI146" s="251">
        <f>AI135/AH68</f>
        <v>9.1824310278264491E-3</v>
      </c>
      <c r="AJ146" s="251">
        <f>AJ135/AI68</f>
        <v>4.7705253099036442E-2</v>
      </c>
      <c r="AK146" s="252">
        <f>AK135/AH68</f>
        <v>6.2554568942476171E-2</v>
      </c>
      <c r="AL146" s="251">
        <f>AL135/AK68</f>
        <v>3.511704201143357E-2</v>
      </c>
      <c r="AM146" s="251">
        <f>AM135/AL68</f>
        <v>4.7706673440298747E-2</v>
      </c>
      <c r="AN146" s="252">
        <f>AN135/AK68</f>
        <v>8.4521900736405503E-2</v>
      </c>
      <c r="AO146" s="251">
        <f>AO135/AN68</f>
        <v>3.3396748044052134E-2</v>
      </c>
      <c r="AP146" s="251">
        <f>AP135/AO68</f>
        <v>4.7717015878740082E-2</v>
      </c>
      <c r="AQ146" s="252">
        <f>AQ135/AN68</f>
        <v>8.2730147300592596E-2</v>
      </c>
      <c r="AR146" s="251">
        <f>AR135/AQ68</f>
        <v>3.1851365593968818E-2</v>
      </c>
      <c r="AS146" s="251">
        <f>AS135/AR68</f>
        <v>4.7725507265873372E-2</v>
      </c>
      <c r="AT146" s="252">
        <f>AT135/AQ68</f>
        <v>8.1119721874640574E-2</v>
      </c>
      <c r="AU146" s="251">
        <f>AU135/AT68</f>
        <v>3.0458834605322171E-2</v>
      </c>
      <c r="AV146" s="251">
        <f>AV135/AU68</f>
        <v>4.7732407420554984E-2</v>
      </c>
      <c r="AW146" s="252">
        <f>AW135/AT68</f>
        <v>7.9667788179110244E-2</v>
      </c>
      <c r="AX146" s="251">
        <f>AX135/AW68</f>
        <v>2.920051370471408E-2</v>
      </c>
      <c r="AY146" s="251">
        <f>AY135/AX68</f>
        <v>4.7737941598734575E-2</v>
      </c>
      <c r="AZ146" s="252">
        <f>AZ135/AW68</f>
        <v>7.8355052987706814E-2</v>
      </c>
    </row>
    <row r="147" spans="1:52">
      <c r="E147" s="206"/>
      <c r="F147" s="206"/>
      <c r="G147" s="184"/>
      <c r="H147" s="206"/>
      <c r="I147" s="206"/>
      <c r="J147" s="184"/>
      <c r="K147" s="206"/>
      <c r="L147" s="206"/>
      <c r="M147" s="184"/>
      <c r="N147" s="206"/>
      <c r="O147" s="206"/>
      <c r="P147" s="184"/>
      <c r="Q147" s="206"/>
      <c r="R147" s="206"/>
      <c r="S147" s="184"/>
      <c r="T147" s="206"/>
      <c r="U147" s="206"/>
      <c r="V147" s="184"/>
      <c r="W147" s="206"/>
      <c r="X147" s="206"/>
      <c r="Y147" s="184"/>
      <c r="Z147" s="206"/>
      <c r="AA147" s="206"/>
      <c r="AB147" s="184"/>
      <c r="AC147" s="206"/>
      <c r="AD147" s="206"/>
      <c r="AE147" s="184"/>
      <c r="AF147" s="206"/>
      <c r="AG147" s="206"/>
      <c r="AH147" s="184"/>
      <c r="AI147" s="206"/>
      <c r="AJ147" s="206"/>
      <c r="AK147" s="184"/>
      <c r="AL147" s="206"/>
      <c r="AM147" s="206"/>
      <c r="AN147" s="184"/>
      <c r="AO147" s="206"/>
      <c r="AP147" s="206"/>
      <c r="AQ147" s="184"/>
      <c r="AR147" s="206"/>
      <c r="AS147" s="206"/>
      <c r="AT147" s="184"/>
      <c r="AU147" s="206"/>
      <c r="AV147" s="206"/>
      <c r="AW147" s="184"/>
      <c r="AX147" s="206"/>
      <c r="AY147" s="206"/>
      <c r="AZ147" s="184"/>
    </row>
    <row r="148" spans="1:52">
      <c r="E148" s="206"/>
      <c r="F148" s="206"/>
      <c r="G148" s="184"/>
      <c r="H148" s="206"/>
      <c r="I148" s="206"/>
      <c r="J148" s="184"/>
      <c r="K148" s="206"/>
      <c r="L148" s="206"/>
      <c r="M148" s="184"/>
      <c r="N148" s="206"/>
      <c r="O148" s="206"/>
      <c r="P148" s="184"/>
      <c r="Q148" s="206"/>
      <c r="R148" s="254"/>
      <c r="S148" s="184"/>
      <c r="T148" s="206"/>
      <c r="U148" s="206"/>
      <c r="V148" s="184"/>
      <c r="W148" s="206"/>
      <c r="X148" s="206"/>
      <c r="Y148" s="184"/>
      <c r="Z148" s="206"/>
      <c r="AA148" s="206"/>
      <c r="AB148" s="184"/>
      <c r="AC148" s="206"/>
      <c r="AD148" s="206"/>
      <c r="AE148" s="184"/>
      <c r="AF148" s="206"/>
      <c r="AG148" s="206"/>
      <c r="AH148" s="184"/>
      <c r="AI148" s="206"/>
      <c r="AJ148" s="206"/>
      <c r="AK148" s="184"/>
      <c r="AL148" s="206"/>
      <c r="AM148" s="206"/>
      <c r="AN148" s="184"/>
      <c r="AO148" s="206"/>
      <c r="AP148" s="206"/>
      <c r="AQ148" s="184"/>
      <c r="AR148" s="206"/>
      <c r="AS148" s="206"/>
      <c r="AT148" s="184"/>
      <c r="AU148" s="206"/>
      <c r="AV148" s="206"/>
      <c r="AW148" s="184"/>
      <c r="AX148" s="206"/>
      <c r="AY148" s="206"/>
      <c r="AZ148" s="184"/>
    </row>
    <row r="149" spans="1:52">
      <c r="A149" s="178"/>
      <c r="B149" s="179" t="s">
        <v>2354</v>
      </c>
      <c r="C149" s="178"/>
      <c r="D149" s="178"/>
      <c r="E149" s="209"/>
      <c r="F149" s="209"/>
      <c r="G149" s="210"/>
      <c r="H149" s="209"/>
      <c r="I149" s="209"/>
      <c r="J149" s="210"/>
      <c r="K149" s="209"/>
      <c r="L149" s="209"/>
      <c r="M149" s="210"/>
      <c r="N149" s="209"/>
      <c r="O149" s="209"/>
      <c r="P149" s="210"/>
      <c r="Q149" s="209"/>
      <c r="R149" s="257"/>
      <c r="S149" s="210"/>
      <c r="T149" s="209"/>
      <c r="U149" s="209"/>
      <c r="V149" s="210"/>
      <c r="W149" s="209"/>
      <c r="X149" s="209"/>
      <c r="Y149" s="210"/>
      <c r="Z149" s="209"/>
      <c r="AA149" s="209"/>
      <c r="AB149" s="210"/>
      <c r="AC149" s="209"/>
      <c r="AD149" s="209"/>
      <c r="AE149" s="210"/>
      <c r="AF149" s="209"/>
      <c r="AG149" s="209"/>
      <c r="AH149" s="210"/>
      <c r="AI149" s="209"/>
      <c r="AJ149" s="209"/>
      <c r="AK149" s="210"/>
      <c r="AL149" s="209"/>
      <c r="AM149" s="209"/>
      <c r="AN149" s="210"/>
      <c r="AO149" s="209"/>
      <c r="AP149" s="209"/>
      <c r="AQ149" s="210"/>
      <c r="AR149" s="209"/>
      <c r="AS149" s="209"/>
      <c r="AT149" s="210"/>
      <c r="AU149" s="209"/>
      <c r="AV149" s="209"/>
      <c r="AW149" s="210"/>
      <c r="AX149" s="209"/>
      <c r="AY149" s="209"/>
      <c r="AZ149" s="210"/>
    </row>
    <row r="150" spans="1:52">
      <c r="A150" s="180"/>
      <c r="B150" s="175" t="s">
        <v>2302</v>
      </c>
      <c r="E150" s="206">
        <v>378</v>
      </c>
      <c r="F150" s="206">
        <v>412</v>
      </c>
      <c r="G150" s="184">
        <f>E150+F150</f>
        <v>790</v>
      </c>
      <c r="H150" s="206">
        <v>419</v>
      </c>
      <c r="I150" s="206">
        <v>451</v>
      </c>
      <c r="J150" s="184">
        <f>H150+I150</f>
        <v>870</v>
      </c>
      <c r="K150" s="206">
        <v>475</v>
      </c>
      <c r="L150" s="206">
        <v>499</v>
      </c>
      <c r="M150" s="184">
        <f>K150+L150</f>
        <v>974</v>
      </c>
      <c r="N150" s="206">
        <v>490</v>
      </c>
      <c r="O150" s="206">
        <v>516</v>
      </c>
      <c r="P150" s="184">
        <f>N150+O150</f>
        <v>1006</v>
      </c>
      <c r="Q150" s="206">
        <v>725</v>
      </c>
      <c r="R150" s="206">
        <f>1480-Q150</f>
        <v>755</v>
      </c>
      <c r="S150" s="184">
        <f>Q150+R150</f>
        <v>1480</v>
      </c>
      <c r="T150" s="206">
        <v>780</v>
      </c>
      <c r="U150" s="206">
        <v>784</v>
      </c>
      <c r="V150" s="184">
        <f>T150+U150</f>
        <v>1564</v>
      </c>
      <c r="W150" s="206">
        <v>801</v>
      </c>
      <c r="X150" s="206">
        <v>814</v>
      </c>
      <c r="Y150" s="184">
        <f>W150+X150</f>
        <v>1615</v>
      </c>
      <c r="Z150" s="206">
        <v>830</v>
      </c>
      <c r="AA150" s="206">
        <v>845</v>
      </c>
      <c r="AB150" s="184">
        <f>Z150+AA150</f>
        <v>1675</v>
      </c>
      <c r="AC150" s="401">
        <f>AB150/AB152*AC152</f>
        <v>943.03961356092918</v>
      </c>
      <c r="AD150" s="401">
        <f>AC150/AC152*AD152</f>
        <v>962.77896800886845</v>
      </c>
      <c r="AE150" s="184">
        <f>AC150+AD150</f>
        <v>1905.8185815697975</v>
      </c>
      <c r="AF150" s="401">
        <f>AE150/AE152*AF152</f>
        <v>0</v>
      </c>
      <c r="AG150" s="401">
        <v>0</v>
      </c>
      <c r="AH150" s="184">
        <f>AF150+AG150</f>
        <v>0</v>
      </c>
      <c r="AI150" s="401">
        <v>0</v>
      </c>
      <c r="AJ150" s="401">
        <v>0</v>
      </c>
      <c r="AK150" s="184">
        <f>AI150+AJ150</f>
        <v>0</v>
      </c>
      <c r="AL150" s="206">
        <f>AL$158*AL162/2</f>
        <v>0</v>
      </c>
      <c r="AM150" s="206">
        <f>AM$158*AM162/2</f>
        <v>0</v>
      </c>
      <c r="AN150" s="184">
        <f>AL150+AM150</f>
        <v>0</v>
      </c>
      <c r="AO150" s="206">
        <f>AO$158*AO162/2</f>
        <v>0</v>
      </c>
      <c r="AP150" s="206">
        <f>AP$158*AP162/2</f>
        <v>0</v>
      </c>
      <c r="AQ150" s="184">
        <f>AO150+AP150</f>
        <v>0</v>
      </c>
      <c r="AR150" s="206">
        <f>AR$158*AR162/2</f>
        <v>0</v>
      </c>
      <c r="AS150" s="206">
        <f>AS$158*AS162/2</f>
        <v>0</v>
      </c>
      <c r="AT150" s="184">
        <f>AR150+AS150</f>
        <v>0</v>
      </c>
      <c r="AU150" s="206">
        <f>AU$158*AU162/2</f>
        <v>0</v>
      </c>
      <c r="AV150" s="206">
        <f>AV$158*AV162/2</f>
        <v>0</v>
      </c>
      <c r="AW150" s="184">
        <f>AU150+AV150</f>
        <v>0</v>
      </c>
      <c r="AX150" s="206">
        <f>AX$158*AX162/2</f>
        <v>0</v>
      </c>
      <c r="AY150" s="206">
        <f>AY$158*AY162/2</f>
        <v>0</v>
      </c>
      <c r="AZ150" s="184">
        <f>AX150+AY150</f>
        <v>0</v>
      </c>
    </row>
    <row r="151" spans="1:52">
      <c r="A151" s="180"/>
      <c r="B151" s="175" t="s">
        <v>2303</v>
      </c>
      <c r="E151" s="206">
        <v>-186</v>
      </c>
      <c r="F151" s="206">
        <v>-213</v>
      </c>
      <c r="G151" s="184">
        <f>E151+F151</f>
        <v>-399</v>
      </c>
      <c r="H151" s="206">
        <v>-223</v>
      </c>
      <c r="I151" s="206">
        <v>-235</v>
      </c>
      <c r="J151" s="184">
        <f>H151+I151</f>
        <v>-458</v>
      </c>
      <c r="K151" s="206">
        <v>-255</v>
      </c>
      <c r="L151" s="206">
        <v>-273</v>
      </c>
      <c r="M151" s="184">
        <f>K151+L151</f>
        <v>-528</v>
      </c>
      <c r="N151" s="206">
        <v>-286</v>
      </c>
      <c r="O151" s="206">
        <v>-331</v>
      </c>
      <c r="P151" s="184">
        <f>N151+O151</f>
        <v>-617</v>
      </c>
      <c r="Q151" s="206">
        <v>-471</v>
      </c>
      <c r="R151" s="206">
        <f>-976-Q151</f>
        <v>-505</v>
      </c>
      <c r="S151" s="184">
        <f>Q151+R151</f>
        <v>-976</v>
      </c>
      <c r="T151" s="206">
        <v>-511</v>
      </c>
      <c r="U151" s="206">
        <v>-566</v>
      </c>
      <c r="V151" s="184">
        <f>T151+U151</f>
        <v>-1077</v>
      </c>
      <c r="W151" s="206">
        <v>-551</v>
      </c>
      <c r="X151" s="206">
        <v>-583</v>
      </c>
      <c r="Y151" s="184">
        <f>W151+X151</f>
        <v>-1134</v>
      </c>
      <c r="Z151" s="206">
        <v>-636</v>
      </c>
      <c r="AA151" s="206">
        <v>-754</v>
      </c>
      <c r="AB151" s="184">
        <f>Z151+AA151</f>
        <v>-1390</v>
      </c>
      <c r="AC151" s="401">
        <f>AC152-AC150</f>
        <v>-782.58212707444272</v>
      </c>
      <c r="AD151" s="401">
        <f>AD152-AD150</f>
        <v>-798.96284509392672</v>
      </c>
      <c r="AE151" s="184">
        <f>AC151+AD151</f>
        <v>-1581.5449721683694</v>
      </c>
      <c r="AF151" s="401">
        <f>AF152-AF150</f>
        <v>0</v>
      </c>
      <c r="AG151" s="401">
        <f>AG152-AG150</f>
        <v>0</v>
      </c>
      <c r="AH151" s="184">
        <f>AF151+AG151</f>
        <v>0</v>
      </c>
      <c r="AI151" s="401">
        <f>AI152-AI150</f>
        <v>0</v>
      </c>
      <c r="AJ151" s="401">
        <f>AJ152-AJ150</f>
        <v>0</v>
      </c>
      <c r="AK151" s="184">
        <f>AI151+AJ151</f>
        <v>0</v>
      </c>
      <c r="AL151" s="206">
        <f>AL$158*AL163/2</f>
        <v>0</v>
      </c>
      <c r="AM151" s="206">
        <f>AM$158*AM163/2</f>
        <v>0</v>
      </c>
      <c r="AN151" s="184">
        <f>AL151+AM151</f>
        <v>0</v>
      </c>
      <c r="AO151" s="206">
        <f>AO$158*AO163/2</f>
        <v>0</v>
      </c>
      <c r="AP151" s="206">
        <f>AP$158*AP163/2</f>
        <v>0</v>
      </c>
      <c r="AQ151" s="184">
        <f>AO151+AP151</f>
        <v>0</v>
      </c>
      <c r="AR151" s="206">
        <f>AR$158*AR163/2</f>
        <v>0</v>
      </c>
      <c r="AS151" s="206">
        <f>AS$158*AS163/2</f>
        <v>0</v>
      </c>
      <c r="AT151" s="184">
        <f>AR151+AS151</f>
        <v>0</v>
      </c>
      <c r="AU151" s="206">
        <f>AU$158*AU163/2</f>
        <v>0</v>
      </c>
      <c r="AV151" s="206">
        <f>AV$158*AV163/2</f>
        <v>0</v>
      </c>
      <c r="AW151" s="184">
        <f>AU151+AV151</f>
        <v>0</v>
      </c>
      <c r="AX151" s="206">
        <f>AX$158*AX163/2</f>
        <v>0</v>
      </c>
      <c r="AY151" s="206">
        <f>AY$158*AY163/2</f>
        <v>0</v>
      </c>
      <c r="AZ151" s="184">
        <f>AX151+AY151</f>
        <v>0</v>
      </c>
    </row>
    <row r="152" spans="1:52">
      <c r="A152" s="180"/>
      <c r="B152" s="181" t="s">
        <v>2304</v>
      </c>
      <c r="E152" s="193">
        <f t="shared" ref="E152:AK152" si="134">E150+E151</f>
        <v>192</v>
      </c>
      <c r="F152" s="193">
        <f t="shared" si="134"/>
        <v>199</v>
      </c>
      <c r="G152" s="194">
        <f t="shared" si="134"/>
        <v>391</v>
      </c>
      <c r="H152" s="193">
        <f t="shared" si="134"/>
        <v>196</v>
      </c>
      <c r="I152" s="193">
        <f t="shared" si="134"/>
        <v>216</v>
      </c>
      <c r="J152" s="194">
        <f t="shared" si="134"/>
        <v>412</v>
      </c>
      <c r="K152" s="193">
        <f t="shared" si="134"/>
        <v>220</v>
      </c>
      <c r="L152" s="193">
        <f t="shared" si="134"/>
        <v>226</v>
      </c>
      <c r="M152" s="194">
        <f t="shared" si="134"/>
        <v>446</v>
      </c>
      <c r="N152" s="193">
        <f t="shared" si="134"/>
        <v>204</v>
      </c>
      <c r="O152" s="193">
        <f t="shared" si="134"/>
        <v>185</v>
      </c>
      <c r="P152" s="194">
        <f t="shared" si="134"/>
        <v>389</v>
      </c>
      <c r="Q152" s="193">
        <f>Q150+Q151</f>
        <v>254</v>
      </c>
      <c r="R152" s="193">
        <f t="shared" si="134"/>
        <v>250</v>
      </c>
      <c r="S152" s="194">
        <f t="shared" si="134"/>
        <v>504</v>
      </c>
      <c r="T152" s="193">
        <f t="shared" si="134"/>
        <v>269</v>
      </c>
      <c r="U152" s="193">
        <f t="shared" si="134"/>
        <v>218</v>
      </c>
      <c r="V152" s="194">
        <f t="shared" si="134"/>
        <v>487</v>
      </c>
      <c r="W152" s="193">
        <f>W150+W151</f>
        <v>250</v>
      </c>
      <c r="X152" s="193">
        <f t="shared" si="134"/>
        <v>231</v>
      </c>
      <c r="Y152" s="194">
        <f t="shared" si="134"/>
        <v>481</v>
      </c>
      <c r="Z152" s="193">
        <f t="shared" si="134"/>
        <v>194</v>
      </c>
      <c r="AA152" s="193">
        <f t="shared" si="134"/>
        <v>91</v>
      </c>
      <c r="AB152" s="194">
        <f t="shared" si="134"/>
        <v>285</v>
      </c>
      <c r="AC152" s="439">
        <f>AC154-AC153</f>
        <v>160.45748648648646</v>
      </c>
      <c r="AD152" s="439">
        <f>AD154-AD153</f>
        <v>163.81612291494179</v>
      </c>
      <c r="AE152" s="194">
        <f t="shared" si="134"/>
        <v>324.27360940142808</v>
      </c>
      <c r="AF152" s="438">
        <v>0</v>
      </c>
      <c r="AG152" s="438">
        <v>0</v>
      </c>
      <c r="AH152" s="194">
        <f t="shared" si="134"/>
        <v>0</v>
      </c>
      <c r="AI152" s="438">
        <v>0</v>
      </c>
      <c r="AJ152" s="438">
        <v>0</v>
      </c>
      <c r="AK152" s="194">
        <f t="shared" si="134"/>
        <v>0</v>
      </c>
      <c r="AL152" s="193">
        <f t="shared" ref="AL152:AZ152" si="135">AL150+AL151</f>
        <v>0</v>
      </c>
      <c r="AM152" s="193">
        <f t="shared" si="135"/>
        <v>0</v>
      </c>
      <c r="AN152" s="194">
        <f t="shared" si="135"/>
        <v>0</v>
      </c>
      <c r="AO152" s="193">
        <f t="shared" si="135"/>
        <v>0</v>
      </c>
      <c r="AP152" s="193">
        <f t="shared" si="135"/>
        <v>0</v>
      </c>
      <c r="AQ152" s="194">
        <f t="shared" si="135"/>
        <v>0</v>
      </c>
      <c r="AR152" s="193">
        <f t="shared" si="135"/>
        <v>0</v>
      </c>
      <c r="AS152" s="193">
        <f t="shared" si="135"/>
        <v>0</v>
      </c>
      <c r="AT152" s="194">
        <f t="shared" si="135"/>
        <v>0</v>
      </c>
      <c r="AU152" s="193">
        <f t="shared" si="135"/>
        <v>0</v>
      </c>
      <c r="AV152" s="193">
        <f t="shared" si="135"/>
        <v>0</v>
      </c>
      <c r="AW152" s="194">
        <f t="shared" si="135"/>
        <v>0</v>
      </c>
      <c r="AX152" s="193">
        <f t="shared" si="135"/>
        <v>0</v>
      </c>
      <c r="AY152" s="193">
        <f t="shared" si="135"/>
        <v>0</v>
      </c>
      <c r="AZ152" s="194">
        <f t="shared" si="135"/>
        <v>0</v>
      </c>
    </row>
    <row r="153" spans="1:52">
      <c r="A153" s="180"/>
      <c r="B153" s="175" t="s">
        <v>637</v>
      </c>
      <c r="E153" s="206">
        <v>-100</v>
      </c>
      <c r="F153" s="206">
        <v>-100</v>
      </c>
      <c r="G153" s="184">
        <f>E153+F153</f>
        <v>-200</v>
      </c>
      <c r="H153" s="206">
        <v>-92</v>
      </c>
      <c r="I153" s="206">
        <v>-90</v>
      </c>
      <c r="J153" s="184">
        <f>H153+I153</f>
        <v>-182</v>
      </c>
      <c r="K153" s="206">
        <v>-85</v>
      </c>
      <c r="L153" s="206">
        <v>-85</v>
      </c>
      <c r="M153" s="184">
        <f>K153+L153</f>
        <v>-170</v>
      </c>
      <c r="N153" s="206">
        <v>-91</v>
      </c>
      <c r="O153" s="206">
        <v>-90</v>
      </c>
      <c r="P153" s="184">
        <f>N153+O153</f>
        <v>-181</v>
      </c>
      <c r="Q153" s="206">
        <v>-118</v>
      </c>
      <c r="R153" s="206">
        <f>-236-Q153</f>
        <v>-118</v>
      </c>
      <c r="S153" s="184">
        <f>Q153+R153</f>
        <v>-236</v>
      </c>
      <c r="T153" s="206">
        <v>-118</v>
      </c>
      <c r="U153" s="206">
        <v>-115</v>
      </c>
      <c r="V153" s="184">
        <f>T153+U153</f>
        <v>-233</v>
      </c>
      <c r="W153" s="206">
        <v>-118</v>
      </c>
      <c r="X153" s="206">
        <v>-122</v>
      </c>
      <c r="Y153" s="184">
        <f>W153+X153</f>
        <v>-240</v>
      </c>
      <c r="Z153" s="206">
        <v>-124</v>
      </c>
      <c r="AA153" s="206">
        <v>-119</v>
      </c>
      <c r="AB153" s="184">
        <f>Z153+AA153</f>
        <v>-243</v>
      </c>
      <c r="AC153" s="440">
        <f>-0.151*AC158/2</f>
        <v>-123.97099999999998</v>
      </c>
      <c r="AD153" s="440">
        <f>-0.14*AD158/2</f>
        <v>-119.2215283203472</v>
      </c>
      <c r="AE153" s="184">
        <f>AC153+AD153</f>
        <v>-243.19252832034718</v>
      </c>
      <c r="AF153" s="206">
        <f>AF154-AF152</f>
        <v>0</v>
      </c>
      <c r="AG153" s="206">
        <f>AG154-AG152</f>
        <v>0</v>
      </c>
      <c r="AH153" s="184">
        <f>AF153+AG153</f>
        <v>0</v>
      </c>
      <c r="AI153" s="206">
        <f>AI154-AI152</f>
        <v>0</v>
      </c>
      <c r="AJ153" s="206">
        <f>AJ154-AJ152</f>
        <v>0</v>
      </c>
      <c r="AK153" s="184">
        <f>AI153+AJ153</f>
        <v>0</v>
      </c>
      <c r="AL153" s="206">
        <f>AI153*(1+AL169)</f>
        <v>0</v>
      </c>
      <c r="AM153" s="206">
        <f>AJ153*(1+AM169)</f>
        <v>0</v>
      </c>
      <c r="AN153" s="184">
        <f>AL153+AM153</f>
        <v>0</v>
      </c>
      <c r="AO153" s="206">
        <f>AL153*(1+AO169)</f>
        <v>0</v>
      </c>
      <c r="AP153" s="206">
        <f>AM153*(1+AP169)</f>
        <v>0</v>
      </c>
      <c r="AQ153" s="184">
        <f>AO153+AP153</f>
        <v>0</v>
      </c>
      <c r="AR153" s="206">
        <f>AO153*(1+AR169)</f>
        <v>0</v>
      </c>
      <c r="AS153" s="206">
        <f>AP153*(1+AS169)</f>
        <v>0</v>
      </c>
      <c r="AT153" s="184">
        <f>AR153+AS153</f>
        <v>0</v>
      </c>
      <c r="AU153" s="206">
        <f>AR153*(1+AU169)</f>
        <v>0</v>
      </c>
      <c r="AV153" s="206">
        <f>AS153*(1+AV169)</f>
        <v>0</v>
      </c>
      <c r="AW153" s="184">
        <f>AU153+AV153</f>
        <v>0</v>
      </c>
      <c r="AX153" s="206">
        <f>AU153*(1+AX169)</f>
        <v>0</v>
      </c>
      <c r="AY153" s="206">
        <f>AV153*(1+AY169)</f>
        <v>0</v>
      </c>
      <c r="AZ153" s="184">
        <f>AX153+AY153</f>
        <v>0</v>
      </c>
    </row>
    <row r="154" spans="1:52">
      <c r="A154" s="180"/>
      <c r="B154" s="181" t="s">
        <v>2305</v>
      </c>
      <c r="E154" s="193">
        <f t="shared" ref="E154:AK154" si="136">E152+E153</f>
        <v>92</v>
      </c>
      <c r="F154" s="193">
        <f t="shared" si="136"/>
        <v>99</v>
      </c>
      <c r="G154" s="194">
        <f t="shared" si="136"/>
        <v>191</v>
      </c>
      <c r="H154" s="193">
        <f t="shared" si="136"/>
        <v>104</v>
      </c>
      <c r="I154" s="193">
        <f t="shared" si="136"/>
        <v>126</v>
      </c>
      <c r="J154" s="194">
        <f t="shared" si="136"/>
        <v>230</v>
      </c>
      <c r="K154" s="193">
        <f t="shared" si="136"/>
        <v>135</v>
      </c>
      <c r="L154" s="193">
        <f t="shared" si="136"/>
        <v>141</v>
      </c>
      <c r="M154" s="194">
        <f t="shared" si="136"/>
        <v>276</v>
      </c>
      <c r="N154" s="193">
        <f t="shared" si="136"/>
        <v>113</v>
      </c>
      <c r="O154" s="193">
        <f t="shared" si="136"/>
        <v>95</v>
      </c>
      <c r="P154" s="194">
        <f t="shared" si="136"/>
        <v>208</v>
      </c>
      <c r="Q154" s="193">
        <f t="shared" si="136"/>
        <v>136</v>
      </c>
      <c r="R154" s="193">
        <f t="shared" si="136"/>
        <v>132</v>
      </c>
      <c r="S154" s="194">
        <f t="shared" si="136"/>
        <v>268</v>
      </c>
      <c r="T154" s="193">
        <f t="shared" si="136"/>
        <v>151</v>
      </c>
      <c r="U154" s="193">
        <f t="shared" si="136"/>
        <v>103</v>
      </c>
      <c r="V154" s="194">
        <f t="shared" si="136"/>
        <v>254</v>
      </c>
      <c r="W154" s="193">
        <f>W152+W153</f>
        <v>132</v>
      </c>
      <c r="X154" s="193">
        <f>X152+X153</f>
        <v>109</v>
      </c>
      <c r="Y154" s="194">
        <f t="shared" si="136"/>
        <v>241</v>
      </c>
      <c r="Z154" s="193">
        <f>Z152+Z153</f>
        <v>70</v>
      </c>
      <c r="AA154" s="193">
        <f t="shared" si="136"/>
        <v>-28</v>
      </c>
      <c r="AB154" s="194">
        <f t="shared" si="136"/>
        <v>42</v>
      </c>
      <c r="AC154" s="193">
        <f>AC156-AC155</f>
        <v>36.486486486486484</v>
      </c>
      <c r="AD154" s="193">
        <f>AD156-AD155</f>
        <v>44.594594594594597</v>
      </c>
      <c r="AE154" s="194">
        <f t="shared" si="136"/>
        <v>81.081081081080896</v>
      </c>
      <c r="AF154" s="193">
        <f>AF156-AF155</f>
        <v>0</v>
      </c>
      <c r="AG154" s="193">
        <f>AG156-AG155</f>
        <v>0</v>
      </c>
      <c r="AH154" s="194">
        <f t="shared" si="136"/>
        <v>0</v>
      </c>
      <c r="AI154" s="193">
        <f>AI156-AI155</f>
        <v>0</v>
      </c>
      <c r="AJ154" s="193">
        <f>AJ156-AJ155</f>
        <v>0</v>
      </c>
      <c r="AK154" s="194">
        <f t="shared" si="136"/>
        <v>0</v>
      </c>
      <c r="AL154" s="193">
        <f t="shared" ref="AL154:AZ154" si="137">AL152+AL153</f>
        <v>0</v>
      </c>
      <c r="AM154" s="193">
        <f t="shared" si="137"/>
        <v>0</v>
      </c>
      <c r="AN154" s="194">
        <f t="shared" si="137"/>
        <v>0</v>
      </c>
      <c r="AO154" s="193">
        <f t="shared" si="137"/>
        <v>0</v>
      </c>
      <c r="AP154" s="193">
        <f t="shared" si="137"/>
        <v>0</v>
      </c>
      <c r="AQ154" s="194">
        <f t="shared" si="137"/>
        <v>0</v>
      </c>
      <c r="AR154" s="193">
        <f t="shared" si="137"/>
        <v>0</v>
      </c>
      <c r="AS154" s="193">
        <f t="shared" si="137"/>
        <v>0</v>
      </c>
      <c r="AT154" s="194">
        <f t="shared" si="137"/>
        <v>0</v>
      </c>
      <c r="AU154" s="193">
        <f t="shared" si="137"/>
        <v>0</v>
      </c>
      <c r="AV154" s="193">
        <f t="shared" si="137"/>
        <v>0</v>
      </c>
      <c r="AW154" s="194">
        <f t="shared" si="137"/>
        <v>0</v>
      </c>
      <c r="AX154" s="193">
        <f t="shared" si="137"/>
        <v>0</v>
      </c>
      <c r="AY154" s="193">
        <f t="shared" si="137"/>
        <v>0</v>
      </c>
      <c r="AZ154" s="194">
        <f t="shared" si="137"/>
        <v>0</v>
      </c>
    </row>
    <row r="155" spans="1:52">
      <c r="A155" s="180"/>
      <c r="B155" s="175" t="s">
        <v>75</v>
      </c>
      <c r="E155" s="206">
        <v>-27</v>
      </c>
      <c r="F155" s="206">
        <v>-24</v>
      </c>
      <c r="G155" s="184">
        <f>E155+F155</f>
        <v>-51</v>
      </c>
      <c r="H155" s="206">
        <v>-28</v>
      </c>
      <c r="I155" s="206">
        <v>-39</v>
      </c>
      <c r="J155" s="184">
        <f>H155+I155</f>
        <v>-67</v>
      </c>
      <c r="K155" s="206">
        <v>-40</v>
      </c>
      <c r="L155" s="206">
        <v>-41</v>
      </c>
      <c r="M155" s="184">
        <f>K155+L155</f>
        <v>-81</v>
      </c>
      <c r="N155" s="206">
        <v>-23</v>
      </c>
      <c r="O155" s="206">
        <v>-8</v>
      </c>
      <c r="P155" s="184">
        <f>N155+O155</f>
        <v>-31</v>
      </c>
      <c r="Q155" s="206">
        <v>-39</v>
      </c>
      <c r="R155" s="206">
        <v>-32</v>
      </c>
      <c r="S155" s="184">
        <f>Q155+R155</f>
        <v>-71</v>
      </c>
      <c r="T155" s="206">
        <v>-43</v>
      </c>
      <c r="U155" s="206">
        <v>-31</v>
      </c>
      <c r="V155" s="184">
        <f>T155+U155</f>
        <v>-74</v>
      </c>
      <c r="W155" s="206">
        <v>-39</v>
      </c>
      <c r="X155" s="206">
        <v>-33</v>
      </c>
      <c r="Y155" s="184">
        <f>W155+X155</f>
        <v>-72</v>
      </c>
      <c r="Z155" s="206">
        <v>-22</v>
      </c>
      <c r="AA155" s="206">
        <v>10</v>
      </c>
      <c r="AB155" s="184">
        <f>Z155+AA155</f>
        <v>-12</v>
      </c>
      <c r="AC155" s="401">
        <f>AC156-AC156/0.74</f>
        <v>-9.4864864864864842</v>
      </c>
      <c r="AD155" s="401">
        <f>AD156-AD156/0.74</f>
        <v>-11.594594594594597</v>
      </c>
      <c r="AE155" s="184">
        <f>AC155+AD155</f>
        <v>-21.081081081081081</v>
      </c>
      <c r="AF155" s="401">
        <v>0</v>
      </c>
      <c r="AG155" s="401">
        <v>0</v>
      </c>
      <c r="AH155" s="184">
        <f>AF155+AG155</f>
        <v>0</v>
      </c>
      <c r="AI155" s="401">
        <v>0</v>
      </c>
      <c r="AJ155" s="401">
        <v>0</v>
      </c>
      <c r="AK155" s="184">
        <f>AI155+AJ155</f>
        <v>0</v>
      </c>
      <c r="AL155" s="206">
        <f>-AL171*AL154</f>
        <v>0</v>
      </c>
      <c r="AM155" s="206">
        <f>-AM171*AM154</f>
        <v>0</v>
      </c>
      <c r="AN155" s="184">
        <f>AL155+AM155</f>
        <v>0</v>
      </c>
      <c r="AO155" s="206">
        <f>-AO171*AO154</f>
        <v>0</v>
      </c>
      <c r="AP155" s="206">
        <f>-AP171*AP154</f>
        <v>0</v>
      </c>
      <c r="AQ155" s="184">
        <f>AO155+AP155</f>
        <v>0</v>
      </c>
      <c r="AR155" s="206">
        <f>-AR171*AR154</f>
        <v>0</v>
      </c>
      <c r="AS155" s="206">
        <f>-AS171*AS154</f>
        <v>0</v>
      </c>
      <c r="AT155" s="184">
        <f>AR155+AS155</f>
        <v>0</v>
      </c>
      <c r="AU155" s="206">
        <f>-AU171*AU154</f>
        <v>0</v>
      </c>
      <c r="AV155" s="206">
        <f>-AV171*AV154</f>
        <v>0</v>
      </c>
      <c r="AW155" s="184">
        <f>AU155+AV155</f>
        <v>0</v>
      </c>
      <c r="AX155" s="206">
        <f>-AX171*AX154</f>
        <v>0</v>
      </c>
      <c r="AY155" s="206">
        <f>-AY171*AY154</f>
        <v>0</v>
      </c>
      <c r="AZ155" s="184">
        <f>AX155+AY155</f>
        <v>0</v>
      </c>
    </row>
    <row r="156" spans="1:52">
      <c r="A156" s="180"/>
      <c r="B156" s="181" t="s">
        <v>2296</v>
      </c>
      <c r="E156" s="193">
        <f t="shared" ref="E156:AK156" si="138">E154+E155</f>
        <v>65</v>
      </c>
      <c r="F156" s="193">
        <f t="shared" si="138"/>
        <v>75</v>
      </c>
      <c r="G156" s="194">
        <f t="shared" si="138"/>
        <v>140</v>
      </c>
      <c r="H156" s="193">
        <f t="shared" si="138"/>
        <v>76</v>
      </c>
      <c r="I156" s="193">
        <f t="shared" si="138"/>
        <v>87</v>
      </c>
      <c r="J156" s="194">
        <f t="shared" si="138"/>
        <v>163</v>
      </c>
      <c r="K156" s="193">
        <f t="shared" si="138"/>
        <v>95</v>
      </c>
      <c r="L156" s="193">
        <f t="shared" si="138"/>
        <v>100</v>
      </c>
      <c r="M156" s="194">
        <f t="shared" si="138"/>
        <v>195</v>
      </c>
      <c r="N156" s="193">
        <f t="shared" si="138"/>
        <v>90</v>
      </c>
      <c r="O156" s="193">
        <f t="shared" si="138"/>
        <v>87</v>
      </c>
      <c r="P156" s="194">
        <f t="shared" si="138"/>
        <v>177</v>
      </c>
      <c r="Q156" s="193">
        <f t="shared" si="138"/>
        <v>97</v>
      </c>
      <c r="R156" s="193">
        <f t="shared" si="138"/>
        <v>100</v>
      </c>
      <c r="S156" s="194">
        <f>S154+S155</f>
        <v>197</v>
      </c>
      <c r="T156" s="193">
        <f t="shared" si="138"/>
        <v>108</v>
      </c>
      <c r="U156" s="193">
        <f t="shared" si="138"/>
        <v>72</v>
      </c>
      <c r="V156" s="194">
        <f t="shared" si="138"/>
        <v>180</v>
      </c>
      <c r="W156" s="193">
        <f>W154+W155</f>
        <v>93</v>
      </c>
      <c r="X156" s="193">
        <f>X154+X155</f>
        <v>76</v>
      </c>
      <c r="Y156" s="194">
        <f>Y154+Y155</f>
        <v>169</v>
      </c>
      <c r="Z156" s="193">
        <f t="shared" si="138"/>
        <v>48</v>
      </c>
      <c r="AA156" s="193">
        <f t="shared" si="138"/>
        <v>-18</v>
      </c>
      <c r="AB156" s="194">
        <f>AB154+AB155</f>
        <v>30</v>
      </c>
      <c r="AC156" s="193">
        <v>27</v>
      </c>
      <c r="AD156" s="193">
        <v>33</v>
      </c>
      <c r="AE156" s="194">
        <f t="shared" si="138"/>
        <v>59.999999999999815</v>
      </c>
      <c r="AF156" s="193">
        <v>0</v>
      </c>
      <c r="AG156" s="193">
        <v>0</v>
      </c>
      <c r="AH156" s="194">
        <f t="shared" si="138"/>
        <v>0</v>
      </c>
      <c r="AI156" s="193">
        <v>0</v>
      </c>
      <c r="AJ156" s="193">
        <v>0</v>
      </c>
      <c r="AK156" s="194">
        <f t="shared" si="138"/>
        <v>0</v>
      </c>
      <c r="AL156" s="193">
        <f t="shared" ref="AL156:AZ156" si="139">AL154+AL155</f>
        <v>0</v>
      </c>
      <c r="AM156" s="193">
        <f t="shared" si="139"/>
        <v>0</v>
      </c>
      <c r="AN156" s="194">
        <f t="shared" si="139"/>
        <v>0</v>
      </c>
      <c r="AO156" s="193">
        <f t="shared" si="139"/>
        <v>0</v>
      </c>
      <c r="AP156" s="193">
        <f t="shared" si="139"/>
        <v>0</v>
      </c>
      <c r="AQ156" s="194">
        <f t="shared" si="139"/>
        <v>0</v>
      </c>
      <c r="AR156" s="193">
        <f t="shared" si="139"/>
        <v>0</v>
      </c>
      <c r="AS156" s="193">
        <f t="shared" si="139"/>
        <v>0</v>
      </c>
      <c r="AT156" s="194">
        <f t="shared" si="139"/>
        <v>0</v>
      </c>
      <c r="AU156" s="193">
        <f t="shared" si="139"/>
        <v>0</v>
      </c>
      <c r="AV156" s="193">
        <f t="shared" si="139"/>
        <v>0</v>
      </c>
      <c r="AW156" s="194">
        <f t="shared" si="139"/>
        <v>0</v>
      </c>
      <c r="AX156" s="193">
        <f t="shared" si="139"/>
        <v>0</v>
      </c>
      <c r="AY156" s="193">
        <f t="shared" si="139"/>
        <v>0</v>
      </c>
      <c r="AZ156" s="194">
        <f t="shared" si="139"/>
        <v>0</v>
      </c>
    </row>
    <row r="157" spans="1:52">
      <c r="G157" s="197"/>
      <c r="J157" s="197"/>
      <c r="M157" s="197"/>
      <c r="P157" s="197"/>
      <c r="S157" s="197"/>
      <c r="V157" s="197"/>
      <c r="Y157" s="197"/>
      <c r="AA157" s="206"/>
      <c r="AB157" s="197"/>
      <c r="AE157" s="197"/>
      <c r="AH157" s="197"/>
      <c r="AK157" s="189"/>
      <c r="AN157" s="197"/>
      <c r="AQ157" s="197"/>
      <c r="AT157" s="197"/>
      <c r="AW157" s="197"/>
      <c r="AZ157" s="197"/>
    </row>
    <row r="158" spans="1:52" s="181" customFormat="1">
      <c r="B158" s="181" t="s">
        <v>2355</v>
      </c>
      <c r="E158" s="258">
        <v>648.29999999999995</v>
      </c>
      <c r="F158" s="258">
        <v>685.4</v>
      </c>
      <c r="G158" s="185">
        <f>AVERAGE(E158:F158)</f>
        <v>666.84999999999991</v>
      </c>
      <c r="H158" s="258">
        <v>725.1</v>
      </c>
      <c r="I158" s="259">
        <v>769</v>
      </c>
      <c r="J158" s="185">
        <v>751.6</v>
      </c>
      <c r="K158" s="259">
        <f>AVERAGE(J183:K183)</f>
        <v>808.64999999999986</v>
      </c>
      <c r="L158" s="259">
        <f>AVERAGE(K183:L183)</f>
        <v>840.49999999999977</v>
      </c>
      <c r="M158" s="185">
        <f>AVERAGE(K158:L158)</f>
        <v>824.57499999999982</v>
      </c>
      <c r="N158" s="259">
        <f>AVERAGE(M183:N183)</f>
        <v>884.74999999999977</v>
      </c>
      <c r="O158" s="259">
        <f>AVERAGE(N183:O183)</f>
        <v>939.49999999999977</v>
      </c>
      <c r="P158" s="185">
        <f>AVERAGE(N158:O158)+2</f>
        <v>914.12499999999977</v>
      </c>
      <c r="Q158" s="259">
        <f>((P183)+Q183)/2</f>
        <v>1150.8499999999999</v>
      </c>
      <c r="R158" s="259">
        <f>AVERAGE(Q183:R183)</f>
        <v>1369.7999999999997</v>
      </c>
      <c r="S158" s="260">
        <f>AVERAGE(Q158:R158)</f>
        <v>1260.3249999999998</v>
      </c>
      <c r="T158" s="259">
        <f>AVERAGE(S183:T183)</f>
        <v>1421.2999999999997</v>
      </c>
      <c r="U158" s="259">
        <f>AVERAGE(T183:U183)</f>
        <v>1451.0999999999997</v>
      </c>
      <c r="V158" s="185">
        <f>AVERAGE(T158:U158)</f>
        <v>1436.1999999999998</v>
      </c>
      <c r="W158" s="259">
        <f>AVERAGE(V183:W183)</f>
        <v>1479.6</v>
      </c>
      <c r="X158" s="259">
        <f>AVERAGE(W183:X183)</f>
        <v>1508.1999999999998</v>
      </c>
      <c r="Y158" s="185">
        <f>AVERAGE(W158:X158)</f>
        <v>1493.8999999999999</v>
      </c>
      <c r="Z158" s="259">
        <f>AVERAGE(Y183:Z183)</f>
        <v>1529.85</v>
      </c>
      <c r="AA158" s="259">
        <f>AVERAGE(Z183:AA183)</f>
        <v>1573.7999999999997</v>
      </c>
      <c r="AB158" s="185">
        <f>AVERAGE(Z158:AA158)</f>
        <v>1551.8249999999998</v>
      </c>
      <c r="AC158" s="259">
        <f>AVERAGE(AB183:AC183)</f>
        <v>1641.9999999999998</v>
      </c>
      <c r="AD158" s="259">
        <f>AVERAGE(AC183:AD183)</f>
        <v>1703.1646902906741</v>
      </c>
      <c r="AE158" s="185">
        <f>AVERAGE(AC158:AD158)</f>
        <v>1672.5823451453371</v>
      </c>
      <c r="AF158" s="259">
        <f>AVERAGE(AE183:AF183)</f>
        <v>1755.7313646856164</v>
      </c>
      <c r="AG158" s="259">
        <f>AVERAGE(AF183:AG183)</f>
        <v>1813.2228808503401</v>
      </c>
      <c r="AH158" s="185">
        <f>AVERAGE(AF158:AG158)</f>
        <v>1784.4771227679782</v>
      </c>
      <c r="AI158" s="259">
        <f>AVERAGE(AH183:AI183)</f>
        <v>1875.4435079628827</v>
      </c>
      <c r="AJ158" s="259">
        <f>AVERAGE(AI183:AJ183)</f>
        <v>1943.1921437717767</v>
      </c>
      <c r="AK158" s="185">
        <f>AVERAGE(AI158:AJ158)</f>
        <v>1909.3178258673297</v>
      </c>
      <c r="AL158" s="259">
        <f>AVERAGE(AK183:AL183)</f>
        <v>2015.6332235524824</v>
      </c>
      <c r="AM158" s="259">
        <f>AVERAGE(AL183:AM183)</f>
        <v>2093.6624822996728</v>
      </c>
      <c r="AN158" s="185">
        <f>AVERAGE(AL158:AM158)</f>
        <v>2054.6478529260776</v>
      </c>
      <c r="AO158" s="259">
        <f>AVERAGE(AN183:AO183)</f>
        <v>2176.5007492500199</v>
      </c>
      <c r="AP158" s="259">
        <f>AVERAGE(AO183:AP183)</f>
        <v>2265.1342701482758</v>
      </c>
      <c r="AQ158" s="185">
        <f>AVERAGE(AO158:AP158)</f>
        <v>2220.8175096991481</v>
      </c>
      <c r="AR158" s="259">
        <f>AVERAGE(AQ183:AR183)</f>
        <v>2358.8223981011697</v>
      </c>
      <c r="AS158" s="259">
        <f>AVERAGE(AR183:AS183)</f>
        <v>2458.6393198454925</v>
      </c>
      <c r="AT158" s="185">
        <f>AVERAGE(AR158:AS158)</f>
        <v>2408.7308589733311</v>
      </c>
      <c r="AU158" s="259">
        <f>AVERAGE(AT183:AU183)</f>
        <v>2563.8706867533397</v>
      </c>
      <c r="AV158" s="259">
        <f>AVERAGE(AU183:AV183)</f>
        <v>2675.6788187972911</v>
      </c>
      <c r="AW158" s="185">
        <f>AVERAGE(AU158:AV158)</f>
        <v>2619.7747527753154</v>
      </c>
      <c r="AX158" s="259">
        <f>AVERAGE(AW183:AX183)</f>
        <v>2793.3677297286495</v>
      </c>
      <c r="AY158" s="259">
        <f>AVERAGE(AX183:AY183)</f>
        <v>2918.1901507947823</v>
      </c>
      <c r="AZ158" s="185">
        <f>AVERAGE(AX158:AY158)</f>
        <v>2855.7789402617159</v>
      </c>
    </row>
    <row r="159" spans="1:52" s="181" customFormat="1">
      <c r="B159" s="175" t="s">
        <v>2356</v>
      </c>
      <c r="E159" s="258"/>
      <c r="F159" s="258"/>
      <c r="G159" s="185"/>
      <c r="H159" s="207">
        <f t="shared" ref="H159:AK159" si="140">H158/E158-1</f>
        <v>0.1184636742248959</v>
      </c>
      <c r="I159" s="207">
        <f t="shared" si="140"/>
        <v>0.12197257076159906</v>
      </c>
      <c r="J159" s="229">
        <f t="shared" si="140"/>
        <v>0.12709005023618514</v>
      </c>
      <c r="K159" s="207">
        <f t="shared" si="140"/>
        <v>0.11522548613984251</v>
      </c>
      <c r="L159" s="207">
        <f t="shared" si="140"/>
        <v>9.2977893368010101E-2</v>
      </c>
      <c r="M159" s="229">
        <f t="shared" si="140"/>
        <v>9.7092868547099309E-2</v>
      </c>
      <c r="N159" s="207">
        <f t="shared" si="140"/>
        <v>9.4107463055709939E-2</v>
      </c>
      <c r="O159" s="207">
        <f t="shared" si="140"/>
        <v>0.11778703152885184</v>
      </c>
      <c r="P159" s="229">
        <f t="shared" si="140"/>
        <v>0.10860140072158386</v>
      </c>
      <c r="Q159" s="207">
        <f>Q158/N158-1</f>
        <v>0.30076292738061627</v>
      </c>
      <c r="R159" s="207">
        <f t="shared" si="140"/>
        <v>0.45800957956359767</v>
      </c>
      <c r="S159" s="229">
        <f t="shared" si="140"/>
        <v>0.37872282237112009</v>
      </c>
      <c r="T159" s="207">
        <f t="shared" si="140"/>
        <v>0.23500021723074238</v>
      </c>
      <c r="U159" s="207">
        <f t="shared" si="140"/>
        <v>5.935173017958828E-2</v>
      </c>
      <c r="V159" s="229">
        <f>V158/S158-1</f>
        <v>0.13954733898002503</v>
      </c>
      <c r="W159" s="207">
        <f>W158/T158-1</f>
        <v>4.1018785618799791E-2</v>
      </c>
      <c r="X159" s="207">
        <f t="shared" si="140"/>
        <v>3.9349459031079892E-2</v>
      </c>
      <c r="Y159" s="229">
        <f t="shared" si="140"/>
        <v>4.0175463027433578E-2</v>
      </c>
      <c r="Z159" s="207">
        <f t="shared" si="140"/>
        <v>3.396188158961877E-2</v>
      </c>
      <c r="AA159" s="207">
        <f t="shared" si="140"/>
        <v>4.3495557618352887E-2</v>
      </c>
      <c r="AB159" s="229">
        <f t="shared" si="140"/>
        <v>3.8774349019345289E-2</v>
      </c>
      <c r="AC159" s="207">
        <f t="shared" si="140"/>
        <v>7.3307840637971022E-2</v>
      </c>
      <c r="AD159" s="207">
        <f t="shared" si="140"/>
        <v>8.2198939058758747E-2</v>
      </c>
      <c r="AE159" s="229">
        <f t="shared" si="140"/>
        <v>7.7816342142533523E-2</v>
      </c>
      <c r="AF159" s="207">
        <f t="shared" si="140"/>
        <v>6.9263924899888307E-2</v>
      </c>
      <c r="AG159" s="207">
        <f t="shared" si="140"/>
        <v>6.4619816971946964E-2</v>
      </c>
      <c r="AH159" s="229">
        <f t="shared" si="140"/>
        <v>6.6899413321810597E-2</v>
      </c>
      <c r="AI159" s="207">
        <f t="shared" si="140"/>
        <v>6.8183633148629186E-2</v>
      </c>
      <c r="AJ159" s="207">
        <f t="shared" si="140"/>
        <v>7.1678591911704448E-2</v>
      </c>
      <c r="AK159" s="229">
        <f t="shared" si="140"/>
        <v>6.9959262299595038E-2</v>
      </c>
      <c r="AL159" s="207">
        <f t="shared" ref="AL159:AZ159" si="141">AL158/AI158-1</f>
        <v>7.4750167090809727E-2</v>
      </c>
      <c r="AM159" s="207">
        <f t="shared" si="141"/>
        <v>7.7434616545860369E-2</v>
      </c>
      <c r="AN159" s="229">
        <f t="shared" si="141"/>
        <v>7.611620500779126E-2</v>
      </c>
      <c r="AO159" s="207">
        <f t="shared" si="141"/>
        <v>7.9809919690653874E-2</v>
      </c>
      <c r="AP159" s="207">
        <f t="shared" si="141"/>
        <v>8.1900396696347633E-2</v>
      </c>
      <c r="AQ159" s="229">
        <f t="shared" si="141"/>
        <v>8.087500567867334E-2</v>
      </c>
      <c r="AR159" s="207">
        <f t="shared" si="141"/>
        <v>8.3768245388371465E-2</v>
      </c>
      <c r="AS159" s="207">
        <f t="shared" si="141"/>
        <v>8.5427628837450698E-2</v>
      </c>
      <c r="AT159" s="229">
        <f t="shared" si="141"/>
        <v>8.4614493740928554E-2</v>
      </c>
      <c r="AU159" s="207">
        <f t="shared" si="141"/>
        <v>8.6928243863222621E-2</v>
      </c>
      <c r="AV159" s="207">
        <f t="shared" si="141"/>
        <v>8.8276266144412752E-2</v>
      </c>
      <c r="AW159" s="229">
        <f t="shared" si="141"/>
        <v>8.7616220390823285E-2</v>
      </c>
      <c r="AX159" s="207">
        <f t="shared" si="141"/>
        <v>8.951194151914299E-2</v>
      </c>
      <c r="AY159" s="207">
        <f t="shared" si="141"/>
        <v>9.0635441852658261E-2</v>
      </c>
      <c r="AZ159" s="229">
        <f t="shared" si="141"/>
        <v>9.0085679021215226E-2</v>
      </c>
    </row>
    <row r="160" spans="1:52" s="181" customFormat="1">
      <c r="B160" s="175" t="s">
        <v>2357</v>
      </c>
      <c r="E160" s="258"/>
      <c r="F160" s="207">
        <f>F158/E158-1</f>
        <v>5.7226592626870243E-2</v>
      </c>
      <c r="G160" s="185" t="s">
        <v>1089</v>
      </c>
      <c r="H160" s="207">
        <f>H158/F158-1</f>
        <v>5.792238109133363E-2</v>
      </c>
      <c r="I160" s="207">
        <f>I158/H158-1</f>
        <v>6.0543373327816896E-2</v>
      </c>
      <c r="J160" s="185" t="s">
        <v>1089</v>
      </c>
      <c r="K160" s="207">
        <f>K158/I158-1</f>
        <v>5.1560468140442017E-2</v>
      </c>
      <c r="L160" s="207">
        <f>L158/K158-1</f>
        <v>3.938663204105608E-2</v>
      </c>
      <c r="M160" s="185" t="s">
        <v>1089</v>
      </c>
      <c r="N160" s="207">
        <f>N158/L158-1</f>
        <v>5.2647233789411052E-2</v>
      </c>
      <c r="O160" s="207">
        <f>O158/N158-1</f>
        <v>6.1881887538852709E-2</v>
      </c>
      <c r="P160" s="185" t="s">
        <v>1089</v>
      </c>
      <c r="Q160" s="207">
        <f>Q158/O158-1</f>
        <v>0.22496008515167665</v>
      </c>
      <c r="R160" s="207">
        <f>R158/Q158-1</f>
        <v>0.19025068427683878</v>
      </c>
      <c r="S160" s="185" t="s">
        <v>1089</v>
      </c>
      <c r="T160" s="207">
        <f>T158/R158-1</f>
        <v>3.7596729449554722E-2</v>
      </c>
      <c r="U160" s="207">
        <f>U158/T158-1</f>
        <v>2.0966720607894063E-2</v>
      </c>
      <c r="V160" s="185" t="s">
        <v>1089</v>
      </c>
      <c r="W160" s="207">
        <f>W158/U158-1</f>
        <v>1.9640272896423561E-2</v>
      </c>
      <c r="X160" s="207">
        <f>X158/W158-1</f>
        <v>1.9329548526628715E-2</v>
      </c>
      <c r="Y160" s="185" t="s">
        <v>1089</v>
      </c>
      <c r="Z160" s="207">
        <f>Z158/X158-1</f>
        <v>1.4354860098130251E-2</v>
      </c>
      <c r="AA160" s="207">
        <f>AA158/Z158-1</f>
        <v>2.8728306696734762E-2</v>
      </c>
      <c r="AB160" s="185" t="s">
        <v>1089</v>
      </c>
      <c r="AC160" s="207">
        <f>AC158/AA158-1</f>
        <v>4.3334604142839073E-2</v>
      </c>
      <c r="AD160" s="207">
        <f>AD158/AC158-1</f>
        <v>3.7250115889570168E-2</v>
      </c>
      <c r="AE160" s="185" t="s">
        <v>1089</v>
      </c>
      <c r="AF160" s="207">
        <f>AF158/AD158-1</f>
        <v>3.0864117072536779E-2</v>
      </c>
      <c r="AG160" s="207">
        <f>AG158/AF158-1</f>
        <v>3.2745052757554571E-2</v>
      </c>
      <c r="AH160" s="185" t="s">
        <v>1089</v>
      </c>
      <c r="AI160" s="207">
        <f>AI158/AG158-1</f>
        <v>3.4314936001338836E-2</v>
      </c>
      <c r="AJ160" s="207">
        <f>AJ158/AI158-1</f>
        <v>3.61240610667517E-2</v>
      </c>
      <c r="AK160" s="185" t="s">
        <v>1089</v>
      </c>
      <c r="AL160" s="207">
        <f>AL158/AJ158-1</f>
        <v>3.7279421910432431E-2</v>
      </c>
      <c r="AM160" s="207">
        <f>AM158/AL158-1</f>
        <v>3.8712032444904176E-2</v>
      </c>
      <c r="AN160" s="185" t="s">
        <v>1089</v>
      </c>
      <c r="AO160" s="207">
        <f>AO158/AM158-1</f>
        <v>3.9566199256414025E-2</v>
      </c>
      <c r="AP160" s="207">
        <f>AP158/AO158-1</f>
        <v>4.0722945272955835E-2</v>
      </c>
      <c r="AQ160" s="185" t="s">
        <v>1089</v>
      </c>
      <c r="AR160" s="207">
        <f>AR158/AP158-1</f>
        <v>4.1360960004706904E-2</v>
      </c>
      <c r="AS160" s="207">
        <f>AS158/AR158-1</f>
        <v>4.2316421034781726E-2</v>
      </c>
      <c r="AT160" s="185" t="s">
        <v>1089</v>
      </c>
      <c r="AU160" s="207">
        <f>AU158/AS158-1</f>
        <v>4.2800652400881711E-2</v>
      </c>
      <c r="AV160" s="207">
        <f>AV158/AU158-1</f>
        <v>4.3609115163891321E-2</v>
      </c>
      <c r="AW160" s="185" t="s">
        <v>1089</v>
      </c>
      <c r="AX160" s="207">
        <f>AX158/AV158-1</f>
        <v>4.3984692820590254E-2</v>
      </c>
      <c r="AY160" s="207">
        <f>AY158/AX158-1</f>
        <v>4.4685280687429607E-2</v>
      </c>
      <c r="AZ160" s="185" t="s">
        <v>1089</v>
      </c>
    </row>
    <row r="161" spans="2:52" s="181" customFormat="1">
      <c r="B161" s="175" t="s">
        <v>2358</v>
      </c>
      <c r="E161" s="258"/>
      <c r="F161" s="258"/>
      <c r="G161" s="261"/>
      <c r="H161" s="258"/>
      <c r="I161" s="259"/>
      <c r="J161" s="261"/>
      <c r="K161" s="259"/>
      <c r="L161" s="258"/>
      <c r="M161" s="261"/>
      <c r="N161" s="259"/>
      <c r="O161" s="258"/>
      <c r="P161" s="261"/>
      <c r="Q161" s="259"/>
      <c r="R161" s="258"/>
      <c r="S161" s="261"/>
      <c r="T161" s="259"/>
      <c r="U161" s="258"/>
      <c r="V161" s="261"/>
      <c r="W161" s="259"/>
      <c r="X161" s="258"/>
      <c r="Y161" s="261"/>
      <c r="Z161" s="259"/>
      <c r="AA161" s="258"/>
      <c r="AB161" s="261"/>
      <c r="AC161" s="259"/>
      <c r="AD161" s="258"/>
      <c r="AE161" s="261"/>
      <c r="AF161" s="259"/>
      <c r="AG161" s="258"/>
      <c r="AH161" s="261"/>
      <c r="AI161" s="259"/>
      <c r="AJ161" s="258"/>
      <c r="AK161" s="261"/>
      <c r="AL161" s="259"/>
      <c r="AM161" s="258"/>
      <c r="AN161" s="261"/>
      <c r="AO161" s="259"/>
      <c r="AP161" s="258"/>
      <c r="AQ161" s="261"/>
      <c r="AR161" s="259"/>
      <c r="AS161" s="258"/>
      <c r="AT161" s="261"/>
      <c r="AU161" s="259"/>
      <c r="AV161" s="258"/>
      <c r="AW161" s="261"/>
      <c r="AX161" s="259"/>
      <c r="AY161" s="258"/>
      <c r="AZ161" s="261"/>
    </row>
    <row r="162" spans="2:52" s="181" customFormat="1">
      <c r="B162" s="175" t="s">
        <v>2316</v>
      </c>
      <c r="E162" s="207">
        <f t="shared" ref="E162:F164" si="142">E150/E$158*2</f>
        <v>1.1661267931513188</v>
      </c>
      <c r="F162" s="207">
        <f t="shared" si="142"/>
        <v>1.2022176831047564</v>
      </c>
      <c r="G162" s="229">
        <f>G150/G$158</f>
        <v>1.1846742145909877</v>
      </c>
      <c r="H162" s="207">
        <f t="shared" ref="H162:I164" si="143">H150/H$158*2</f>
        <v>1.1557026617018342</v>
      </c>
      <c r="I162" s="207">
        <f t="shared" si="143"/>
        <v>1.1729518855656698</v>
      </c>
      <c r="J162" s="229">
        <f>J150/J$158</f>
        <v>1.1575306013837148</v>
      </c>
      <c r="K162" s="207">
        <f t="shared" ref="K162:L164" si="144">K150/K$158*2</f>
        <v>1.1747975020095223</v>
      </c>
      <c r="L162" s="207">
        <f t="shared" si="144"/>
        <v>1.1873884592504464</v>
      </c>
      <c r="M162" s="229">
        <f>M150/M$158</f>
        <v>1.1812145650789803</v>
      </c>
      <c r="N162" s="207">
        <f t="shared" ref="N162:O164" si="145">N150/N$158*2</f>
        <v>1.1076575303758127</v>
      </c>
      <c r="O162" s="207">
        <f t="shared" si="145"/>
        <v>1.0984566258648221</v>
      </c>
      <c r="P162" s="229">
        <f>P150/P$158</f>
        <v>1.1005059483112269</v>
      </c>
      <c r="Q162" s="207">
        <f t="shared" ref="Q162:R164" si="146">Q150/Q$158*2</f>
        <v>1.2599383064691316</v>
      </c>
      <c r="R162" s="207">
        <f t="shared" si="146"/>
        <v>1.1023507081325743</v>
      </c>
      <c r="S162" s="229">
        <f>S150/S$158</f>
        <v>1.1743002796897628</v>
      </c>
      <c r="T162" s="227">
        <f t="shared" ref="T162:X164" si="147">T150/T$158*2</f>
        <v>1.097586716386407</v>
      </c>
      <c r="U162" s="207">
        <f t="shared" si="147"/>
        <v>1.0805595754944528</v>
      </c>
      <c r="V162" s="229">
        <f>V150/V$158</f>
        <v>1.0889848210555635</v>
      </c>
      <c r="W162" s="227">
        <f t="shared" si="147"/>
        <v>1.0827250608272507</v>
      </c>
      <c r="X162" s="227">
        <f t="shared" si="147"/>
        <v>1.0794324360164436</v>
      </c>
      <c r="Y162" s="229">
        <f>Y150/Y$158</f>
        <v>1.0810629894905952</v>
      </c>
      <c r="Z162" s="227">
        <f t="shared" ref="Z162:AD163" si="148">Z150/Z$158*2</f>
        <v>1.0850737000359514</v>
      </c>
      <c r="AA162" s="227">
        <f t="shared" si="148"/>
        <v>1.0738340322785616</v>
      </c>
      <c r="AB162" s="229">
        <f>AB150/AB$158</f>
        <v>1.079374285115912</v>
      </c>
      <c r="AC162" s="227">
        <f t="shared" si="148"/>
        <v>1.1486475195626422</v>
      </c>
      <c r="AD162" s="227">
        <f t="shared" si="148"/>
        <v>1.1305764774216329</v>
      </c>
      <c r="AE162" s="229">
        <f>AE150/AE$158</f>
        <v>1.1394467884355157</v>
      </c>
      <c r="AF162" s="227">
        <f t="shared" ref="AF162:AG164" si="149">AF150/AF$158*2</f>
        <v>0</v>
      </c>
      <c r="AG162" s="227">
        <f t="shared" si="149"/>
        <v>0</v>
      </c>
      <c r="AH162" s="229">
        <f>AH150/AH$158</f>
        <v>0</v>
      </c>
      <c r="AI162" s="227">
        <f t="shared" ref="AI162:AJ164" si="150">AI150/AI$158*2</f>
        <v>0</v>
      </c>
      <c r="AJ162" s="227">
        <f t="shared" si="150"/>
        <v>0</v>
      </c>
      <c r="AK162" s="229">
        <f>AK150/AK$158</f>
        <v>0</v>
      </c>
      <c r="AL162" s="256">
        <f>AI162</f>
        <v>0</v>
      </c>
      <c r="AM162" s="256">
        <f>AJ162</f>
        <v>0</v>
      </c>
      <c r="AN162" s="229">
        <f>AN150/AN$158</f>
        <v>0</v>
      </c>
      <c r="AO162" s="256">
        <f>AL162</f>
        <v>0</v>
      </c>
      <c r="AP162" s="256">
        <f>AM162</f>
        <v>0</v>
      </c>
      <c r="AQ162" s="229">
        <f>AQ150/AQ$158</f>
        <v>0</v>
      </c>
      <c r="AR162" s="256">
        <f>AO162</f>
        <v>0</v>
      </c>
      <c r="AS162" s="256">
        <f>AP162</f>
        <v>0</v>
      </c>
      <c r="AT162" s="229">
        <f>AT150/AT$158</f>
        <v>0</v>
      </c>
      <c r="AU162" s="256">
        <f>AR162</f>
        <v>0</v>
      </c>
      <c r="AV162" s="256">
        <f>AS162</f>
        <v>0</v>
      </c>
      <c r="AW162" s="229">
        <f>AW150/AW$158</f>
        <v>0</v>
      </c>
      <c r="AX162" s="256">
        <f>AU162</f>
        <v>0</v>
      </c>
      <c r="AY162" s="256">
        <f>AV162</f>
        <v>0</v>
      </c>
      <c r="AZ162" s="229">
        <f>AZ150/AZ$158</f>
        <v>0</v>
      </c>
    </row>
    <row r="163" spans="2:52" s="181" customFormat="1">
      <c r="B163" s="175" t="s">
        <v>2317</v>
      </c>
      <c r="E163" s="207">
        <f t="shared" si="142"/>
        <v>-0.57380842202683946</v>
      </c>
      <c r="F163" s="207">
        <f t="shared" si="142"/>
        <v>-0.62153487014881825</v>
      </c>
      <c r="G163" s="229">
        <f>G151/G$158</f>
        <v>-0.59833545774911912</v>
      </c>
      <c r="H163" s="207">
        <f t="shared" si="143"/>
        <v>-0.61508757412770654</v>
      </c>
      <c r="I163" s="207">
        <f t="shared" si="143"/>
        <v>-0.611183355006502</v>
      </c>
      <c r="J163" s="229">
        <f>J151/J$158</f>
        <v>-0.60936668440659925</v>
      </c>
      <c r="K163" s="207">
        <f t="shared" si="144"/>
        <v>-0.63068076423669084</v>
      </c>
      <c r="L163" s="207">
        <f t="shared" si="144"/>
        <v>-0.64961332540154693</v>
      </c>
      <c r="M163" s="229">
        <f>M151/M$158</f>
        <v>-0.64032986690113103</v>
      </c>
      <c r="N163" s="207">
        <f t="shared" si="145"/>
        <v>-0.64651031364792333</v>
      </c>
      <c r="O163" s="207">
        <f t="shared" si="145"/>
        <v>-0.70463012240553502</v>
      </c>
      <c r="P163" s="229">
        <f>P151/P$158</f>
        <v>-0.67496239573362526</v>
      </c>
      <c r="Q163" s="207">
        <f t="shared" si="146"/>
        <v>-0.81852543771994624</v>
      </c>
      <c r="R163" s="207">
        <f t="shared" si="146"/>
        <v>-0.73733391736019871</v>
      </c>
      <c r="S163" s="229">
        <f>S151/S$158</f>
        <v>-0.77440342768730297</v>
      </c>
      <c r="T163" s="227">
        <f t="shared" si="147"/>
        <v>-0.71906001547878717</v>
      </c>
      <c r="U163" s="207">
        <f t="shared" si="147"/>
        <v>-0.78009785679829113</v>
      </c>
      <c r="V163" s="229">
        <f>V151/V$158</f>
        <v>-0.74989555772176586</v>
      </c>
      <c r="W163" s="227">
        <f t="shared" si="147"/>
        <v>-0.74479589078129227</v>
      </c>
      <c r="X163" s="227">
        <f t="shared" si="147"/>
        <v>-0.7731070149847501</v>
      </c>
      <c r="Y163" s="229">
        <f>Y151/Y$158</f>
        <v>-0.75908695361135292</v>
      </c>
      <c r="Z163" s="227">
        <f t="shared" si="148"/>
        <v>-0.83145406412393374</v>
      </c>
      <c r="AA163" s="227">
        <f t="shared" si="148"/>
        <v>-0.95819036726394735</v>
      </c>
      <c r="AB163" s="229">
        <f>AB151/AB$158</f>
        <v>-0.89571955600663744</v>
      </c>
      <c r="AC163" s="227">
        <f>AC151/AC$158*2</f>
        <v>-0.95320600130870015</v>
      </c>
      <c r="AD163" s="227">
        <f>AD151/AD$158*2</f>
        <v>-0.93820973350213133</v>
      </c>
      <c r="AE163" s="229">
        <f>AE151/AE$158</f>
        <v>-0.94557076771663695</v>
      </c>
      <c r="AF163" s="227">
        <f t="shared" si="149"/>
        <v>0</v>
      </c>
      <c r="AG163" s="227">
        <f t="shared" si="149"/>
        <v>0</v>
      </c>
      <c r="AH163" s="229">
        <f>AH151/AH$158</f>
        <v>0</v>
      </c>
      <c r="AI163" s="227">
        <f t="shared" si="150"/>
        <v>0</v>
      </c>
      <c r="AJ163" s="227">
        <f t="shared" si="150"/>
        <v>0</v>
      </c>
      <c r="AK163" s="229">
        <f>AK151/AK$158</f>
        <v>0</v>
      </c>
      <c r="AL163" s="400">
        <f>AK163</f>
        <v>0</v>
      </c>
      <c r="AM163" s="400">
        <f>AL163</f>
        <v>0</v>
      </c>
      <c r="AN163" s="229">
        <f>AN151/AN$158</f>
        <v>0</v>
      </c>
      <c r="AO163" s="400">
        <f>AN163</f>
        <v>0</v>
      </c>
      <c r="AP163" s="400">
        <f>AO163</f>
        <v>0</v>
      </c>
      <c r="AQ163" s="229">
        <f>AQ151/AQ$158</f>
        <v>0</v>
      </c>
      <c r="AR163" s="400">
        <f>AQ163</f>
        <v>0</v>
      </c>
      <c r="AS163" s="400">
        <f>AR163</f>
        <v>0</v>
      </c>
      <c r="AT163" s="229">
        <f>AT151/AT$158</f>
        <v>0</v>
      </c>
      <c r="AU163" s="400">
        <f>AT163</f>
        <v>0</v>
      </c>
      <c r="AV163" s="400">
        <f>AU163</f>
        <v>0</v>
      </c>
      <c r="AW163" s="229">
        <f>AW151/AW$158</f>
        <v>0</v>
      </c>
      <c r="AX163" s="400">
        <f>AW163</f>
        <v>0</v>
      </c>
      <c r="AY163" s="400">
        <f>AX163</f>
        <v>0</v>
      </c>
      <c r="AZ163" s="229">
        <f>AZ151/AZ$158</f>
        <v>0</v>
      </c>
    </row>
    <row r="164" spans="2:52" s="181" customFormat="1">
      <c r="B164" s="175" t="s">
        <v>2318</v>
      </c>
      <c r="E164" s="207">
        <f t="shared" si="142"/>
        <v>0.59231837112447949</v>
      </c>
      <c r="F164" s="207">
        <f t="shared" si="142"/>
        <v>0.58068281295593815</v>
      </c>
      <c r="G164" s="229">
        <f>G152/G$158</f>
        <v>0.58633875684186854</v>
      </c>
      <c r="H164" s="207">
        <f t="shared" si="143"/>
        <v>0.54061508757412768</v>
      </c>
      <c r="I164" s="207">
        <f t="shared" si="143"/>
        <v>0.56176853055916776</v>
      </c>
      <c r="J164" s="229">
        <f>J152/J$158</f>
        <v>0.54816391697711542</v>
      </c>
      <c r="K164" s="207">
        <f t="shared" si="144"/>
        <v>0.54411673777283132</v>
      </c>
      <c r="L164" s="207">
        <f t="shared" si="144"/>
        <v>0.53777513384889963</v>
      </c>
      <c r="M164" s="229">
        <f>M152/M$158</f>
        <v>0.54088469817784934</v>
      </c>
      <c r="N164" s="207">
        <f t="shared" si="145"/>
        <v>0.46114721672788933</v>
      </c>
      <c r="O164" s="207">
        <f t="shared" si="145"/>
        <v>0.39382650345928694</v>
      </c>
      <c r="P164" s="229">
        <f>P152/P$158</f>
        <v>0.42554355257760162</v>
      </c>
      <c r="Q164" s="207">
        <f t="shared" si="146"/>
        <v>0.44141286874918539</v>
      </c>
      <c r="R164" s="207">
        <f t="shared" si="146"/>
        <v>0.36501679077237559</v>
      </c>
      <c r="S164" s="229">
        <f>S152/S$158</f>
        <v>0.39989685200245972</v>
      </c>
      <c r="T164" s="207">
        <f t="shared" si="147"/>
        <v>0.37852670090761986</v>
      </c>
      <c r="U164" s="207">
        <f t="shared" si="147"/>
        <v>0.30046171869616162</v>
      </c>
      <c r="V164" s="229">
        <f>V152/V$158</f>
        <v>0.33908926333379757</v>
      </c>
      <c r="W164" s="207">
        <f>W152/W$158*2</f>
        <v>0.3379291700459584</v>
      </c>
      <c r="X164" s="207">
        <f>X152/X$158*2</f>
        <v>0.30632542103169347</v>
      </c>
      <c r="Y164" s="229">
        <f>Y152/Y$158</f>
        <v>0.32197603587924228</v>
      </c>
      <c r="Z164" s="207">
        <f>Z152/Z$158*2</f>
        <v>0.25361963591201753</v>
      </c>
      <c r="AA164" s="207">
        <f>AA152/AA$158*2</f>
        <v>0.11564366501461433</v>
      </c>
      <c r="AB164" s="229">
        <f>AB152/AB$158</f>
        <v>0.18365472910927458</v>
      </c>
      <c r="AC164" s="207">
        <f>AC152/AC$158*2</f>
        <v>0.19544151825394213</v>
      </c>
      <c r="AD164" s="207">
        <f>AD152/AD$158*2</f>
        <v>0.19236674391950173</v>
      </c>
      <c r="AE164" s="229">
        <f>AE152/AE$158</f>
        <v>0.19387602071887869</v>
      </c>
      <c r="AF164" s="207">
        <f t="shared" si="149"/>
        <v>0</v>
      </c>
      <c r="AG164" s="207">
        <f t="shared" si="149"/>
        <v>0</v>
      </c>
      <c r="AH164" s="229">
        <f>AH152/AH$158</f>
        <v>0</v>
      </c>
      <c r="AI164" s="207">
        <f t="shared" si="150"/>
        <v>0</v>
      </c>
      <c r="AJ164" s="207">
        <f t="shared" si="150"/>
        <v>0</v>
      </c>
      <c r="AK164" s="229">
        <f>AK152/AK$158</f>
        <v>0</v>
      </c>
      <c r="AL164" s="207">
        <f>AL152/AL$158*2</f>
        <v>0</v>
      </c>
      <c r="AM164" s="207">
        <f>AM152/AM$158*2</f>
        <v>0</v>
      </c>
      <c r="AN164" s="229">
        <f>AN152/AN$158</f>
        <v>0</v>
      </c>
      <c r="AO164" s="207">
        <f>AO152/AO$158*2</f>
        <v>0</v>
      </c>
      <c r="AP164" s="207">
        <f>AP152/AP$158*2</f>
        <v>0</v>
      </c>
      <c r="AQ164" s="229">
        <f>AQ152/AQ$158</f>
        <v>0</v>
      </c>
      <c r="AR164" s="207">
        <f>AR152/AR$158*2</f>
        <v>0</v>
      </c>
      <c r="AS164" s="207">
        <f>AS152/AS$158*2</f>
        <v>0</v>
      </c>
      <c r="AT164" s="229">
        <f>AT152/AT$158</f>
        <v>0</v>
      </c>
      <c r="AU164" s="207">
        <f>AU152/AU$158*2</f>
        <v>0</v>
      </c>
      <c r="AV164" s="207">
        <f>AV152/AV$158*2</f>
        <v>0</v>
      </c>
      <c r="AW164" s="229">
        <f>AW152/AW$158</f>
        <v>0</v>
      </c>
      <c r="AX164" s="207">
        <f>AX152/AX$158*2</f>
        <v>0</v>
      </c>
      <c r="AY164" s="207">
        <f>AY152/AY$158*2</f>
        <v>0</v>
      </c>
      <c r="AZ164" s="229">
        <f>AZ152/AZ$158</f>
        <v>0</v>
      </c>
    </row>
    <row r="165" spans="2:52" s="181" customFormat="1">
      <c r="B165" s="175" t="s">
        <v>2359</v>
      </c>
      <c r="E165" s="207">
        <f>-E153/E$158*2</f>
        <v>0.30849915162733305</v>
      </c>
      <c r="F165" s="207">
        <f>-F153/F$158*2</f>
        <v>0.29180040852057193</v>
      </c>
      <c r="G165" s="229">
        <f>-G153/G$158</f>
        <v>0.2999175226812627</v>
      </c>
      <c r="H165" s="207">
        <f>-H153/H$158*2</f>
        <v>0.253758102330713</v>
      </c>
      <c r="I165" s="207">
        <f>-I153/I$158*2</f>
        <v>0.23407022106631989</v>
      </c>
      <c r="J165" s="229">
        <f>-J153/J$158</f>
        <v>0.24215007982969664</v>
      </c>
      <c r="K165" s="207">
        <f>-K153/K$158*2</f>
        <v>0.21022692141223029</v>
      </c>
      <c r="L165" s="207">
        <f>-L153/L$158*2</f>
        <v>0.20226055919095781</v>
      </c>
      <c r="M165" s="229">
        <f>-M153/M$158</f>
        <v>0.20616681320680355</v>
      </c>
      <c r="N165" s="207">
        <f>-N153/N$158*2</f>
        <v>0.20570782706979379</v>
      </c>
      <c r="O165" s="207">
        <f>-O153/O$158*2</f>
        <v>0.19159127195316664</v>
      </c>
      <c r="P165" s="229">
        <f>-P153/P$158</f>
        <v>0.19800355531245731</v>
      </c>
      <c r="Q165" s="207">
        <f>-Q153/Q$158*2</f>
        <v>0.20506582091497591</v>
      </c>
      <c r="R165" s="207">
        <f>-R153/R$158*2</f>
        <v>0.1722879252445613</v>
      </c>
      <c r="S165" s="229">
        <f>-S153/S$158</f>
        <v>0.18725328784242162</v>
      </c>
      <c r="T165" s="207">
        <f>-T153/T$158*2</f>
        <v>0.1660451699148667</v>
      </c>
      <c r="U165" s="207">
        <f>-U153/U$158*2</f>
        <v>0.15850044793604856</v>
      </c>
      <c r="V165" s="229">
        <f>-V153/V$158</f>
        <v>0.16223367219050275</v>
      </c>
      <c r="W165" s="207">
        <f>-W153/W$158*2</f>
        <v>0.15950256826169235</v>
      </c>
      <c r="X165" s="207">
        <f>-X153/X$158*2</f>
        <v>0.16178225699509352</v>
      </c>
      <c r="Y165" s="229">
        <f>-Y153/Y$158</f>
        <v>0.16065332351563025</v>
      </c>
      <c r="Z165" s="207">
        <f>-Z153/Z$158*2</f>
        <v>0.16210739614994935</v>
      </c>
      <c r="AA165" s="207">
        <f>-AA153/AA$158*2</f>
        <v>0.1512263311729572</v>
      </c>
      <c r="AB165" s="229">
        <f>-AB153/AB$158</f>
        <v>0.15658982166159202</v>
      </c>
      <c r="AC165" s="207">
        <f>-AC153/AC$158*2</f>
        <v>0.151</v>
      </c>
      <c r="AD165" s="207">
        <f>-AD153/AD$158*2</f>
        <v>0.14000000000000001</v>
      </c>
      <c r="AE165" s="229">
        <f>-AE153/AE$158</f>
        <v>0.14539943520641146</v>
      </c>
      <c r="AF165" s="207">
        <f>-AF153/AF$158*2</f>
        <v>0</v>
      </c>
      <c r="AG165" s="207">
        <f>-AG153/AG$158*2</f>
        <v>0</v>
      </c>
      <c r="AH165" s="229">
        <f>-AH153/AH$158</f>
        <v>0</v>
      </c>
      <c r="AI165" s="207">
        <f>-AI153/AI$158*2</f>
        <v>0</v>
      </c>
      <c r="AJ165" s="207">
        <f>-AJ153/AJ$158*2</f>
        <v>0</v>
      </c>
      <c r="AK165" s="229">
        <f>-AK153/AK$158</f>
        <v>0</v>
      </c>
      <c r="AL165" s="207">
        <f>-AL153/AL$158*2</f>
        <v>0</v>
      </c>
      <c r="AM165" s="207">
        <f>-AM153/AM$158*2</f>
        <v>0</v>
      </c>
      <c r="AN165" s="229">
        <f>-AN153/AN$158</f>
        <v>0</v>
      </c>
      <c r="AO165" s="207">
        <f>-AO153/AO$158*2</f>
        <v>0</v>
      </c>
      <c r="AP165" s="207">
        <f>-AP153/AP$158*2</f>
        <v>0</v>
      </c>
      <c r="AQ165" s="229">
        <f>-AQ153/AQ$158</f>
        <v>0</v>
      </c>
      <c r="AR165" s="207">
        <f>-AR153/AR$158*2</f>
        <v>0</v>
      </c>
      <c r="AS165" s="207">
        <f>-AS153/AS$158*2</f>
        <v>0</v>
      </c>
      <c r="AT165" s="229">
        <f>-AT153/AT$158</f>
        <v>0</v>
      </c>
      <c r="AU165" s="207">
        <f>-AU153/AU$158*2</f>
        <v>0</v>
      </c>
      <c r="AV165" s="207">
        <f>-AV153/AV$158*2</f>
        <v>0</v>
      </c>
      <c r="AW165" s="229">
        <f>-AW153/AW$158</f>
        <v>0</v>
      </c>
      <c r="AX165" s="207">
        <f>-AX153/AX$158*2</f>
        <v>0</v>
      </c>
      <c r="AY165" s="207">
        <f>-AY153/AY$158*2</f>
        <v>0</v>
      </c>
      <c r="AZ165" s="229">
        <f>-AZ153/AZ$158</f>
        <v>0</v>
      </c>
    </row>
    <row r="166" spans="2:52">
      <c r="G166" s="197"/>
      <c r="J166" s="197"/>
      <c r="M166" s="197"/>
      <c r="P166" s="197"/>
      <c r="S166" s="197"/>
      <c r="V166" s="197"/>
      <c r="Y166" s="197"/>
      <c r="AB166" s="197"/>
      <c r="AE166" s="197"/>
      <c r="AH166" s="197"/>
      <c r="AK166" s="197"/>
      <c r="AN166" s="197"/>
      <c r="AQ166" s="197"/>
      <c r="AT166" s="197"/>
      <c r="AW166" s="197"/>
      <c r="AZ166" s="197"/>
    </row>
    <row r="167" spans="2:52">
      <c r="B167" s="175" t="s">
        <v>2319</v>
      </c>
      <c r="G167" s="197"/>
      <c r="H167" s="207">
        <f t="shared" ref="H167:AE167" si="151">H150/E150-1</f>
        <v>0.10846560846560838</v>
      </c>
      <c r="I167" s="207">
        <f t="shared" si="151"/>
        <v>9.4660194174757351E-2</v>
      </c>
      <c r="J167" s="229">
        <f t="shared" si="151"/>
        <v>0.10126582278481022</v>
      </c>
      <c r="K167" s="207">
        <f t="shared" si="151"/>
        <v>0.13365155131264927</v>
      </c>
      <c r="L167" s="207">
        <f t="shared" si="151"/>
        <v>0.10643015521064303</v>
      </c>
      <c r="M167" s="229">
        <f t="shared" si="151"/>
        <v>0.11954022988505741</v>
      </c>
      <c r="N167" s="207">
        <f t="shared" si="151"/>
        <v>3.1578947368421151E-2</v>
      </c>
      <c r="O167" s="207">
        <f t="shared" si="151"/>
        <v>3.4068136272545013E-2</v>
      </c>
      <c r="P167" s="229">
        <f t="shared" si="151"/>
        <v>3.2854209445585258E-2</v>
      </c>
      <c r="Q167" s="207">
        <f t="shared" si="151"/>
        <v>0.47959183673469385</v>
      </c>
      <c r="R167" s="207">
        <f>R150/O150-1</f>
        <v>0.46317829457364335</v>
      </c>
      <c r="S167" s="229">
        <f>S150/P150-1</f>
        <v>0.47117296222664007</v>
      </c>
      <c r="T167" s="207">
        <f t="shared" si="151"/>
        <v>7.5862068965517171E-2</v>
      </c>
      <c r="U167" s="207">
        <f t="shared" si="151"/>
        <v>3.8410596026489996E-2</v>
      </c>
      <c r="V167" s="229">
        <f>V150/S150-1</f>
        <v>5.6756756756756843E-2</v>
      </c>
      <c r="W167" s="207">
        <f>W150/T150-1</f>
        <v>2.6923076923076827E-2</v>
      </c>
      <c r="X167" s="207">
        <f t="shared" si="151"/>
        <v>3.8265306122448939E-2</v>
      </c>
      <c r="Y167" s="229">
        <f>Y150/V150-1</f>
        <v>3.2608695652173836E-2</v>
      </c>
      <c r="Z167" s="207">
        <f>Z150/W150-1</f>
        <v>3.6204744069912698E-2</v>
      </c>
      <c r="AA167" s="207">
        <f>AA150/X150-1</f>
        <v>3.8083538083538038E-2</v>
      </c>
      <c r="AB167" s="229">
        <f t="shared" si="151"/>
        <v>3.7151702786377694E-2</v>
      </c>
      <c r="AC167" s="207">
        <f>AC150/Z150-1</f>
        <v>0.13619230549509531</v>
      </c>
      <c r="AD167" s="207">
        <f>AD150/AA150-1</f>
        <v>0.13938339409333533</v>
      </c>
      <c r="AE167" s="229">
        <f t="shared" si="151"/>
        <v>0.13780213825062537</v>
      </c>
      <c r="AF167" s="207"/>
      <c r="AG167" s="207"/>
      <c r="AH167" s="229"/>
      <c r="AI167" s="207"/>
      <c r="AJ167" s="207"/>
      <c r="AK167" s="229"/>
      <c r="AL167" s="207"/>
      <c r="AM167" s="207"/>
      <c r="AN167" s="229"/>
      <c r="AO167" s="207"/>
      <c r="AP167" s="207"/>
      <c r="AQ167" s="229"/>
      <c r="AR167" s="207"/>
      <c r="AS167" s="207"/>
      <c r="AT167" s="229"/>
      <c r="AU167" s="207"/>
      <c r="AV167" s="207"/>
      <c r="AW167" s="229"/>
      <c r="AX167" s="207"/>
      <c r="AY167" s="207"/>
      <c r="AZ167" s="229"/>
    </row>
    <row r="168" spans="2:52">
      <c r="B168" s="175" t="s">
        <v>2320</v>
      </c>
      <c r="G168" s="197"/>
      <c r="H168" s="207">
        <f t="shared" ref="H168:AE170" si="152">H152/E152-1</f>
        <v>2.0833333333333259E-2</v>
      </c>
      <c r="I168" s="207">
        <f t="shared" si="152"/>
        <v>8.5427135678391997E-2</v>
      </c>
      <c r="J168" s="229">
        <f t="shared" si="152"/>
        <v>5.3708439897698135E-2</v>
      </c>
      <c r="K168" s="207">
        <f t="shared" si="152"/>
        <v>0.12244897959183665</v>
      </c>
      <c r="L168" s="207">
        <f t="shared" si="152"/>
        <v>4.629629629629628E-2</v>
      </c>
      <c r="M168" s="229">
        <f t="shared" si="152"/>
        <v>8.2524271844660158E-2</v>
      </c>
      <c r="N168" s="207">
        <f t="shared" si="152"/>
        <v>-7.2727272727272751E-2</v>
      </c>
      <c r="O168" s="207">
        <f t="shared" si="152"/>
        <v>-0.18141592920353977</v>
      </c>
      <c r="P168" s="229">
        <f t="shared" si="152"/>
        <v>-0.12780269058295968</v>
      </c>
      <c r="Q168" s="207">
        <f t="shared" si="152"/>
        <v>0.24509803921568629</v>
      </c>
      <c r="R168" s="207">
        <f>R152/O152-1</f>
        <v>0.35135135135135132</v>
      </c>
      <c r="S168" s="229">
        <f t="shared" si="152"/>
        <v>0.29562982005141381</v>
      </c>
      <c r="T168" s="207">
        <f t="shared" si="152"/>
        <v>5.9055118110236116E-2</v>
      </c>
      <c r="U168" s="207">
        <f t="shared" si="152"/>
        <v>-0.128</v>
      </c>
      <c r="V168" s="229">
        <f t="shared" si="152"/>
        <v>-3.3730158730158721E-2</v>
      </c>
      <c r="W168" s="207">
        <f t="shared" si="152"/>
        <v>-7.0631970260223054E-2</v>
      </c>
      <c r="X168" s="207">
        <f t="shared" si="152"/>
        <v>5.9633027522935755E-2</v>
      </c>
      <c r="Y168" s="229">
        <f>Y152/V152-1</f>
        <v>-1.2320328542094416E-2</v>
      </c>
      <c r="Z168" s="207">
        <f t="shared" si="152"/>
        <v>-0.22399999999999998</v>
      </c>
      <c r="AA168" s="207">
        <f t="shared" si="152"/>
        <v>-0.60606060606060608</v>
      </c>
      <c r="AB168" s="229">
        <f t="shared" si="152"/>
        <v>-0.40748440748440751</v>
      </c>
      <c r="AC168" s="207">
        <f>AC152/Z152-1</f>
        <v>-0.17289955419336878</v>
      </c>
      <c r="AD168" s="207">
        <f>AD152/AA152-1</f>
        <v>0.80017717488947016</v>
      </c>
      <c r="AE168" s="229">
        <f t="shared" si="152"/>
        <v>0.13780213825062493</v>
      </c>
      <c r="AF168" s="207"/>
      <c r="AG168" s="207"/>
      <c r="AH168" s="229"/>
      <c r="AI168" s="207"/>
      <c r="AJ168" s="207"/>
      <c r="AK168" s="229"/>
      <c r="AL168" s="207"/>
      <c r="AM168" s="207"/>
      <c r="AN168" s="229"/>
      <c r="AO168" s="207"/>
      <c r="AP168" s="207"/>
      <c r="AQ168" s="229"/>
      <c r="AR168" s="207"/>
      <c r="AS168" s="207"/>
      <c r="AT168" s="229"/>
      <c r="AU168" s="207"/>
      <c r="AV168" s="207"/>
      <c r="AW168" s="229"/>
      <c r="AX168" s="207"/>
      <c r="AY168" s="207"/>
      <c r="AZ168" s="229"/>
    </row>
    <row r="169" spans="2:52">
      <c r="B169" s="175" t="s">
        <v>2321</v>
      </c>
      <c r="G169" s="197"/>
      <c r="H169" s="207">
        <f t="shared" si="152"/>
        <v>-7.999999999999996E-2</v>
      </c>
      <c r="I169" s="207">
        <f t="shared" si="152"/>
        <v>-9.9999999999999978E-2</v>
      </c>
      <c r="J169" s="229">
        <f>J153/G153-1</f>
        <v>-8.9999999999999969E-2</v>
      </c>
      <c r="K169" s="207">
        <f>K153/H153-1</f>
        <v>-7.6086956521739135E-2</v>
      </c>
      <c r="L169" s="207">
        <f t="shared" si="152"/>
        <v>-5.555555555555558E-2</v>
      </c>
      <c r="M169" s="229">
        <f>M153/J153-1</f>
        <v>-6.5934065934065922E-2</v>
      </c>
      <c r="N169" s="207">
        <f>N153/K153-1</f>
        <v>7.0588235294117618E-2</v>
      </c>
      <c r="O169" s="207">
        <f t="shared" si="152"/>
        <v>5.8823529411764719E-2</v>
      </c>
      <c r="P169" s="229">
        <f>P153/M153-1</f>
        <v>6.4705882352941169E-2</v>
      </c>
      <c r="Q169" s="207">
        <f>Q153/N153-1</f>
        <v>0.29670329670329676</v>
      </c>
      <c r="R169" s="207">
        <f>R153/O153-1</f>
        <v>0.31111111111111112</v>
      </c>
      <c r="S169" s="229">
        <f t="shared" si="152"/>
        <v>0.30386740331491713</v>
      </c>
      <c r="T169" s="207">
        <f t="shared" si="152"/>
        <v>0</v>
      </c>
      <c r="U169" s="207">
        <f t="shared" si="152"/>
        <v>-2.5423728813559365E-2</v>
      </c>
      <c r="V169" s="229">
        <f t="shared" si="152"/>
        <v>-1.2711864406779627E-2</v>
      </c>
      <c r="W169" s="207">
        <f t="shared" si="152"/>
        <v>0</v>
      </c>
      <c r="X169" s="207">
        <f>X153/U153-1</f>
        <v>6.0869565217391397E-2</v>
      </c>
      <c r="Y169" s="229">
        <f>Y153/V153-1</f>
        <v>3.0042918454935563E-2</v>
      </c>
      <c r="Z169" s="207">
        <f t="shared" ref="Z169:AE169" si="153">Z153/W153-1</f>
        <v>5.0847457627118731E-2</v>
      </c>
      <c r="AA169" s="207">
        <f t="shared" si="153"/>
        <v>-2.4590163934426257E-2</v>
      </c>
      <c r="AB169" s="229">
        <f t="shared" si="153"/>
        <v>1.2499999999999956E-2</v>
      </c>
      <c r="AC169" s="207">
        <f t="shared" si="153"/>
        <v>-2.3387096774218907E-4</v>
      </c>
      <c r="AD169" s="207">
        <f t="shared" si="153"/>
        <v>1.8615825239260975E-3</v>
      </c>
      <c r="AE169" s="229">
        <f t="shared" si="153"/>
        <v>7.9229761459753689E-4</v>
      </c>
      <c r="AF169" s="207"/>
      <c r="AG169" s="207"/>
      <c r="AH169" s="229"/>
      <c r="AI169" s="207"/>
      <c r="AJ169" s="262"/>
      <c r="AK169" s="229"/>
      <c r="AL169" s="262"/>
      <c r="AM169" s="262"/>
      <c r="AN169" s="229"/>
      <c r="AO169" s="262"/>
      <c r="AP169" s="262"/>
      <c r="AQ169" s="229"/>
      <c r="AR169" s="262"/>
      <c r="AS169" s="262"/>
      <c r="AT169" s="229"/>
      <c r="AU169" s="262"/>
      <c r="AV169" s="262"/>
      <c r="AW169" s="229"/>
      <c r="AX169" s="262"/>
      <c r="AY169" s="262"/>
      <c r="AZ169" s="229"/>
    </row>
    <row r="170" spans="2:52">
      <c r="B170" s="175" t="s">
        <v>2322</v>
      </c>
      <c r="G170" s="197"/>
      <c r="H170" s="207">
        <f>H154/E154-1</f>
        <v>0.13043478260869557</v>
      </c>
      <c r="I170" s="207">
        <f>I154/F154-1</f>
        <v>0.27272727272727271</v>
      </c>
      <c r="J170" s="229">
        <f>J154/G154-1</f>
        <v>0.20418848167539272</v>
      </c>
      <c r="K170" s="207">
        <f>K154/H154-1</f>
        <v>0.29807692307692313</v>
      </c>
      <c r="L170" s="207">
        <f>L154/I154-1</f>
        <v>0.11904761904761907</v>
      </c>
      <c r="M170" s="229">
        <f>M154/J154-1</f>
        <v>0.19999999999999996</v>
      </c>
      <c r="N170" s="207">
        <f>N154/K154-1</f>
        <v>-0.16296296296296298</v>
      </c>
      <c r="O170" s="207">
        <f>O154/L154-1</f>
        <v>-0.32624113475177308</v>
      </c>
      <c r="P170" s="229">
        <f>P154/M154-1</f>
        <v>-0.24637681159420288</v>
      </c>
      <c r="Q170" s="207">
        <f>Q154/N154-1</f>
        <v>0.20353982300884965</v>
      </c>
      <c r="R170" s="207">
        <f>R154/O154-1</f>
        <v>0.38947368421052642</v>
      </c>
      <c r="S170" s="229">
        <f t="shared" si="152"/>
        <v>0.28846153846153855</v>
      </c>
      <c r="T170" s="207">
        <f t="shared" si="152"/>
        <v>0.11029411764705888</v>
      </c>
      <c r="U170" s="207">
        <f t="shared" si="152"/>
        <v>-0.21969696969696972</v>
      </c>
      <c r="V170" s="229">
        <f t="shared" si="152"/>
        <v>-5.2238805970149294E-2</v>
      </c>
      <c r="W170" s="207">
        <f t="shared" si="152"/>
        <v>-0.1258278145695364</v>
      </c>
      <c r="X170" s="207">
        <f>X154/U154-1</f>
        <v>5.8252427184465994E-2</v>
      </c>
      <c r="Y170" s="229">
        <f>Y154/V154-1</f>
        <v>-5.1181102362204745E-2</v>
      </c>
      <c r="Z170" s="207">
        <f t="shared" si="152"/>
        <v>-0.46969696969696972</v>
      </c>
      <c r="AA170" s="207">
        <f t="shared" si="152"/>
        <v>-1.2568807339449541</v>
      </c>
      <c r="AB170" s="229">
        <f>AB154/Y154-1</f>
        <v>-0.82572614107883813</v>
      </c>
      <c r="AC170" s="207">
        <f>AC154/Z154-1</f>
        <v>-0.47876447876447881</v>
      </c>
      <c r="AD170" s="207">
        <f>AD154/AA154-1</f>
        <v>-2.5926640926640925</v>
      </c>
      <c r="AE170" s="229">
        <f>AE154/AB154-1</f>
        <v>0.9305019305019262</v>
      </c>
      <c r="AF170" s="207"/>
      <c r="AG170" s="207"/>
      <c r="AH170" s="229"/>
      <c r="AI170" s="207"/>
      <c r="AJ170" s="207"/>
      <c r="AK170" s="229"/>
      <c r="AL170" s="207"/>
      <c r="AM170" s="207"/>
      <c r="AN170" s="229"/>
      <c r="AO170" s="207"/>
      <c r="AP170" s="207"/>
      <c r="AQ170" s="229"/>
      <c r="AR170" s="207"/>
      <c r="AS170" s="207"/>
      <c r="AT170" s="229"/>
      <c r="AU170" s="207"/>
      <c r="AV170" s="207"/>
      <c r="AW170" s="229"/>
      <c r="AX170" s="207"/>
      <c r="AY170" s="207"/>
      <c r="AZ170" s="229"/>
    </row>
    <row r="171" spans="2:52">
      <c r="B171" s="175" t="s">
        <v>2323</v>
      </c>
      <c r="E171" s="207">
        <f t="shared" ref="E171:X171" si="154">-E155/E154</f>
        <v>0.29347826086956524</v>
      </c>
      <c r="F171" s="207">
        <f t="shared" si="154"/>
        <v>0.24242424242424243</v>
      </c>
      <c r="G171" s="229">
        <f t="shared" si="154"/>
        <v>0.26701570680628273</v>
      </c>
      <c r="H171" s="207">
        <f t="shared" si="154"/>
        <v>0.26923076923076922</v>
      </c>
      <c r="I171" s="207">
        <f t="shared" si="154"/>
        <v>0.30952380952380953</v>
      </c>
      <c r="J171" s="229">
        <f t="shared" si="154"/>
        <v>0.29130434782608694</v>
      </c>
      <c r="K171" s="207">
        <f t="shared" si="154"/>
        <v>0.29629629629629628</v>
      </c>
      <c r="L171" s="207">
        <f t="shared" si="154"/>
        <v>0.29078014184397161</v>
      </c>
      <c r="M171" s="229">
        <f>-M155/M154</f>
        <v>0.29347826086956524</v>
      </c>
      <c r="N171" s="207">
        <f t="shared" si="154"/>
        <v>0.20353982300884957</v>
      </c>
      <c r="O171" s="207">
        <f t="shared" si="154"/>
        <v>8.4210526315789472E-2</v>
      </c>
      <c r="P171" s="229">
        <f>-P155/P154</f>
        <v>0.14903846153846154</v>
      </c>
      <c r="Q171" s="207">
        <f t="shared" si="154"/>
        <v>0.28676470588235292</v>
      </c>
      <c r="R171" s="207">
        <f t="shared" si="154"/>
        <v>0.24242424242424243</v>
      </c>
      <c r="S171" s="229">
        <f t="shared" si="154"/>
        <v>0.26492537313432835</v>
      </c>
      <c r="T171" s="207">
        <f t="shared" si="154"/>
        <v>0.28476821192052981</v>
      </c>
      <c r="U171" s="207">
        <f t="shared" si="154"/>
        <v>0.30097087378640774</v>
      </c>
      <c r="V171" s="229">
        <f t="shared" si="154"/>
        <v>0.29133858267716534</v>
      </c>
      <c r="W171" s="207">
        <f t="shared" si="154"/>
        <v>0.29545454545454547</v>
      </c>
      <c r="X171" s="207">
        <f t="shared" si="154"/>
        <v>0.30275229357798167</v>
      </c>
      <c r="Y171" s="229">
        <f t="shared" ref="Y171:AE171" si="155">-Y155/Y154</f>
        <v>0.29875518672199169</v>
      </c>
      <c r="Z171" s="207">
        <f t="shared" si="155"/>
        <v>0.31428571428571428</v>
      </c>
      <c r="AA171" s="207">
        <f t="shared" si="155"/>
        <v>0.35714285714285715</v>
      </c>
      <c r="AB171" s="229">
        <f t="shared" si="155"/>
        <v>0.2857142857142857</v>
      </c>
      <c r="AC171" s="207">
        <f t="shared" si="155"/>
        <v>0.25999999999999995</v>
      </c>
      <c r="AD171" s="207">
        <f t="shared" si="155"/>
        <v>0.26</v>
      </c>
      <c r="AE171" s="229">
        <f t="shared" si="155"/>
        <v>0.26000000000000056</v>
      </c>
      <c r="AF171" s="207"/>
      <c r="AG171" s="207"/>
      <c r="AH171" s="229"/>
      <c r="AI171" s="207"/>
      <c r="AJ171" s="262"/>
      <c r="AK171" s="229"/>
      <c r="AL171" s="262"/>
      <c r="AM171" s="262"/>
      <c r="AN171" s="229"/>
      <c r="AO171" s="262"/>
      <c r="AP171" s="262"/>
      <c r="AQ171" s="229"/>
      <c r="AR171" s="262"/>
      <c r="AS171" s="262"/>
      <c r="AT171" s="229"/>
      <c r="AU171" s="262"/>
      <c r="AV171" s="262"/>
      <c r="AW171" s="229"/>
      <c r="AX171" s="262"/>
      <c r="AY171" s="262"/>
      <c r="AZ171" s="229"/>
    </row>
    <row r="172" spans="2:52">
      <c r="B172" s="175" t="s">
        <v>2324</v>
      </c>
      <c r="G172" s="197"/>
      <c r="H172" s="207">
        <f t="shared" ref="H172:V172" si="156">H156/E156-1</f>
        <v>0.1692307692307693</v>
      </c>
      <c r="I172" s="207">
        <f t="shared" si="156"/>
        <v>0.15999999999999992</v>
      </c>
      <c r="J172" s="229">
        <f>J156/G156-1</f>
        <v>0.16428571428571437</v>
      </c>
      <c r="K172" s="207">
        <f t="shared" si="156"/>
        <v>0.25</v>
      </c>
      <c r="L172" s="207">
        <f t="shared" si="156"/>
        <v>0.14942528735632177</v>
      </c>
      <c r="M172" s="229">
        <f>M156/J156-1</f>
        <v>0.19631901840490795</v>
      </c>
      <c r="N172" s="207">
        <f t="shared" si="156"/>
        <v>-5.2631578947368474E-2</v>
      </c>
      <c r="O172" s="207">
        <f t="shared" si="156"/>
        <v>-0.13</v>
      </c>
      <c r="P172" s="229">
        <f>P156/M156-1</f>
        <v>-9.2307692307692313E-2</v>
      </c>
      <c r="Q172" s="207">
        <f t="shared" si="156"/>
        <v>7.7777777777777724E-2</v>
      </c>
      <c r="R172" s="207">
        <f>R156/O156-1</f>
        <v>0.14942528735632177</v>
      </c>
      <c r="S172" s="229">
        <f>S156/P156-1</f>
        <v>0.11299435028248594</v>
      </c>
      <c r="T172" s="207">
        <f t="shared" si="156"/>
        <v>0.11340206185567014</v>
      </c>
      <c r="U172" s="207">
        <f t="shared" si="156"/>
        <v>-0.28000000000000003</v>
      </c>
      <c r="V172" s="229">
        <f t="shared" si="156"/>
        <v>-8.6294416243654859E-2</v>
      </c>
      <c r="W172" s="207">
        <f t="shared" ref="W172:AB172" si="157">W156/T156-1</f>
        <v>-0.13888888888888884</v>
      </c>
      <c r="X172" s="207">
        <f t="shared" si="157"/>
        <v>5.555555555555558E-2</v>
      </c>
      <c r="Y172" s="229">
        <f t="shared" si="157"/>
        <v>-6.1111111111111116E-2</v>
      </c>
      <c r="Z172" s="207">
        <f t="shared" si="157"/>
        <v>-0.4838709677419355</v>
      </c>
      <c r="AA172" s="207">
        <f t="shared" si="157"/>
        <v>-1.236842105263158</v>
      </c>
      <c r="AB172" s="229">
        <f t="shared" si="157"/>
        <v>-0.8224852071005917</v>
      </c>
      <c r="AC172" s="207">
        <f>AC156/Z156-1</f>
        <v>-0.4375</v>
      </c>
      <c r="AD172" s="207">
        <f>AD156/AA156-1</f>
        <v>-2.833333333333333</v>
      </c>
      <c r="AE172" s="229">
        <f>AE156/AB156-1</f>
        <v>0.99999999999999378</v>
      </c>
      <c r="AF172" s="207"/>
      <c r="AG172" s="207"/>
      <c r="AH172" s="229"/>
      <c r="AI172" s="207"/>
      <c r="AJ172" s="207"/>
      <c r="AK172" s="229"/>
      <c r="AL172" s="207"/>
      <c r="AM172" s="207"/>
      <c r="AN172" s="229"/>
      <c r="AO172" s="207"/>
      <c r="AP172" s="207"/>
      <c r="AQ172" s="229"/>
      <c r="AR172" s="207"/>
      <c r="AS172" s="207"/>
      <c r="AT172" s="229"/>
      <c r="AU172" s="207"/>
      <c r="AV172" s="207"/>
      <c r="AW172" s="229"/>
      <c r="AX172" s="207"/>
      <c r="AY172" s="207"/>
      <c r="AZ172" s="229"/>
    </row>
    <row r="173" spans="2:52">
      <c r="G173" s="197"/>
      <c r="J173" s="197"/>
      <c r="M173" s="197"/>
      <c r="P173" s="197"/>
      <c r="S173" s="197"/>
      <c r="V173" s="197"/>
      <c r="Y173" s="197"/>
      <c r="AB173" s="197"/>
      <c r="AE173" s="197"/>
      <c r="AH173" s="197"/>
      <c r="AK173" s="197"/>
      <c r="AN173" s="197"/>
      <c r="AQ173" s="197"/>
      <c r="AT173" s="197"/>
      <c r="AW173" s="197"/>
      <c r="AZ173" s="197"/>
    </row>
    <row r="174" spans="2:52">
      <c r="B174" s="181" t="s">
        <v>2360</v>
      </c>
      <c r="G174" s="197"/>
      <c r="J174" s="197"/>
      <c r="M174" s="197"/>
      <c r="P174" s="197"/>
      <c r="S174" s="197"/>
      <c r="V174" s="197"/>
      <c r="Y174" s="197"/>
      <c r="AB174" s="197"/>
      <c r="AE174" s="197"/>
      <c r="AH174" s="197"/>
      <c r="AK174" s="197"/>
      <c r="AN174" s="197"/>
      <c r="AQ174" s="197"/>
      <c r="AT174" s="197"/>
      <c r="AW174" s="197"/>
      <c r="AZ174" s="197"/>
    </row>
    <row r="175" spans="2:52">
      <c r="B175" s="175" t="s">
        <v>2361</v>
      </c>
      <c r="E175" s="263">
        <v>537.1</v>
      </c>
      <c r="F175" s="263">
        <f>E175+F186+F196</f>
        <v>568</v>
      </c>
      <c r="G175" s="264">
        <f>F175</f>
        <v>568</v>
      </c>
      <c r="H175" s="263">
        <f>G175+H186+H196</f>
        <v>600.69999999999993</v>
      </c>
      <c r="I175" s="263">
        <f>H175+I186+I196</f>
        <v>633.39999999999986</v>
      </c>
      <c r="J175" s="264">
        <f>I175</f>
        <v>633.39999999999986</v>
      </c>
      <c r="K175" s="263">
        <f>J175+K186+K196</f>
        <v>653.49999999999989</v>
      </c>
      <c r="L175" s="263">
        <f>K175+L186+L196</f>
        <v>681.99999999999989</v>
      </c>
      <c r="M175" s="264">
        <f>L175</f>
        <v>681.99999999999989</v>
      </c>
      <c r="N175" s="263">
        <f>M175+N186+N196</f>
        <v>716.89999999999986</v>
      </c>
      <c r="O175" s="263">
        <f>N175+O186+O196</f>
        <v>748.09999999999991</v>
      </c>
      <c r="P175" s="264">
        <f>O175</f>
        <v>748.09999999999991</v>
      </c>
      <c r="Q175" s="263">
        <f>P175+Q186+Q196</f>
        <v>1073.0999999999999</v>
      </c>
      <c r="R175" s="263">
        <f>Q175+R186+R196</f>
        <v>1122.3999999999999</v>
      </c>
      <c r="S175" s="264">
        <f>R175</f>
        <v>1122.3999999999999</v>
      </c>
      <c r="T175" s="263">
        <f>S175+T186+T196</f>
        <v>1146.5</v>
      </c>
      <c r="U175" s="263">
        <f>T175+U186+U196</f>
        <v>1165.2</v>
      </c>
      <c r="V175" s="264">
        <f>U175</f>
        <v>1165.2</v>
      </c>
      <c r="W175" s="263">
        <f>V175+W186+W196</f>
        <v>1184.5</v>
      </c>
      <c r="X175" s="263">
        <f>W175+X186+X196</f>
        <v>1211.7</v>
      </c>
      <c r="Y175" s="264">
        <f>X175</f>
        <v>1211.7</v>
      </c>
      <c r="Z175" s="263">
        <f>Y175+Z186+Z196</f>
        <v>1223.8000000000002</v>
      </c>
      <c r="AA175" s="263">
        <f>Z175+AA186+AA196</f>
        <v>1238.5000000000002</v>
      </c>
      <c r="AB175" s="264">
        <f>AA175</f>
        <v>1238.5000000000002</v>
      </c>
      <c r="AC175" s="263">
        <f>AB175+AC186+AC196</f>
        <v>1247.5000000000005</v>
      </c>
      <c r="AD175" s="263">
        <f>AC175+AD186+AD196</f>
        <v>1265.6393805813489</v>
      </c>
      <c r="AE175" s="264">
        <f>AD175</f>
        <v>1265.6393805813489</v>
      </c>
      <c r="AF175" s="263">
        <f>AE175+AF186+AF196</f>
        <v>1286.0683487898852</v>
      </c>
      <c r="AG175" s="263">
        <f>AF175+AG186+AG196</f>
        <v>1315.5839129107958</v>
      </c>
      <c r="AH175" s="264">
        <f>AG175</f>
        <v>1315.5839129107958</v>
      </c>
      <c r="AI175" s="263">
        <f>AH175+AI186+AI196</f>
        <v>1347.7519130149701</v>
      </c>
      <c r="AJ175" s="263">
        <f>AI175+AJ186+AJ196</f>
        <v>1389.1614635285841</v>
      </c>
      <c r="AK175" s="264">
        <f>AJ175</f>
        <v>1389.1614635285841</v>
      </c>
      <c r="AL175" s="263">
        <f>AK175+AL186+AL196</f>
        <v>1432.4299012763818</v>
      </c>
      <c r="AM175" s="263">
        <f>AL175+AM186+AM196</f>
        <v>1485.2721588529653</v>
      </c>
      <c r="AN175" s="264">
        <f>AM175</f>
        <v>1485.2721588529653</v>
      </c>
      <c r="AO175" s="263">
        <f>AN175+AO186+AO196</f>
        <v>1539.4083874800749</v>
      </c>
      <c r="AP175" s="263">
        <f>AO175+AP186+AP196</f>
        <v>1603.6010456421789</v>
      </c>
      <c r="AQ175" s="264">
        <f>AP175</f>
        <v>1603.6010456421789</v>
      </c>
      <c r="AR175" s="263">
        <f>AQ175+AR186+AR196</f>
        <v>1668.7105956706516</v>
      </c>
      <c r="AS175" s="263">
        <f>AR175+AS186+AS196</f>
        <v>1744.4917393823357</v>
      </c>
      <c r="AT175" s="264">
        <f>AS175</f>
        <v>1744.4917393823357</v>
      </c>
      <c r="AU175" s="263">
        <f>AT175+AU186+AU196</f>
        <v>1820.9730040115483</v>
      </c>
      <c r="AV175" s="263">
        <f>AU175+AV186+AV196</f>
        <v>1908.8626133298312</v>
      </c>
      <c r="AW175" s="264">
        <f>AV175</f>
        <v>1908.8626133298312</v>
      </c>
      <c r="AX175" s="263">
        <f>AW175+AX186+AX196</f>
        <v>1997.378594604671</v>
      </c>
      <c r="AY175" s="263">
        <f>AX175+AY186+AY196</f>
        <v>2098.1554442735887</v>
      </c>
      <c r="AZ175" s="264">
        <f>AY175</f>
        <v>2098.1554442735887</v>
      </c>
    </row>
    <row r="176" spans="2:52">
      <c r="B176" s="175" t="s">
        <v>2362</v>
      </c>
      <c r="E176" s="263">
        <v>126.1</v>
      </c>
      <c r="F176" s="263">
        <f>E176+F187+F197</f>
        <v>139.6</v>
      </c>
      <c r="G176" s="264">
        <f>F176</f>
        <v>139.6</v>
      </c>
      <c r="H176" s="263">
        <f>G176+H187+H197</f>
        <v>141.79999999999998</v>
      </c>
      <c r="I176" s="263">
        <f>H176+I187+I197</f>
        <v>162.19999999999999</v>
      </c>
      <c r="J176" s="264">
        <f>I176</f>
        <v>162.19999999999999</v>
      </c>
      <c r="K176" s="263">
        <f>J176+K187+K197</f>
        <v>168.2</v>
      </c>
      <c r="L176" s="263">
        <f>K176+L187+L197</f>
        <v>177.29999999999998</v>
      </c>
      <c r="M176" s="264">
        <f>L176</f>
        <v>177.29999999999998</v>
      </c>
      <c r="N176" s="263">
        <f>M176+N187+N197</f>
        <v>193.29999999999998</v>
      </c>
      <c r="O176" s="263">
        <f>N176+O187+O197</f>
        <v>220.7</v>
      </c>
      <c r="P176" s="264">
        <f>O176</f>
        <v>220.7</v>
      </c>
      <c r="Q176" s="263">
        <f>P176+Q187+Q197</f>
        <v>259.8</v>
      </c>
      <c r="R176" s="263">
        <f>Q176+R187+R197</f>
        <v>284.3</v>
      </c>
      <c r="S176" s="264">
        <f>R176</f>
        <v>284.3</v>
      </c>
      <c r="T176" s="263">
        <f>S176+T187+T197</f>
        <v>289.39999999999998</v>
      </c>
      <c r="U176" s="263">
        <f>T176+U187+U197</f>
        <v>301.10000000000002</v>
      </c>
      <c r="V176" s="264">
        <f>U176</f>
        <v>301.10000000000002</v>
      </c>
      <c r="W176" s="263">
        <f>V176+W187+W197</f>
        <v>308.40000000000003</v>
      </c>
      <c r="X176" s="263">
        <f>W176+X187+X197</f>
        <v>311.8</v>
      </c>
      <c r="Y176" s="264">
        <f>X176</f>
        <v>311.8</v>
      </c>
      <c r="Z176" s="263">
        <f>Y176+Z187+Z197</f>
        <v>312.39999999999998</v>
      </c>
      <c r="AA176" s="263">
        <f>Z176+AA187+AA197</f>
        <v>372.9</v>
      </c>
      <c r="AB176" s="264">
        <f>AA176</f>
        <v>372.9</v>
      </c>
      <c r="AC176" s="263">
        <f>AB176+AC187+AC197</f>
        <v>425.1</v>
      </c>
      <c r="AD176" s="263">
        <f>AC176+AD187+AD197</f>
        <v>468.09000000000003</v>
      </c>
      <c r="AE176" s="264">
        <f>AD176</f>
        <v>468.09000000000003</v>
      </c>
      <c r="AF176" s="263">
        <f>AE176+AF187+AF197</f>
        <v>491.66500000000002</v>
      </c>
      <c r="AG176" s="263">
        <f>AF176+AG187+AG197</f>
        <v>533.12850000000003</v>
      </c>
      <c r="AH176" s="264">
        <f>AG176</f>
        <v>533.12850000000003</v>
      </c>
      <c r="AI176" s="263">
        <f>AH176+AI187+AI197</f>
        <v>554.42268999999999</v>
      </c>
      <c r="AJ176" s="263">
        <f>AI176+AJ187+AJ197</f>
        <v>595.04822100000001</v>
      </c>
      <c r="AK176" s="264">
        <f>AJ176</f>
        <v>595.04822100000001</v>
      </c>
      <c r="AL176" s="263">
        <f>AK176+AL187+AL197</f>
        <v>614.62686130000009</v>
      </c>
      <c r="AM176" s="263">
        <f>AL176+AM187+AM197</f>
        <v>654.99604317000012</v>
      </c>
      <c r="AN176" s="264">
        <f>AM176</f>
        <v>654.99604317000012</v>
      </c>
      <c r="AO176" s="263">
        <f>AN176+AO187+AO197</f>
        <v>673.32490899700008</v>
      </c>
      <c r="AP176" s="263">
        <f>AO176+AP187+AP197</f>
        <v>713.93419817730012</v>
      </c>
      <c r="AQ176" s="264">
        <f>AP176</f>
        <v>713.93419817730012</v>
      </c>
      <c r="AR176" s="263">
        <f>AQ176+AR187+AR197</f>
        <v>731.39895671221018</v>
      </c>
      <c r="AS176" s="263">
        <f>AR176+AS187+AS197</f>
        <v>772.67734792578926</v>
      </c>
      <c r="AT176" s="264">
        <f>AS176</f>
        <v>772.67734792578926</v>
      </c>
      <c r="AU176" s="263">
        <f>AT176+AU187+AU197</f>
        <v>789.59928218700873</v>
      </c>
      <c r="AV176" s="263">
        <f>AU176+AV187+AV197</f>
        <v>831.92273806619596</v>
      </c>
      <c r="AW176" s="264">
        <f>AV176</f>
        <v>831.92273806619596</v>
      </c>
      <c r="AX176" s="263">
        <f>AW176+AX187+AX197</f>
        <v>848.5715134566027</v>
      </c>
      <c r="AY176" s="263">
        <f>AX176+AY187+AY197</f>
        <v>892.27474925470369</v>
      </c>
      <c r="AZ176" s="264">
        <f>AY176</f>
        <v>892.27474925470369</v>
      </c>
    </row>
    <row r="177" spans="2:52" s="181" customFormat="1">
      <c r="B177" s="181" t="s">
        <v>166</v>
      </c>
      <c r="E177" s="259">
        <f t="shared" ref="E177:AK177" si="158">E175+E176</f>
        <v>663.2</v>
      </c>
      <c r="F177" s="259">
        <f t="shared" si="158"/>
        <v>707.6</v>
      </c>
      <c r="G177" s="265">
        <f t="shared" si="158"/>
        <v>707.6</v>
      </c>
      <c r="H177" s="259">
        <f t="shared" si="158"/>
        <v>742.49999999999989</v>
      </c>
      <c r="I177" s="259">
        <f t="shared" si="158"/>
        <v>795.59999999999991</v>
      </c>
      <c r="J177" s="265">
        <f t="shared" si="158"/>
        <v>795.59999999999991</v>
      </c>
      <c r="K177" s="259">
        <f t="shared" si="158"/>
        <v>821.69999999999982</v>
      </c>
      <c r="L177" s="259">
        <f t="shared" si="158"/>
        <v>859.29999999999984</v>
      </c>
      <c r="M177" s="265">
        <f t="shared" si="158"/>
        <v>859.29999999999984</v>
      </c>
      <c r="N177" s="259">
        <f t="shared" si="158"/>
        <v>910.19999999999982</v>
      </c>
      <c r="O177" s="259">
        <f t="shared" si="158"/>
        <v>968.8</v>
      </c>
      <c r="P177" s="265">
        <f t="shared" si="158"/>
        <v>968.8</v>
      </c>
      <c r="Q177" s="259">
        <f t="shared" si="158"/>
        <v>1332.8999999999999</v>
      </c>
      <c r="R177" s="259">
        <f t="shared" si="158"/>
        <v>1406.6999999999998</v>
      </c>
      <c r="S177" s="265">
        <f t="shared" si="158"/>
        <v>1406.6999999999998</v>
      </c>
      <c r="T177" s="259">
        <f t="shared" si="158"/>
        <v>1435.9</v>
      </c>
      <c r="U177" s="259">
        <f t="shared" si="158"/>
        <v>1466.3000000000002</v>
      </c>
      <c r="V177" s="265">
        <f t="shared" si="158"/>
        <v>1466.3000000000002</v>
      </c>
      <c r="W177" s="259">
        <f t="shared" si="158"/>
        <v>1492.9</v>
      </c>
      <c r="X177" s="259">
        <f t="shared" si="158"/>
        <v>1523.5</v>
      </c>
      <c r="Y177" s="265">
        <f t="shared" si="158"/>
        <v>1523.5</v>
      </c>
      <c r="Z177" s="259">
        <f t="shared" si="158"/>
        <v>1536.2000000000003</v>
      </c>
      <c r="AA177" s="259">
        <f>AA175+AA176</f>
        <v>1611.4</v>
      </c>
      <c r="AB177" s="265">
        <f t="shared" si="158"/>
        <v>1611.4</v>
      </c>
      <c r="AC177" s="259">
        <f>AC175+AC176</f>
        <v>1672.6000000000004</v>
      </c>
      <c r="AD177" s="259">
        <f>AD175+AD176</f>
        <v>1733.7293805813488</v>
      </c>
      <c r="AE177" s="265">
        <f t="shared" si="158"/>
        <v>1733.7293805813488</v>
      </c>
      <c r="AF177" s="259">
        <f t="shared" si="158"/>
        <v>1777.7333487898852</v>
      </c>
      <c r="AG177" s="259">
        <f t="shared" si="158"/>
        <v>1848.7124129107958</v>
      </c>
      <c r="AH177" s="265">
        <f t="shared" si="158"/>
        <v>1848.7124129107958</v>
      </c>
      <c r="AI177" s="259">
        <f t="shared" si="158"/>
        <v>1902.1746030149702</v>
      </c>
      <c r="AJ177" s="259">
        <f t="shared" si="158"/>
        <v>1984.2096845285841</v>
      </c>
      <c r="AK177" s="265">
        <f t="shared" si="158"/>
        <v>1984.2096845285841</v>
      </c>
      <c r="AL177" s="259">
        <f t="shared" ref="AL177:AZ177" si="159">AL175+AL176</f>
        <v>2047.056762576382</v>
      </c>
      <c r="AM177" s="259">
        <f t="shared" si="159"/>
        <v>2140.2682020229654</v>
      </c>
      <c r="AN177" s="265">
        <f t="shared" si="159"/>
        <v>2140.2682020229654</v>
      </c>
      <c r="AO177" s="259">
        <f t="shared" si="159"/>
        <v>2212.7332964770749</v>
      </c>
      <c r="AP177" s="259">
        <f t="shared" si="159"/>
        <v>2317.5352438194791</v>
      </c>
      <c r="AQ177" s="265">
        <f t="shared" si="159"/>
        <v>2317.5352438194791</v>
      </c>
      <c r="AR177" s="259">
        <f t="shared" si="159"/>
        <v>2400.1095523828617</v>
      </c>
      <c r="AS177" s="259">
        <f t="shared" si="159"/>
        <v>2517.1690873081252</v>
      </c>
      <c r="AT177" s="265">
        <f t="shared" si="159"/>
        <v>2517.1690873081252</v>
      </c>
      <c r="AU177" s="259">
        <f t="shared" si="159"/>
        <v>2610.5722861985569</v>
      </c>
      <c r="AV177" s="259">
        <f t="shared" si="159"/>
        <v>2740.7853513960272</v>
      </c>
      <c r="AW177" s="265">
        <f t="shared" si="159"/>
        <v>2740.7853513960272</v>
      </c>
      <c r="AX177" s="259">
        <f t="shared" si="159"/>
        <v>2845.9501080612736</v>
      </c>
      <c r="AY177" s="259">
        <f t="shared" si="159"/>
        <v>2990.4301935282924</v>
      </c>
      <c r="AZ177" s="265">
        <f t="shared" si="159"/>
        <v>2990.4301935282924</v>
      </c>
    </row>
    <row r="178" spans="2:52">
      <c r="E178" s="263"/>
      <c r="F178" s="263"/>
      <c r="G178" s="264"/>
      <c r="H178" s="263"/>
      <c r="I178" s="263"/>
      <c r="J178" s="264"/>
      <c r="K178" s="263"/>
      <c r="L178" s="263"/>
      <c r="M178" s="264"/>
      <c r="N178" s="263"/>
      <c r="O178" s="263"/>
      <c r="P178" s="264"/>
      <c r="Q178" s="263"/>
      <c r="R178" s="263"/>
      <c r="S178" s="264"/>
      <c r="T178" s="263"/>
      <c r="U178" s="263"/>
      <c r="V178" s="264"/>
      <c r="W178" s="263"/>
      <c r="X178" s="263"/>
      <c r="Y178" s="264"/>
      <c r="Z178" s="263"/>
      <c r="AA178" s="263"/>
      <c r="AB178" s="264"/>
      <c r="AC178" s="263"/>
      <c r="AD178" s="263"/>
      <c r="AE178" s="264"/>
      <c r="AF178" s="263"/>
      <c r="AG178" s="263"/>
      <c r="AH178" s="264"/>
      <c r="AI178" s="263"/>
      <c r="AJ178" s="263"/>
      <c r="AK178" s="264"/>
      <c r="AL178" s="263"/>
      <c r="AM178" s="263"/>
      <c r="AN178" s="264"/>
      <c r="AO178" s="263"/>
      <c r="AP178" s="263"/>
      <c r="AQ178" s="264"/>
      <c r="AR178" s="263"/>
      <c r="AS178" s="263"/>
      <c r="AT178" s="264"/>
      <c r="AU178" s="263"/>
      <c r="AV178" s="263"/>
      <c r="AW178" s="264"/>
      <c r="AX178" s="263"/>
      <c r="AY178" s="263"/>
      <c r="AZ178" s="264"/>
    </row>
    <row r="179" spans="2:52">
      <c r="B179" s="181" t="s">
        <v>2363</v>
      </c>
      <c r="E179" s="263"/>
      <c r="F179" s="263"/>
      <c r="G179" s="264"/>
      <c r="H179" s="263"/>
      <c r="I179" s="263"/>
      <c r="J179" s="264"/>
      <c r="K179" s="263"/>
      <c r="L179" s="263"/>
      <c r="M179" s="264"/>
      <c r="N179" s="263"/>
      <c r="O179" s="263"/>
      <c r="P179" s="264"/>
      <c r="Q179" s="263"/>
      <c r="R179" s="263"/>
      <c r="S179" s="264"/>
      <c r="T179" s="263"/>
      <c r="U179" s="263"/>
      <c r="V179" s="264"/>
      <c r="W179" s="263"/>
      <c r="X179" s="263"/>
      <c r="Y179" s="264"/>
      <c r="Z179" s="263"/>
      <c r="AA179" s="263"/>
      <c r="AB179" s="264"/>
      <c r="AC179" s="263"/>
      <c r="AD179" s="263"/>
      <c r="AE179" s="264"/>
      <c r="AF179" s="263"/>
      <c r="AG179" s="263"/>
      <c r="AH179" s="264"/>
      <c r="AI179" s="263"/>
      <c r="AJ179" s="263"/>
      <c r="AK179" s="264"/>
      <c r="AL179" s="263"/>
      <c r="AM179" s="263"/>
      <c r="AN179" s="264"/>
      <c r="AO179" s="263"/>
      <c r="AP179" s="263"/>
      <c r="AQ179" s="264"/>
      <c r="AR179" s="263"/>
      <c r="AS179" s="263"/>
      <c r="AT179" s="264"/>
      <c r="AU179" s="263"/>
      <c r="AV179" s="263"/>
      <c r="AW179" s="264"/>
      <c r="AX179" s="263"/>
      <c r="AY179" s="263"/>
      <c r="AZ179" s="264"/>
    </row>
    <row r="180" spans="2:52">
      <c r="B180" s="181" t="s">
        <v>2364</v>
      </c>
      <c r="E180" s="259">
        <v>633.4</v>
      </c>
      <c r="F180" s="259">
        <f>E183</f>
        <v>663.19999999999993</v>
      </c>
      <c r="G180" s="265">
        <f>E180</f>
        <v>633.4</v>
      </c>
      <c r="H180" s="259">
        <f>F183</f>
        <v>707.59999999999991</v>
      </c>
      <c r="I180" s="259">
        <f>H183</f>
        <v>742.49999999999989</v>
      </c>
      <c r="J180" s="265">
        <f>H180</f>
        <v>707.59999999999991</v>
      </c>
      <c r="K180" s="259">
        <f>I183</f>
        <v>795.5999999999998</v>
      </c>
      <c r="L180" s="259">
        <f>K183</f>
        <v>821.69999999999982</v>
      </c>
      <c r="M180" s="265">
        <f>K180</f>
        <v>795.5999999999998</v>
      </c>
      <c r="N180" s="259">
        <f>L183</f>
        <v>859.29999999999984</v>
      </c>
      <c r="O180" s="259">
        <f>N183</f>
        <v>910.19999999999982</v>
      </c>
      <c r="P180" s="265">
        <f>N180</f>
        <v>859.29999999999984</v>
      </c>
      <c r="Q180" s="259">
        <f>O183</f>
        <v>968.79999999999984</v>
      </c>
      <c r="R180" s="259">
        <f>Q183</f>
        <v>1332.8999999999999</v>
      </c>
      <c r="S180" s="265">
        <f>Q180</f>
        <v>968.79999999999984</v>
      </c>
      <c r="T180" s="259">
        <f>R183</f>
        <v>1406.6999999999998</v>
      </c>
      <c r="U180" s="259">
        <f>T183</f>
        <v>1435.8999999999996</v>
      </c>
      <c r="V180" s="265">
        <f>T180</f>
        <v>1406.6999999999998</v>
      </c>
      <c r="W180" s="259">
        <f>U183</f>
        <v>1466.2999999999997</v>
      </c>
      <c r="X180" s="259">
        <f>W183</f>
        <v>1492.8999999999999</v>
      </c>
      <c r="Y180" s="265">
        <f>W180</f>
        <v>1466.2999999999997</v>
      </c>
      <c r="Z180" s="259">
        <f>X183</f>
        <v>1523.4999999999998</v>
      </c>
      <c r="AA180" s="259">
        <f>Z183</f>
        <v>1536.1999999999998</v>
      </c>
      <c r="AB180" s="265">
        <f>Z180</f>
        <v>1523.4999999999998</v>
      </c>
      <c r="AC180" s="259">
        <f>AA183</f>
        <v>1611.3999999999999</v>
      </c>
      <c r="AD180" s="259">
        <f>AC183</f>
        <v>1672.6</v>
      </c>
      <c r="AE180" s="265">
        <f>AC180</f>
        <v>1611.3999999999999</v>
      </c>
      <c r="AF180" s="259">
        <f>AD183</f>
        <v>1733.7293805813483</v>
      </c>
      <c r="AG180" s="259">
        <f>AF183</f>
        <v>1777.7333487898848</v>
      </c>
      <c r="AH180" s="265">
        <f>AF180</f>
        <v>1733.7293805813483</v>
      </c>
      <c r="AI180" s="259">
        <f>AG183</f>
        <v>1848.7124129107954</v>
      </c>
      <c r="AJ180" s="259">
        <f>AI183</f>
        <v>1902.1746030149698</v>
      </c>
      <c r="AK180" s="265">
        <f>AI180</f>
        <v>1848.7124129107954</v>
      </c>
      <c r="AL180" s="259">
        <f>AJ183</f>
        <v>1984.2096845285837</v>
      </c>
      <c r="AM180" s="259">
        <f>AL183</f>
        <v>2047.0567625763813</v>
      </c>
      <c r="AN180" s="265">
        <f>AL180</f>
        <v>1984.2096845285837</v>
      </c>
      <c r="AO180" s="259">
        <f>AM183</f>
        <v>2140.2682020229645</v>
      </c>
      <c r="AP180" s="259">
        <f>AO183</f>
        <v>2212.733296477074</v>
      </c>
      <c r="AQ180" s="265">
        <f>AO180</f>
        <v>2140.2682020229645</v>
      </c>
      <c r="AR180" s="259">
        <f>AP183</f>
        <v>2317.5352438194777</v>
      </c>
      <c r="AS180" s="259">
        <f>AR183</f>
        <v>2400.1095523828608</v>
      </c>
      <c r="AT180" s="265">
        <f>AR180</f>
        <v>2317.5352438194777</v>
      </c>
      <c r="AU180" s="259">
        <f>AS183</f>
        <v>2517.1690873081238</v>
      </c>
      <c r="AV180" s="259">
        <f>AU183</f>
        <v>2610.572286198556</v>
      </c>
      <c r="AW180" s="265">
        <f>AU180</f>
        <v>2517.1690873081238</v>
      </c>
      <c r="AX180" s="259">
        <f>AV183</f>
        <v>2740.7853513960263</v>
      </c>
      <c r="AY180" s="259">
        <f>AX183</f>
        <v>2845.9501080612727</v>
      </c>
      <c r="AZ180" s="265">
        <f>AX180</f>
        <v>2740.7853513960263</v>
      </c>
    </row>
    <row r="181" spans="2:52">
      <c r="B181" s="175" t="s">
        <v>2365</v>
      </c>
      <c r="E181" s="263">
        <f>E188</f>
        <v>56.9</v>
      </c>
      <c r="F181" s="263">
        <f>F188</f>
        <v>86.8</v>
      </c>
      <c r="G181" s="264">
        <f>E181+F181</f>
        <v>143.69999999999999</v>
      </c>
      <c r="H181" s="263">
        <f>H188</f>
        <v>70.900000000000006</v>
      </c>
      <c r="I181" s="263">
        <f>I188</f>
        <v>89.3</v>
      </c>
      <c r="J181" s="264">
        <f>H181+I181</f>
        <v>160.19999999999999</v>
      </c>
      <c r="K181" s="263">
        <f>K188</f>
        <v>92.2</v>
      </c>
      <c r="L181" s="263">
        <f>L188</f>
        <v>109.6</v>
      </c>
      <c r="M181" s="264">
        <f>K181+L181</f>
        <v>201.8</v>
      </c>
      <c r="N181" s="263">
        <f>N188</f>
        <v>120.3</v>
      </c>
      <c r="O181" s="263">
        <f>O188</f>
        <v>144.19999999999999</v>
      </c>
      <c r="P181" s="264">
        <f>N181+O181</f>
        <v>264.5</v>
      </c>
      <c r="Q181" s="263">
        <f>Q188</f>
        <v>180.6</v>
      </c>
      <c r="R181" s="263">
        <f>R188</f>
        <v>168.39999999999998</v>
      </c>
      <c r="S181" s="264">
        <f>Q181+R181</f>
        <v>349</v>
      </c>
      <c r="T181" s="263">
        <f>T188</f>
        <v>134.1</v>
      </c>
      <c r="U181" s="263">
        <f>U188</f>
        <v>152</v>
      </c>
      <c r="V181" s="264">
        <f>T181+U181</f>
        <v>286.10000000000002</v>
      </c>
      <c r="W181" s="263">
        <f>W188</f>
        <v>150.69999999999999</v>
      </c>
      <c r="X181" s="263">
        <f>X188</f>
        <v>164</v>
      </c>
      <c r="Y181" s="264">
        <f>W181+X181</f>
        <v>314.7</v>
      </c>
      <c r="Z181" s="263">
        <f>Z188</f>
        <v>155.10000000000002</v>
      </c>
      <c r="AA181" s="263">
        <f>AA188</f>
        <v>203.39200000000002</v>
      </c>
      <c r="AB181" s="264">
        <f>Z181+AA181</f>
        <v>358.49200000000008</v>
      </c>
      <c r="AC181" s="263">
        <f>AC188</f>
        <v>194.39500000000001</v>
      </c>
      <c r="AD181" s="263">
        <f>AD188</f>
        <v>227.24160000000003</v>
      </c>
      <c r="AE181" s="264">
        <f>AC181+AD181</f>
        <v>421.63660000000004</v>
      </c>
      <c r="AF181" s="263">
        <f>AF188</f>
        <v>208.61860000000001</v>
      </c>
      <c r="AG181" s="263">
        <f>AG188</f>
        <v>243.71092800000008</v>
      </c>
      <c r="AH181" s="264">
        <f>AF181+AG181</f>
        <v>452.3295280000001</v>
      </c>
      <c r="AI181" s="263">
        <f>AI188</f>
        <v>225.28275400000001</v>
      </c>
      <c r="AJ181" s="263">
        <f>AJ188</f>
        <v>262.92601152000009</v>
      </c>
      <c r="AK181" s="264">
        <f>AI181+AJ181</f>
        <v>488.2087655200001</v>
      </c>
      <c r="AL181" s="263">
        <f>AL188</f>
        <v>243.31999066000003</v>
      </c>
      <c r="AM181" s="263">
        <f>AM188</f>
        <v>283.70731855680015</v>
      </c>
      <c r="AN181" s="264">
        <f>AL181+AM181</f>
        <v>527.02730921680018</v>
      </c>
      <c r="AO181" s="263">
        <f>AO188</f>
        <v>262.84628594740008</v>
      </c>
      <c r="AP181" s="263">
        <f>AP188</f>
        <v>306.18602118691217</v>
      </c>
      <c r="AQ181" s="264">
        <f>AO181+AP181</f>
        <v>569.0323071343123</v>
      </c>
      <c r="AR181" s="263">
        <f>AR188</f>
        <v>283.98759757834608</v>
      </c>
      <c r="AS181" s="263">
        <f>AS188</f>
        <v>330.50450969133425</v>
      </c>
      <c r="AT181" s="264">
        <f>AR181+AS181</f>
        <v>614.49210726968033</v>
      </c>
      <c r="AU181" s="263">
        <f>AU188</f>
        <v>306.88073600981807</v>
      </c>
      <c r="AV181" s="263">
        <f>AV188</f>
        <v>356.81736695701034</v>
      </c>
      <c r="AW181" s="264">
        <f>AU181+AV181</f>
        <v>663.6981029668284</v>
      </c>
      <c r="AX181" s="263">
        <f>AX188</f>
        <v>331.67431217908774</v>
      </c>
      <c r="AY181" s="263">
        <f>AY188</f>
        <v>385.29242846020475</v>
      </c>
      <c r="AZ181" s="264">
        <f>AX181+AY181</f>
        <v>716.96674063929254</v>
      </c>
    </row>
    <row r="182" spans="2:52">
      <c r="B182" s="175" t="s">
        <v>2366</v>
      </c>
      <c r="E182" s="263">
        <f>E198</f>
        <v>-27.1</v>
      </c>
      <c r="F182" s="263">
        <f>F198</f>
        <v>-42.4</v>
      </c>
      <c r="G182" s="264">
        <f>E182+F182</f>
        <v>-69.5</v>
      </c>
      <c r="H182" s="263">
        <f>H198</f>
        <v>-36</v>
      </c>
      <c r="I182" s="263">
        <f>I198</f>
        <v>-36.200000000000003</v>
      </c>
      <c r="J182" s="264">
        <f>H182+I182</f>
        <v>-72.2</v>
      </c>
      <c r="K182" s="263">
        <f>K198</f>
        <v>-66.099999999999994</v>
      </c>
      <c r="L182" s="263">
        <f>L198</f>
        <v>-72</v>
      </c>
      <c r="M182" s="264">
        <f>K182+L182</f>
        <v>-138.1</v>
      </c>
      <c r="N182" s="263">
        <f>N198</f>
        <v>-69.400000000000006</v>
      </c>
      <c r="O182" s="263">
        <f>O198</f>
        <v>-85.6</v>
      </c>
      <c r="P182" s="264">
        <f>N182+O182</f>
        <v>-155</v>
      </c>
      <c r="Q182" s="263">
        <f>Q198</f>
        <v>183.5</v>
      </c>
      <c r="R182" s="263">
        <f>R198</f>
        <v>-94.6</v>
      </c>
      <c r="S182" s="264">
        <f>Q182+R182</f>
        <v>88.9</v>
      </c>
      <c r="T182" s="263">
        <f>T198</f>
        <v>-104.9</v>
      </c>
      <c r="U182" s="263">
        <f>U198</f>
        <v>-121.6</v>
      </c>
      <c r="V182" s="264">
        <f>T182+U182</f>
        <v>-226.5</v>
      </c>
      <c r="W182" s="263">
        <f>W198</f>
        <v>-124.1</v>
      </c>
      <c r="X182" s="263">
        <f>X198</f>
        <v>-133.4</v>
      </c>
      <c r="Y182" s="264">
        <f>W182+X182</f>
        <v>-257.5</v>
      </c>
      <c r="Z182" s="263">
        <f>Z198</f>
        <v>-142.4</v>
      </c>
      <c r="AA182" s="263">
        <f>AA198</f>
        <v>-128.19200000000001</v>
      </c>
      <c r="AB182" s="264">
        <f>Z182+AA182</f>
        <v>-270.59199999999998</v>
      </c>
      <c r="AC182" s="263">
        <f>AC198</f>
        <v>-133.19499999999996</v>
      </c>
      <c r="AD182" s="263">
        <f>AD198</f>
        <v>-166.11221941865165</v>
      </c>
      <c r="AE182" s="264">
        <f>AC182+AD182</f>
        <v>-299.30721941865158</v>
      </c>
      <c r="AF182" s="263">
        <f>AF198</f>
        <v>-164.61463179146352</v>
      </c>
      <c r="AG182" s="263">
        <f>AG198</f>
        <v>-172.73186387908953</v>
      </c>
      <c r="AH182" s="264">
        <f>AF182+AG182</f>
        <v>-337.34649567055305</v>
      </c>
      <c r="AI182" s="263">
        <f>AI198</f>
        <v>-171.82056389582559</v>
      </c>
      <c r="AJ182" s="263">
        <f>AJ198</f>
        <v>-180.89093000638613</v>
      </c>
      <c r="AK182" s="264">
        <f>AI182+AJ182</f>
        <v>-352.71149390221171</v>
      </c>
      <c r="AL182" s="263">
        <f>AL198</f>
        <v>-180.47291261220224</v>
      </c>
      <c r="AM182" s="263">
        <f>AM198</f>
        <v>-190.49587911021658</v>
      </c>
      <c r="AN182" s="264">
        <f>AL182+AM182</f>
        <v>-370.96879172241881</v>
      </c>
      <c r="AO182" s="263">
        <f>AO198</f>
        <v>-190.38119149329054</v>
      </c>
      <c r="AP182" s="263">
        <f>AP198</f>
        <v>-201.38407384450812</v>
      </c>
      <c r="AQ182" s="264">
        <f>AO182+AP182</f>
        <v>-391.76526533779867</v>
      </c>
      <c r="AR182" s="263">
        <f>AR198</f>
        <v>-201.41328901496331</v>
      </c>
      <c r="AS182" s="263">
        <f>AS198</f>
        <v>-213.4449747660712</v>
      </c>
      <c r="AT182" s="264">
        <f>AR182+AS182</f>
        <v>-414.85826378103451</v>
      </c>
      <c r="AU182" s="263">
        <f>AU198</f>
        <v>-213.477537119386</v>
      </c>
      <c r="AV182" s="263">
        <f>AV198</f>
        <v>-226.60430175954031</v>
      </c>
      <c r="AW182" s="264">
        <f>AU182+AV182</f>
        <v>-440.08183887892631</v>
      </c>
      <c r="AX182" s="263">
        <f>AX198</f>
        <v>-226.50955551384146</v>
      </c>
      <c r="AY182" s="263">
        <f>AY198</f>
        <v>-240.81234299318618</v>
      </c>
      <c r="AZ182" s="264">
        <f>AX182+AY182</f>
        <v>-467.32189850702764</v>
      </c>
    </row>
    <row r="183" spans="2:52">
      <c r="B183" s="181" t="s">
        <v>2367</v>
      </c>
      <c r="E183" s="259">
        <f t="shared" ref="E183:AK183" si="160">E180+E181+E182</f>
        <v>663.19999999999993</v>
      </c>
      <c r="F183" s="259">
        <f t="shared" si="160"/>
        <v>707.59999999999991</v>
      </c>
      <c r="G183" s="265">
        <f t="shared" si="160"/>
        <v>707.59999999999991</v>
      </c>
      <c r="H183" s="259">
        <f t="shared" si="160"/>
        <v>742.49999999999989</v>
      </c>
      <c r="I183" s="259">
        <f t="shared" si="160"/>
        <v>795.5999999999998</v>
      </c>
      <c r="J183" s="265">
        <f t="shared" si="160"/>
        <v>795.59999999999991</v>
      </c>
      <c r="K183" s="259">
        <f t="shared" si="160"/>
        <v>821.69999999999982</v>
      </c>
      <c r="L183" s="259">
        <f t="shared" si="160"/>
        <v>859.29999999999984</v>
      </c>
      <c r="M183" s="265">
        <f t="shared" si="160"/>
        <v>859.29999999999984</v>
      </c>
      <c r="N183" s="259">
        <f t="shared" si="160"/>
        <v>910.19999999999982</v>
      </c>
      <c r="O183" s="259">
        <f t="shared" si="160"/>
        <v>968.79999999999984</v>
      </c>
      <c r="P183" s="265">
        <f t="shared" si="160"/>
        <v>968.79999999999973</v>
      </c>
      <c r="Q183" s="259">
        <f t="shared" si="160"/>
        <v>1332.8999999999999</v>
      </c>
      <c r="R183" s="259">
        <f t="shared" si="160"/>
        <v>1406.6999999999998</v>
      </c>
      <c r="S183" s="265">
        <f t="shared" si="160"/>
        <v>1406.6999999999998</v>
      </c>
      <c r="T183" s="259">
        <f t="shared" si="160"/>
        <v>1435.8999999999996</v>
      </c>
      <c r="U183" s="259">
        <f t="shared" si="160"/>
        <v>1466.2999999999997</v>
      </c>
      <c r="V183" s="265">
        <f t="shared" si="160"/>
        <v>1466.2999999999997</v>
      </c>
      <c r="W183" s="259">
        <f t="shared" si="160"/>
        <v>1492.8999999999999</v>
      </c>
      <c r="X183" s="259">
        <f t="shared" si="160"/>
        <v>1523.4999999999998</v>
      </c>
      <c r="Y183" s="265">
        <f t="shared" si="160"/>
        <v>1523.4999999999998</v>
      </c>
      <c r="Z183" s="259">
        <f t="shared" si="160"/>
        <v>1536.1999999999998</v>
      </c>
      <c r="AA183" s="259">
        <f>AA180+AA181+AA182</f>
        <v>1611.3999999999999</v>
      </c>
      <c r="AB183" s="265">
        <f t="shared" si="160"/>
        <v>1611.3999999999996</v>
      </c>
      <c r="AC183" s="259">
        <f>AC180+AC181+AC182</f>
        <v>1672.6</v>
      </c>
      <c r="AD183" s="259">
        <f>AD180+AD181+AD182</f>
        <v>1733.7293805813483</v>
      </c>
      <c r="AE183" s="265">
        <f t="shared" si="160"/>
        <v>1733.7293805813483</v>
      </c>
      <c r="AF183" s="259">
        <f t="shared" si="160"/>
        <v>1777.7333487898848</v>
      </c>
      <c r="AG183" s="259">
        <f t="shared" si="160"/>
        <v>1848.7124129107954</v>
      </c>
      <c r="AH183" s="265">
        <f t="shared" si="160"/>
        <v>1848.7124129107956</v>
      </c>
      <c r="AI183" s="259">
        <f t="shared" si="160"/>
        <v>1902.1746030149698</v>
      </c>
      <c r="AJ183" s="259">
        <f t="shared" si="160"/>
        <v>1984.2096845285837</v>
      </c>
      <c r="AK183" s="265">
        <f t="shared" si="160"/>
        <v>1984.2096845285837</v>
      </c>
      <c r="AL183" s="259">
        <f t="shared" ref="AL183:AZ183" si="161">AL180+AL181+AL182</f>
        <v>2047.0567625763813</v>
      </c>
      <c r="AM183" s="259">
        <f t="shared" si="161"/>
        <v>2140.2682020229645</v>
      </c>
      <c r="AN183" s="265">
        <f t="shared" si="161"/>
        <v>2140.2682020229654</v>
      </c>
      <c r="AO183" s="259">
        <f t="shared" si="161"/>
        <v>2212.733296477074</v>
      </c>
      <c r="AP183" s="259">
        <f t="shared" si="161"/>
        <v>2317.5352438194777</v>
      </c>
      <c r="AQ183" s="265">
        <f t="shared" si="161"/>
        <v>2317.5352438194782</v>
      </c>
      <c r="AR183" s="259">
        <f t="shared" si="161"/>
        <v>2400.1095523828608</v>
      </c>
      <c r="AS183" s="259">
        <f t="shared" si="161"/>
        <v>2517.1690873081238</v>
      </c>
      <c r="AT183" s="265">
        <f t="shared" si="161"/>
        <v>2517.1690873081234</v>
      </c>
      <c r="AU183" s="259">
        <f t="shared" si="161"/>
        <v>2610.572286198556</v>
      </c>
      <c r="AV183" s="259">
        <f t="shared" si="161"/>
        <v>2740.7853513960263</v>
      </c>
      <c r="AW183" s="265">
        <f t="shared" si="161"/>
        <v>2740.7853513960258</v>
      </c>
      <c r="AX183" s="259">
        <f t="shared" si="161"/>
        <v>2845.9501080612727</v>
      </c>
      <c r="AY183" s="259">
        <f t="shared" si="161"/>
        <v>2990.4301935282915</v>
      </c>
      <c r="AZ183" s="265">
        <f t="shared" si="161"/>
        <v>2990.4301935282915</v>
      </c>
    </row>
    <row r="184" spans="2:52">
      <c r="E184" s="263"/>
      <c r="F184" s="263"/>
      <c r="G184" s="264"/>
      <c r="H184" s="263"/>
      <c r="I184" s="263"/>
      <c r="J184" s="264"/>
      <c r="K184" s="263"/>
      <c r="L184" s="263"/>
      <c r="M184" s="264"/>
      <c r="N184" s="254"/>
      <c r="O184" s="254"/>
      <c r="P184" s="264"/>
      <c r="Q184" s="254"/>
      <c r="R184" s="254"/>
      <c r="S184" s="264"/>
      <c r="T184" s="254"/>
      <c r="U184" s="254"/>
      <c r="V184" s="264"/>
      <c r="W184" s="263"/>
      <c r="X184" s="263"/>
      <c r="Y184" s="264"/>
      <c r="Z184" s="263"/>
      <c r="AA184" s="263"/>
      <c r="AB184" s="264"/>
      <c r="AC184" s="263"/>
      <c r="AD184" s="263"/>
      <c r="AE184" s="264"/>
      <c r="AF184" s="263"/>
      <c r="AG184" s="263"/>
      <c r="AH184" s="264"/>
      <c r="AI184" s="263"/>
      <c r="AJ184" s="263"/>
      <c r="AK184" s="264"/>
      <c r="AL184" s="263"/>
      <c r="AM184" s="263"/>
      <c r="AN184" s="264"/>
      <c r="AO184" s="263"/>
      <c r="AP184" s="263"/>
      <c r="AQ184" s="264"/>
      <c r="AR184" s="263"/>
      <c r="AS184" s="263"/>
      <c r="AT184" s="264"/>
      <c r="AU184" s="263"/>
      <c r="AV184" s="263"/>
      <c r="AW184" s="264"/>
      <c r="AX184" s="263"/>
      <c r="AY184" s="263"/>
      <c r="AZ184" s="264"/>
    </row>
    <row r="185" spans="2:52">
      <c r="B185" s="181" t="s">
        <v>2365</v>
      </c>
      <c r="E185" s="263"/>
      <c r="F185" s="263"/>
      <c r="G185" s="264"/>
      <c r="H185" s="263"/>
      <c r="I185" s="263"/>
      <c r="J185" s="264"/>
      <c r="K185" s="263"/>
      <c r="L185" s="263"/>
      <c r="M185" s="264"/>
      <c r="N185" s="263"/>
      <c r="O185" s="263"/>
      <c r="P185" s="264"/>
      <c r="Q185" s="263"/>
      <c r="R185" s="254"/>
      <c r="S185" s="264"/>
      <c r="T185" s="263"/>
      <c r="U185" s="263"/>
      <c r="V185" s="264"/>
      <c r="W185" s="263"/>
      <c r="X185" s="263"/>
      <c r="Y185" s="264"/>
      <c r="Z185" s="263"/>
      <c r="AA185" s="263"/>
      <c r="AB185" s="264"/>
      <c r="AC185" s="263"/>
      <c r="AD185" s="263"/>
      <c r="AE185" s="264"/>
      <c r="AF185" s="263"/>
      <c r="AG185" s="263"/>
      <c r="AH185" s="264"/>
      <c r="AI185" s="263"/>
      <c r="AJ185" s="263"/>
      <c r="AK185" s="264"/>
      <c r="AL185" s="263"/>
      <c r="AM185" s="263"/>
      <c r="AN185" s="264"/>
      <c r="AO185" s="263"/>
      <c r="AP185" s="263"/>
      <c r="AQ185" s="264"/>
      <c r="AR185" s="263"/>
      <c r="AS185" s="263"/>
      <c r="AT185" s="264"/>
      <c r="AU185" s="263"/>
      <c r="AV185" s="263"/>
      <c r="AW185" s="264"/>
      <c r="AX185" s="263"/>
      <c r="AY185" s="263"/>
      <c r="AZ185" s="264"/>
    </row>
    <row r="186" spans="2:52">
      <c r="B186" s="175" t="s">
        <v>2361</v>
      </c>
      <c r="E186" s="263">
        <v>44.3</v>
      </c>
      <c r="F186" s="263">
        <v>50.3</v>
      </c>
      <c r="G186" s="264">
        <f>E186+F186</f>
        <v>94.6</v>
      </c>
      <c r="H186" s="263">
        <v>51.3</v>
      </c>
      <c r="I186" s="263">
        <v>55.9</v>
      </c>
      <c r="J186" s="264">
        <f>H186+I186</f>
        <v>107.19999999999999</v>
      </c>
      <c r="K186" s="263">
        <v>74.400000000000006</v>
      </c>
      <c r="L186" s="263">
        <v>84.6</v>
      </c>
      <c r="M186" s="264">
        <f>K186+L186</f>
        <v>159</v>
      </c>
      <c r="N186" s="263">
        <v>90</v>
      </c>
      <c r="O186" s="263">
        <v>101.2</v>
      </c>
      <c r="P186" s="264">
        <f>N186+O186</f>
        <v>191.2</v>
      </c>
      <c r="Q186" s="263">
        <v>129.5</v>
      </c>
      <c r="R186" s="266">
        <v>130.6</v>
      </c>
      <c r="S186" s="264">
        <f>Q186+R186</f>
        <v>260.10000000000002</v>
      </c>
      <c r="T186" s="263">
        <v>109.9</v>
      </c>
      <c r="U186" s="263">
        <v>121.4</v>
      </c>
      <c r="V186" s="264">
        <f>T186+U186</f>
        <v>231.3</v>
      </c>
      <c r="W186" s="263">
        <v>117.1</v>
      </c>
      <c r="X186" s="267">
        <v>129.80000000000001</v>
      </c>
      <c r="Y186" s="264">
        <f>W186+X186</f>
        <v>246.9</v>
      </c>
      <c r="Z186" s="263">
        <v>121.9</v>
      </c>
      <c r="AA186" s="383">
        <f>X186*(1+AA191)</f>
        <v>134.99200000000002</v>
      </c>
      <c r="AB186" s="264">
        <f>Z186+AA186</f>
        <v>256.89200000000005</v>
      </c>
      <c r="AC186" s="268">
        <f>Z186*(1+AC191)</f>
        <v>127.995</v>
      </c>
      <c r="AD186" s="268">
        <f>AA186*(1+AD191)</f>
        <v>141.74160000000003</v>
      </c>
      <c r="AE186" s="264">
        <f>AC186+AD186</f>
        <v>269.73660000000007</v>
      </c>
      <c r="AF186" s="268">
        <f>AC186*(1+AF191)</f>
        <v>138.2346</v>
      </c>
      <c r="AG186" s="268">
        <f>AD186*(1+AG191)</f>
        <v>153.08092800000006</v>
      </c>
      <c r="AH186" s="264">
        <f>AF186+AG186</f>
        <v>291.31552800000009</v>
      </c>
      <c r="AI186" s="268">
        <f>AF186*(1+AI191)</f>
        <v>150.675714</v>
      </c>
      <c r="AJ186" s="268">
        <f>AG186*(1+AJ191)</f>
        <v>166.85821152000008</v>
      </c>
      <c r="AK186" s="264">
        <f>AI186+AJ186</f>
        <v>317.53392552000008</v>
      </c>
      <c r="AL186" s="268">
        <f>AI186*(1+AL191)</f>
        <v>164.23652826</v>
      </c>
      <c r="AM186" s="268">
        <f>AJ186*(1+AM191)</f>
        <v>181.8754505568001</v>
      </c>
      <c r="AN186" s="264">
        <f>AL186+AM186</f>
        <v>346.1119788168001</v>
      </c>
      <c r="AO186" s="268">
        <f>AL186*(1+AO191)</f>
        <v>179.01781580340003</v>
      </c>
      <c r="AP186" s="268">
        <f>AM186*(1+AP191)</f>
        <v>198.24424110691211</v>
      </c>
      <c r="AQ186" s="264">
        <f>AO186+AP186</f>
        <v>377.26205691031214</v>
      </c>
      <c r="AR186" s="268">
        <f>AO186*(1+AR191)</f>
        <v>195.12941922570604</v>
      </c>
      <c r="AS186" s="268">
        <f>AP186*(1+AS191)</f>
        <v>216.08622280653421</v>
      </c>
      <c r="AT186" s="264">
        <f>AR186+AS186</f>
        <v>411.21564203224023</v>
      </c>
      <c r="AU186" s="268">
        <f>AR186*(1+AU191)</f>
        <v>212.6910669560196</v>
      </c>
      <c r="AV186" s="268">
        <f>AS186*(1+AV191)</f>
        <v>235.53398285912232</v>
      </c>
      <c r="AW186" s="264">
        <f>AU186+AV186</f>
        <v>448.22504981514192</v>
      </c>
      <c r="AX186" s="268">
        <f>AU186*(1+AX191)</f>
        <v>231.83326298206137</v>
      </c>
      <c r="AY186" s="268">
        <f>AV186*(1+AY191)</f>
        <v>256.73204131644337</v>
      </c>
      <c r="AZ186" s="264">
        <f>AX186+AY186</f>
        <v>488.56530429850477</v>
      </c>
    </row>
    <row r="187" spans="2:52">
      <c r="B187" s="175" t="s">
        <v>2362</v>
      </c>
      <c r="E187" s="263">
        <v>12.6</v>
      </c>
      <c r="F187" s="263">
        <v>36.5</v>
      </c>
      <c r="G187" s="264">
        <f>E187+F187</f>
        <v>49.1</v>
      </c>
      <c r="H187" s="263">
        <v>19.600000000000001</v>
      </c>
      <c r="I187" s="263">
        <v>33.4</v>
      </c>
      <c r="J187" s="264">
        <f>H187+I187</f>
        <v>53</v>
      </c>
      <c r="K187" s="263">
        <v>17.8</v>
      </c>
      <c r="L187" s="263">
        <v>25</v>
      </c>
      <c r="M187" s="264">
        <f>K187+L187</f>
        <v>42.8</v>
      </c>
      <c r="N187" s="263">
        <v>30.3</v>
      </c>
      <c r="O187" s="263">
        <v>43</v>
      </c>
      <c r="P187" s="264">
        <f>N187+O187</f>
        <v>73.3</v>
      </c>
      <c r="Q187" s="263">
        <v>51.1</v>
      </c>
      <c r="R187" s="266">
        <v>37.799999999999997</v>
      </c>
      <c r="S187" s="264">
        <f>Q187+R187</f>
        <v>88.9</v>
      </c>
      <c r="T187" s="263">
        <v>24.2</v>
      </c>
      <c r="U187" s="263">
        <v>30.6</v>
      </c>
      <c r="V187" s="264">
        <f>T187+U187</f>
        <v>54.8</v>
      </c>
      <c r="W187" s="263">
        <v>33.6</v>
      </c>
      <c r="X187" s="267">
        <v>34.200000000000003</v>
      </c>
      <c r="Y187" s="264">
        <f>W187+X187</f>
        <v>67.800000000000011</v>
      </c>
      <c r="Z187" s="263">
        <v>33.200000000000003</v>
      </c>
      <c r="AA187" s="383">
        <f>X187*(1+AA192)</f>
        <v>68.400000000000006</v>
      </c>
      <c r="AB187" s="264">
        <f>Z187+AA187</f>
        <v>101.60000000000001</v>
      </c>
      <c r="AC187" s="268">
        <f>Z187*(1+AC192)</f>
        <v>66.400000000000006</v>
      </c>
      <c r="AD187" s="268">
        <f>AA187*(1+AD192)</f>
        <v>85.5</v>
      </c>
      <c r="AE187" s="264">
        <f>AC187+AD187</f>
        <v>151.9</v>
      </c>
      <c r="AF187" s="268">
        <f>AC187*(1+AF192)</f>
        <v>70.384000000000015</v>
      </c>
      <c r="AG187" s="268">
        <f>AD187*(1+AG192)</f>
        <v>90.63000000000001</v>
      </c>
      <c r="AH187" s="264">
        <f>AF187+AG187</f>
        <v>161.01400000000001</v>
      </c>
      <c r="AI187" s="268">
        <f>AF187*(1+AI192)</f>
        <v>74.607040000000026</v>
      </c>
      <c r="AJ187" s="268">
        <f>AG187*(1+AJ192)</f>
        <v>96.06780000000002</v>
      </c>
      <c r="AK187" s="264">
        <f>AI187+AJ187</f>
        <v>170.67484000000005</v>
      </c>
      <c r="AL187" s="268">
        <f>AI187*(1+AL192)</f>
        <v>79.08346240000003</v>
      </c>
      <c r="AM187" s="268">
        <f>AJ187*(1+AM192)</f>
        <v>101.83186800000003</v>
      </c>
      <c r="AN187" s="264">
        <f>AL187+AM187</f>
        <v>180.91533040000007</v>
      </c>
      <c r="AO187" s="268">
        <f>AL187*(1+AO192)</f>
        <v>83.828470144000036</v>
      </c>
      <c r="AP187" s="268">
        <f>AM187*(1+AP192)</f>
        <v>107.94178008000003</v>
      </c>
      <c r="AQ187" s="264">
        <f>AO187+AP187</f>
        <v>191.77025022400005</v>
      </c>
      <c r="AR187" s="268">
        <f>AO187*(1+AR192)</f>
        <v>88.858178352640039</v>
      </c>
      <c r="AS187" s="268">
        <f>AP187*(1+AS192)</f>
        <v>114.41828688480004</v>
      </c>
      <c r="AT187" s="264">
        <f>AR187+AS187</f>
        <v>203.27646523744008</v>
      </c>
      <c r="AU187" s="268">
        <f>AR187*(1+AU192)</f>
        <v>94.18966905379844</v>
      </c>
      <c r="AV187" s="268">
        <f>AS187*(1+AV192)</f>
        <v>121.28338409788805</v>
      </c>
      <c r="AW187" s="264">
        <f>AU187+AV187</f>
        <v>215.47305315168649</v>
      </c>
      <c r="AX187" s="268">
        <f>AU187*(1+AX192)</f>
        <v>99.841049197026351</v>
      </c>
      <c r="AY187" s="268">
        <f>AV187*(1+AY192)</f>
        <v>128.56038714376135</v>
      </c>
      <c r="AZ187" s="264">
        <f>AX187+AY187</f>
        <v>228.40143634078771</v>
      </c>
    </row>
    <row r="188" spans="2:52" s="181" customFormat="1">
      <c r="B188" s="181" t="s">
        <v>166</v>
      </c>
      <c r="E188" s="259">
        <f>E186+E187</f>
        <v>56.9</v>
      </c>
      <c r="F188" s="259">
        <f>F186+F187</f>
        <v>86.8</v>
      </c>
      <c r="G188" s="265">
        <f>E188+F188</f>
        <v>143.69999999999999</v>
      </c>
      <c r="H188" s="259">
        <f>H186+H187</f>
        <v>70.900000000000006</v>
      </c>
      <c r="I188" s="259">
        <f>I186+I187</f>
        <v>89.3</v>
      </c>
      <c r="J188" s="265">
        <f>H188+I188</f>
        <v>160.19999999999999</v>
      </c>
      <c r="K188" s="259">
        <f>K186+K187</f>
        <v>92.2</v>
      </c>
      <c r="L188" s="259">
        <f>L186+L187</f>
        <v>109.6</v>
      </c>
      <c r="M188" s="265">
        <f>K188+L188</f>
        <v>201.8</v>
      </c>
      <c r="N188" s="259">
        <f>N186+N187</f>
        <v>120.3</v>
      </c>
      <c r="O188" s="259">
        <f>O186+O187</f>
        <v>144.19999999999999</v>
      </c>
      <c r="P188" s="265">
        <f>N188+O188</f>
        <v>264.5</v>
      </c>
      <c r="Q188" s="259">
        <f>Q186+Q187</f>
        <v>180.6</v>
      </c>
      <c r="R188" s="259">
        <f>R186+R187</f>
        <v>168.39999999999998</v>
      </c>
      <c r="S188" s="265">
        <f>Q188+R188</f>
        <v>349</v>
      </c>
      <c r="T188" s="259">
        <f>T186+T187</f>
        <v>134.1</v>
      </c>
      <c r="U188" s="259">
        <f>U186+U187</f>
        <v>152</v>
      </c>
      <c r="V188" s="265">
        <f>T188+U188</f>
        <v>286.10000000000002</v>
      </c>
      <c r="W188" s="259">
        <f>W186+W187</f>
        <v>150.69999999999999</v>
      </c>
      <c r="X188" s="269">
        <f>X186+X187</f>
        <v>164</v>
      </c>
      <c r="Y188" s="265">
        <f>W188+X188</f>
        <v>314.7</v>
      </c>
      <c r="Z188" s="259">
        <f>Z186+Z187</f>
        <v>155.10000000000002</v>
      </c>
      <c r="AA188" s="259">
        <f>AA186+AA187</f>
        <v>203.39200000000002</v>
      </c>
      <c r="AB188" s="265">
        <f>Z188+AA188</f>
        <v>358.49200000000008</v>
      </c>
      <c r="AC188" s="259">
        <f>AC186+AC187</f>
        <v>194.39500000000001</v>
      </c>
      <c r="AD188" s="259">
        <f>AD186+AD187</f>
        <v>227.24160000000003</v>
      </c>
      <c r="AE188" s="265">
        <f>AC188+AD188</f>
        <v>421.63660000000004</v>
      </c>
      <c r="AF188" s="259">
        <f>AF186+AF187</f>
        <v>208.61860000000001</v>
      </c>
      <c r="AG188" s="259">
        <f>AG186+AG187</f>
        <v>243.71092800000008</v>
      </c>
      <c r="AH188" s="265">
        <f>AF188+AG188</f>
        <v>452.3295280000001</v>
      </c>
      <c r="AI188" s="259">
        <f>AI186+AI187</f>
        <v>225.28275400000001</v>
      </c>
      <c r="AJ188" s="259">
        <f>AJ186+AJ187</f>
        <v>262.92601152000009</v>
      </c>
      <c r="AK188" s="265">
        <f>AI188+AJ188</f>
        <v>488.2087655200001</v>
      </c>
      <c r="AL188" s="259">
        <f>AL186+AL187</f>
        <v>243.31999066000003</v>
      </c>
      <c r="AM188" s="259">
        <f>AM186+AM187</f>
        <v>283.70731855680015</v>
      </c>
      <c r="AN188" s="265">
        <f>AL188+AM188</f>
        <v>527.02730921680018</v>
      </c>
      <c r="AO188" s="259">
        <f>AO186+AO187</f>
        <v>262.84628594740008</v>
      </c>
      <c r="AP188" s="259">
        <f>AP186+AP187</f>
        <v>306.18602118691217</v>
      </c>
      <c r="AQ188" s="265">
        <f>AO188+AP188</f>
        <v>569.0323071343123</v>
      </c>
      <c r="AR188" s="259">
        <f>AR186+AR187</f>
        <v>283.98759757834608</v>
      </c>
      <c r="AS188" s="259">
        <f>AS186+AS187</f>
        <v>330.50450969133425</v>
      </c>
      <c r="AT188" s="265">
        <f>AR188+AS188</f>
        <v>614.49210726968033</v>
      </c>
      <c r="AU188" s="259">
        <f>AU186+AU187</f>
        <v>306.88073600981807</v>
      </c>
      <c r="AV188" s="259">
        <f>AV186+AV187</f>
        <v>356.81736695701034</v>
      </c>
      <c r="AW188" s="265">
        <f>AU188+AV188</f>
        <v>663.6981029668284</v>
      </c>
      <c r="AX188" s="259">
        <f>AX186+AX187</f>
        <v>331.67431217908774</v>
      </c>
      <c r="AY188" s="259">
        <f>AY186+AY187</f>
        <v>385.29242846020475</v>
      </c>
      <c r="AZ188" s="265">
        <f>AX188+AY188</f>
        <v>716.96674063929254</v>
      </c>
    </row>
    <row r="189" spans="2:52">
      <c r="E189" s="263"/>
      <c r="F189" s="263"/>
      <c r="G189" s="264"/>
      <c r="H189" s="263"/>
      <c r="I189" s="263"/>
      <c r="J189" s="264"/>
      <c r="K189" s="263"/>
      <c r="L189" s="263"/>
      <c r="M189" s="264"/>
      <c r="N189" s="263"/>
      <c r="O189" s="263"/>
      <c r="P189" s="264"/>
      <c r="Q189" s="263"/>
      <c r="R189" s="263"/>
      <c r="S189" s="264"/>
      <c r="T189" s="263"/>
      <c r="U189" s="263"/>
      <c r="V189" s="264"/>
      <c r="W189" s="263"/>
      <c r="X189" s="267"/>
      <c r="Y189" s="264"/>
      <c r="Z189" s="263"/>
      <c r="AA189" s="263"/>
      <c r="AB189" s="264"/>
      <c r="AC189" s="263"/>
      <c r="AD189" s="263"/>
      <c r="AE189" s="264"/>
      <c r="AF189" s="437"/>
      <c r="AG189" s="263"/>
      <c r="AH189" s="264"/>
      <c r="AI189" s="263"/>
      <c r="AJ189" s="263"/>
      <c r="AK189" s="264"/>
      <c r="AL189" s="263"/>
      <c r="AM189" s="263"/>
      <c r="AN189" s="264"/>
      <c r="AO189" s="263"/>
      <c r="AP189" s="263"/>
      <c r="AQ189" s="264"/>
      <c r="AR189" s="263"/>
      <c r="AS189" s="263"/>
      <c r="AT189" s="264"/>
      <c r="AU189" s="263"/>
      <c r="AV189" s="263"/>
      <c r="AW189" s="264"/>
      <c r="AX189" s="263"/>
      <c r="AY189" s="263"/>
      <c r="AZ189" s="264"/>
    </row>
    <row r="190" spans="2:52">
      <c r="B190" s="181" t="s">
        <v>2368</v>
      </c>
      <c r="E190" s="263"/>
      <c r="F190" s="263"/>
      <c r="G190" s="264"/>
      <c r="H190" s="263"/>
      <c r="I190" s="263"/>
      <c r="J190" s="264"/>
      <c r="K190" s="263"/>
      <c r="L190" s="263"/>
      <c r="M190" s="264"/>
      <c r="N190" s="263"/>
      <c r="O190" s="263"/>
      <c r="P190" s="264"/>
      <c r="Q190" s="263"/>
      <c r="R190" s="263"/>
      <c r="S190" s="264"/>
      <c r="T190" s="263"/>
      <c r="U190" s="263"/>
      <c r="V190" s="264"/>
      <c r="W190" s="263"/>
      <c r="X190" s="267"/>
      <c r="Y190" s="264"/>
      <c r="Z190" s="263"/>
      <c r="AA190" s="263"/>
      <c r="AB190" s="264"/>
      <c r="AC190" s="263"/>
      <c r="AD190" s="263"/>
      <c r="AE190" s="264"/>
      <c r="AF190" s="230"/>
      <c r="AG190" s="263"/>
      <c r="AH190" s="264"/>
      <c r="AI190" s="263"/>
      <c r="AJ190" s="263"/>
      <c r="AK190" s="264"/>
      <c r="AL190" s="263"/>
      <c r="AM190" s="263"/>
      <c r="AN190" s="264"/>
      <c r="AO190" s="263"/>
      <c r="AP190" s="263"/>
      <c r="AQ190" s="264"/>
      <c r="AR190" s="263"/>
      <c r="AS190" s="263"/>
      <c r="AT190" s="264"/>
      <c r="AU190" s="263"/>
      <c r="AV190" s="263"/>
      <c r="AW190" s="264"/>
      <c r="AX190" s="263"/>
      <c r="AY190" s="263"/>
      <c r="AZ190" s="264"/>
    </row>
    <row r="191" spans="2:52">
      <c r="B191" s="175" t="s">
        <v>2361</v>
      </c>
      <c r="E191" s="263"/>
      <c r="F191" s="207"/>
      <c r="G191" s="229"/>
      <c r="H191" s="207">
        <f t="shared" ref="H191:Z193" si="162">H186/E186-1</f>
        <v>0.15801354401805878</v>
      </c>
      <c r="I191" s="207">
        <f t="shared" si="162"/>
        <v>0.11133200795228637</v>
      </c>
      <c r="J191" s="229">
        <f t="shared" si="162"/>
        <v>0.13319238900634245</v>
      </c>
      <c r="K191" s="207">
        <f t="shared" si="162"/>
        <v>0.45029239766081885</v>
      </c>
      <c r="L191" s="207">
        <f t="shared" si="162"/>
        <v>0.51341681574239706</v>
      </c>
      <c r="M191" s="229">
        <f t="shared" si="162"/>
        <v>0.48320895522388074</v>
      </c>
      <c r="N191" s="207">
        <f t="shared" si="162"/>
        <v>0.20967741935483852</v>
      </c>
      <c r="O191" s="207">
        <f t="shared" si="162"/>
        <v>0.19621749408983469</v>
      </c>
      <c r="P191" s="229">
        <f t="shared" si="162"/>
        <v>0.20251572327044021</v>
      </c>
      <c r="Q191" s="207">
        <f t="shared" si="162"/>
        <v>0.43888888888888888</v>
      </c>
      <c r="R191" s="207">
        <f t="shared" si="162"/>
        <v>0.29051383399209474</v>
      </c>
      <c r="S191" s="229">
        <f>S186/P186-1</f>
        <v>0.36035564853556501</v>
      </c>
      <c r="T191" s="207">
        <f t="shared" si="162"/>
        <v>-0.15135135135135136</v>
      </c>
      <c r="U191" s="207">
        <f t="shared" si="162"/>
        <v>-7.0444104134762542E-2</v>
      </c>
      <c r="V191" s="229">
        <f>V186/S186-1</f>
        <v>-0.11072664359861595</v>
      </c>
      <c r="W191" s="207">
        <f t="shared" si="162"/>
        <v>6.5514103730664131E-2</v>
      </c>
      <c r="X191" s="207">
        <f t="shared" si="162"/>
        <v>6.9192751235584993E-2</v>
      </c>
      <c r="Y191" s="229">
        <f>Y186/V186-1</f>
        <v>6.7444876783398167E-2</v>
      </c>
      <c r="Z191" s="207">
        <f t="shared" si="162"/>
        <v>4.0990606319385225E-2</v>
      </c>
      <c r="AA191" s="384">
        <v>0.04</v>
      </c>
      <c r="AB191" s="229">
        <f>AB186/Y186-1</f>
        <v>4.0469825840421469E-2</v>
      </c>
      <c r="AC191" s="384">
        <v>0.05</v>
      </c>
      <c r="AD191" s="262">
        <v>0.05</v>
      </c>
      <c r="AE191" s="229">
        <f>AE186/AB186-1</f>
        <v>5.0000000000000044E-2</v>
      </c>
      <c r="AF191" s="262">
        <v>0.08</v>
      </c>
      <c r="AG191" s="262">
        <f>AF191</f>
        <v>0.08</v>
      </c>
      <c r="AH191" s="229">
        <f>AH186/AE186-1</f>
        <v>8.0000000000000071E-2</v>
      </c>
      <c r="AI191" s="436">
        <v>0.09</v>
      </c>
      <c r="AJ191" s="262">
        <f>AI191</f>
        <v>0.09</v>
      </c>
      <c r="AK191" s="229">
        <f>AK186/AH186-1</f>
        <v>8.9999999999999858E-2</v>
      </c>
      <c r="AL191" s="262">
        <f>AI191</f>
        <v>0.09</v>
      </c>
      <c r="AM191" s="262">
        <f>AL191</f>
        <v>0.09</v>
      </c>
      <c r="AN191" s="229">
        <f>AN186/AK186-1</f>
        <v>9.000000000000008E-2</v>
      </c>
      <c r="AO191" s="262">
        <f>AL191</f>
        <v>0.09</v>
      </c>
      <c r="AP191" s="262">
        <f>AO191</f>
        <v>0.09</v>
      </c>
      <c r="AQ191" s="229">
        <f>AQ186/AN186-1</f>
        <v>9.000000000000008E-2</v>
      </c>
      <c r="AR191" s="262">
        <f>AO191</f>
        <v>0.09</v>
      </c>
      <c r="AS191" s="262">
        <f>AR191</f>
        <v>0.09</v>
      </c>
      <c r="AT191" s="229">
        <f>AT186/AQ186-1</f>
        <v>9.000000000000008E-2</v>
      </c>
      <c r="AU191" s="262">
        <f>AR191</f>
        <v>0.09</v>
      </c>
      <c r="AV191" s="262">
        <f>AU191</f>
        <v>0.09</v>
      </c>
      <c r="AW191" s="229">
        <f>AW186/AT186-1</f>
        <v>9.000000000000008E-2</v>
      </c>
      <c r="AX191" s="262">
        <f>AU191</f>
        <v>0.09</v>
      </c>
      <c r="AY191" s="262">
        <f>AX191</f>
        <v>0.09</v>
      </c>
      <c r="AZ191" s="229">
        <f>AZ186/AW186-1</f>
        <v>9.000000000000008E-2</v>
      </c>
    </row>
    <row r="192" spans="2:52">
      <c r="B192" s="175" t="s">
        <v>2362</v>
      </c>
      <c r="E192" s="263"/>
      <c r="F192" s="207"/>
      <c r="G192" s="229"/>
      <c r="H192" s="207">
        <f t="shared" si="162"/>
        <v>0.5555555555555558</v>
      </c>
      <c r="I192" s="207">
        <f t="shared" si="162"/>
        <v>-8.4931506849315053E-2</v>
      </c>
      <c r="J192" s="229">
        <f t="shared" si="162"/>
        <v>7.9429735234215926E-2</v>
      </c>
      <c r="K192" s="207">
        <f t="shared" si="162"/>
        <v>-9.1836734693877542E-2</v>
      </c>
      <c r="L192" s="207">
        <f t="shared" si="162"/>
        <v>-0.25149700598802394</v>
      </c>
      <c r="M192" s="229">
        <f t="shared" si="162"/>
        <v>-0.19245283018867931</v>
      </c>
      <c r="N192" s="207">
        <f t="shared" si="162"/>
        <v>0.702247191011236</v>
      </c>
      <c r="O192" s="207">
        <f t="shared" si="162"/>
        <v>0.72</v>
      </c>
      <c r="P192" s="229">
        <f t="shared" si="162"/>
        <v>0.71261682242990654</v>
      </c>
      <c r="Q192" s="207">
        <f t="shared" si="162"/>
        <v>0.68646864686468656</v>
      </c>
      <c r="R192" s="207">
        <f t="shared" si="162"/>
        <v>-0.12093023255813962</v>
      </c>
      <c r="S192" s="229">
        <f>S187/P187-1</f>
        <v>0.21282401091405201</v>
      </c>
      <c r="T192" s="207">
        <f t="shared" si="162"/>
        <v>-0.52641878669275932</v>
      </c>
      <c r="U192" s="207">
        <f t="shared" si="162"/>
        <v>-0.19047619047619035</v>
      </c>
      <c r="V192" s="229">
        <f>V187/S187-1</f>
        <v>-0.3835770528683915</v>
      </c>
      <c r="W192" s="207">
        <f t="shared" si="162"/>
        <v>0.38842975206611574</v>
      </c>
      <c r="X192" s="207">
        <f t="shared" si="162"/>
        <v>0.11764705882352944</v>
      </c>
      <c r="Y192" s="229">
        <f>Y187/V187-1</f>
        <v>0.23722627737226309</v>
      </c>
      <c r="Z192" s="207">
        <f t="shared" si="162"/>
        <v>-1.1904761904761862E-2</v>
      </c>
      <c r="AA192" s="384">
        <v>1</v>
      </c>
      <c r="AB192" s="229">
        <f>AB187/Y187-1</f>
        <v>0.4985250737463125</v>
      </c>
      <c r="AC192" s="384">
        <v>1</v>
      </c>
      <c r="AD192" s="262">
        <v>0.25</v>
      </c>
      <c r="AE192" s="229">
        <f>AE187/AB187-1</f>
        <v>0.49507874015748032</v>
      </c>
      <c r="AF192" s="262">
        <v>0.06</v>
      </c>
      <c r="AG192" s="262">
        <f>AF192</f>
        <v>0.06</v>
      </c>
      <c r="AH192" s="229">
        <f>AH187/AE187-1</f>
        <v>6.0000000000000053E-2</v>
      </c>
      <c r="AI192" s="436">
        <f>AF192</f>
        <v>0.06</v>
      </c>
      <c r="AJ192" s="262">
        <f>AI192</f>
        <v>0.06</v>
      </c>
      <c r="AK192" s="229">
        <f>AK187/AH187-1</f>
        <v>6.0000000000000275E-2</v>
      </c>
      <c r="AL192" s="262">
        <f>AI192</f>
        <v>0.06</v>
      </c>
      <c r="AM192" s="262">
        <f>AL192</f>
        <v>0.06</v>
      </c>
      <c r="AN192" s="229">
        <f>AN187/AK187-1</f>
        <v>6.0000000000000053E-2</v>
      </c>
      <c r="AO192" s="262">
        <f>AL192</f>
        <v>0.06</v>
      </c>
      <c r="AP192" s="262">
        <f>AO192</f>
        <v>0.06</v>
      </c>
      <c r="AQ192" s="229">
        <f>AQ187/AN187-1</f>
        <v>5.9999999999999831E-2</v>
      </c>
      <c r="AR192" s="262">
        <f>AO192</f>
        <v>0.06</v>
      </c>
      <c r="AS192" s="262">
        <f>AR192</f>
        <v>0.06</v>
      </c>
      <c r="AT192" s="229">
        <f>AT187/AQ187-1</f>
        <v>6.0000000000000053E-2</v>
      </c>
      <c r="AU192" s="262">
        <f>AR192</f>
        <v>0.06</v>
      </c>
      <c r="AV192" s="262">
        <f>AU192</f>
        <v>0.06</v>
      </c>
      <c r="AW192" s="229">
        <f>AW187/AT187-1</f>
        <v>6.0000000000000053E-2</v>
      </c>
      <c r="AX192" s="262">
        <f>AU192</f>
        <v>0.06</v>
      </c>
      <c r="AY192" s="262">
        <f>AX192</f>
        <v>0.06</v>
      </c>
      <c r="AZ192" s="229">
        <f>AZ187/AW187-1</f>
        <v>6.0000000000000275E-2</v>
      </c>
    </row>
    <row r="193" spans="2:52">
      <c r="B193" s="181" t="s">
        <v>166</v>
      </c>
      <c r="E193" s="259"/>
      <c r="F193" s="251"/>
      <c r="G193" s="252"/>
      <c r="H193" s="251">
        <f t="shared" si="162"/>
        <v>0.24604569420035172</v>
      </c>
      <c r="I193" s="251">
        <f t="shared" si="162"/>
        <v>2.880184331797242E-2</v>
      </c>
      <c r="J193" s="252">
        <f t="shared" si="162"/>
        <v>0.1148225469728601</v>
      </c>
      <c r="K193" s="251">
        <f t="shared" si="162"/>
        <v>0.30042313117066288</v>
      </c>
      <c r="L193" s="251">
        <f t="shared" si="162"/>
        <v>0.22732362821948482</v>
      </c>
      <c r="M193" s="252">
        <f t="shared" si="162"/>
        <v>0.25967540574282166</v>
      </c>
      <c r="N193" s="251">
        <f t="shared" si="162"/>
        <v>0.30477223427331879</v>
      </c>
      <c r="O193" s="251">
        <f t="shared" si="162"/>
        <v>0.31569343065693434</v>
      </c>
      <c r="P193" s="252">
        <f t="shared" si="162"/>
        <v>0.31070366699702667</v>
      </c>
      <c r="Q193" s="251">
        <f t="shared" si="162"/>
        <v>0.50124688279301743</v>
      </c>
      <c r="R193" s="251">
        <f>R188/O188-1</f>
        <v>0.16782246879334251</v>
      </c>
      <c r="S193" s="252">
        <f>S188/P188-1</f>
        <v>0.31947069943289219</v>
      </c>
      <c r="T193" s="251">
        <f t="shared" si="162"/>
        <v>-0.25747508305647837</v>
      </c>
      <c r="U193" s="251">
        <f>U188/R188-1</f>
        <v>-9.7387173396674465E-2</v>
      </c>
      <c r="V193" s="252">
        <f>V188/S188-1</f>
        <v>-0.18022922636103145</v>
      </c>
      <c r="W193" s="251">
        <f>W188/T188-1</f>
        <v>0.12378821774794924</v>
      </c>
      <c r="X193" s="270">
        <f>X188/U188-1</f>
        <v>7.8947368421052655E-2</v>
      </c>
      <c r="Y193" s="252">
        <f>Y188/V188-1</f>
        <v>9.9965047186298284E-2</v>
      </c>
      <c r="Z193" s="251">
        <f>Z188/W188-1</f>
        <v>2.9197080291970989E-2</v>
      </c>
      <c r="AA193" s="270">
        <f>AA188/X188-1</f>
        <v>0.24019512195121973</v>
      </c>
      <c r="AB193" s="252">
        <f>AB188/Y188-1</f>
        <v>0.1391547505560855</v>
      </c>
      <c r="AC193" s="251">
        <f>AC188/Z188-1</f>
        <v>0.25335267569310105</v>
      </c>
      <c r="AD193" s="251">
        <f>AD188/AA188-1</f>
        <v>0.11725928256765261</v>
      </c>
      <c r="AE193" s="252">
        <f>AE188/AB188-1</f>
        <v>0.17613949544201812</v>
      </c>
      <c r="AF193" s="251">
        <f>AF188/AC188-1</f>
        <v>7.3168548573780301E-2</v>
      </c>
      <c r="AG193" s="251">
        <f>AG188/AD188-1</f>
        <v>7.247496937180542E-2</v>
      </c>
      <c r="AH193" s="252">
        <f>AH188/AE188-1</f>
        <v>7.2794743150855545E-2</v>
      </c>
      <c r="AI193" s="251">
        <f>AI188/AF188-1</f>
        <v>7.9878563081144272E-2</v>
      </c>
      <c r="AJ193" s="251">
        <f>AJ188/AG188-1</f>
        <v>7.8843750166180504E-2</v>
      </c>
      <c r="AK193" s="252">
        <f>AK188/AH188-1</f>
        <v>7.9321015540687823E-2</v>
      </c>
      <c r="AL193" s="251">
        <f>AL188/AI188-1</f>
        <v>8.0064879977452819E-2</v>
      </c>
      <c r="AM193" s="251">
        <f>AM188/AJ188-1</f>
        <v>7.9038612104832762E-2</v>
      </c>
      <c r="AN193" s="252">
        <f>AN188/AK188-1</f>
        <v>7.9512180932379994E-2</v>
      </c>
      <c r="AO193" s="251">
        <f>AO188/AL188-1</f>
        <v>8.0249449436667453E-2</v>
      </c>
      <c r="AP193" s="251">
        <f>AP188/AM188-1</f>
        <v>7.9232015389873123E-2</v>
      </c>
      <c r="AQ193" s="252">
        <f>AQ188/AN188-1</f>
        <v>7.9701748245142312E-2</v>
      </c>
      <c r="AR193" s="251">
        <f>AR188/AO188-1</f>
        <v>8.0432225073086006E-2</v>
      </c>
      <c r="AS193" s="251">
        <f>AS188/AP188-1</f>
        <v>7.9423901882107018E-2</v>
      </c>
      <c r="AT193" s="252">
        <f>AT188/AQ188-1</f>
        <v>7.9889664550518935E-2</v>
      </c>
      <c r="AU193" s="251">
        <f>AU188/AR188-1</f>
        <v>8.0613162781364878E-2</v>
      </c>
      <c r="AV193" s="251">
        <f>AV188/AS188-1</f>
        <v>7.9614215522354703E-2</v>
      </c>
      <c r="AW193" s="252">
        <f>AW188/AT188-1</f>
        <v>8.0075879112232684E-2</v>
      </c>
      <c r="AX193" s="251">
        <f>AX188/AU188-1</f>
        <v>8.0792220755350641E-2</v>
      </c>
      <c r="AY193" s="251">
        <f>AY188/AV188-1</f>
        <v>7.9802902381220342E-2</v>
      </c>
      <c r="AZ193" s="252">
        <f>AZ188/AW188-1</f>
        <v>8.0260343421723723E-2</v>
      </c>
    </row>
    <row r="194" spans="2:52">
      <c r="E194" s="263"/>
      <c r="F194" s="263"/>
      <c r="G194" s="264"/>
      <c r="H194" s="263"/>
      <c r="I194" s="263"/>
      <c r="J194" s="264"/>
      <c r="K194" s="263"/>
      <c r="L194" s="263"/>
      <c r="M194" s="264"/>
      <c r="N194" s="263"/>
      <c r="O194" s="263"/>
      <c r="P194" s="264"/>
      <c r="Q194" s="263"/>
      <c r="R194" s="263"/>
      <c r="S194" s="264"/>
      <c r="T194" s="263"/>
      <c r="U194" s="263"/>
      <c r="V194" s="264"/>
      <c r="W194" s="263"/>
      <c r="X194" s="267"/>
      <c r="Y194" s="264"/>
      <c r="Z194" s="263"/>
      <c r="AA194" s="263"/>
      <c r="AB194" s="264"/>
      <c r="AC194" s="263"/>
      <c r="AD194" s="263"/>
      <c r="AE194" s="264"/>
      <c r="AF194" s="263"/>
      <c r="AG194" s="263"/>
      <c r="AH194" s="264"/>
      <c r="AI194" s="263"/>
      <c r="AJ194" s="263"/>
      <c r="AK194" s="264"/>
      <c r="AL194" s="263"/>
      <c r="AM194" s="263"/>
      <c r="AN194" s="264"/>
      <c r="AO194" s="263"/>
      <c r="AP194" s="263"/>
      <c r="AQ194" s="264"/>
      <c r="AR194" s="263"/>
      <c r="AS194" s="263"/>
      <c r="AT194" s="264"/>
      <c r="AU194" s="263"/>
      <c r="AV194" s="263"/>
      <c r="AW194" s="264"/>
      <c r="AX194" s="263"/>
      <c r="AY194" s="263"/>
      <c r="AZ194" s="264"/>
    </row>
    <row r="195" spans="2:52">
      <c r="B195" s="181" t="s">
        <v>2366</v>
      </c>
      <c r="E195" s="263"/>
      <c r="F195" s="263"/>
      <c r="G195" s="264"/>
      <c r="H195" s="263"/>
      <c r="I195" s="263"/>
      <c r="J195" s="264"/>
      <c r="K195" s="263"/>
      <c r="L195" s="263"/>
      <c r="M195" s="264"/>
      <c r="N195" s="263"/>
      <c r="O195" s="263"/>
      <c r="P195" s="264"/>
      <c r="Q195" s="263"/>
      <c r="R195" s="263"/>
      <c r="S195" s="264"/>
      <c r="T195" s="263"/>
      <c r="U195" s="263"/>
      <c r="V195" s="264"/>
      <c r="W195" s="263"/>
      <c r="X195" s="267"/>
      <c r="Y195" s="264"/>
      <c r="Z195" s="263"/>
      <c r="AA195" s="263"/>
      <c r="AB195" s="264"/>
      <c r="AC195" s="263"/>
      <c r="AD195" s="263"/>
      <c r="AE195" s="264"/>
      <c r="AF195" s="263"/>
      <c r="AG195" s="263"/>
      <c r="AH195" s="264"/>
      <c r="AI195" s="263"/>
      <c r="AJ195" s="263"/>
      <c r="AK195" s="264"/>
      <c r="AL195" s="263"/>
      <c r="AM195" s="263"/>
      <c r="AN195" s="264"/>
      <c r="AO195" s="263"/>
      <c r="AP195" s="263"/>
      <c r="AQ195" s="264"/>
      <c r="AR195" s="263"/>
      <c r="AS195" s="263"/>
      <c r="AT195" s="264"/>
      <c r="AU195" s="263"/>
      <c r="AV195" s="263"/>
      <c r="AW195" s="264"/>
      <c r="AX195" s="263"/>
      <c r="AY195" s="263"/>
      <c r="AZ195" s="264"/>
    </row>
    <row r="196" spans="2:52">
      <c r="B196" s="175" t="s">
        <v>2361</v>
      </c>
      <c r="E196" s="263">
        <v>-15.3</v>
      </c>
      <c r="F196" s="263">
        <v>-19.399999999999999</v>
      </c>
      <c r="G196" s="264">
        <f>E196+F196</f>
        <v>-34.700000000000003</v>
      </c>
      <c r="H196" s="263">
        <v>-18.600000000000001</v>
      </c>
      <c r="I196" s="263">
        <v>-23.2</v>
      </c>
      <c r="J196" s="264">
        <f>H196+I196</f>
        <v>-41.8</v>
      </c>
      <c r="K196" s="263">
        <v>-54.3</v>
      </c>
      <c r="L196" s="263">
        <v>-56.1</v>
      </c>
      <c r="M196" s="264">
        <f>K196+L196</f>
        <v>-110.4</v>
      </c>
      <c r="N196" s="263">
        <v>-55.1</v>
      </c>
      <c r="O196" s="263">
        <v>-70</v>
      </c>
      <c r="P196" s="264">
        <f>N196+O196</f>
        <v>-125.1</v>
      </c>
      <c r="Q196" s="263">
        <f>-75.8+271.3</f>
        <v>195.5</v>
      </c>
      <c r="R196" s="263">
        <v>-81.3</v>
      </c>
      <c r="S196" s="264">
        <f>Q196+R196</f>
        <v>114.2</v>
      </c>
      <c r="T196" s="263">
        <v>-85.8</v>
      </c>
      <c r="U196" s="263">
        <v>-102.7</v>
      </c>
      <c r="V196" s="264">
        <f>T196+U196</f>
        <v>-188.5</v>
      </c>
      <c r="W196" s="263">
        <v>-97.8</v>
      </c>
      <c r="X196" s="267">
        <v>-102.6</v>
      </c>
      <c r="Y196" s="264">
        <f>W196+X196</f>
        <v>-200.39999999999998</v>
      </c>
      <c r="Z196" s="263">
        <v>-109.8</v>
      </c>
      <c r="AA196" s="382">
        <f>AA206-AA186</f>
        <v>-120.29200000000002</v>
      </c>
      <c r="AB196" s="264">
        <f>Z196+AA196</f>
        <v>-230.09200000000001</v>
      </c>
      <c r="AC196" s="382">
        <f>AC206-AC186</f>
        <v>-118.995</v>
      </c>
      <c r="AD196" s="263">
        <f>-AD201*AC175</f>
        <v>-123.60221941865163</v>
      </c>
      <c r="AE196" s="264">
        <f>AC196+AD196</f>
        <v>-242.59721941865163</v>
      </c>
      <c r="AF196" s="263">
        <f>-AF201*AE175</f>
        <v>-117.80563179146353</v>
      </c>
      <c r="AG196" s="263">
        <f>-AG201*AF175</f>
        <v>-123.56536387908953</v>
      </c>
      <c r="AH196" s="264">
        <f>AF196+AG196</f>
        <v>-241.37099567055304</v>
      </c>
      <c r="AI196" s="263">
        <f>-AI201*AH175</f>
        <v>-118.50771389582559</v>
      </c>
      <c r="AJ196" s="263">
        <f>-AJ201*AI175</f>
        <v>-125.44866100638613</v>
      </c>
      <c r="AK196" s="264">
        <f>AI196+AJ196</f>
        <v>-243.95637490221173</v>
      </c>
      <c r="AL196" s="263">
        <f>-AL201*AK175</f>
        <v>-120.96809051220224</v>
      </c>
      <c r="AM196" s="263">
        <f>-AM201*AL175</f>
        <v>-129.03319298021657</v>
      </c>
      <c r="AN196" s="264">
        <f>AL196+AM196</f>
        <v>-250.00128349241879</v>
      </c>
      <c r="AO196" s="263">
        <f>-AO201*AN175</f>
        <v>-124.88158717629051</v>
      </c>
      <c r="AP196" s="263">
        <f>-AP201*AO175</f>
        <v>-134.0515829448081</v>
      </c>
      <c r="AQ196" s="264">
        <f>AO196+AP196</f>
        <v>-258.93317012109861</v>
      </c>
      <c r="AR196" s="263">
        <f>-AR201*AQ175</f>
        <v>-130.01986919723331</v>
      </c>
      <c r="AS196" s="263">
        <f>-AS201*AR175</f>
        <v>-140.30507909485016</v>
      </c>
      <c r="AT196" s="264">
        <f>AR196+AS196</f>
        <v>-270.32494829208349</v>
      </c>
      <c r="AU196" s="263">
        <f>-AU201*AT175</f>
        <v>-136.20980232680708</v>
      </c>
      <c r="AV196" s="263">
        <f>-AV201*AU175</f>
        <v>-147.64437354083941</v>
      </c>
      <c r="AW196" s="264">
        <f>AU196+AV196</f>
        <v>-283.85417586764652</v>
      </c>
      <c r="AX196" s="263">
        <f>-AX201*AW175</f>
        <v>-143.31728170722187</v>
      </c>
      <c r="AY196" s="263">
        <f>-AY201*AX175</f>
        <v>-155.95519164752591</v>
      </c>
      <c r="AZ196" s="264">
        <f>AX196+AY196</f>
        <v>-299.27247335474777</v>
      </c>
    </row>
    <row r="197" spans="2:52">
      <c r="B197" s="175" t="s">
        <v>2362</v>
      </c>
      <c r="E197" s="263">
        <v>-11.8</v>
      </c>
      <c r="F197" s="263">
        <v>-23</v>
      </c>
      <c r="G197" s="264">
        <f>E197+F197</f>
        <v>-34.799999999999997</v>
      </c>
      <c r="H197" s="263">
        <v>-17.399999999999999</v>
      </c>
      <c r="I197" s="263">
        <v>-13</v>
      </c>
      <c r="J197" s="264">
        <f>H197+I197</f>
        <v>-30.4</v>
      </c>
      <c r="K197" s="263">
        <v>-11.8</v>
      </c>
      <c r="L197" s="263">
        <v>-15.9</v>
      </c>
      <c r="M197" s="264">
        <f>K197+L197</f>
        <v>-27.700000000000003</v>
      </c>
      <c r="N197" s="263">
        <v>-14.3</v>
      </c>
      <c r="O197" s="263">
        <v>-15.6</v>
      </c>
      <c r="P197" s="264">
        <f>N197+O197</f>
        <v>-29.9</v>
      </c>
      <c r="Q197" s="263">
        <f>-34.7+22.7</f>
        <v>-12.000000000000004</v>
      </c>
      <c r="R197" s="263">
        <v>-13.3</v>
      </c>
      <c r="S197" s="264">
        <f>Q197+R197</f>
        <v>-25.300000000000004</v>
      </c>
      <c r="T197" s="263">
        <v>-19.100000000000001</v>
      </c>
      <c r="U197" s="263">
        <v>-18.899999999999999</v>
      </c>
      <c r="V197" s="264">
        <f>T197+U197</f>
        <v>-38</v>
      </c>
      <c r="W197" s="263">
        <v>-26.3</v>
      </c>
      <c r="X197" s="267">
        <v>-30.8</v>
      </c>
      <c r="Y197" s="264">
        <f>W197+X197</f>
        <v>-57.1</v>
      </c>
      <c r="Z197" s="263">
        <v>-32.6</v>
      </c>
      <c r="AA197" s="382">
        <f>AA207-AA187</f>
        <v>-7.9000000000000057</v>
      </c>
      <c r="AB197" s="264">
        <f>Z197+AA197</f>
        <v>-40.500000000000007</v>
      </c>
      <c r="AC197" s="382">
        <f>AC207-AC187</f>
        <v>-14.19999999999996</v>
      </c>
      <c r="AD197" s="263">
        <f>-AD202*AC176</f>
        <v>-42.510000000000005</v>
      </c>
      <c r="AE197" s="264">
        <f>AC197+AD197</f>
        <v>-56.709999999999965</v>
      </c>
      <c r="AF197" s="263">
        <f>-AF202*AE176</f>
        <v>-46.809000000000005</v>
      </c>
      <c r="AG197" s="263">
        <f>-AG202*AF176</f>
        <v>-49.166500000000006</v>
      </c>
      <c r="AH197" s="264">
        <f>AF197+AG197</f>
        <v>-95.975500000000011</v>
      </c>
      <c r="AI197" s="263">
        <f>-AI202*AH176</f>
        <v>-53.312850000000005</v>
      </c>
      <c r="AJ197" s="263">
        <f>-AJ202*AI176</f>
        <v>-55.442269000000003</v>
      </c>
      <c r="AK197" s="264">
        <f>AI197+AJ197</f>
        <v>-108.75511900000001</v>
      </c>
      <c r="AL197" s="263">
        <f>-AL202*AK176</f>
        <v>-59.504822100000005</v>
      </c>
      <c r="AM197" s="263">
        <f>-AM202*AL176</f>
        <v>-61.462686130000009</v>
      </c>
      <c r="AN197" s="264">
        <f>AL197+AM197</f>
        <v>-120.96750823000002</v>
      </c>
      <c r="AO197" s="263">
        <f>-AO202*AN176</f>
        <v>-65.499604317000021</v>
      </c>
      <c r="AP197" s="263">
        <f>-AP202*AO176</f>
        <v>-67.332490899700005</v>
      </c>
      <c r="AQ197" s="264">
        <f>AO197+AP197</f>
        <v>-132.83209521670003</v>
      </c>
      <c r="AR197" s="263">
        <f>-AR202*AQ176</f>
        <v>-71.39341981773002</v>
      </c>
      <c r="AS197" s="263">
        <f>-AS202*AR176</f>
        <v>-73.139895671221026</v>
      </c>
      <c r="AT197" s="264">
        <f>AR197+AS197</f>
        <v>-144.53331548895105</v>
      </c>
      <c r="AU197" s="263">
        <f>-AU202*AT176</f>
        <v>-77.267734792578935</v>
      </c>
      <c r="AV197" s="263">
        <f>-AV202*AU176</f>
        <v>-78.959928218700881</v>
      </c>
      <c r="AW197" s="264">
        <f>AU197+AV197</f>
        <v>-156.22766301127982</v>
      </c>
      <c r="AX197" s="263">
        <f>-AX202*AW176</f>
        <v>-83.192273806619596</v>
      </c>
      <c r="AY197" s="263">
        <f>-AY202*AX176</f>
        <v>-84.85715134566027</v>
      </c>
      <c r="AZ197" s="264">
        <f>AX197+AY197</f>
        <v>-168.04942515227987</v>
      </c>
    </row>
    <row r="198" spans="2:52">
      <c r="B198" s="181" t="s">
        <v>166</v>
      </c>
      <c r="E198" s="259">
        <f>E196+E197</f>
        <v>-27.1</v>
      </c>
      <c r="F198" s="259">
        <f>F196+F197</f>
        <v>-42.4</v>
      </c>
      <c r="G198" s="265">
        <f>E198+F198</f>
        <v>-69.5</v>
      </c>
      <c r="H198" s="259">
        <f>H196+H197</f>
        <v>-36</v>
      </c>
      <c r="I198" s="259">
        <f>I196+I197</f>
        <v>-36.200000000000003</v>
      </c>
      <c r="J198" s="265">
        <f>H198+I198</f>
        <v>-72.2</v>
      </c>
      <c r="K198" s="259">
        <f>K196+K197</f>
        <v>-66.099999999999994</v>
      </c>
      <c r="L198" s="259">
        <f>L196+L197</f>
        <v>-72</v>
      </c>
      <c r="M198" s="265">
        <f>K198+L198</f>
        <v>-138.1</v>
      </c>
      <c r="N198" s="259">
        <f>N196+N197</f>
        <v>-69.400000000000006</v>
      </c>
      <c r="O198" s="259">
        <f>O196+O197</f>
        <v>-85.6</v>
      </c>
      <c r="P198" s="265">
        <f>N198+O198</f>
        <v>-155</v>
      </c>
      <c r="Q198" s="259">
        <f>Q196+Q197</f>
        <v>183.5</v>
      </c>
      <c r="R198" s="259">
        <f>R196+R197</f>
        <v>-94.6</v>
      </c>
      <c r="S198" s="265">
        <f>Q198+R198</f>
        <v>88.9</v>
      </c>
      <c r="T198" s="259">
        <f>T196+T197</f>
        <v>-104.9</v>
      </c>
      <c r="U198" s="259">
        <f>U196+U197</f>
        <v>-121.6</v>
      </c>
      <c r="V198" s="265">
        <f>T198+U198</f>
        <v>-226.5</v>
      </c>
      <c r="W198" s="259">
        <f>W196+W197</f>
        <v>-124.1</v>
      </c>
      <c r="X198" s="269">
        <f>X196+X197</f>
        <v>-133.4</v>
      </c>
      <c r="Y198" s="265">
        <f>W198+X198</f>
        <v>-257.5</v>
      </c>
      <c r="Z198" s="259">
        <f>Z196+Z197</f>
        <v>-142.4</v>
      </c>
      <c r="AA198" s="259">
        <f>AA196+AA197</f>
        <v>-128.19200000000001</v>
      </c>
      <c r="AB198" s="265">
        <f>Z198+AA198</f>
        <v>-270.59199999999998</v>
      </c>
      <c r="AC198" s="259">
        <f>AC196+AC197</f>
        <v>-133.19499999999996</v>
      </c>
      <c r="AD198" s="259">
        <f>AD196+AD197</f>
        <v>-166.11221941865165</v>
      </c>
      <c r="AE198" s="265">
        <f>AC198+AD198</f>
        <v>-299.30721941865158</v>
      </c>
      <c r="AF198" s="259">
        <f>AF196+AF197</f>
        <v>-164.61463179146352</v>
      </c>
      <c r="AG198" s="259">
        <f>AG196+AG197</f>
        <v>-172.73186387908953</v>
      </c>
      <c r="AH198" s="265">
        <f>AF198+AG198</f>
        <v>-337.34649567055305</v>
      </c>
      <c r="AI198" s="259">
        <f>AI196+AI197</f>
        <v>-171.82056389582559</v>
      </c>
      <c r="AJ198" s="259">
        <f>AJ196+AJ197</f>
        <v>-180.89093000638613</v>
      </c>
      <c r="AK198" s="265">
        <f>AI198+AJ198</f>
        <v>-352.71149390221171</v>
      </c>
      <c r="AL198" s="259">
        <f>AL196+AL197</f>
        <v>-180.47291261220224</v>
      </c>
      <c r="AM198" s="259">
        <f>AM196+AM197</f>
        <v>-190.49587911021658</v>
      </c>
      <c r="AN198" s="265">
        <f>AL198+AM198</f>
        <v>-370.96879172241881</v>
      </c>
      <c r="AO198" s="259">
        <f>AO196+AO197</f>
        <v>-190.38119149329054</v>
      </c>
      <c r="AP198" s="259">
        <f>AP196+AP197</f>
        <v>-201.38407384450812</v>
      </c>
      <c r="AQ198" s="265">
        <f>AO198+AP198</f>
        <v>-391.76526533779867</v>
      </c>
      <c r="AR198" s="259">
        <f>AR196+AR197</f>
        <v>-201.41328901496331</v>
      </c>
      <c r="AS198" s="259">
        <f>AS196+AS197</f>
        <v>-213.4449747660712</v>
      </c>
      <c r="AT198" s="265">
        <f>AR198+AS198</f>
        <v>-414.85826378103451</v>
      </c>
      <c r="AU198" s="259">
        <f>AU196+AU197</f>
        <v>-213.477537119386</v>
      </c>
      <c r="AV198" s="259">
        <f>AV196+AV197</f>
        <v>-226.60430175954031</v>
      </c>
      <c r="AW198" s="265">
        <f>AU198+AV198</f>
        <v>-440.08183887892631</v>
      </c>
      <c r="AX198" s="259">
        <f>AX196+AX197</f>
        <v>-226.50955551384146</v>
      </c>
      <c r="AY198" s="259">
        <f>AY196+AY197</f>
        <v>-240.81234299318618</v>
      </c>
      <c r="AZ198" s="265">
        <f>AX198+AY198</f>
        <v>-467.32189850702764</v>
      </c>
    </row>
    <row r="199" spans="2:52">
      <c r="E199" s="263"/>
      <c r="F199" s="263"/>
      <c r="G199" s="264"/>
      <c r="H199" s="263"/>
      <c r="I199" s="263"/>
      <c r="J199" s="264"/>
      <c r="K199" s="263"/>
      <c r="L199" s="263"/>
      <c r="M199" s="264"/>
      <c r="N199" s="263"/>
      <c r="O199" s="263"/>
      <c r="P199" s="264"/>
      <c r="Q199" s="263"/>
      <c r="R199" s="263"/>
      <c r="S199" s="264"/>
      <c r="T199" s="263"/>
      <c r="U199" s="263"/>
      <c r="V199" s="264"/>
      <c r="W199" s="263"/>
      <c r="X199" s="267"/>
      <c r="Y199" s="264"/>
      <c r="Z199" s="263"/>
      <c r="AA199" s="263"/>
      <c r="AB199" s="264"/>
      <c r="AC199" s="263"/>
      <c r="AD199" s="263"/>
      <c r="AE199" s="264"/>
      <c r="AF199" s="263"/>
      <c r="AG199" s="263"/>
      <c r="AH199" s="264"/>
      <c r="AI199" s="263"/>
      <c r="AJ199" s="263"/>
      <c r="AK199" s="264"/>
      <c r="AL199" s="263"/>
      <c r="AM199" s="263"/>
      <c r="AN199" s="264"/>
      <c r="AO199" s="263"/>
      <c r="AP199" s="263"/>
      <c r="AQ199" s="264"/>
      <c r="AR199" s="263"/>
      <c r="AS199" s="263"/>
      <c r="AT199" s="264"/>
      <c r="AU199" s="263"/>
      <c r="AV199" s="263"/>
      <c r="AW199" s="264"/>
      <c r="AX199" s="263"/>
      <c r="AY199" s="263"/>
      <c r="AZ199" s="264"/>
    </row>
    <row r="200" spans="2:52">
      <c r="B200" s="181" t="s">
        <v>2369</v>
      </c>
      <c r="E200" s="263"/>
      <c r="F200" s="263"/>
      <c r="G200" s="264"/>
      <c r="H200" s="263"/>
      <c r="I200" s="263"/>
      <c r="J200" s="264"/>
      <c r="K200" s="263"/>
      <c r="L200" s="263"/>
      <c r="M200" s="264"/>
      <c r="N200" s="263"/>
      <c r="O200" s="263"/>
      <c r="P200" s="264"/>
      <c r="Q200" s="263"/>
      <c r="R200" s="263"/>
      <c r="S200" s="264"/>
      <c r="T200" s="263"/>
      <c r="U200" s="263"/>
      <c r="V200" s="264"/>
      <c r="W200" s="263"/>
      <c r="X200" s="267"/>
      <c r="Y200" s="264"/>
      <c r="Z200" s="263"/>
      <c r="AA200" s="263"/>
      <c r="AB200" s="264"/>
      <c r="AC200" s="263"/>
      <c r="AD200" s="263"/>
      <c r="AE200" s="264"/>
      <c r="AF200" s="263"/>
      <c r="AG200" s="263"/>
      <c r="AH200" s="264"/>
      <c r="AI200" s="263"/>
      <c r="AJ200" s="263"/>
      <c r="AK200" s="264"/>
      <c r="AL200" s="263"/>
      <c r="AM200" s="263"/>
      <c r="AN200" s="264"/>
      <c r="AO200" s="263"/>
      <c r="AP200" s="263"/>
      <c r="AQ200" s="264"/>
      <c r="AR200" s="263"/>
      <c r="AS200" s="263"/>
      <c r="AT200" s="264"/>
      <c r="AU200" s="263"/>
      <c r="AV200" s="263"/>
      <c r="AW200" s="264"/>
      <c r="AX200" s="263"/>
      <c r="AY200" s="263"/>
      <c r="AZ200" s="264"/>
    </row>
    <row r="201" spans="2:52">
      <c r="B201" s="175" t="s">
        <v>2361</v>
      </c>
      <c r="E201" s="263"/>
      <c r="F201" s="207">
        <f>-F196/E175</f>
        <v>3.6119903183764658E-2</v>
      </c>
      <c r="G201" s="229"/>
      <c r="H201" s="207">
        <f t="shared" ref="H201:I203" si="163">-H196/G175</f>
        <v>3.2746478873239442E-2</v>
      </c>
      <c r="I201" s="207">
        <f t="shared" si="163"/>
        <v>3.8621608123855504E-2</v>
      </c>
      <c r="J201" s="229">
        <f>-J196/G175</f>
        <v>7.3591549295774647E-2</v>
      </c>
      <c r="K201" s="207">
        <f t="shared" ref="K201:O203" si="164">-K196/J175</f>
        <v>8.5727818124407967E-2</v>
      </c>
      <c r="L201" s="207">
        <f t="shared" si="164"/>
        <v>8.584544758990055E-2</v>
      </c>
      <c r="M201" s="229">
        <f>-M196/J175</f>
        <v>0.17429744237448694</v>
      </c>
      <c r="N201" s="207">
        <f t="shared" si="164"/>
        <v>8.0791788856305002E-2</v>
      </c>
      <c r="O201" s="207">
        <f t="shared" si="164"/>
        <v>9.7642627981587404E-2</v>
      </c>
      <c r="P201" s="229">
        <f>-P196/M175</f>
        <v>0.18343108504398828</v>
      </c>
      <c r="Q201" s="256">
        <f>75.8/P175</f>
        <v>0.10132335249298223</v>
      </c>
      <c r="R201" s="207">
        <f>-R196/Q175</f>
        <v>7.5761811573944654E-2</v>
      </c>
      <c r="S201" s="229">
        <f>-S196/P175</f>
        <v>-0.15265338858441388</v>
      </c>
      <c r="T201" s="207">
        <f t="shared" ref="T201:Z203" si="165">-T196/S175</f>
        <v>7.6443335709194593E-2</v>
      </c>
      <c r="U201" s="207">
        <f>-U196/T175</f>
        <v>8.9576973397296117E-2</v>
      </c>
      <c r="V201" s="229">
        <f>-V196/S175</f>
        <v>0.16794369208838206</v>
      </c>
      <c r="W201" s="207">
        <f t="shared" si="165"/>
        <v>8.3934088568486095E-2</v>
      </c>
      <c r="X201" s="207">
        <f t="shared" si="165"/>
        <v>8.6618826509075555E-2</v>
      </c>
      <c r="Y201" s="229">
        <f>-Y196/V175</f>
        <v>0.17198764160659111</v>
      </c>
      <c r="Z201" s="207">
        <f t="shared" si="165"/>
        <v>9.0616489230007424E-2</v>
      </c>
      <c r="AA201" s="207">
        <f>-AA196/Z175</f>
        <v>9.8293838862559241E-2</v>
      </c>
      <c r="AB201" s="229">
        <f>-AB196/Y175</f>
        <v>0.18989188743088223</v>
      </c>
      <c r="AC201" s="207">
        <f>-AC196/AB175</f>
        <v>9.607993540573273E-2</v>
      </c>
      <c r="AD201" s="262">
        <f>AC201+0.3%</f>
        <v>9.9079935405732733E-2</v>
      </c>
      <c r="AE201" s="229">
        <f>-AE196/AB175</f>
        <v>0.1958798703420683</v>
      </c>
      <c r="AF201" s="404">
        <f>AC201-0.3%</f>
        <v>9.3079935405732728E-2</v>
      </c>
      <c r="AG201" s="404">
        <f>AD201-0.3%</f>
        <v>9.607993540573273E-2</v>
      </c>
      <c r="AH201" s="229">
        <f>-AH196/AE175</f>
        <v>0.1907107185300157</v>
      </c>
      <c r="AI201" s="404">
        <f>AF201-0.3%</f>
        <v>9.0079935405732725E-2</v>
      </c>
      <c r="AJ201" s="404">
        <f>AG201-0.3%</f>
        <v>9.3079935405732728E-2</v>
      </c>
      <c r="AK201" s="229">
        <f>-AK196/AH175</f>
        <v>0.1854358148561166</v>
      </c>
      <c r="AL201" s="404">
        <f>AI201-0.3%</f>
        <v>8.7079935405732722E-2</v>
      </c>
      <c r="AM201" s="404">
        <f>AJ201-0.3%</f>
        <v>9.0079935405732725E-2</v>
      </c>
      <c r="AN201" s="229">
        <f>-AN196/AK175</f>
        <v>0.17996560519134688</v>
      </c>
      <c r="AO201" s="404">
        <f>AL201-0.3%</f>
        <v>8.407993540573272E-2</v>
      </c>
      <c r="AP201" s="404">
        <f>AM201-0.3%</f>
        <v>8.7079935405732722E-2</v>
      </c>
      <c r="AQ201" s="229">
        <f>-AQ196/AN175</f>
        <v>0.17433382062521494</v>
      </c>
      <c r="AR201" s="404">
        <f>AO201-0.3%</f>
        <v>8.1079935405732717E-2</v>
      </c>
      <c r="AS201" s="404">
        <f>AP201-0.3%</f>
        <v>8.407993540573272E-2</v>
      </c>
      <c r="AT201" s="229">
        <f>-AT196/AQ175</f>
        <v>0.16857369170885583</v>
      </c>
      <c r="AU201" s="404">
        <f>AR201-0.3%</f>
        <v>7.8079935405732714E-2</v>
      </c>
      <c r="AV201" s="404">
        <f>AS201-0.3%</f>
        <v>8.1079935405732717E-2</v>
      </c>
      <c r="AW201" s="229">
        <f>-AW196/AT175</f>
        <v>0.16271454284337825</v>
      </c>
      <c r="AX201" s="404">
        <f>AU201-0.3%</f>
        <v>7.5079935405732712E-2</v>
      </c>
      <c r="AY201" s="404">
        <f>AV201-0.3%</f>
        <v>7.8079935405732714E-2</v>
      </c>
      <c r="AZ201" s="229">
        <f>-AZ196/AW175</f>
        <v>0.15678052011961988</v>
      </c>
    </row>
    <row r="202" spans="2:52">
      <c r="B202" s="175" t="s">
        <v>2362</v>
      </c>
      <c r="E202" s="263"/>
      <c r="F202" s="207">
        <f>-F197/E176</f>
        <v>0.18239492466296592</v>
      </c>
      <c r="G202" s="229"/>
      <c r="H202" s="207">
        <f t="shared" si="163"/>
        <v>0.12464183381088825</v>
      </c>
      <c r="I202" s="207">
        <f t="shared" si="163"/>
        <v>9.1678420310296202E-2</v>
      </c>
      <c r="J202" s="229">
        <f>-J197/G176</f>
        <v>0.2177650429799427</v>
      </c>
      <c r="K202" s="207">
        <f t="shared" si="164"/>
        <v>7.2749691738594344E-2</v>
      </c>
      <c r="L202" s="207">
        <f t="shared" si="164"/>
        <v>9.4530321046373378E-2</v>
      </c>
      <c r="M202" s="229">
        <f>-M197/J176</f>
        <v>0.1707768187422935</v>
      </c>
      <c r="N202" s="207">
        <f t="shared" si="164"/>
        <v>8.0654258319232952E-2</v>
      </c>
      <c r="O202" s="207">
        <f t="shared" si="164"/>
        <v>8.0703569580962239E-2</v>
      </c>
      <c r="P202" s="229">
        <f>-P197/M176</f>
        <v>0.16864072194021434</v>
      </c>
      <c r="Q202" s="207">
        <f>-Q197/P176</f>
        <v>5.4372451291345734E-2</v>
      </c>
      <c r="R202" s="207">
        <f>-R197/Q176</f>
        <v>5.1193225558121634E-2</v>
      </c>
      <c r="S202" s="229">
        <f>-S197/P176</f>
        <v>0.11463525147258725</v>
      </c>
      <c r="T202" s="207">
        <f t="shared" si="165"/>
        <v>6.7182553640520573E-2</v>
      </c>
      <c r="U202" s="207">
        <f t="shared" si="165"/>
        <v>6.5307532826537659E-2</v>
      </c>
      <c r="V202" s="229">
        <f>-V197/S176</f>
        <v>0.13366162504396764</v>
      </c>
      <c r="W202" s="207">
        <f t="shared" si="165"/>
        <v>8.7346396545998004E-2</v>
      </c>
      <c r="X202" s="207">
        <f t="shared" si="165"/>
        <v>9.9870298313878073E-2</v>
      </c>
      <c r="Y202" s="229">
        <f>-Y197/V176</f>
        <v>0.18963799402191961</v>
      </c>
      <c r="Z202" s="207">
        <f t="shared" si="165"/>
        <v>0.10455420141116101</v>
      </c>
      <c r="AA202" s="207">
        <f>-AA197/Z176</f>
        <v>2.528809218950066E-2</v>
      </c>
      <c r="AB202" s="229">
        <f>-AB197/Y176</f>
        <v>0.12989095574085954</v>
      </c>
      <c r="AC202" s="207">
        <f>-AC197/AB176</f>
        <v>3.8079914186108774E-2</v>
      </c>
      <c r="AD202" s="262">
        <v>0.1</v>
      </c>
      <c r="AE202" s="229">
        <f>-AE197/AB176</f>
        <v>0.15207830517565021</v>
      </c>
      <c r="AF202" s="262">
        <f>AD202</f>
        <v>0.1</v>
      </c>
      <c r="AG202" s="262">
        <f>AF202</f>
        <v>0.1</v>
      </c>
      <c r="AH202" s="229">
        <f>-AH197/AE176</f>
        <v>0.20503642461919716</v>
      </c>
      <c r="AI202" s="262">
        <f>AG202</f>
        <v>0.1</v>
      </c>
      <c r="AJ202" s="262">
        <f>AI202</f>
        <v>0.1</v>
      </c>
      <c r="AK202" s="229">
        <f>-AK197/AH176</f>
        <v>0.20399419464538099</v>
      </c>
      <c r="AL202" s="262">
        <f>AJ202</f>
        <v>0.1</v>
      </c>
      <c r="AM202" s="262">
        <f>AL202</f>
        <v>0.1</v>
      </c>
      <c r="AN202" s="229">
        <f>-AN197/AK176</f>
        <v>0.20329026112658527</v>
      </c>
      <c r="AO202" s="262">
        <f>AM202</f>
        <v>0.1</v>
      </c>
      <c r="AP202" s="262">
        <f>AO202</f>
        <v>0.1</v>
      </c>
      <c r="AQ202" s="229">
        <f>-AQ197/AN176</f>
        <v>0.20279831703078591</v>
      </c>
      <c r="AR202" s="262">
        <f>AP202</f>
        <v>0.1</v>
      </c>
      <c r="AS202" s="262">
        <f>AR202</f>
        <v>0.1</v>
      </c>
      <c r="AT202" s="229">
        <f>-AT197/AQ176</f>
        <v>0.20244627005955149</v>
      </c>
      <c r="AU202" s="262">
        <f>AS202</f>
        <v>0.1</v>
      </c>
      <c r="AV202" s="262">
        <f>AU202</f>
        <v>0.1</v>
      </c>
      <c r="AW202" s="229">
        <f>-AW197/AT176</f>
        <v>0.20219003887025364</v>
      </c>
      <c r="AX202" s="262">
        <f>AV202</f>
        <v>0.1</v>
      </c>
      <c r="AY202" s="262">
        <f>AX202</f>
        <v>0.1</v>
      </c>
      <c r="AZ202" s="229">
        <f>-AZ197/AW176</f>
        <v>0.20200124057542973</v>
      </c>
    </row>
    <row r="203" spans="2:52">
      <c r="B203" s="181" t="s">
        <v>166</v>
      </c>
      <c r="E203" s="259"/>
      <c r="F203" s="251">
        <f>-F198/E177</f>
        <v>6.3932448733413749E-2</v>
      </c>
      <c r="G203" s="252"/>
      <c r="H203" s="251">
        <f t="shared" si="163"/>
        <v>5.0876201243640472E-2</v>
      </c>
      <c r="I203" s="251">
        <f t="shared" si="163"/>
        <v>4.8754208754208765E-2</v>
      </c>
      <c r="J203" s="252">
        <f>-J198/G177</f>
        <v>0.10203504804974561</v>
      </c>
      <c r="K203" s="251">
        <f t="shared" si="164"/>
        <v>8.3081950729009549E-2</v>
      </c>
      <c r="L203" s="251">
        <f t="shared" si="164"/>
        <v>8.7623220153340661E-2</v>
      </c>
      <c r="M203" s="252">
        <f>-M198/J177</f>
        <v>0.17357968828557066</v>
      </c>
      <c r="N203" s="251">
        <f>-N198/M177</f>
        <v>8.0763412079599695E-2</v>
      </c>
      <c r="O203" s="251">
        <f t="shared" si="164"/>
        <v>9.4045264776972101E-2</v>
      </c>
      <c r="P203" s="252">
        <f>-P198/M177</f>
        <v>0.18037937856394742</v>
      </c>
      <c r="Q203" s="251">
        <f>-Q198/P177</f>
        <v>-0.18940957886044593</v>
      </c>
      <c r="R203" s="251">
        <f>-R198/Q177</f>
        <v>7.0973066246530131E-2</v>
      </c>
      <c r="S203" s="252">
        <f>-S198/P177</f>
        <v>-9.1763005780346837E-2</v>
      </c>
      <c r="T203" s="251">
        <f t="shared" si="165"/>
        <v>7.4571692613919119E-2</v>
      </c>
      <c r="U203" s="251">
        <f t="shared" si="165"/>
        <v>8.4685563061494523E-2</v>
      </c>
      <c r="V203" s="252">
        <f>-V198/S177</f>
        <v>0.16101514182128387</v>
      </c>
      <c r="W203" s="251">
        <f>-W198/V177</f>
        <v>8.4634795062401943E-2</v>
      </c>
      <c r="X203" s="270">
        <f>-X198/W177</f>
        <v>8.9356286422399359E-2</v>
      </c>
      <c r="Y203" s="252">
        <f>-Y198/V177</f>
        <v>0.17561208483939164</v>
      </c>
      <c r="Z203" s="251">
        <f>-Z198/Y177</f>
        <v>9.3468985887758455E-2</v>
      </c>
      <c r="AA203" s="251">
        <f>-AA198/Z177</f>
        <v>8.3447467777633108E-2</v>
      </c>
      <c r="AB203" s="252">
        <f>-AB198/Y177</f>
        <v>0.17761207745323268</v>
      </c>
      <c r="AC203" s="251">
        <f>-AC198/AB177</f>
        <v>8.2657937197468015E-2</v>
      </c>
      <c r="AD203" s="251">
        <f>-AD198/AC177</f>
        <v>9.9313774613566663E-2</v>
      </c>
      <c r="AE203" s="252">
        <f>-AE198/AB177</f>
        <v>0.18574358906457214</v>
      </c>
      <c r="AF203" s="251">
        <f>-AF198/AE177</f>
        <v>9.494828526022063E-2</v>
      </c>
      <c r="AG203" s="251">
        <f>-AG198/AF177</f>
        <v>9.7164101689755242E-2</v>
      </c>
      <c r="AH203" s="252">
        <f>-AH198/AE177</f>
        <v>0.19457851925969846</v>
      </c>
      <c r="AI203" s="251">
        <f>-AI198/AH177</f>
        <v>9.2940666539526443E-2</v>
      </c>
      <c r="AJ203" s="251">
        <f>-AJ198/AI177</f>
        <v>9.5096911566199954E-2</v>
      </c>
      <c r="AK203" s="252">
        <f>-AK198/AH177</f>
        <v>0.19078764844060728</v>
      </c>
      <c r="AL203" s="251">
        <f>-AL198/AK177</f>
        <v>9.0954556879445758E-2</v>
      </c>
      <c r="AM203" s="251">
        <f>-AM198/AL177</f>
        <v>9.3058425439293893E-2</v>
      </c>
      <c r="AN203" s="252">
        <f>-AN198/AK177</f>
        <v>0.18696047832795198</v>
      </c>
      <c r="AO203" s="251">
        <f>-AO198/AN177</f>
        <v>8.8952025411274935E-2</v>
      </c>
      <c r="AP203" s="251">
        <f>-AP198/AO177</f>
        <v>9.1011453646553178E-2</v>
      </c>
      <c r="AQ203" s="252">
        <f>-AQ198/AN177</f>
        <v>0.18304494033388202</v>
      </c>
      <c r="AR203" s="251">
        <f>-AR198/AQ177</f>
        <v>8.6908403896813438E-2</v>
      </c>
      <c r="AS203" s="251">
        <f>-AS198/AR177</f>
        <v>8.8931346718802942E-2</v>
      </c>
      <c r="AT203" s="252">
        <f>-AT198/AQ177</f>
        <v>0.17900839475360716</v>
      </c>
      <c r="AU203" s="251">
        <f>-AU198/AT177</f>
        <v>8.4808580478667836E-2</v>
      </c>
      <c r="AV203" s="251">
        <f>-AV198/AU177</f>
        <v>8.6802538645468885E-2</v>
      </c>
      <c r="AW203" s="252">
        <f>-AW198/AT177</f>
        <v>0.17483205283978451</v>
      </c>
      <c r="AX203" s="251">
        <f>-AX198/AW177</f>
        <v>8.2644033177741605E-2</v>
      </c>
      <c r="AY203" s="251">
        <f>-AY198/AX177</f>
        <v>8.4615799240849332E-2</v>
      </c>
      <c r="AZ203" s="252">
        <f>-AZ198/AW177</f>
        <v>0.1705065660355328</v>
      </c>
    </row>
    <row r="204" spans="2:52">
      <c r="E204" s="263"/>
      <c r="F204" s="263"/>
      <c r="G204" s="264"/>
      <c r="H204" s="263"/>
      <c r="I204" s="263"/>
      <c r="J204" s="264"/>
      <c r="K204" s="263"/>
      <c r="L204" s="263"/>
      <c r="M204" s="264"/>
      <c r="N204" s="263"/>
      <c r="O204" s="263"/>
      <c r="P204" s="264"/>
      <c r="Q204" s="263"/>
      <c r="R204" s="263"/>
      <c r="S204" s="264"/>
      <c r="T204" s="263"/>
      <c r="U204" s="263"/>
      <c r="V204" s="264"/>
      <c r="W204" s="263"/>
      <c r="X204" s="267"/>
      <c r="Y204" s="264"/>
      <c r="Z204" s="263"/>
      <c r="AA204" s="263"/>
      <c r="AB204" s="264"/>
      <c r="AC204" s="263"/>
      <c r="AD204" s="263"/>
      <c r="AE204" s="264"/>
      <c r="AF204" s="263"/>
      <c r="AG204" s="263"/>
      <c r="AH204" s="264"/>
      <c r="AI204" s="263"/>
      <c r="AJ204" s="263"/>
      <c r="AK204" s="264"/>
      <c r="AL204" s="263"/>
      <c r="AM204" s="263"/>
      <c r="AN204" s="264"/>
      <c r="AO204" s="263"/>
      <c r="AP204" s="263"/>
      <c r="AQ204" s="264"/>
      <c r="AR204" s="263"/>
      <c r="AS204" s="263"/>
      <c r="AT204" s="264"/>
      <c r="AU204" s="263"/>
      <c r="AV204" s="263"/>
      <c r="AW204" s="264"/>
      <c r="AX204" s="263"/>
      <c r="AY204" s="263"/>
      <c r="AZ204" s="264"/>
    </row>
    <row r="205" spans="2:52">
      <c r="B205" s="181" t="s">
        <v>2370</v>
      </c>
      <c r="E205" s="263"/>
      <c r="F205" s="263"/>
      <c r="G205" s="264"/>
      <c r="H205" s="263"/>
      <c r="I205" s="263"/>
      <c r="J205" s="264"/>
      <c r="K205" s="263"/>
      <c r="L205" s="263"/>
      <c r="M205" s="264"/>
      <c r="N205" s="263"/>
      <c r="O205" s="263"/>
      <c r="P205" s="264"/>
      <c r="Q205" s="263"/>
      <c r="R205" s="263"/>
      <c r="S205" s="264"/>
      <c r="T205" s="263"/>
      <c r="U205" s="263"/>
      <c r="V205" s="264"/>
      <c r="W205" s="263"/>
      <c r="X205" s="267"/>
      <c r="Y205" s="264"/>
      <c r="Z205" s="263"/>
      <c r="AA205" s="263"/>
      <c r="AB205" s="264"/>
      <c r="AC205" s="263"/>
      <c r="AD205" s="263"/>
      <c r="AE205" s="264"/>
      <c r="AF205" s="263"/>
      <c r="AG205" s="263"/>
      <c r="AH205" s="264"/>
      <c r="AI205" s="263"/>
      <c r="AJ205" s="263"/>
      <c r="AK205" s="264"/>
      <c r="AL205" s="263"/>
      <c r="AM205" s="263"/>
      <c r="AN205" s="264"/>
      <c r="AO205" s="263"/>
      <c r="AP205" s="263"/>
      <c r="AQ205" s="264"/>
      <c r="AR205" s="263"/>
      <c r="AS205" s="263"/>
      <c r="AT205" s="264"/>
      <c r="AU205" s="263"/>
      <c r="AV205" s="263"/>
      <c r="AW205" s="264"/>
      <c r="AX205" s="263"/>
      <c r="AY205" s="263"/>
      <c r="AZ205" s="264"/>
    </row>
    <row r="206" spans="2:52">
      <c r="B206" s="175" t="s">
        <v>2361</v>
      </c>
      <c r="E206" s="263">
        <f t="shared" ref="E206:AK207" si="166">E186+E196</f>
        <v>28.999999999999996</v>
      </c>
      <c r="F206" s="263">
        <f t="shared" si="166"/>
        <v>30.9</v>
      </c>
      <c r="G206" s="264">
        <f t="shared" si="166"/>
        <v>59.899999999999991</v>
      </c>
      <c r="H206" s="263">
        <f t="shared" si="166"/>
        <v>32.699999999999996</v>
      </c>
      <c r="I206" s="263">
        <f t="shared" si="166"/>
        <v>32.700000000000003</v>
      </c>
      <c r="J206" s="264">
        <f t="shared" si="166"/>
        <v>65.399999999999991</v>
      </c>
      <c r="K206" s="263">
        <f>K186+K196</f>
        <v>20.100000000000009</v>
      </c>
      <c r="L206" s="263">
        <f>L186+L196</f>
        <v>28.499999999999993</v>
      </c>
      <c r="M206" s="264">
        <f t="shared" si="166"/>
        <v>48.599999999999994</v>
      </c>
      <c r="N206" s="263">
        <f t="shared" si="166"/>
        <v>34.9</v>
      </c>
      <c r="O206" s="263">
        <f t="shared" si="166"/>
        <v>31.200000000000003</v>
      </c>
      <c r="P206" s="264">
        <f t="shared" si="166"/>
        <v>66.099999999999994</v>
      </c>
      <c r="Q206" s="263">
        <f t="shared" si="166"/>
        <v>325</v>
      </c>
      <c r="R206" s="263">
        <f>R186+R196</f>
        <v>49.3</v>
      </c>
      <c r="S206" s="264">
        <f t="shared" si="166"/>
        <v>374.3</v>
      </c>
      <c r="T206" s="263">
        <f t="shared" si="166"/>
        <v>24.100000000000009</v>
      </c>
      <c r="U206" s="263">
        <f t="shared" si="166"/>
        <v>18.700000000000003</v>
      </c>
      <c r="V206" s="264">
        <f t="shared" si="166"/>
        <v>42.800000000000011</v>
      </c>
      <c r="W206" s="263">
        <f t="shared" si="166"/>
        <v>19.299999999999997</v>
      </c>
      <c r="X206" s="263">
        <f t="shared" si="166"/>
        <v>27.200000000000017</v>
      </c>
      <c r="Y206" s="264">
        <f t="shared" si="166"/>
        <v>46.500000000000028</v>
      </c>
      <c r="Z206" s="263">
        <f t="shared" si="166"/>
        <v>12.100000000000009</v>
      </c>
      <c r="AA206" s="263">
        <v>14.7</v>
      </c>
      <c r="AB206" s="264">
        <f t="shared" si="166"/>
        <v>26.80000000000004</v>
      </c>
      <c r="AC206" s="263">
        <f>1247.5-1238.5</f>
        <v>9</v>
      </c>
      <c r="AD206" s="263">
        <f t="shared" si="166"/>
        <v>18.139380581348405</v>
      </c>
      <c r="AE206" s="264">
        <f t="shared" si="166"/>
        <v>27.139380581348433</v>
      </c>
      <c r="AF206" s="263">
        <f t="shared" si="166"/>
        <v>20.428968208536475</v>
      </c>
      <c r="AG206" s="263">
        <f t="shared" si="166"/>
        <v>29.515564120910526</v>
      </c>
      <c r="AH206" s="264">
        <f t="shared" si="166"/>
        <v>49.944532329447043</v>
      </c>
      <c r="AI206" s="263">
        <f t="shared" si="166"/>
        <v>32.168000104174411</v>
      </c>
      <c r="AJ206" s="263">
        <f t="shared" si="166"/>
        <v>41.409550513613951</v>
      </c>
      <c r="AK206" s="264">
        <f t="shared" si="166"/>
        <v>73.577550617788347</v>
      </c>
      <c r="AL206" s="263">
        <f t="shared" ref="AL206:AZ206" si="167">AL186+AL196</f>
        <v>43.268437747797762</v>
      </c>
      <c r="AM206" s="263">
        <f t="shared" si="167"/>
        <v>52.842257576583535</v>
      </c>
      <c r="AN206" s="264">
        <f t="shared" si="167"/>
        <v>96.110695324381311</v>
      </c>
      <c r="AO206" s="263">
        <f t="shared" si="167"/>
        <v>54.136228627109517</v>
      </c>
      <c r="AP206" s="263">
        <f t="shared" si="167"/>
        <v>64.19265816210401</v>
      </c>
      <c r="AQ206" s="264">
        <f t="shared" si="167"/>
        <v>118.32888678921353</v>
      </c>
      <c r="AR206" s="263">
        <f t="shared" si="167"/>
        <v>65.109550028472739</v>
      </c>
      <c r="AS206" s="263">
        <f t="shared" si="167"/>
        <v>75.781143711684052</v>
      </c>
      <c r="AT206" s="264">
        <f t="shared" si="167"/>
        <v>140.89069374015673</v>
      </c>
      <c r="AU206" s="263">
        <f t="shared" si="167"/>
        <v>76.481264629212518</v>
      </c>
      <c r="AV206" s="263">
        <f t="shared" si="167"/>
        <v>87.889609318282908</v>
      </c>
      <c r="AW206" s="264">
        <f t="shared" si="167"/>
        <v>164.3708739474954</v>
      </c>
      <c r="AX206" s="263">
        <f t="shared" si="167"/>
        <v>88.515981274839504</v>
      </c>
      <c r="AY206" s="263">
        <f t="shared" si="167"/>
        <v>100.77684966891746</v>
      </c>
      <c r="AZ206" s="264">
        <f t="shared" si="167"/>
        <v>189.292830943757</v>
      </c>
    </row>
    <row r="207" spans="2:52">
      <c r="B207" s="175" t="s">
        <v>2362</v>
      </c>
      <c r="E207" s="263">
        <f t="shared" si="166"/>
        <v>0.79999999999999893</v>
      </c>
      <c r="F207" s="263">
        <f t="shared" si="166"/>
        <v>13.5</v>
      </c>
      <c r="G207" s="264">
        <f t="shared" si="166"/>
        <v>14.300000000000004</v>
      </c>
      <c r="H207" s="263">
        <f t="shared" si="166"/>
        <v>2.2000000000000028</v>
      </c>
      <c r="I207" s="263">
        <f t="shared" si="166"/>
        <v>20.399999999999999</v>
      </c>
      <c r="J207" s="264">
        <f t="shared" si="166"/>
        <v>22.6</v>
      </c>
      <c r="K207" s="263">
        <f>K187+K197</f>
        <v>6</v>
      </c>
      <c r="L207" s="263">
        <f>L187+L197</f>
        <v>9.1</v>
      </c>
      <c r="M207" s="264">
        <f t="shared" si="166"/>
        <v>15.099999999999994</v>
      </c>
      <c r="N207" s="263">
        <f t="shared" si="166"/>
        <v>16</v>
      </c>
      <c r="O207" s="263">
        <f t="shared" si="166"/>
        <v>27.4</v>
      </c>
      <c r="P207" s="264">
        <f t="shared" si="166"/>
        <v>43.4</v>
      </c>
      <c r="Q207" s="263">
        <f t="shared" si="166"/>
        <v>39.099999999999994</v>
      </c>
      <c r="R207" s="263">
        <f>R187+R197</f>
        <v>24.499999999999996</v>
      </c>
      <c r="S207" s="264">
        <f t="shared" si="166"/>
        <v>63.6</v>
      </c>
      <c r="T207" s="263">
        <f t="shared" si="166"/>
        <v>5.0999999999999979</v>
      </c>
      <c r="U207" s="263">
        <f t="shared" si="166"/>
        <v>11.700000000000003</v>
      </c>
      <c r="V207" s="264">
        <f t="shared" si="166"/>
        <v>16.799999999999997</v>
      </c>
      <c r="W207" s="263">
        <f t="shared" si="166"/>
        <v>7.3000000000000007</v>
      </c>
      <c r="X207" s="263">
        <f t="shared" si="166"/>
        <v>3.4000000000000021</v>
      </c>
      <c r="Y207" s="264">
        <f t="shared" si="166"/>
        <v>10.70000000000001</v>
      </c>
      <c r="Z207" s="263">
        <f t="shared" si="166"/>
        <v>0.60000000000000142</v>
      </c>
      <c r="AA207" s="263">
        <v>60.5</v>
      </c>
      <c r="AB207" s="264">
        <f t="shared" si="166"/>
        <v>61.1</v>
      </c>
      <c r="AC207" s="263">
        <f>425.1-372.9</f>
        <v>52.200000000000045</v>
      </c>
      <c r="AD207" s="263">
        <f t="shared" si="166"/>
        <v>42.989999999999995</v>
      </c>
      <c r="AE207" s="264">
        <f t="shared" si="166"/>
        <v>95.19000000000004</v>
      </c>
      <c r="AF207" s="263">
        <f t="shared" si="166"/>
        <v>23.57500000000001</v>
      </c>
      <c r="AG207" s="263">
        <f t="shared" si="166"/>
        <v>41.463500000000003</v>
      </c>
      <c r="AH207" s="264">
        <f t="shared" si="166"/>
        <v>65.038499999999999</v>
      </c>
      <c r="AI207" s="263">
        <f t="shared" si="166"/>
        <v>21.294190000000022</v>
      </c>
      <c r="AJ207" s="263">
        <f t="shared" si="166"/>
        <v>40.625531000000016</v>
      </c>
      <c r="AK207" s="264">
        <f t="shared" si="166"/>
        <v>61.919721000000038</v>
      </c>
      <c r="AL207" s="263">
        <f t="shared" ref="AL207:AZ207" si="168">AL187+AL197</f>
        <v>19.578640300000025</v>
      </c>
      <c r="AM207" s="263">
        <f t="shared" si="168"/>
        <v>40.36918187000002</v>
      </c>
      <c r="AN207" s="264">
        <f t="shared" si="168"/>
        <v>59.947822170000052</v>
      </c>
      <c r="AO207" s="263">
        <f t="shared" si="168"/>
        <v>18.328865827000016</v>
      </c>
      <c r="AP207" s="263">
        <f t="shared" si="168"/>
        <v>40.609289180300024</v>
      </c>
      <c r="AQ207" s="264">
        <f t="shared" si="168"/>
        <v>58.938155007300026</v>
      </c>
      <c r="AR207" s="263">
        <f t="shared" si="168"/>
        <v>17.464758534910018</v>
      </c>
      <c r="AS207" s="263">
        <f t="shared" si="168"/>
        <v>41.278391213579013</v>
      </c>
      <c r="AT207" s="264">
        <f t="shared" si="168"/>
        <v>58.743149748489031</v>
      </c>
      <c r="AU207" s="263">
        <f t="shared" si="168"/>
        <v>16.921934261219505</v>
      </c>
      <c r="AV207" s="263">
        <f t="shared" si="168"/>
        <v>42.323455879187165</v>
      </c>
      <c r="AW207" s="264">
        <f t="shared" si="168"/>
        <v>59.24539014040667</v>
      </c>
      <c r="AX207" s="263">
        <f t="shared" si="168"/>
        <v>16.648775390406755</v>
      </c>
      <c r="AY207" s="263">
        <f t="shared" si="168"/>
        <v>43.703235798101076</v>
      </c>
      <c r="AZ207" s="264">
        <f t="shared" si="168"/>
        <v>60.352011188507845</v>
      </c>
    </row>
    <row r="208" spans="2:52">
      <c r="B208" s="181" t="s">
        <v>166</v>
      </c>
      <c r="C208" s="181"/>
      <c r="D208" s="181"/>
      <c r="E208" s="259">
        <f>E206+E207</f>
        <v>29.799999999999997</v>
      </c>
      <c r="F208" s="259">
        <f>F206+F207</f>
        <v>44.4</v>
      </c>
      <c r="G208" s="265">
        <f>E208+F208</f>
        <v>74.199999999999989</v>
      </c>
      <c r="H208" s="259">
        <f>H206+H207</f>
        <v>34.9</v>
      </c>
      <c r="I208" s="259">
        <f>I206+I207</f>
        <v>53.1</v>
      </c>
      <c r="J208" s="265">
        <f>H208+I208</f>
        <v>88</v>
      </c>
      <c r="K208" s="259">
        <f>K206+K207</f>
        <v>26.100000000000009</v>
      </c>
      <c r="L208" s="259">
        <f>L206+L207</f>
        <v>37.599999999999994</v>
      </c>
      <c r="M208" s="265">
        <f>K208+L208</f>
        <v>63.7</v>
      </c>
      <c r="N208" s="259">
        <f>N206+N207</f>
        <v>50.9</v>
      </c>
      <c r="O208" s="259">
        <f>O206+O207</f>
        <v>58.6</v>
      </c>
      <c r="P208" s="265">
        <f>N208+O208</f>
        <v>109.5</v>
      </c>
      <c r="Q208" s="259">
        <f>Q206+Q207</f>
        <v>364.1</v>
      </c>
      <c r="R208" s="259">
        <f>R206+R207</f>
        <v>73.8</v>
      </c>
      <c r="S208" s="265">
        <f>Q208+R208</f>
        <v>437.90000000000003</v>
      </c>
      <c r="T208" s="259">
        <f>T206+T207</f>
        <v>29.200000000000006</v>
      </c>
      <c r="U208" s="259">
        <f>U206+U207</f>
        <v>30.400000000000006</v>
      </c>
      <c r="V208" s="265">
        <f>T208+U208</f>
        <v>59.600000000000009</v>
      </c>
      <c r="W208" s="259">
        <f>W206+W207</f>
        <v>26.599999999999998</v>
      </c>
      <c r="X208" s="259">
        <f>X206+X207</f>
        <v>30.600000000000019</v>
      </c>
      <c r="Y208" s="265">
        <f>W208+X208</f>
        <v>57.200000000000017</v>
      </c>
      <c r="Z208" s="259">
        <f>Z206+Z207</f>
        <v>12.70000000000001</v>
      </c>
      <c r="AA208" s="259">
        <f>AA206+AA207</f>
        <v>75.2</v>
      </c>
      <c r="AB208" s="265">
        <f>Z208+AA208</f>
        <v>87.9</v>
      </c>
      <c r="AC208" s="259">
        <f>AC206+AC207</f>
        <v>61.200000000000045</v>
      </c>
      <c r="AD208" s="259">
        <f>AD206+AD207</f>
        <v>61.1293805813484</v>
      </c>
      <c r="AE208" s="265">
        <f>AC208+AD208</f>
        <v>122.32938058134845</v>
      </c>
      <c r="AF208" s="259">
        <f>AF206+AF207</f>
        <v>44.003968208536484</v>
      </c>
      <c r="AG208" s="259">
        <f>AG206+AG207</f>
        <v>70.979064120910522</v>
      </c>
      <c r="AH208" s="265">
        <f>AF208+AG208</f>
        <v>114.98303232944701</v>
      </c>
      <c r="AI208" s="259">
        <f>AI206+AI207</f>
        <v>53.462190104174432</v>
      </c>
      <c r="AJ208" s="259">
        <f>AJ206+AJ207</f>
        <v>82.03508151361396</v>
      </c>
      <c r="AK208" s="265">
        <f>AI208+AJ208</f>
        <v>135.49727161778839</v>
      </c>
      <c r="AL208" s="259">
        <f>AL206+AL207</f>
        <v>62.847078047797787</v>
      </c>
      <c r="AM208" s="259">
        <f>AM206+AM207</f>
        <v>93.211439446583555</v>
      </c>
      <c r="AN208" s="265">
        <f>AL208+AM208</f>
        <v>156.05851749438133</v>
      </c>
      <c r="AO208" s="259">
        <f>AO206+AO207</f>
        <v>72.465094454109533</v>
      </c>
      <c r="AP208" s="259">
        <f>AP206+AP207</f>
        <v>104.80194734240403</v>
      </c>
      <c r="AQ208" s="265">
        <f>AO208+AP208</f>
        <v>177.26704179651358</v>
      </c>
      <c r="AR208" s="259">
        <f>AR206+AR207</f>
        <v>82.574308563382758</v>
      </c>
      <c r="AS208" s="259">
        <f>AS206+AS207</f>
        <v>117.05953492526307</v>
      </c>
      <c r="AT208" s="265">
        <f>AR208+AS208</f>
        <v>199.63384348864582</v>
      </c>
      <c r="AU208" s="259">
        <f>AU206+AU207</f>
        <v>93.403198890432023</v>
      </c>
      <c r="AV208" s="259">
        <f>AV206+AV207</f>
        <v>130.21306519747009</v>
      </c>
      <c r="AW208" s="265">
        <f>AU208+AV208</f>
        <v>223.6162640879021</v>
      </c>
      <c r="AX208" s="259">
        <f>AX206+AX207</f>
        <v>105.16475666524626</v>
      </c>
      <c r="AY208" s="259">
        <f>AY206+AY207</f>
        <v>144.48008546701854</v>
      </c>
      <c r="AZ208" s="265">
        <f>AX208+AY208</f>
        <v>249.64484213226478</v>
      </c>
    </row>
    <row r="209" spans="1:52">
      <c r="E209" s="263"/>
      <c r="F209" s="263"/>
      <c r="G209" s="264"/>
      <c r="H209" s="263"/>
      <c r="I209" s="263"/>
      <c r="J209" s="264"/>
      <c r="K209" s="263"/>
      <c r="L209" s="263"/>
      <c r="M209" s="264"/>
      <c r="N209" s="263"/>
      <c r="O209" s="263"/>
      <c r="P209" s="264"/>
      <c r="Q209" s="263"/>
      <c r="R209" s="263"/>
      <c r="S209" s="264"/>
      <c r="T209" s="263"/>
      <c r="U209" s="263"/>
      <c r="V209" s="264"/>
      <c r="W209" s="263"/>
      <c r="X209" s="263"/>
      <c r="Y209" s="264"/>
      <c r="Z209" s="263"/>
      <c r="AA209" s="263"/>
      <c r="AB209" s="264"/>
      <c r="AC209" s="263"/>
      <c r="AD209" s="263"/>
      <c r="AE209" s="264"/>
      <c r="AF209" s="263"/>
      <c r="AG209" s="263"/>
      <c r="AH209" s="264"/>
      <c r="AI209" s="263"/>
      <c r="AJ209" s="263"/>
      <c r="AK209" s="264"/>
      <c r="AL209" s="263"/>
      <c r="AM209" s="263"/>
      <c r="AN209" s="264"/>
      <c r="AO209" s="263"/>
      <c r="AP209" s="263"/>
      <c r="AQ209" s="264"/>
      <c r="AR209" s="263"/>
      <c r="AS209" s="263"/>
      <c r="AT209" s="264"/>
      <c r="AU209" s="263"/>
      <c r="AV209" s="263"/>
      <c r="AW209" s="264"/>
      <c r="AX209" s="263"/>
      <c r="AY209" s="263"/>
      <c r="AZ209" s="264"/>
    </row>
    <row r="210" spans="1:52">
      <c r="B210" s="181" t="s">
        <v>2371</v>
      </c>
      <c r="E210" s="263"/>
      <c r="F210" s="263"/>
      <c r="G210" s="264"/>
      <c r="H210" s="263"/>
      <c r="I210" s="263"/>
      <c r="J210" s="264"/>
      <c r="K210" s="263"/>
      <c r="L210" s="263"/>
      <c r="M210" s="264"/>
      <c r="N210" s="263"/>
      <c r="O210" s="263"/>
      <c r="P210" s="264"/>
      <c r="Q210" s="263"/>
      <c r="R210" s="263"/>
      <c r="S210" s="264"/>
      <c r="T210" s="263"/>
      <c r="U210" s="263"/>
      <c r="V210" s="264"/>
      <c r="W210" s="263"/>
      <c r="X210" s="263"/>
      <c r="Y210" s="264"/>
      <c r="Z210" s="263"/>
      <c r="AA210" s="263"/>
      <c r="AB210" s="264"/>
      <c r="AC210" s="263"/>
      <c r="AD210" s="263"/>
      <c r="AE210" s="264"/>
      <c r="AF210" s="263"/>
      <c r="AG210" s="263"/>
      <c r="AH210" s="264"/>
      <c r="AI210" s="263"/>
      <c r="AJ210" s="263"/>
      <c r="AK210" s="264"/>
      <c r="AL210" s="263"/>
      <c r="AM210" s="263"/>
      <c r="AN210" s="264"/>
      <c r="AO210" s="263"/>
      <c r="AP210" s="263"/>
      <c r="AQ210" s="264"/>
      <c r="AR210" s="263"/>
      <c r="AS210" s="263"/>
      <c r="AT210" s="264"/>
      <c r="AU210" s="263"/>
      <c r="AV210" s="263"/>
      <c r="AW210" s="264"/>
      <c r="AX210" s="263"/>
      <c r="AY210" s="263"/>
      <c r="AZ210" s="264"/>
    </row>
    <row r="211" spans="1:52">
      <c r="B211" s="175" t="s">
        <v>2361</v>
      </c>
      <c r="E211" s="263"/>
      <c r="F211" s="207">
        <f>F206/E175</f>
        <v>5.7531185998882885E-2</v>
      </c>
      <c r="G211" s="229"/>
      <c r="H211" s="207">
        <f t="shared" ref="H211:I213" si="169">H206/G175</f>
        <v>5.757042253521126E-2</v>
      </c>
      <c r="I211" s="207">
        <f t="shared" si="169"/>
        <v>5.4436490760779103E-2</v>
      </c>
      <c r="J211" s="229">
        <f>J206/G175</f>
        <v>0.11514084507042252</v>
      </c>
      <c r="K211" s="207">
        <f t="shared" ref="K211:L213" si="170">K206/J175</f>
        <v>3.1733501736659321E-2</v>
      </c>
      <c r="L211" s="207">
        <f t="shared" si="170"/>
        <v>4.3611323641928074E-2</v>
      </c>
      <c r="M211" s="229">
        <f>M206/J175</f>
        <v>7.6728765393116516E-2</v>
      </c>
      <c r="N211" s="207">
        <f>N206/M175</f>
        <v>5.1173020527859242E-2</v>
      </c>
      <c r="O211" s="207">
        <f t="shared" ref="N211:O213" si="171">O206/N175</f>
        <v>4.3520714186078967E-2</v>
      </c>
      <c r="P211" s="229">
        <f>P206/M175</f>
        <v>9.6920821114369504E-2</v>
      </c>
      <c r="Q211" s="207">
        <f t="shared" ref="Q211:R213" si="172">Q206/P175</f>
        <v>0.43443389921133546</v>
      </c>
      <c r="R211" s="207">
        <f t="shared" si="172"/>
        <v>4.5941664336967662E-2</v>
      </c>
      <c r="S211" s="229">
        <f>S206/P175</f>
        <v>0.50033417992247031</v>
      </c>
      <c r="T211" s="207">
        <f t="shared" ref="T211:U213" si="173">T206/S175</f>
        <v>2.1471846044191029E-2</v>
      </c>
      <c r="U211" s="207">
        <f t="shared" si="173"/>
        <v>1.6310510248582644E-2</v>
      </c>
      <c r="V211" s="229">
        <f>V206/S175</f>
        <v>3.8132573057733446E-2</v>
      </c>
      <c r="W211" s="207">
        <f t="shared" ref="W211:X213" si="174">W206/V175</f>
        <v>1.6563680054926189E-2</v>
      </c>
      <c r="X211" s="207">
        <f t="shared" si="174"/>
        <v>2.2963275643731546E-2</v>
      </c>
      <c r="Y211" s="229">
        <f>Y206/V175</f>
        <v>3.9907312049433596E-2</v>
      </c>
      <c r="Z211" s="207">
        <f t="shared" ref="Z211:AA213" si="175">Z206/Y175</f>
        <v>9.9859701246183107E-3</v>
      </c>
      <c r="AA211" s="207">
        <f t="shared" si="175"/>
        <v>1.2011766628534072E-2</v>
      </c>
      <c r="AB211" s="229">
        <f>AB206/Y175</f>
        <v>2.2117685895848841E-2</v>
      </c>
      <c r="AC211" s="207">
        <f t="shared" ref="AC211:AD213" si="176">AC206/AB175</f>
        <v>7.2668550666128368E-3</v>
      </c>
      <c r="AD211" s="207">
        <f t="shared" si="176"/>
        <v>1.4540585636351421E-2</v>
      </c>
      <c r="AE211" s="229">
        <f>AE206/AB175</f>
        <v>2.1913105031367321E-2</v>
      </c>
      <c r="AF211" s="207">
        <f t="shared" ref="AF211:AG213" si="177">AF206/AE175</f>
        <v>1.6141223575986387E-2</v>
      </c>
      <c r="AG211" s="207">
        <f t="shared" si="177"/>
        <v>2.2950229782641753E-2</v>
      </c>
      <c r="AH211" s="229">
        <f>AH206/AE175</f>
        <v>3.9461898148670051E-2</v>
      </c>
      <c r="AI211" s="207">
        <f t="shared" ref="AI211:AJ213" si="178">AI206/AH175</f>
        <v>2.4451500043810272E-2</v>
      </c>
      <c r="AJ211" s="207">
        <f t="shared" si="178"/>
        <v>3.0724905758790041E-2</v>
      </c>
      <c r="AK211" s="229">
        <f>AK206/AH175</f>
        <v>5.5927675837107421E-2</v>
      </c>
      <c r="AL211" s="207">
        <f t="shared" ref="AL211:AM213" si="179">AL206/AK175</f>
        <v>3.1147162431278779E-2</v>
      </c>
      <c r="AM211" s="207">
        <f t="shared" si="179"/>
        <v>3.6889943116586638E-2</v>
      </c>
      <c r="AN211" s="229">
        <f>AN206/AK175</f>
        <v>6.9186122598198382E-2</v>
      </c>
      <c r="AO211" s="207">
        <f t="shared" ref="AO211:AP213" si="180">AO206/AN175</f>
        <v>3.644869278968875E-2</v>
      </c>
      <c r="AP211" s="207">
        <f t="shared" si="180"/>
        <v>4.1699563731222605E-2</v>
      </c>
      <c r="AQ211" s="229">
        <f>AQ206/AN175</f>
        <v>7.9668151108814741E-2</v>
      </c>
      <c r="AR211" s="207">
        <f t="shared" ref="AR211:AS213" si="181">AR206/AQ175</f>
        <v>4.0602087536304232E-2</v>
      </c>
      <c r="AS211" s="207">
        <f t="shared" si="181"/>
        <v>4.5412993666063321E-2</v>
      </c>
      <c r="AT211" s="229">
        <f>AT206/AQ175</f>
        <v>8.7858943546482646E-2</v>
      </c>
      <c r="AU211" s="207">
        <f t="shared" ref="AU211:AV213" si="182">AU206/AT175</f>
        <v>4.3841574541529149E-2</v>
      </c>
      <c r="AV211" s="207">
        <f t="shared" si="182"/>
        <v>4.8265190711045562E-2</v>
      </c>
      <c r="AW211" s="229">
        <f>AW206/AT175</f>
        <v>9.4222787208894127E-2</v>
      </c>
      <c r="AX211" s="207">
        <f t="shared" ref="AX211:AY213" si="183">AX206/AW175</f>
        <v>4.6371059214383011E-2</v>
      </c>
      <c r="AY211" s="207">
        <f t="shared" si="183"/>
        <v>5.0454555756798636E-2</v>
      </c>
      <c r="AZ211" s="229">
        <f>AZ206/AW175</f>
        <v>9.9165246163815557E-2</v>
      </c>
    </row>
    <row r="212" spans="1:52">
      <c r="B212" s="175" t="s">
        <v>2362</v>
      </c>
      <c r="E212" s="263"/>
      <c r="F212" s="207">
        <f>F207/E176</f>
        <v>0.10705789056304521</v>
      </c>
      <c r="G212" s="229"/>
      <c r="H212" s="207">
        <f t="shared" si="169"/>
        <v>1.5759312320916926E-2</v>
      </c>
      <c r="I212" s="207">
        <f t="shared" si="169"/>
        <v>0.14386459802538787</v>
      </c>
      <c r="J212" s="229">
        <f>J207/G176</f>
        <v>0.16189111747851004</v>
      </c>
      <c r="K212" s="207">
        <f t="shared" si="170"/>
        <v>3.6991368680641186E-2</v>
      </c>
      <c r="L212" s="207">
        <f t="shared" si="170"/>
        <v>5.410225921521998E-2</v>
      </c>
      <c r="M212" s="229">
        <f>M207/J176</f>
        <v>9.3094944512946948E-2</v>
      </c>
      <c r="N212" s="207">
        <f t="shared" si="171"/>
        <v>9.0242526790750149E-2</v>
      </c>
      <c r="O212" s="207">
        <f t="shared" si="171"/>
        <v>0.14174857734092086</v>
      </c>
      <c r="P212" s="229">
        <f>P207/M176</f>
        <v>0.24478285391990978</v>
      </c>
      <c r="Q212" s="207">
        <f t="shared" si="172"/>
        <v>0.17716357045763478</v>
      </c>
      <c r="R212" s="207">
        <f t="shared" si="172"/>
        <v>9.4303310238645091E-2</v>
      </c>
      <c r="S212" s="229">
        <f>S207/P176</f>
        <v>0.28817399184413234</v>
      </c>
      <c r="T212" s="207">
        <f t="shared" si="173"/>
        <v>1.7938797045374596E-2</v>
      </c>
      <c r="U212" s="207">
        <f t="shared" si="173"/>
        <v>4.0428472702142379E-2</v>
      </c>
      <c r="V212" s="229">
        <f>V207/S176</f>
        <v>5.9092507914175155E-2</v>
      </c>
      <c r="W212" s="207">
        <f t="shared" si="174"/>
        <v>2.4244437064098307E-2</v>
      </c>
      <c r="X212" s="207">
        <f t="shared" si="174"/>
        <v>1.1024643320363171E-2</v>
      </c>
      <c r="Y212" s="229">
        <f>Y207/V176</f>
        <v>3.5536366655596174E-2</v>
      </c>
      <c r="Z212" s="207">
        <f t="shared" si="175"/>
        <v>1.9243104554201456E-3</v>
      </c>
      <c r="AA212" s="207">
        <f t="shared" si="175"/>
        <v>0.19366197183098594</v>
      </c>
      <c r="AB212" s="229">
        <f>AB207/Y176</f>
        <v>0.19595894804361771</v>
      </c>
      <c r="AC212" s="207">
        <f t="shared" si="176"/>
        <v>0.13998390989541445</v>
      </c>
      <c r="AD212" s="207">
        <f t="shared" si="176"/>
        <v>0.1011291460832745</v>
      </c>
      <c r="AE212" s="229">
        <f>AE207/AB176</f>
        <v>0.25526950925181024</v>
      </c>
      <c r="AF212" s="207">
        <f t="shared" si="177"/>
        <v>5.0364246191971648E-2</v>
      </c>
      <c r="AG212" s="207">
        <f t="shared" si="177"/>
        <v>8.4332828246875421E-2</v>
      </c>
      <c r="AH212" s="229">
        <f>AH207/AE176</f>
        <v>0.13894443376273793</v>
      </c>
      <c r="AI212" s="207">
        <f t="shared" si="178"/>
        <v>3.9941946453809954E-2</v>
      </c>
      <c r="AJ212" s="207">
        <f t="shared" si="178"/>
        <v>7.3275375868906117E-2</v>
      </c>
      <c r="AK212" s="229">
        <f>AK207/AH176</f>
        <v>0.11614408346205471</v>
      </c>
      <c r="AL212" s="207">
        <f t="shared" si="179"/>
        <v>3.2902611265852394E-2</v>
      </c>
      <c r="AM212" s="207">
        <f t="shared" si="179"/>
        <v>6.5680796613110881E-2</v>
      </c>
      <c r="AN212" s="229">
        <f>AN207/AK176</f>
        <v>0.100744477597556</v>
      </c>
      <c r="AO212" s="207">
        <f t="shared" si="180"/>
        <v>2.7983170307859209E-2</v>
      </c>
      <c r="AP212" s="207">
        <f t="shared" si="180"/>
        <v>6.0311580097032996E-2</v>
      </c>
      <c r="AQ212" s="229">
        <f>AQ207/AN176</f>
        <v>8.9982459622283545E-2</v>
      </c>
      <c r="AR212" s="207">
        <f t="shared" si="181"/>
        <v>2.4462700595514517E-2</v>
      </c>
      <c r="AS212" s="207">
        <f t="shared" si="181"/>
        <v>5.6437585581382198E-2</v>
      </c>
      <c r="AT212" s="229">
        <f>AT207/AQ176</f>
        <v>8.2280901935307793E-2</v>
      </c>
      <c r="AU212" s="207">
        <f t="shared" si="182"/>
        <v>2.1900388702536092E-2</v>
      </c>
      <c r="AV212" s="207">
        <f t="shared" si="182"/>
        <v>5.3601183326764064E-2</v>
      </c>
      <c r="AW212" s="229">
        <f>AW207/AT176</f>
        <v>7.6675458779072184E-2</v>
      </c>
      <c r="AX212" s="207">
        <f t="shared" si="183"/>
        <v>2.0012405754297358E-2</v>
      </c>
      <c r="AY212" s="207">
        <f t="shared" si="183"/>
        <v>5.1502124576488187E-2</v>
      </c>
      <c r="AZ212" s="229">
        <f>AZ207/AW176</f>
        <v>7.2545211745018615E-2</v>
      </c>
    </row>
    <row r="213" spans="1:52">
      <c r="B213" s="181" t="s">
        <v>166</v>
      </c>
      <c r="C213" s="181"/>
      <c r="D213" s="181"/>
      <c r="E213" s="259"/>
      <c r="F213" s="251">
        <f>F208/E177</f>
        <v>6.6948130277442688E-2</v>
      </c>
      <c r="G213" s="252"/>
      <c r="H213" s="251">
        <f t="shared" si="169"/>
        <v>4.9321650650084793E-2</v>
      </c>
      <c r="I213" s="251">
        <f t="shared" si="169"/>
        <v>7.1515151515151532E-2</v>
      </c>
      <c r="J213" s="252">
        <f>J208/G177</f>
        <v>0.1243640474844545</v>
      </c>
      <c r="K213" s="251">
        <f t="shared" si="170"/>
        <v>3.2805429864253409E-2</v>
      </c>
      <c r="L213" s="251">
        <f t="shared" si="170"/>
        <v>4.5758792746744555E-2</v>
      </c>
      <c r="M213" s="252">
        <f>M208/J177</f>
        <v>8.006535947712419E-2</v>
      </c>
      <c r="N213" s="251">
        <f t="shared" si="171"/>
        <v>5.9234260444547895E-2</v>
      </c>
      <c r="O213" s="251">
        <f t="shared" si="171"/>
        <v>6.4381454625357076E-2</v>
      </c>
      <c r="P213" s="252">
        <f>P208/M177</f>
        <v>0.12742930292098223</v>
      </c>
      <c r="Q213" s="251">
        <f t="shared" si="172"/>
        <v>0.3758257638315442</v>
      </c>
      <c r="R213" s="251">
        <f t="shared" si="172"/>
        <v>5.536799459824443E-2</v>
      </c>
      <c r="S213" s="252">
        <f>S208/P177</f>
        <v>0.45200247729149468</v>
      </c>
      <c r="T213" s="251">
        <f t="shared" si="173"/>
        <v>2.0757801947821147E-2</v>
      </c>
      <c r="U213" s="251">
        <f t="shared" si="173"/>
        <v>2.1171390765373634E-2</v>
      </c>
      <c r="V213" s="252">
        <f>V208/S177</f>
        <v>4.236866424966234E-2</v>
      </c>
      <c r="W213" s="251">
        <f t="shared" si="174"/>
        <v>1.8140898861078902E-2</v>
      </c>
      <c r="X213" s="251">
        <f t="shared" si="174"/>
        <v>2.0497019224328498E-2</v>
      </c>
      <c r="Y213" s="252">
        <f>Y208/V177</f>
        <v>3.9009752438109536E-2</v>
      </c>
      <c r="Z213" s="251">
        <f t="shared" si="175"/>
        <v>8.3360682638661046E-3</v>
      </c>
      <c r="AA213" s="251">
        <f t="shared" si="175"/>
        <v>4.8951959380289019E-2</v>
      </c>
      <c r="AB213" s="252">
        <f>AB208/Y177</f>
        <v>5.7696094519199215E-2</v>
      </c>
      <c r="AC213" s="251">
        <f t="shared" si="176"/>
        <v>3.797939679781559E-2</v>
      </c>
      <c r="AD213" s="251">
        <f t="shared" si="176"/>
        <v>3.6547519180526358E-2</v>
      </c>
      <c r="AE213" s="252">
        <f>AE208/AB177</f>
        <v>7.5914968711274941E-2</v>
      </c>
      <c r="AF213" s="251">
        <f t="shared" si="177"/>
        <v>2.5381105437447919E-2</v>
      </c>
      <c r="AG213" s="251">
        <f t="shared" si="177"/>
        <v>3.9926721388911582E-2</v>
      </c>
      <c r="AH213" s="252">
        <f>AH208/AE177</f>
        <v>6.6321211151703072E-2</v>
      </c>
      <c r="AI213" s="251">
        <f>AI208/AH177</f>
        <v>2.8918608286941865E-2</v>
      </c>
      <c r="AJ213" s="251">
        <f t="shared" si="178"/>
        <v>4.3126998638078409E-2</v>
      </c>
      <c r="AK213" s="252">
        <f>AK208/AH177</f>
        <v>7.3292779705226338E-2</v>
      </c>
      <c r="AL213" s="251">
        <f t="shared" si="179"/>
        <v>3.167360714839431E-2</v>
      </c>
      <c r="AM213" s="251">
        <f t="shared" si="179"/>
        <v>4.5534369711013593E-2</v>
      </c>
      <c r="AN213" s="252">
        <f>AN208/AK177</f>
        <v>7.8650214597384291E-2</v>
      </c>
      <c r="AO213" s="251">
        <f t="shared" si="180"/>
        <v>3.3857950319317959E-2</v>
      </c>
      <c r="AP213" s="251">
        <f t="shared" si="180"/>
        <v>4.7363117601773676E-2</v>
      </c>
      <c r="AQ213" s="252">
        <f>AQ208/AN177</f>
        <v>8.2824686003820508E-2</v>
      </c>
      <c r="AR213" s="251">
        <f t="shared" si="181"/>
        <v>3.5630227753211577E-2</v>
      </c>
      <c r="AS213" s="251">
        <f t="shared" si="181"/>
        <v>4.8772579905381717E-2</v>
      </c>
      <c r="AT213" s="252">
        <f>AT208/AQ177</f>
        <v>8.6140585788733751E-2</v>
      </c>
      <c r="AU213" s="251">
        <f t="shared" si="182"/>
        <v>3.7106446031528989E-2</v>
      </c>
      <c r="AV213" s="251">
        <f t="shared" si="182"/>
        <v>4.9879126460460034E-2</v>
      </c>
      <c r="AW213" s="252">
        <f>AW208/AT177</f>
        <v>8.8836409606093875E-2</v>
      </c>
      <c r="AX213" s="251">
        <f t="shared" si="183"/>
        <v>3.8370300181179921E-2</v>
      </c>
      <c r="AY213" s="251">
        <f t="shared" si="183"/>
        <v>5.0766907352933772E-2</v>
      </c>
      <c r="AZ213" s="252">
        <f>AZ208/AW177</f>
        <v>9.1085149008515914E-2</v>
      </c>
    </row>
    <row r="214" spans="1:52">
      <c r="E214" s="206"/>
      <c r="F214" s="206"/>
      <c r="G214" s="184"/>
      <c r="H214" s="206"/>
      <c r="I214" s="206"/>
      <c r="J214" s="184"/>
      <c r="K214" s="206"/>
      <c r="L214" s="206"/>
      <c r="M214" s="184"/>
      <c r="N214" s="206"/>
      <c r="O214" s="206"/>
      <c r="P214" s="184"/>
      <c r="Q214" s="206"/>
      <c r="R214" s="206"/>
      <c r="S214" s="184"/>
      <c r="T214" s="206"/>
      <c r="U214" s="206"/>
      <c r="V214" s="184"/>
      <c r="W214" s="206"/>
      <c r="X214" s="206"/>
      <c r="Y214" s="184"/>
      <c r="Z214" s="206"/>
      <c r="AA214" s="206"/>
      <c r="AB214" s="184"/>
      <c r="AC214" s="206"/>
      <c r="AD214" s="206"/>
      <c r="AE214" s="184"/>
      <c r="AF214" s="206"/>
      <c r="AG214" s="206"/>
      <c r="AH214" s="184"/>
      <c r="AI214" s="206"/>
      <c r="AJ214" s="206"/>
      <c r="AK214" s="184"/>
      <c r="AL214" s="206"/>
      <c r="AM214" s="206"/>
      <c r="AN214" s="184"/>
      <c r="AO214" s="206"/>
      <c r="AP214" s="206"/>
      <c r="AQ214" s="184"/>
      <c r="AR214" s="206"/>
      <c r="AS214" s="206"/>
      <c r="AT214" s="184"/>
      <c r="AU214" s="206"/>
      <c r="AV214" s="206"/>
      <c r="AW214" s="184"/>
      <c r="AX214" s="206"/>
      <c r="AY214" s="206"/>
      <c r="AZ214" s="184"/>
    </row>
    <row r="215" spans="1:52">
      <c r="E215" s="206"/>
      <c r="F215" s="206"/>
      <c r="G215" s="184"/>
      <c r="H215" s="206"/>
      <c r="I215" s="206"/>
      <c r="J215" s="184"/>
      <c r="K215" s="206"/>
      <c r="L215" s="206"/>
      <c r="M215" s="184"/>
      <c r="N215" s="206"/>
      <c r="O215" s="206"/>
      <c r="P215" s="184"/>
      <c r="Q215" s="206"/>
      <c r="R215" s="206"/>
      <c r="S215" s="184"/>
      <c r="T215" s="206"/>
      <c r="U215" s="206"/>
      <c r="V215" s="184"/>
      <c r="W215" s="206"/>
      <c r="X215" s="206"/>
      <c r="Y215" s="184"/>
      <c r="Z215" s="206"/>
      <c r="AA215" s="206"/>
      <c r="AB215" s="184"/>
      <c r="AC215" s="206"/>
      <c r="AD215" s="206"/>
      <c r="AE215" s="184"/>
      <c r="AF215" s="206"/>
      <c r="AG215" s="206"/>
      <c r="AH215" s="184"/>
      <c r="AI215" s="206"/>
      <c r="AJ215" s="206"/>
      <c r="AK215" s="184"/>
      <c r="AL215" s="206"/>
      <c r="AM215" s="206"/>
      <c r="AN215" s="184"/>
      <c r="AO215" s="206"/>
      <c r="AP215" s="206"/>
      <c r="AQ215" s="184"/>
      <c r="AR215" s="206"/>
      <c r="AS215" s="206"/>
      <c r="AT215" s="184"/>
      <c r="AU215" s="206"/>
      <c r="AV215" s="206"/>
      <c r="AW215" s="184"/>
      <c r="AX215" s="206"/>
      <c r="AY215" s="206"/>
      <c r="AZ215" s="184"/>
    </row>
    <row r="216" spans="1:52" hidden="1" outlineLevel="1">
      <c r="A216" s="178"/>
      <c r="B216" s="179" t="s">
        <v>2372</v>
      </c>
      <c r="C216" s="178"/>
      <c r="D216" s="178"/>
      <c r="E216" s="209"/>
      <c r="F216" s="209"/>
      <c r="G216" s="210"/>
      <c r="H216" s="209"/>
      <c r="I216" s="209"/>
      <c r="J216" s="210"/>
      <c r="K216" s="209"/>
      <c r="L216" s="209"/>
      <c r="M216" s="210"/>
      <c r="N216" s="209"/>
      <c r="O216" s="209"/>
      <c r="P216" s="210"/>
      <c r="Q216" s="209"/>
      <c r="R216" s="209"/>
      <c r="S216" s="210"/>
      <c r="T216" s="209"/>
      <c r="U216" s="209"/>
      <c r="V216" s="210"/>
      <c r="W216" s="209"/>
      <c r="X216" s="209"/>
      <c r="Y216" s="210"/>
      <c r="Z216" s="209"/>
      <c r="AA216" s="209"/>
      <c r="AB216" s="210"/>
      <c r="AC216" s="209"/>
      <c r="AD216" s="209"/>
      <c r="AE216" s="210"/>
      <c r="AF216" s="209"/>
      <c r="AG216" s="209"/>
      <c r="AH216" s="210"/>
      <c r="AI216" s="209"/>
      <c r="AJ216" s="209"/>
      <c r="AK216" s="210"/>
      <c r="AL216" s="209"/>
      <c r="AM216" s="209"/>
      <c r="AN216" s="210"/>
      <c r="AO216" s="209"/>
      <c r="AP216" s="209"/>
      <c r="AQ216" s="210"/>
      <c r="AR216" s="209"/>
      <c r="AS216" s="209"/>
      <c r="AT216" s="210"/>
      <c r="AU216" s="209"/>
      <c r="AV216" s="209"/>
      <c r="AW216" s="210"/>
      <c r="AX216" s="209"/>
      <c r="AY216" s="209"/>
      <c r="AZ216" s="210"/>
    </row>
    <row r="217" spans="1:52" hidden="1" outlineLevel="1">
      <c r="E217" s="263"/>
      <c r="F217" s="263"/>
      <c r="G217" s="264"/>
      <c r="H217" s="263"/>
      <c r="I217" s="263"/>
      <c r="J217" s="264"/>
      <c r="K217" s="263"/>
      <c r="L217" s="263"/>
      <c r="M217" s="264"/>
      <c r="N217" s="263"/>
      <c r="O217" s="263"/>
      <c r="P217" s="264"/>
      <c r="Q217" s="263"/>
      <c r="R217" s="263"/>
      <c r="S217" s="264"/>
      <c r="T217" s="263"/>
      <c r="U217" s="263"/>
      <c r="V217" s="264"/>
      <c r="W217" s="263"/>
      <c r="X217" s="263"/>
      <c r="Y217" s="264"/>
      <c r="Z217" s="263"/>
      <c r="AA217" s="263"/>
      <c r="AB217" s="264"/>
      <c r="AC217" s="263"/>
      <c r="AD217" s="263"/>
      <c r="AE217" s="264"/>
      <c r="AF217" s="263"/>
      <c r="AG217" s="263"/>
      <c r="AH217" s="264"/>
      <c r="AI217" s="263"/>
      <c r="AJ217" s="263"/>
      <c r="AK217" s="264"/>
      <c r="AL217" s="263"/>
      <c r="AM217" s="263"/>
      <c r="AN217" s="264"/>
      <c r="AO217" s="263"/>
      <c r="AP217" s="263"/>
      <c r="AQ217" s="264"/>
      <c r="AR217" s="263"/>
      <c r="AS217" s="263"/>
      <c r="AT217" s="264"/>
      <c r="AU217" s="263"/>
      <c r="AV217" s="263"/>
      <c r="AW217" s="264"/>
      <c r="AX217" s="263"/>
      <c r="AY217" s="263"/>
      <c r="AZ217" s="264"/>
    </row>
    <row r="218" spans="1:52" hidden="1" outlineLevel="1">
      <c r="B218" s="175" t="s">
        <v>2373</v>
      </c>
      <c r="E218" s="263"/>
      <c r="F218" s="263"/>
      <c r="G218" s="264"/>
      <c r="H218" s="263"/>
      <c r="I218" s="263"/>
      <c r="J218" s="264"/>
      <c r="K218" s="263"/>
      <c r="L218" s="263"/>
      <c r="M218" s="264"/>
      <c r="N218" s="263"/>
      <c r="O218" s="263">
        <f>P218</f>
        <v>0</v>
      </c>
      <c r="P218" s="271">
        <f>$Y$218*0%</f>
        <v>0</v>
      </c>
      <c r="Q218" s="268">
        <f>0.4*S218</f>
        <v>4.2</v>
      </c>
      <c r="R218" s="263">
        <f>S218-Q218</f>
        <v>6.3</v>
      </c>
      <c r="S218" s="271">
        <f>$Y$218*30%</f>
        <v>10.5</v>
      </c>
      <c r="T218" s="268">
        <f>0.4*V218</f>
        <v>8.4</v>
      </c>
      <c r="U218" s="263">
        <f>V218-T218</f>
        <v>12.6</v>
      </c>
      <c r="V218" s="271">
        <f>$Y$218*60%</f>
        <v>21</v>
      </c>
      <c r="W218" s="268">
        <f>0.5*Y218</f>
        <v>17.5</v>
      </c>
      <c r="X218" s="263">
        <f>Y218-W218</f>
        <v>17.5</v>
      </c>
      <c r="Y218" s="271">
        <f>50*0.7</f>
        <v>35</v>
      </c>
      <c r="Z218" s="268">
        <f>0.5*AB218</f>
        <v>17.5</v>
      </c>
      <c r="AA218" s="263">
        <f>AB218-Z218</f>
        <v>17.5</v>
      </c>
      <c r="AB218" s="271">
        <f>Y218</f>
        <v>35</v>
      </c>
      <c r="AC218" s="268">
        <f>0.5*AE218</f>
        <v>17.5</v>
      </c>
      <c r="AD218" s="263">
        <f>AE218-AC218</f>
        <v>17.5</v>
      </c>
      <c r="AE218" s="271">
        <f>AB218</f>
        <v>35</v>
      </c>
      <c r="AF218" s="268">
        <f>0.5*AH218</f>
        <v>17.5</v>
      </c>
      <c r="AG218" s="263">
        <f>AH218-AF218</f>
        <v>17.5</v>
      </c>
      <c r="AH218" s="271">
        <f>AE218</f>
        <v>35</v>
      </c>
      <c r="AI218" s="268">
        <f>0.5*AK218</f>
        <v>17.5</v>
      </c>
      <c r="AJ218" s="263">
        <f>AK218-AI218</f>
        <v>17.5</v>
      </c>
      <c r="AK218" s="271">
        <f>AH218</f>
        <v>35</v>
      </c>
      <c r="AL218" s="268">
        <f>0.5*AN218</f>
        <v>17.5</v>
      </c>
      <c r="AM218" s="263">
        <f>AN218-AL218</f>
        <v>17.5</v>
      </c>
      <c r="AN218" s="271">
        <f>AK218</f>
        <v>35</v>
      </c>
      <c r="AO218" s="268">
        <f>0.5*AQ218</f>
        <v>17.5</v>
      </c>
      <c r="AP218" s="263">
        <f>AQ218-AO218</f>
        <v>17.5</v>
      </c>
      <c r="AQ218" s="271">
        <f>AN218</f>
        <v>35</v>
      </c>
      <c r="AR218" s="268">
        <f>0.5*AT218</f>
        <v>17.5</v>
      </c>
      <c r="AS218" s="263">
        <f>AT218-AR218</f>
        <v>17.5</v>
      </c>
      <c r="AT218" s="271">
        <f>AQ218</f>
        <v>35</v>
      </c>
      <c r="AU218" s="268">
        <f>0.5*AW218</f>
        <v>17.5</v>
      </c>
      <c r="AV218" s="263">
        <f>AW218-AU218</f>
        <v>17.5</v>
      </c>
      <c r="AW218" s="271">
        <f>AT218</f>
        <v>35</v>
      </c>
      <c r="AX218" s="268">
        <f>0.5*AZ218</f>
        <v>17.5</v>
      </c>
      <c r="AY218" s="263">
        <f>AZ218-AX218</f>
        <v>17.5</v>
      </c>
      <c r="AZ218" s="271">
        <f>AW218</f>
        <v>35</v>
      </c>
    </row>
    <row r="219" spans="1:52" hidden="1" outlineLevel="1">
      <c r="E219" s="263"/>
      <c r="F219" s="263"/>
      <c r="G219" s="264"/>
      <c r="H219" s="263"/>
      <c r="I219" s="263"/>
      <c r="J219" s="264"/>
      <c r="K219" s="263"/>
      <c r="L219" s="263"/>
      <c r="M219" s="264"/>
      <c r="N219" s="263"/>
      <c r="O219" s="263"/>
      <c r="P219" s="264"/>
      <c r="Q219" s="263"/>
      <c r="R219" s="263"/>
      <c r="S219" s="264"/>
      <c r="T219" s="263"/>
      <c r="U219" s="263"/>
      <c r="V219" s="264"/>
      <c r="W219" s="263"/>
      <c r="X219" s="263"/>
      <c r="Y219" s="264"/>
      <c r="Z219" s="263"/>
      <c r="AA219" s="263"/>
      <c r="AB219" s="264"/>
      <c r="AC219" s="263"/>
      <c r="AD219" s="263"/>
      <c r="AE219" s="264"/>
      <c r="AF219" s="263"/>
      <c r="AG219" s="263"/>
      <c r="AH219" s="264"/>
      <c r="AI219" s="263"/>
      <c r="AJ219" s="263"/>
      <c r="AK219" s="264"/>
      <c r="AL219" s="263"/>
      <c r="AM219" s="263"/>
      <c r="AN219" s="264"/>
      <c r="AO219" s="263"/>
      <c r="AP219" s="263"/>
      <c r="AQ219" s="264"/>
      <c r="AR219" s="263"/>
      <c r="AS219" s="263"/>
      <c r="AT219" s="264"/>
      <c r="AU219" s="263"/>
      <c r="AV219" s="263"/>
      <c r="AW219" s="264"/>
      <c r="AX219" s="263"/>
      <c r="AY219" s="263"/>
      <c r="AZ219" s="264"/>
    </row>
    <row r="220" spans="1:52" hidden="1" outlineLevel="1">
      <c r="B220" s="175" t="s">
        <v>2374</v>
      </c>
      <c r="E220" s="263"/>
      <c r="F220" s="263"/>
      <c r="G220" s="264"/>
      <c r="H220" s="263"/>
      <c r="I220" s="263"/>
      <c r="J220" s="264"/>
      <c r="K220" s="263"/>
      <c r="L220" s="263"/>
      <c r="M220" s="271">
        <v>93</v>
      </c>
      <c r="N220" s="263"/>
      <c r="O220" s="263"/>
      <c r="P220" s="271">
        <f>M220*0.9</f>
        <v>83.7</v>
      </c>
      <c r="Q220" s="263"/>
      <c r="R220" s="263"/>
      <c r="S220" s="272">
        <f>P220*1.03</f>
        <v>86.210999999999999</v>
      </c>
      <c r="T220" s="263"/>
      <c r="U220" s="263"/>
      <c r="V220" s="272">
        <f>S220*1.05</f>
        <v>90.521550000000005</v>
      </c>
      <c r="W220" s="263"/>
      <c r="X220" s="263"/>
      <c r="Y220" s="271">
        <f>V220*1.1</f>
        <v>99.573705000000018</v>
      </c>
      <c r="Z220" s="263"/>
      <c r="AA220" s="263"/>
      <c r="AB220" s="271">
        <f>Y220*1.1</f>
        <v>109.53107550000003</v>
      </c>
      <c r="AC220" s="263"/>
      <c r="AD220" s="263"/>
      <c r="AE220" s="271">
        <f>AB220*1.1</f>
        <v>120.48418305000004</v>
      </c>
      <c r="AF220" s="263"/>
      <c r="AG220" s="263"/>
      <c r="AH220" s="271">
        <f>AE220*1.1</f>
        <v>132.53260135500005</v>
      </c>
      <c r="AI220" s="263"/>
      <c r="AJ220" s="263"/>
      <c r="AK220" s="271">
        <f>AH220*1.1</f>
        <v>145.78586149050008</v>
      </c>
      <c r="AL220" s="263"/>
      <c r="AM220" s="263"/>
      <c r="AN220" s="271">
        <f>AK220*1.1</f>
        <v>160.36444763955009</v>
      </c>
      <c r="AO220" s="263"/>
      <c r="AP220" s="263"/>
      <c r="AQ220" s="271">
        <f>AN220*1.1</f>
        <v>176.40089240350511</v>
      </c>
      <c r="AR220" s="263"/>
      <c r="AS220" s="263"/>
      <c r="AT220" s="271">
        <f>AQ220*1.1</f>
        <v>194.04098164385564</v>
      </c>
      <c r="AU220" s="263"/>
      <c r="AV220" s="263"/>
      <c r="AW220" s="271">
        <f>AT220*1.1</f>
        <v>213.44507980824122</v>
      </c>
      <c r="AX220" s="263"/>
      <c r="AY220" s="263"/>
      <c r="AZ220" s="271">
        <f>AW220*1.1</f>
        <v>234.78958778906537</v>
      </c>
    </row>
    <row r="221" spans="1:52" hidden="1" outlineLevel="1">
      <c r="B221" s="175" t="s">
        <v>2375</v>
      </c>
      <c r="E221" s="263"/>
      <c r="F221" s="263"/>
      <c r="G221" s="264"/>
      <c r="H221" s="263"/>
      <c r="I221" s="263"/>
      <c r="J221" s="264"/>
      <c r="K221" s="263"/>
      <c r="L221" s="263"/>
      <c r="M221" s="264">
        <f>M220*0/12</f>
        <v>0</v>
      </c>
      <c r="N221" s="263"/>
      <c r="O221" s="263">
        <f>P221</f>
        <v>6.9750000000000005</v>
      </c>
      <c r="P221" s="264">
        <f>P220*1/12</f>
        <v>6.9750000000000005</v>
      </c>
      <c r="Q221" s="268">
        <f>0.48*S221</f>
        <v>41.381279999999997</v>
      </c>
      <c r="R221" s="263">
        <f>S221-Q221</f>
        <v>44.829720000000002</v>
      </c>
      <c r="S221" s="264">
        <f>S220</f>
        <v>86.210999999999999</v>
      </c>
      <c r="T221" s="268">
        <f>0.48*V221</f>
        <v>43.450344000000001</v>
      </c>
      <c r="U221" s="263">
        <f>V221-T221</f>
        <v>47.071206000000004</v>
      </c>
      <c r="V221" s="264">
        <f>V220</f>
        <v>90.521550000000005</v>
      </c>
      <c r="W221" s="268">
        <f>0.48*Y221</f>
        <v>47.795378400000004</v>
      </c>
      <c r="X221" s="263">
        <f>Y221-W221</f>
        <v>51.778326600000014</v>
      </c>
      <c r="Y221" s="264">
        <f>Y220</f>
        <v>99.573705000000018</v>
      </c>
      <c r="Z221" s="268">
        <f>0.48*AB221</f>
        <v>52.574916240000015</v>
      </c>
      <c r="AA221" s="263">
        <f>AB221-Z221</f>
        <v>56.956159260000014</v>
      </c>
      <c r="AB221" s="264">
        <f>AB220</f>
        <v>109.53107550000003</v>
      </c>
      <c r="AC221" s="268">
        <f>0.48*AE221</f>
        <v>57.832407864000018</v>
      </c>
      <c r="AD221" s="263">
        <f>AE221-AC221</f>
        <v>62.651775186000023</v>
      </c>
      <c r="AE221" s="264">
        <f>AE220</f>
        <v>120.48418305000004</v>
      </c>
      <c r="AF221" s="268">
        <f>0.48*AH221</f>
        <v>63.615648650400026</v>
      </c>
      <c r="AG221" s="263">
        <f>AH221-AF221</f>
        <v>68.916952704600021</v>
      </c>
      <c r="AH221" s="264">
        <f>AH220</f>
        <v>132.53260135500005</v>
      </c>
      <c r="AI221" s="268">
        <f>0.48*AK221</f>
        <v>69.977213515440042</v>
      </c>
      <c r="AJ221" s="263">
        <f>AK221-AI221</f>
        <v>75.80864797506004</v>
      </c>
      <c r="AK221" s="264">
        <f>AK220</f>
        <v>145.78586149050008</v>
      </c>
      <c r="AL221" s="268">
        <f>0.48*AN221</f>
        <v>76.974934866984043</v>
      </c>
      <c r="AM221" s="263">
        <f>AN221-AL221</f>
        <v>83.38951277256605</v>
      </c>
      <c r="AN221" s="264">
        <f>AN220</f>
        <v>160.36444763955009</v>
      </c>
      <c r="AO221" s="268">
        <f>0.48*AQ221</f>
        <v>84.672428353682449</v>
      </c>
      <c r="AP221" s="263">
        <f>AQ221-AO221</f>
        <v>91.728464049822662</v>
      </c>
      <c r="AQ221" s="264">
        <f>AQ220</f>
        <v>176.40089240350511</v>
      </c>
      <c r="AR221" s="268">
        <f>0.48*AT221</f>
        <v>93.139671189050702</v>
      </c>
      <c r="AS221" s="263">
        <f>AT221-AR221</f>
        <v>100.90131045480494</v>
      </c>
      <c r="AT221" s="264">
        <f>AT220</f>
        <v>194.04098164385564</v>
      </c>
      <c r="AU221" s="268">
        <f>0.48*AW221</f>
        <v>102.45363830795579</v>
      </c>
      <c r="AV221" s="263">
        <f>AW221-AU221</f>
        <v>110.99144150028543</v>
      </c>
      <c r="AW221" s="264">
        <f>AW220</f>
        <v>213.44507980824122</v>
      </c>
      <c r="AX221" s="268">
        <f>0.48*AZ221</f>
        <v>112.69900213875137</v>
      </c>
      <c r="AY221" s="263">
        <f>AZ221-AX221</f>
        <v>122.090585650314</v>
      </c>
      <c r="AZ221" s="264">
        <f>AZ220</f>
        <v>234.78958778906537</v>
      </c>
    </row>
    <row r="222" spans="1:52" hidden="1" outlineLevel="1">
      <c r="E222" s="263"/>
      <c r="F222" s="263"/>
      <c r="G222" s="264"/>
      <c r="H222" s="263"/>
      <c r="I222" s="263"/>
      <c r="J222" s="264"/>
      <c r="K222" s="263"/>
      <c r="L222" s="263"/>
      <c r="M222" s="264"/>
      <c r="N222" s="263"/>
      <c r="O222" s="263"/>
      <c r="P222" s="264"/>
      <c r="Q222" s="263"/>
      <c r="R222" s="263"/>
      <c r="S222" s="264"/>
      <c r="T222" s="263"/>
      <c r="U222" s="263"/>
      <c r="V222" s="264"/>
      <c r="W222" s="263"/>
      <c r="X222" s="263"/>
      <c r="Y222" s="264"/>
      <c r="Z222" s="263"/>
      <c r="AA222" s="263"/>
      <c r="AB222" s="264"/>
      <c r="AC222" s="263"/>
      <c r="AD222" s="263"/>
      <c r="AE222" s="264"/>
      <c r="AF222" s="263"/>
      <c r="AG222" s="263"/>
      <c r="AH222" s="264"/>
      <c r="AI222" s="263"/>
      <c r="AJ222" s="263"/>
      <c r="AK222" s="264"/>
      <c r="AL222" s="263"/>
      <c r="AM222" s="263"/>
      <c r="AN222" s="264"/>
      <c r="AO222" s="263"/>
      <c r="AP222" s="263"/>
      <c r="AQ222" s="264"/>
      <c r="AR222" s="263"/>
      <c r="AS222" s="263"/>
      <c r="AT222" s="264"/>
      <c r="AU222" s="263"/>
      <c r="AV222" s="263"/>
      <c r="AW222" s="264"/>
      <c r="AX222" s="263"/>
      <c r="AY222" s="263"/>
      <c r="AZ222" s="264"/>
    </row>
    <row r="223" spans="1:52" hidden="1" outlineLevel="1">
      <c r="B223" s="175" t="s">
        <v>2376</v>
      </c>
      <c r="E223" s="263"/>
      <c r="F223" s="263"/>
      <c r="G223" s="264"/>
      <c r="H223" s="263"/>
      <c r="I223" s="263"/>
      <c r="J223" s="264"/>
      <c r="K223" s="263"/>
      <c r="L223" s="263"/>
      <c r="M223" s="264"/>
      <c r="N223" s="263"/>
      <c r="O223" s="263">
        <f>P223</f>
        <v>6.125</v>
      </c>
      <c r="P223" s="271">
        <f>175*0.7*5%</f>
        <v>6.125</v>
      </c>
      <c r="Q223" s="268">
        <f>0.5*S223</f>
        <v>39.8125</v>
      </c>
      <c r="R223" s="263">
        <f>S223-Q223</f>
        <v>39.8125</v>
      </c>
      <c r="S223" s="271">
        <f>175*0.7*65%</f>
        <v>79.625</v>
      </c>
      <c r="T223" s="268">
        <f>V223*0.9</f>
        <v>33.074999999999996</v>
      </c>
      <c r="U223" s="263">
        <f>V223-T223</f>
        <v>3.6749999999999972</v>
      </c>
      <c r="V223" s="271">
        <f>175*0.7*30%</f>
        <v>36.749999999999993</v>
      </c>
      <c r="W223" s="268">
        <v>0</v>
      </c>
      <c r="X223" s="263">
        <f>Y223-W223</f>
        <v>0</v>
      </c>
      <c r="Y223" s="264"/>
      <c r="Z223" s="268">
        <v>0</v>
      </c>
      <c r="AA223" s="263">
        <f>AB223-Z223</f>
        <v>0</v>
      </c>
      <c r="AB223" s="264"/>
      <c r="AC223" s="268">
        <v>0</v>
      </c>
      <c r="AD223" s="263">
        <f>AE223-AC223</f>
        <v>0</v>
      </c>
      <c r="AE223" s="264"/>
      <c r="AF223" s="268">
        <v>0</v>
      </c>
      <c r="AG223" s="263">
        <f>AH223-AF223</f>
        <v>0</v>
      </c>
      <c r="AH223" s="264"/>
      <c r="AI223" s="268">
        <v>0</v>
      </c>
      <c r="AJ223" s="263">
        <f>AK223-AI223</f>
        <v>0</v>
      </c>
      <c r="AK223" s="264"/>
      <c r="AL223" s="268">
        <v>0</v>
      </c>
      <c r="AM223" s="263">
        <f>AN223-AL223</f>
        <v>0</v>
      </c>
      <c r="AN223" s="264"/>
      <c r="AO223" s="268">
        <v>0</v>
      </c>
      <c r="AP223" s="263">
        <f>AQ223-AO223</f>
        <v>0</v>
      </c>
      <c r="AQ223" s="264"/>
      <c r="AR223" s="268">
        <v>0</v>
      </c>
      <c r="AS223" s="263">
        <f>AT223-AR223</f>
        <v>0</v>
      </c>
      <c r="AT223" s="264"/>
      <c r="AU223" s="268">
        <v>0</v>
      </c>
      <c r="AV223" s="263">
        <f>AW223-AU223</f>
        <v>0</v>
      </c>
      <c r="AW223" s="264"/>
      <c r="AX223" s="268">
        <v>0</v>
      </c>
      <c r="AY223" s="263">
        <f>AZ223-AX223</f>
        <v>0</v>
      </c>
      <c r="AZ223" s="264"/>
    </row>
    <row r="224" spans="1:52" hidden="1" outlineLevel="1">
      <c r="E224" s="263"/>
      <c r="F224" s="263"/>
      <c r="G224" s="264"/>
      <c r="H224" s="263"/>
      <c r="I224" s="263"/>
      <c r="J224" s="264"/>
      <c r="K224" s="263"/>
      <c r="L224" s="263"/>
      <c r="M224" s="264"/>
      <c r="N224" s="263"/>
      <c r="O224" s="263"/>
      <c r="P224" s="271"/>
      <c r="Q224" s="268"/>
      <c r="R224" s="263"/>
      <c r="S224" s="271"/>
      <c r="T224" s="268"/>
      <c r="U224" s="263"/>
      <c r="V224" s="271"/>
      <c r="W224" s="268"/>
      <c r="X224" s="263"/>
      <c r="Y224" s="264"/>
      <c r="Z224" s="268"/>
      <c r="AA224" s="263"/>
      <c r="AB224" s="264"/>
      <c r="AC224" s="268"/>
      <c r="AD224" s="263"/>
      <c r="AE224" s="264"/>
      <c r="AF224" s="268"/>
      <c r="AG224" s="263"/>
      <c r="AH224" s="264"/>
      <c r="AI224" s="268"/>
      <c r="AJ224" s="263"/>
      <c r="AK224" s="264"/>
      <c r="AL224" s="268"/>
      <c r="AM224" s="263"/>
      <c r="AN224" s="264"/>
      <c r="AO224" s="268"/>
      <c r="AP224" s="263"/>
      <c r="AQ224" s="264"/>
      <c r="AR224" s="268"/>
      <c r="AS224" s="263"/>
      <c r="AT224" s="264"/>
      <c r="AU224" s="268"/>
      <c r="AV224" s="263"/>
      <c r="AW224" s="264"/>
      <c r="AX224" s="268"/>
      <c r="AY224" s="263"/>
      <c r="AZ224" s="264"/>
    </row>
    <row r="225" spans="1:55" hidden="1" outlineLevel="1">
      <c r="E225" s="263"/>
      <c r="F225" s="263"/>
      <c r="G225" s="264"/>
      <c r="H225" s="263"/>
      <c r="I225" s="263"/>
      <c r="J225" s="264"/>
      <c r="K225" s="263"/>
      <c r="L225" s="263"/>
      <c r="M225" s="264"/>
      <c r="N225" s="263"/>
      <c r="O225" s="263"/>
      <c r="P225" s="264"/>
      <c r="Q225" s="263"/>
      <c r="R225" s="263"/>
      <c r="S225" s="264"/>
      <c r="T225" s="263"/>
      <c r="U225" s="263"/>
      <c r="V225" s="264"/>
      <c r="W225" s="263"/>
      <c r="X225" s="263"/>
      <c r="Y225" s="264"/>
      <c r="Z225" s="263"/>
      <c r="AA225" s="263"/>
      <c r="AB225" s="264"/>
      <c r="AC225" s="263"/>
      <c r="AD225" s="263"/>
      <c r="AE225" s="264"/>
      <c r="AF225" s="263"/>
      <c r="AG225" s="263"/>
      <c r="AH225" s="264"/>
      <c r="AI225" s="263"/>
      <c r="AJ225" s="263"/>
      <c r="AK225" s="264"/>
      <c r="AL225" s="263"/>
      <c r="AM225" s="263"/>
      <c r="AN225" s="264"/>
      <c r="AO225" s="263"/>
      <c r="AP225" s="263"/>
      <c r="AQ225" s="264"/>
      <c r="AR225" s="263"/>
      <c r="AS225" s="263"/>
      <c r="AT225" s="264"/>
      <c r="AU225" s="263"/>
      <c r="AV225" s="263"/>
      <c r="AW225" s="264"/>
      <c r="AX225" s="263"/>
      <c r="AY225" s="263"/>
      <c r="AZ225" s="264"/>
    </row>
    <row r="226" spans="1:55" collapsed="1">
      <c r="A226" s="178"/>
      <c r="B226" s="179" t="s">
        <v>2399</v>
      </c>
      <c r="C226" s="178"/>
      <c r="D226" s="178"/>
      <c r="E226" s="209"/>
      <c r="F226" s="209"/>
      <c r="G226" s="210"/>
      <c r="H226" s="209"/>
      <c r="I226" s="209"/>
      <c r="J226" s="210"/>
      <c r="K226" s="209"/>
      <c r="L226" s="209"/>
      <c r="M226" s="210"/>
      <c r="N226" s="209"/>
      <c r="O226" s="209"/>
      <c r="P226" s="210"/>
      <c r="Q226" s="209"/>
      <c r="R226" s="257"/>
      <c r="S226" s="210"/>
      <c r="T226" s="209"/>
      <c r="U226" s="209"/>
      <c r="V226" s="210"/>
      <c r="W226" s="209"/>
      <c r="X226" s="209"/>
      <c r="Y226" s="210"/>
      <c r="Z226" s="209"/>
      <c r="AA226" s="209"/>
      <c r="AB226" s="210"/>
      <c r="AC226" s="209"/>
      <c r="AD226" s="209"/>
      <c r="AE226" s="210"/>
      <c r="AF226" s="209"/>
      <c r="AG226" s="209"/>
      <c r="AH226" s="210"/>
      <c r="AI226" s="209"/>
      <c r="AJ226" s="209"/>
      <c r="AK226" s="210"/>
      <c r="AL226" s="209"/>
      <c r="AM226" s="209"/>
      <c r="AN226" s="210"/>
      <c r="AO226" s="209"/>
      <c r="AP226" s="209"/>
      <c r="AQ226" s="210"/>
      <c r="AR226" s="209"/>
      <c r="AS226" s="209"/>
      <c r="AT226" s="210"/>
      <c r="AU226" s="209"/>
      <c r="AV226" s="209"/>
      <c r="AW226" s="210"/>
      <c r="AX226" s="209"/>
      <c r="AY226" s="209"/>
      <c r="AZ226" s="210"/>
    </row>
    <row r="227" spans="1:55">
      <c r="B227" s="187" t="s">
        <v>582</v>
      </c>
      <c r="N227" s="188">
        <v>139</v>
      </c>
      <c r="O227" s="188">
        <v>147</v>
      </c>
      <c r="P227" s="189">
        <f>+O227+N227</f>
        <v>286</v>
      </c>
      <c r="Q227" s="190">
        <v>142</v>
      </c>
      <c r="R227" s="190">
        <v>153</v>
      </c>
      <c r="S227" s="189">
        <f>SUM(Q227:R227)</f>
        <v>295</v>
      </c>
      <c r="T227" s="190">
        <v>160</v>
      </c>
      <c r="U227" s="190">
        <v>168</v>
      </c>
      <c r="V227" s="189">
        <f>SUM(T227:U227)</f>
        <v>328</v>
      </c>
      <c r="W227" s="190">
        <v>163</v>
      </c>
      <c r="X227" s="190">
        <v>162</v>
      </c>
      <c r="Y227" s="189">
        <f>SUM(W227:X227)</f>
        <v>325</v>
      </c>
      <c r="Z227" s="190">
        <v>204.2</v>
      </c>
      <c r="AA227" s="190">
        <v>217</v>
      </c>
      <c r="AB227" s="189">
        <f>SUM(Z227:AA227)</f>
        <v>421.2</v>
      </c>
      <c r="AC227" s="190"/>
      <c r="AD227" s="190"/>
      <c r="AE227" s="189"/>
      <c r="AF227" s="190"/>
      <c r="AG227" s="190"/>
      <c r="AH227" s="189"/>
      <c r="AI227" s="190"/>
      <c r="AJ227" s="190"/>
      <c r="AK227" s="189"/>
      <c r="AL227" s="190"/>
      <c r="AM227" s="190"/>
      <c r="AN227" s="189"/>
      <c r="AO227" s="190"/>
      <c r="AP227" s="190"/>
      <c r="AQ227" s="189"/>
      <c r="AR227" s="190"/>
      <c r="AS227" s="190"/>
      <c r="AT227" s="189"/>
      <c r="AU227" s="190"/>
      <c r="AV227" s="190"/>
      <c r="AW227" s="189"/>
      <c r="AX227" s="190"/>
      <c r="AY227" s="190"/>
      <c r="AZ227" s="189"/>
    </row>
    <row r="228" spans="1:55">
      <c r="B228" s="187" t="s">
        <v>595</v>
      </c>
      <c r="N228" s="191">
        <v>17</v>
      </c>
      <c r="O228" s="188">
        <v>41</v>
      </c>
      <c r="P228" s="189">
        <f>+O228+N228</f>
        <v>58</v>
      </c>
      <c r="Q228" s="190">
        <v>18</v>
      </c>
      <c r="R228" s="190">
        <v>16</v>
      </c>
      <c r="S228" s="189">
        <f>SUM(Q228:R228)</f>
        <v>34</v>
      </c>
      <c r="T228" s="190">
        <v>19</v>
      </c>
      <c r="U228" s="190">
        <v>16</v>
      </c>
      <c r="V228" s="189">
        <f>SUM(T228:U228)</f>
        <v>35</v>
      </c>
      <c r="W228" s="190">
        <v>17</v>
      </c>
      <c r="X228" s="190">
        <v>30</v>
      </c>
      <c r="Y228" s="189">
        <f>SUM(W228:X228)</f>
        <v>47</v>
      </c>
      <c r="Z228" s="190">
        <v>25</v>
      </c>
      <c r="AA228" s="190">
        <v>48</v>
      </c>
      <c r="AB228" s="189">
        <f>SUM(Z228:AA228)</f>
        <v>73</v>
      </c>
      <c r="AC228" s="190"/>
      <c r="AD228" s="190"/>
      <c r="AE228" s="189"/>
      <c r="AF228" s="190"/>
      <c r="AG228" s="190"/>
      <c r="AH228" s="189"/>
      <c r="AI228" s="190"/>
      <c r="AJ228" s="190"/>
      <c r="AK228" s="189"/>
      <c r="AL228" s="190"/>
      <c r="AM228" s="190"/>
      <c r="AN228" s="189"/>
      <c r="AO228" s="190"/>
      <c r="AP228" s="190"/>
      <c r="AQ228" s="189"/>
      <c r="AR228" s="190"/>
      <c r="AS228" s="190"/>
      <c r="AT228" s="189"/>
      <c r="AU228" s="190"/>
      <c r="AV228" s="190"/>
      <c r="AW228" s="189"/>
      <c r="AX228" s="190"/>
      <c r="AY228" s="190"/>
      <c r="AZ228" s="189"/>
    </row>
    <row r="229" spans="1:55">
      <c r="B229" s="192" t="s">
        <v>2377</v>
      </c>
      <c r="C229" s="181"/>
      <c r="D229" s="181"/>
      <c r="E229" s="258"/>
      <c r="F229" s="258"/>
      <c r="G229" s="258"/>
      <c r="H229" s="258"/>
      <c r="I229" s="258"/>
      <c r="J229" s="258"/>
      <c r="K229" s="258"/>
      <c r="L229" s="258"/>
      <c r="M229" s="258"/>
      <c r="N229" s="193">
        <f>+N227+N228:N228</f>
        <v>156</v>
      </c>
      <c r="O229" s="193">
        <f>+O227+O228:O228</f>
        <v>188</v>
      </c>
      <c r="P229" s="194">
        <f>+O229+N229</f>
        <v>344</v>
      </c>
      <c r="Q229" s="193">
        <f>+SUM(Q227:Q228)</f>
        <v>160</v>
      </c>
      <c r="R229" s="193">
        <f>+SUM(R227:R228)</f>
        <v>169</v>
      </c>
      <c r="S229" s="195">
        <f>SUM(Q229:R229)</f>
        <v>329</v>
      </c>
      <c r="T229" s="193">
        <f>+SUM(T227:T228)</f>
        <v>179</v>
      </c>
      <c r="U229" s="193">
        <f>+SUM(U227:U228)</f>
        <v>184</v>
      </c>
      <c r="V229" s="195">
        <f>SUM(T229:U229)</f>
        <v>363</v>
      </c>
      <c r="W229" s="193">
        <f>+SUM(W227:W228)</f>
        <v>180</v>
      </c>
      <c r="X229" s="193">
        <f>+SUM(X227:X228)</f>
        <v>192</v>
      </c>
      <c r="Y229" s="195">
        <f>SUM(W229:X229)</f>
        <v>372</v>
      </c>
      <c r="Z229" s="193">
        <f>+SUM(Z227:Z228)</f>
        <v>229.2</v>
      </c>
      <c r="AA229" s="193">
        <f>+SUM(AA227:AA228)</f>
        <v>265</v>
      </c>
      <c r="AB229" s="195">
        <f>SUM(Z229:AA229)</f>
        <v>494.2</v>
      </c>
      <c r="AC229" s="193"/>
      <c r="AD229" s="193"/>
      <c r="AE229" s="195"/>
      <c r="AF229" s="193"/>
      <c r="AG229" s="193"/>
      <c r="AH229" s="195"/>
      <c r="AI229" s="193"/>
      <c r="AJ229" s="193"/>
      <c r="AK229" s="195"/>
      <c r="AL229" s="193"/>
      <c r="AM229" s="193"/>
      <c r="AN229" s="195"/>
      <c r="AO229" s="193"/>
      <c r="AP229" s="193"/>
      <c r="AQ229" s="195"/>
      <c r="AR229" s="193"/>
      <c r="AS229" s="193"/>
      <c r="AT229" s="195"/>
      <c r="AU229" s="193"/>
      <c r="AV229" s="193"/>
      <c r="AW229" s="195"/>
      <c r="AX229" s="193"/>
      <c r="AY229" s="193"/>
      <c r="AZ229" s="195"/>
    </row>
    <row r="230" spans="1:55">
      <c r="B230" s="187"/>
      <c r="P230" s="197"/>
      <c r="S230" s="197"/>
      <c r="V230" s="197"/>
      <c r="Y230" s="197"/>
      <c r="AB230" s="197"/>
      <c r="AE230" s="197"/>
      <c r="AH230" s="197"/>
      <c r="AK230" s="197"/>
      <c r="AN230" s="197"/>
      <c r="AQ230" s="197"/>
      <c r="AT230" s="197"/>
      <c r="AW230" s="197"/>
      <c r="AZ230" s="197"/>
    </row>
    <row r="231" spans="1:55">
      <c r="B231" s="187" t="s">
        <v>2378</v>
      </c>
      <c r="N231" s="188">
        <f>N255-N20</f>
        <v>-88</v>
      </c>
      <c r="O231" s="188">
        <f>O255-O20</f>
        <v>-93</v>
      </c>
      <c r="P231" s="189">
        <f>SUM(N231:O231)</f>
        <v>-181</v>
      </c>
      <c r="Q231" s="188">
        <f>Q255-Q20</f>
        <v>-55.098900000000015</v>
      </c>
      <c r="R231" s="188">
        <f>R255-R20</f>
        <v>-73.159600000000012</v>
      </c>
      <c r="S231" s="189">
        <f>SUM(Q231:R231)</f>
        <v>-128.25850000000003</v>
      </c>
      <c r="T231" s="188">
        <f>T255-T20</f>
        <v>-66.940799999999967</v>
      </c>
      <c r="U231" s="188">
        <f>U255-U20</f>
        <v>-79.473625000000027</v>
      </c>
      <c r="V231" s="189">
        <f>SUM(T231:U231)</f>
        <v>-146.41442499999999</v>
      </c>
      <c r="W231" s="188">
        <f>W255-W20</f>
        <v>-82.150100000000009</v>
      </c>
      <c r="X231" s="190">
        <f>-450-X41</f>
        <v>-77.820699999999988</v>
      </c>
      <c r="Y231" s="189">
        <f>SUM(W231:X231)</f>
        <v>-159.9708</v>
      </c>
      <c r="Z231" s="188">
        <f>Z255-Z20</f>
        <v>-108.16829999999999</v>
      </c>
      <c r="AA231" s="188">
        <f>AA255-AA20</f>
        <v>-96.660000000000025</v>
      </c>
      <c r="AB231" s="189">
        <f>SUM(Z231:AA231)</f>
        <v>-204.82830000000001</v>
      </c>
      <c r="AC231" s="190"/>
      <c r="AD231" s="190"/>
      <c r="AE231" s="189"/>
      <c r="AF231" s="190"/>
      <c r="AG231" s="190"/>
      <c r="AH231" s="189"/>
      <c r="AI231" s="190"/>
      <c r="AJ231" s="190"/>
      <c r="AK231" s="189"/>
      <c r="AL231" s="190"/>
      <c r="AM231" s="190"/>
      <c r="AN231" s="189"/>
      <c r="AO231" s="190"/>
      <c r="AP231" s="190"/>
      <c r="AQ231" s="189"/>
      <c r="AR231" s="190"/>
      <c r="AS231" s="190"/>
      <c r="AT231" s="189"/>
      <c r="AU231" s="190"/>
      <c r="AV231" s="190"/>
      <c r="AW231" s="189"/>
      <c r="AX231" s="190"/>
      <c r="AY231" s="190"/>
      <c r="AZ231" s="189"/>
      <c r="BA231" s="182"/>
    </row>
    <row r="232" spans="1:55">
      <c r="B232" s="187"/>
      <c r="N232" s="190"/>
      <c r="O232" s="190"/>
      <c r="P232" s="189"/>
      <c r="Q232" s="190"/>
      <c r="R232" s="190"/>
      <c r="S232" s="189"/>
      <c r="T232" s="190"/>
      <c r="U232" s="190"/>
      <c r="V232" s="189"/>
      <c r="W232" s="190"/>
      <c r="X232" s="190"/>
      <c r="Y232" s="189"/>
      <c r="Z232" s="190"/>
      <c r="AA232" s="190"/>
      <c r="AB232" s="189"/>
      <c r="AC232" s="190"/>
      <c r="AD232" s="190"/>
      <c r="AE232" s="189"/>
      <c r="AF232" s="190"/>
      <c r="AG232" s="190"/>
      <c r="AH232" s="189"/>
      <c r="AI232" s="190"/>
      <c r="AJ232" s="190"/>
      <c r="AK232" s="189"/>
      <c r="AL232" s="190"/>
      <c r="AM232" s="190"/>
      <c r="AN232" s="189"/>
      <c r="AO232" s="190"/>
      <c r="AP232" s="190"/>
      <c r="AQ232" s="189"/>
      <c r="AR232" s="190"/>
      <c r="AS232" s="190"/>
      <c r="AT232" s="189"/>
      <c r="AU232" s="190"/>
      <c r="AV232" s="190"/>
      <c r="AW232" s="189"/>
      <c r="AX232" s="190"/>
      <c r="AY232" s="190"/>
      <c r="AZ232" s="189"/>
    </row>
    <row r="233" spans="1:55" s="181" customFormat="1">
      <c r="A233" s="175"/>
      <c r="B233" s="192" t="s">
        <v>2379</v>
      </c>
      <c r="E233" s="258"/>
      <c r="F233" s="258"/>
      <c r="G233" s="258"/>
      <c r="H233" s="258"/>
      <c r="I233" s="258"/>
      <c r="J233" s="258"/>
      <c r="K233" s="258"/>
      <c r="L233" s="258"/>
      <c r="M233" s="258"/>
      <c r="N233" s="198">
        <f>SUM(N229:N232)</f>
        <v>68</v>
      </c>
      <c r="O233" s="198">
        <f>SUM(O229:O232)</f>
        <v>95</v>
      </c>
      <c r="P233" s="195">
        <f>SUM(P229:P232)</f>
        <v>163</v>
      </c>
      <c r="Q233" s="198">
        <f>SUM(Q229:Q232)</f>
        <v>104.90109999999999</v>
      </c>
      <c r="R233" s="198">
        <f>SUM(R229:R232)</f>
        <v>95.840399999999988</v>
      </c>
      <c r="S233" s="195">
        <f>SUM(Q233:R233)</f>
        <v>200.74149999999997</v>
      </c>
      <c r="T233" s="198">
        <f>SUM(T229:T232)</f>
        <v>112.05920000000003</v>
      </c>
      <c r="U233" s="198">
        <f>SUM(U229:U232)</f>
        <v>104.52637499999997</v>
      </c>
      <c r="V233" s="195">
        <f>SUM(T233:U233)</f>
        <v>216.58557500000001</v>
      </c>
      <c r="W233" s="198">
        <f>SUM(W229:W232)</f>
        <v>97.849899999999991</v>
      </c>
      <c r="X233" s="198">
        <f>SUM(X229:X232)</f>
        <v>114.17930000000001</v>
      </c>
      <c r="Y233" s="195">
        <f>SUM(W233:X233)</f>
        <v>212.0292</v>
      </c>
      <c r="Z233" s="198">
        <f>SUM(Z229:Z232)</f>
        <v>121.0317</v>
      </c>
      <c r="AA233" s="198">
        <f>SUM(AA229:AA232)</f>
        <v>168.33999999999997</v>
      </c>
      <c r="AB233" s="195">
        <f>SUM(Z233:AA233)</f>
        <v>289.37169999999998</v>
      </c>
      <c r="AC233" s="198"/>
      <c r="AD233" s="198"/>
      <c r="AE233" s="195"/>
      <c r="AF233" s="198"/>
      <c r="AG233" s="198"/>
      <c r="AH233" s="195"/>
      <c r="AI233" s="198"/>
      <c r="AJ233" s="198"/>
      <c r="AK233" s="195"/>
      <c r="AL233" s="198"/>
      <c r="AM233" s="198"/>
      <c r="AN233" s="195"/>
      <c r="AO233" s="198"/>
      <c r="AP233" s="198"/>
      <c r="AQ233" s="195"/>
      <c r="AR233" s="198"/>
      <c r="AS233" s="198"/>
      <c r="AT233" s="195"/>
      <c r="AU233" s="198"/>
      <c r="AV233" s="198"/>
      <c r="AW233" s="195"/>
      <c r="AX233" s="198"/>
      <c r="AY233" s="198"/>
      <c r="AZ233" s="195"/>
    </row>
    <row r="234" spans="1:55">
      <c r="B234" s="187"/>
      <c r="N234" s="190"/>
      <c r="O234" s="190"/>
      <c r="P234" s="189"/>
      <c r="Q234" s="190"/>
      <c r="R234" s="190"/>
      <c r="S234" s="189"/>
      <c r="T234" s="190"/>
      <c r="U234" s="190"/>
      <c r="V234" s="189"/>
      <c r="W234" s="190"/>
      <c r="X234" s="190"/>
      <c r="Y234" s="189"/>
      <c r="Z234" s="190"/>
      <c r="AA234" s="190"/>
      <c r="AB234" s="189"/>
      <c r="AC234" s="190"/>
      <c r="AD234" s="190"/>
      <c r="AE234" s="189"/>
      <c r="AF234" s="190"/>
      <c r="AG234" s="190"/>
      <c r="AH234" s="189"/>
      <c r="AI234" s="190"/>
      <c r="AJ234" s="190"/>
      <c r="AK234" s="189"/>
      <c r="AL234" s="190"/>
      <c r="AM234" s="190"/>
      <c r="AN234" s="189"/>
      <c r="AO234" s="190"/>
      <c r="AP234" s="190"/>
      <c r="AQ234" s="189"/>
      <c r="AR234" s="190"/>
      <c r="AS234" s="190"/>
      <c r="AT234" s="189"/>
      <c r="AU234" s="190"/>
      <c r="AV234" s="190"/>
      <c r="AW234" s="189"/>
      <c r="AX234" s="190"/>
      <c r="AY234" s="190"/>
      <c r="AZ234" s="189"/>
    </row>
    <row r="235" spans="1:55">
      <c r="B235" s="187" t="s">
        <v>2380</v>
      </c>
      <c r="N235" s="190">
        <v>-6</v>
      </c>
      <c r="O235" s="190">
        <v>-12</v>
      </c>
      <c r="P235" s="189">
        <f>SUM(N235:O235)</f>
        <v>-18</v>
      </c>
      <c r="Q235" s="190">
        <v>-5</v>
      </c>
      <c r="R235" s="190">
        <v>-4</v>
      </c>
      <c r="S235" s="189">
        <f>SUM(Q235:R235)</f>
        <v>-9</v>
      </c>
      <c r="T235" s="190">
        <v>-11</v>
      </c>
      <c r="U235" s="190">
        <v>-7</v>
      </c>
      <c r="V235" s="189">
        <f>SUM(T235:U235)</f>
        <v>-18</v>
      </c>
      <c r="W235" s="190">
        <v>-5</v>
      </c>
      <c r="X235" s="190">
        <v>-7</v>
      </c>
      <c r="Y235" s="189">
        <f>SUM(W235:X235)</f>
        <v>-12</v>
      </c>
      <c r="Z235" s="190">
        <v>-3</v>
      </c>
      <c r="AA235" s="190">
        <v>-8</v>
      </c>
      <c r="AB235" s="189">
        <f>SUM(Z235:AA235)</f>
        <v>-11</v>
      </c>
      <c r="AC235" s="190"/>
      <c r="AD235" s="190"/>
      <c r="AE235" s="189"/>
      <c r="AF235" s="190"/>
      <c r="AG235" s="190"/>
      <c r="AH235" s="189"/>
      <c r="AI235" s="190"/>
      <c r="AJ235" s="190"/>
      <c r="AK235" s="189"/>
      <c r="AL235" s="190"/>
      <c r="AM235" s="190"/>
      <c r="AN235" s="189"/>
      <c r="AO235" s="190"/>
      <c r="AP235" s="190"/>
      <c r="AQ235" s="189"/>
      <c r="AR235" s="190"/>
      <c r="AS235" s="190"/>
      <c r="AT235" s="189"/>
      <c r="AU235" s="190"/>
      <c r="AV235" s="190"/>
      <c r="AW235" s="189"/>
      <c r="AX235" s="190"/>
      <c r="AY235" s="190"/>
      <c r="AZ235" s="189"/>
    </row>
    <row r="236" spans="1:55">
      <c r="B236" s="187" t="s">
        <v>75</v>
      </c>
      <c r="N236" s="190">
        <f>N260-N22</f>
        <v>-19</v>
      </c>
      <c r="O236" s="190">
        <f>O260-O22</f>
        <v>-24</v>
      </c>
      <c r="P236" s="189">
        <f>SUM(N236:O236)</f>
        <v>-43</v>
      </c>
      <c r="Q236" s="190">
        <f>SUM(Q233:Q235)*Q246*-1</f>
        <v>-28.971318999999994</v>
      </c>
      <c r="R236" s="190">
        <f>SUM(R233:R235)*R246*-1</f>
        <v>-26.633715999999996</v>
      </c>
      <c r="S236" s="189">
        <f>SUM(Q236:R236)</f>
        <v>-55.605034999999987</v>
      </c>
      <c r="T236" s="190">
        <f>SUM(T233:T235)*T246*-1</f>
        <v>-29.307168000000008</v>
      </c>
      <c r="U236" s="190">
        <f>SUM(U233:U235)*U246*-1</f>
        <v>-28.282648749999989</v>
      </c>
      <c r="V236" s="189">
        <f>SUM(T236:U236)</f>
        <v>-57.589816749999997</v>
      </c>
      <c r="W236" s="190">
        <f>SUM(W233:W235)*W246*-1</f>
        <v>-26.926470999999996</v>
      </c>
      <c r="X236" s="190">
        <f>SUM(X233:X235)*X246*-1</f>
        <v>-31.081997000000001</v>
      </c>
      <c r="Y236" s="189">
        <f>SUM(W236:X236)</f>
        <v>-58.008467999999993</v>
      </c>
      <c r="Z236" s="190">
        <f>SUM(Z233:Z235)*Z246*-1</f>
        <v>-34.229192999999995</v>
      </c>
      <c r="AA236" s="190">
        <f>SUM(AA233:AA235)*AA246*-1</f>
        <v>-46.498599999999989</v>
      </c>
      <c r="AB236" s="189">
        <f>SUM(Z236:AA236)</f>
        <v>-80.727792999999991</v>
      </c>
      <c r="AC236" s="190"/>
      <c r="AD236" s="190"/>
      <c r="AE236" s="189"/>
      <c r="AF236" s="190"/>
      <c r="AG236" s="190"/>
      <c r="AH236" s="189"/>
      <c r="AI236" s="190"/>
      <c r="AJ236" s="190"/>
      <c r="AK236" s="189"/>
      <c r="AL236" s="190"/>
      <c r="AM236" s="190"/>
      <c r="AN236" s="189"/>
      <c r="AO236" s="190"/>
      <c r="AP236" s="190"/>
      <c r="AQ236" s="189"/>
      <c r="AR236" s="190"/>
      <c r="AS236" s="190"/>
      <c r="AT236" s="189"/>
      <c r="AU236" s="190"/>
      <c r="AV236" s="190"/>
      <c r="AW236" s="189"/>
      <c r="AX236" s="190"/>
      <c r="AY236" s="190"/>
      <c r="AZ236" s="189"/>
    </row>
    <row r="237" spans="1:55">
      <c r="B237" s="192" t="s">
        <v>2381</v>
      </c>
      <c r="N237" s="193">
        <f>SUM(N233:N236)</f>
        <v>43</v>
      </c>
      <c r="O237" s="193">
        <f>SUM(O233:O236)</f>
        <v>59</v>
      </c>
      <c r="P237" s="194">
        <f>SUM(N237:O237)</f>
        <v>102</v>
      </c>
      <c r="Q237" s="193">
        <f>SUM(Q233:Q236)</f>
        <v>70.929780999999991</v>
      </c>
      <c r="R237" s="193">
        <f>SUM(R233:R236)</f>
        <v>65.206683999999996</v>
      </c>
      <c r="S237" s="195">
        <f>SUM(Q237:R237)</f>
        <v>136.13646499999999</v>
      </c>
      <c r="T237" s="193">
        <f>SUM(T233:T236)</f>
        <v>71.752032000000028</v>
      </c>
      <c r="U237" s="193">
        <f>SUM(U233:U236)</f>
        <v>69.24372624999998</v>
      </c>
      <c r="V237" s="195">
        <f>SUM(T237:U237)</f>
        <v>140.99575824999999</v>
      </c>
      <c r="W237" s="193">
        <f>SUM(W233:W236)</f>
        <v>65.923428999999999</v>
      </c>
      <c r="X237" s="193">
        <f>SUM(X233:X236)</f>
        <v>76.097303000000011</v>
      </c>
      <c r="Y237" s="195">
        <f>SUM(W237:X237)</f>
        <v>142.02073200000001</v>
      </c>
      <c r="Z237" s="193">
        <f>SUM(Z233:Z236)</f>
        <v>83.802507000000006</v>
      </c>
      <c r="AA237" s="193">
        <f>SUM(AA233:AA236)</f>
        <v>113.84139999999999</v>
      </c>
      <c r="AB237" s="195">
        <f>SUM(Z237:AA237)</f>
        <v>197.64390700000001</v>
      </c>
      <c r="AC237" s="193"/>
      <c r="AD237" s="193"/>
      <c r="AE237" s="195"/>
      <c r="AF237" s="193"/>
      <c r="AG237" s="193"/>
      <c r="AH237" s="195"/>
      <c r="AI237" s="193"/>
      <c r="AJ237" s="193"/>
      <c r="AK237" s="195"/>
      <c r="AL237" s="193"/>
      <c r="AM237" s="193"/>
      <c r="AN237" s="195"/>
      <c r="AO237" s="193"/>
      <c r="AP237" s="193"/>
      <c r="AQ237" s="195"/>
      <c r="AR237" s="193"/>
      <c r="AS237" s="193"/>
      <c r="AT237" s="195"/>
      <c r="AU237" s="193"/>
      <c r="AV237" s="193"/>
      <c r="AW237" s="195"/>
      <c r="AX237" s="193"/>
      <c r="AY237" s="193"/>
      <c r="AZ237" s="195"/>
      <c r="BA237" s="199"/>
      <c r="BB237" s="199"/>
      <c r="BC237" s="186"/>
    </row>
    <row r="238" spans="1:55">
      <c r="P238" s="197"/>
      <c r="S238" s="197"/>
      <c r="U238" s="206"/>
      <c r="V238" s="197"/>
      <c r="Y238" s="197"/>
      <c r="AB238" s="197"/>
      <c r="AE238" s="197"/>
      <c r="AH238" s="197"/>
      <c r="AK238" s="197"/>
      <c r="AN238" s="197"/>
      <c r="AQ238" s="197"/>
      <c r="AT238" s="197"/>
      <c r="AW238" s="197"/>
      <c r="AZ238" s="197"/>
    </row>
    <row r="239" spans="1:55">
      <c r="A239" s="284" t="s">
        <v>2422</v>
      </c>
      <c r="B239" s="187" t="s">
        <v>2382</v>
      </c>
      <c r="N239" s="206">
        <v>16800</v>
      </c>
      <c r="O239" s="206">
        <v>16600</v>
      </c>
      <c r="P239" s="184">
        <f>AVERAGE(N239:O239)</f>
        <v>16700</v>
      </c>
      <c r="Q239" s="206">
        <v>16700</v>
      </c>
      <c r="R239" s="206">
        <v>17500</v>
      </c>
      <c r="S239" s="184">
        <f>+AVERAGE(Q239:R239)</f>
        <v>17100</v>
      </c>
      <c r="T239" s="206">
        <v>18100</v>
      </c>
      <c r="U239" s="206">
        <v>18600</v>
      </c>
      <c r="V239" s="184">
        <f>AVERAGE(T239:U239)</f>
        <v>18350</v>
      </c>
      <c r="W239" s="206">
        <v>18700</v>
      </c>
      <c r="X239" s="206">
        <f>W239*(1+X241)</f>
        <v>18700</v>
      </c>
      <c r="Y239" s="184">
        <f>+X239</f>
        <v>18700</v>
      </c>
      <c r="Z239" s="206">
        <v>20300</v>
      </c>
      <c r="AA239" s="206">
        <v>20600</v>
      </c>
      <c r="AB239" s="184">
        <f>+AA239</f>
        <v>20600</v>
      </c>
      <c r="AC239" s="206"/>
      <c r="AD239" s="206"/>
      <c r="AE239" s="184"/>
      <c r="AF239" s="206"/>
      <c r="AG239" s="206"/>
      <c r="AH239" s="184"/>
      <c r="AI239" s="206"/>
      <c r="AJ239" s="206"/>
      <c r="AK239" s="184"/>
      <c r="AL239" s="206"/>
      <c r="AM239" s="206"/>
      <c r="AN239" s="184"/>
      <c r="AO239" s="206"/>
      <c r="AP239" s="206"/>
      <c r="AQ239" s="184"/>
      <c r="AR239" s="206"/>
      <c r="AS239" s="206"/>
      <c r="AT239" s="184"/>
      <c r="AU239" s="206"/>
      <c r="AV239" s="206"/>
      <c r="AW239" s="184"/>
      <c r="AX239" s="206"/>
      <c r="AY239" s="206"/>
      <c r="AZ239" s="184"/>
    </row>
    <row r="240" spans="1:55">
      <c r="A240" s="284" t="s">
        <v>2423</v>
      </c>
      <c r="B240" s="187" t="s">
        <v>2383</v>
      </c>
      <c r="N240" s="206">
        <v>16700</v>
      </c>
      <c r="O240" s="206">
        <v>16400</v>
      </c>
      <c r="P240" s="184">
        <f>AVERAGE(N240:O240)</f>
        <v>16550</v>
      </c>
      <c r="Q240" s="206">
        <v>16700</v>
      </c>
      <c r="R240" s="206">
        <v>17500</v>
      </c>
      <c r="S240" s="184">
        <f>AVERAGE(Q240:R240)</f>
        <v>17100</v>
      </c>
      <c r="T240" s="206">
        <f>+T239</f>
        <v>18100</v>
      </c>
      <c r="U240" s="206">
        <f>+U227/(U242/2)</f>
        <v>18461.538461538461</v>
      </c>
      <c r="V240" s="184">
        <f>AVERAGE(T240:U240)</f>
        <v>18280.76923076923</v>
      </c>
      <c r="W240" s="206">
        <f>+W227/(W242/2)</f>
        <v>18735.632183908048</v>
      </c>
      <c r="X240" s="206">
        <f>+X239*W240/W239</f>
        <v>18735.632183908048</v>
      </c>
      <c r="Y240" s="184">
        <f>AVERAGE(W240:X240)</f>
        <v>18735.632183908048</v>
      </c>
      <c r="Z240" s="206">
        <f>+Z227/(Z242/2)</f>
        <v>20668.016194331984</v>
      </c>
      <c r="AA240" s="206">
        <f>+AA239*Z240/Z239</f>
        <v>20973.454857302408</v>
      </c>
      <c r="AB240" s="184">
        <f>AVERAGE(Z240:AA240)</f>
        <v>20820.735525817196</v>
      </c>
      <c r="AC240" s="206"/>
      <c r="AD240" s="206"/>
      <c r="AE240" s="184"/>
      <c r="AF240" s="206"/>
      <c r="AG240" s="206"/>
      <c r="AH240" s="184"/>
      <c r="AI240" s="206"/>
      <c r="AJ240" s="206"/>
      <c r="AK240" s="184"/>
      <c r="AL240" s="206"/>
      <c r="AM240" s="206"/>
      <c r="AN240" s="184"/>
      <c r="AO240" s="206"/>
      <c r="AP240" s="206"/>
      <c r="AQ240" s="184"/>
      <c r="AR240" s="206"/>
      <c r="AS240" s="206"/>
      <c r="AT240" s="184"/>
      <c r="AU240" s="206"/>
      <c r="AV240" s="206"/>
      <c r="AW240" s="184"/>
      <c r="AX240" s="206"/>
      <c r="AY240" s="206"/>
      <c r="AZ240" s="184"/>
    </row>
    <row r="241" spans="1:54">
      <c r="B241" s="187" t="s">
        <v>2384</v>
      </c>
      <c r="O241" s="230">
        <f>+O239/N239-1</f>
        <v>-1.1904761904761862E-2</v>
      </c>
      <c r="P241" s="273"/>
      <c r="Q241" s="230">
        <f>Q239/P239-1</f>
        <v>0</v>
      </c>
      <c r="R241" s="230">
        <f>+R239/Q239-1</f>
        <v>4.7904191616766401E-2</v>
      </c>
      <c r="S241" s="273">
        <f>+S239/P239-1</f>
        <v>2.39520958083832E-2</v>
      </c>
      <c r="T241" s="274">
        <f>T239/S239-1</f>
        <v>5.8479532163742798E-2</v>
      </c>
      <c r="U241" s="275">
        <f>+U239/T239-1</f>
        <v>2.7624309392265234E-2</v>
      </c>
      <c r="V241" s="273">
        <f>+V239/S239-1</f>
        <v>7.3099415204678442E-2</v>
      </c>
      <c r="W241" s="230">
        <f>W239/V239-1</f>
        <v>1.9073569482288777E-2</v>
      </c>
      <c r="X241" s="276">
        <v>0</v>
      </c>
      <c r="Y241" s="273">
        <f>+Y239/V239-1</f>
        <v>1.9073569482288777E-2</v>
      </c>
      <c r="Z241" s="230">
        <f>Z239/Y239-1</f>
        <v>8.5561497326203106E-2</v>
      </c>
      <c r="AA241" s="230">
        <f>AA239/Z239-1</f>
        <v>1.4778325123152802E-2</v>
      </c>
      <c r="AB241" s="273">
        <f>+AB239/Y239-1</f>
        <v>0.10160427807486627</v>
      </c>
      <c r="AC241" s="276"/>
      <c r="AD241" s="276"/>
      <c r="AE241" s="273"/>
      <c r="AF241" s="276"/>
      <c r="AG241" s="276"/>
      <c r="AH241" s="273"/>
      <c r="AI241" s="276"/>
      <c r="AJ241" s="276"/>
      <c r="AK241" s="273"/>
      <c r="AL241" s="276"/>
      <c r="AM241" s="276"/>
      <c r="AN241" s="273"/>
      <c r="AO241" s="276"/>
      <c r="AP241" s="276"/>
      <c r="AQ241" s="273"/>
      <c r="AR241" s="276"/>
      <c r="AS241" s="276"/>
      <c r="AT241" s="273"/>
      <c r="AU241" s="276"/>
      <c r="AV241" s="276"/>
      <c r="AW241" s="273"/>
      <c r="AX241" s="276"/>
      <c r="AY241" s="276"/>
      <c r="AZ241" s="273"/>
    </row>
    <row r="242" spans="1:54">
      <c r="B242" s="187" t="s">
        <v>2385</v>
      </c>
      <c r="N242" s="277">
        <f>+N227/N240*2</f>
        <v>1.6646706586826349E-2</v>
      </c>
      <c r="O242" s="277">
        <f>+O227/O240*2</f>
        <v>1.7926829268292682E-2</v>
      </c>
      <c r="P242" s="243">
        <f>+P227/P240</f>
        <v>1.7280966767371602E-2</v>
      </c>
      <c r="Q242" s="278">
        <f>+Q227/Q240*2</f>
        <v>1.7005988023952097E-2</v>
      </c>
      <c r="R242" s="278">
        <f>+R227/R240*2</f>
        <v>1.7485714285714285E-2</v>
      </c>
      <c r="S242" s="243">
        <f>+S227/S240</f>
        <v>1.7251461988304094E-2</v>
      </c>
      <c r="T242" s="278">
        <v>1.7299999999999999E-2</v>
      </c>
      <c r="U242" s="277">
        <v>1.8200000000000001E-2</v>
      </c>
      <c r="V242" s="243">
        <f>+V227/V240</f>
        <v>1.7942352198611403E-2</v>
      </c>
      <c r="W242" s="277">
        <v>1.7399999999999999E-2</v>
      </c>
      <c r="X242" s="279">
        <v>1.7299999999999999E-2</v>
      </c>
      <c r="Y242" s="243">
        <f>+Y227/Y240</f>
        <v>1.7346625766871165E-2</v>
      </c>
      <c r="Z242" s="277">
        <v>1.976E-2</v>
      </c>
      <c r="AA242" s="277">
        <v>2.0799999999999999E-2</v>
      </c>
      <c r="AB242" s="243">
        <f>+AB227/AB240</f>
        <v>2.0229832873950224E-2</v>
      </c>
      <c r="AC242" s="280"/>
      <c r="AD242" s="280"/>
      <c r="AE242" s="243"/>
      <c r="AF242" s="280"/>
      <c r="AG242" s="280"/>
      <c r="AH242" s="243"/>
      <c r="AI242" s="280"/>
      <c r="AJ242" s="280"/>
      <c r="AK242" s="243"/>
      <c r="AL242" s="280"/>
      <c r="AM242" s="280"/>
      <c r="AN242" s="243"/>
      <c r="AO242" s="280"/>
      <c r="AP242" s="280"/>
      <c r="AQ242" s="243"/>
      <c r="AR242" s="280"/>
      <c r="AS242" s="280"/>
      <c r="AT242" s="243"/>
      <c r="AU242" s="280"/>
      <c r="AV242" s="280"/>
      <c r="AW242" s="243"/>
      <c r="AX242" s="280"/>
      <c r="AY242" s="280"/>
      <c r="AZ242" s="243"/>
      <c r="BA242" s="200"/>
      <c r="BB242" s="200"/>
    </row>
    <row r="243" spans="1:54">
      <c r="B243" s="201" t="s">
        <v>2386</v>
      </c>
      <c r="N243" s="230">
        <f t="shared" ref="N243:U243" si="184">+N228/N227</f>
        <v>0.1223021582733813</v>
      </c>
      <c r="O243" s="230">
        <f t="shared" si="184"/>
        <v>0.27891156462585032</v>
      </c>
      <c r="P243" s="273">
        <f t="shared" si="184"/>
        <v>0.20279720279720279</v>
      </c>
      <c r="Q243" s="274">
        <f t="shared" si="184"/>
        <v>0.12676056338028169</v>
      </c>
      <c r="R243" s="274">
        <f t="shared" si="184"/>
        <v>0.10457516339869281</v>
      </c>
      <c r="S243" s="273">
        <f t="shared" si="184"/>
        <v>0.11525423728813559</v>
      </c>
      <c r="T243" s="274">
        <f t="shared" si="184"/>
        <v>0.11874999999999999</v>
      </c>
      <c r="U243" s="274">
        <f t="shared" si="184"/>
        <v>9.5238095238095233E-2</v>
      </c>
      <c r="V243" s="273">
        <f t="shared" ref="V243:AB243" si="185">+V228/V227</f>
        <v>0.10670731707317073</v>
      </c>
      <c r="W243" s="274">
        <f t="shared" si="185"/>
        <v>0.10429447852760736</v>
      </c>
      <c r="X243" s="274">
        <f t="shared" si="185"/>
        <v>0.18518518518518517</v>
      </c>
      <c r="Y243" s="273">
        <f t="shared" si="185"/>
        <v>0.14461538461538462</v>
      </c>
      <c r="Z243" s="274">
        <f t="shared" si="185"/>
        <v>0.12242899118511265</v>
      </c>
      <c r="AA243" s="274">
        <f t="shared" si="185"/>
        <v>0.22119815668202766</v>
      </c>
      <c r="AB243" s="273">
        <f t="shared" si="185"/>
        <v>0.17331433998100665</v>
      </c>
      <c r="AC243" s="276"/>
      <c r="AD243" s="276"/>
      <c r="AE243" s="273"/>
      <c r="AF243" s="276"/>
      <c r="AG243" s="276"/>
      <c r="AH243" s="273"/>
      <c r="AI243" s="276"/>
      <c r="AJ243" s="276"/>
      <c r="AK243" s="273"/>
      <c r="AL243" s="276"/>
      <c r="AM243" s="276"/>
      <c r="AN243" s="273"/>
      <c r="AO243" s="276"/>
      <c r="AP243" s="276"/>
      <c r="AQ243" s="273"/>
      <c r="AR243" s="276"/>
      <c r="AS243" s="276"/>
      <c r="AT243" s="273"/>
      <c r="AU243" s="276"/>
      <c r="AV243" s="276"/>
      <c r="AW243" s="273"/>
      <c r="AX243" s="276"/>
      <c r="AY243" s="276"/>
      <c r="AZ243" s="273"/>
    </row>
    <row r="244" spans="1:54">
      <c r="B244" s="201" t="s">
        <v>2387</v>
      </c>
      <c r="N244" s="230">
        <f>+N231*-1/N229</f>
        <v>0.5641025641025641</v>
      </c>
      <c r="O244" s="230">
        <f>+O231*-1/O229</f>
        <v>0.49468085106382981</v>
      </c>
      <c r="P244" s="273">
        <f>+P231*-1/P229</f>
        <v>0.52616279069767447</v>
      </c>
      <c r="Q244" s="276">
        <f>+Q231*-1/Q229</f>
        <v>0.34436812500000008</v>
      </c>
      <c r="R244" s="276">
        <v>0.49</v>
      </c>
      <c r="S244" s="273">
        <f>+S231*-1/S229</f>
        <v>0.38984346504559281</v>
      </c>
      <c r="T244" s="276">
        <f>+T231*-1/T229</f>
        <v>0.37397094972067019</v>
      </c>
      <c r="U244" s="276">
        <f>+T244-1%</f>
        <v>0.36397094972067018</v>
      </c>
      <c r="V244" s="273">
        <f t="shared" ref="V244:AB244" si="186">+V231*-1/V229</f>
        <v>0.40334552341597796</v>
      </c>
      <c r="W244" s="230">
        <f t="shared" si="186"/>
        <v>0.45638944444444451</v>
      </c>
      <c r="X244" s="230">
        <f t="shared" si="186"/>
        <v>0.40531614583333325</v>
      </c>
      <c r="Y244" s="273">
        <f t="shared" si="186"/>
        <v>0.43002903225806449</v>
      </c>
      <c r="Z244" s="230">
        <f t="shared" si="186"/>
        <v>0.47193848167539265</v>
      </c>
      <c r="AA244" s="230">
        <f t="shared" si="186"/>
        <v>0.36475471698113215</v>
      </c>
      <c r="AB244" s="273">
        <f t="shared" si="186"/>
        <v>0.41446438688789966</v>
      </c>
      <c r="AC244" s="276"/>
      <c r="AD244" s="276"/>
      <c r="AE244" s="273"/>
      <c r="AF244" s="276"/>
      <c r="AG244" s="276"/>
      <c r="AH244" s="273"/>
      <c r="AI244" s="276"/>
      <c r="AJ244" s="276"/>
      <c r="AK244" s="273"/>
      <c r="AL244" s="276"/>
      <c r="AM244" s="276"/>
      <c r="AN244" s="273"/>
      <c r="AO244" s="276"/>
      <c r="AP244" s="276"/>
      <c r="AQ244" s="273"/>
      <c r="AR244" s="276"/>
      <c r="AS244" s="276"/>
      <c r="AT244" s="273"/>
      <c r="AU244" s="276"/>
      <c r="AV244" s="276"/>
      <c r="AW244" s="273"/>
      <c r="AX244" s="276"/>
      <c r="AY244" s="276"/>
      <c r="AZ244" s="273"/>
    </row>
    <row r="245" spans="1:54">
      <c r="B245" s="202" t="s">
        <v>2388</v>
      </c>
      <c r="N245" s="277">
        <f>+N235*2/N239*-1</f>
        <v>7.1428571428571429E-4</v>
      </c>
      <c r="O245" s="277">
        <f>+O235*2/O239*-1</f>
        <v>1.4457831325301205E-3</v>
      </c>
      <c r="P245" s="243">
        <f>+P235/P239*-1</f>
        <v>1.0778443113772455E-3</v>
      </c>
      <c r="Q245" s="280">
        <f>+Q235*2/Q239*-1</f>
        <v>5.9880239520958083E-4</v>
      </c>
      <c r="R245" s="280">
        <v>4.0000000000000002E-4</v>
      </c>
      <c r="S245" s="243">
        <f>+S235/S239*-1</f>
        <v>5.263157894736842E-4</v>
      </c>
      <c r="T245" s="280">
        <f>+T235*2/T239*-1</f>
        <v>1.2154696132596686E-3</v>
      </c>
      <c r="U245" s="280">
        <f>+U235*2/U239*-1</f>
        <v>7.5268817204301075E-4</v>
      </c>
      <c r="V245" s="243">
        <f>+V235/V239*-1</f>
        <v>9.8092643051771113E-4</v>
      </c>
      <c r="W245" s="277">
        <f>+W235*2/W239*-1</f>
        <v>5.3475935828877007E-4</v>
      </c>
      <c r="X245" s="277">
        <f>+X235*2/X239*-1</f>
        <v>7.4866310160427805E-4</v>
      </c>
      <c r="Y245" s="243">
        <f>+Y235/Y239*-1</f>
        <v>6.4171122994652406E-4</v>
      </c>
      <c r="Z245" s="277">
        <f>+Z235*2/Z239*-1</f>
        <v>2.9556650246305416E-4</v>
      </c>
      <c r="AA245" s="277">
        <f>+AA235*2/AA239*-1</f>
        <v>7.7669902912621365E-4</v>
      </c>
      <c r="AB245" s="243">
        <f>+AB235/AB239*-1</f>
        <v>5.3398058252427185E-4</v>
      </c>
      <c r="AC245" s="280"/>
      <c r="AD245" s="280"/>
      <c r="AE245" s="243"/>
      <c r="AF245" s="280"/>
      <c r="AG245" s="280"/>
      <c r="AH245" s="243"/>
      <c r="AI245" s="280"/>
      <c r="AJ245" s="280"/>
      <c r="AK245" s="243"/>
      <c r="AL245" s="280"/>
      <c r="AM245" s="280"/>
      <c r="AN245" s="243"/>
      <c r="AO245" s="280"/>
      <c r="AP245" s="280"/>
      <c r="AQ245" s="243"/>
      <c r="AR245" s="280"/>
      <c r="AS245" s="280"/>
      <c r="AT245" s="243"/>
      <c r="AU245" s="280"/>
      <c r="AV245" s="280"/>
      <c r="AW245" s="243"/>
      <c r="AX245" s="280"/>
      <c r="AY245" s="280"/>
      <c r="AZ245" s="243"/>
    </row>
    <row r="246" spans="1:54">
      <c r="B246" s="192" t="s">
        <v>2389</v>
      </c>
      <c r="N246" s="230">
        <f>+N236/SUM(N233:N235)*-1</f>
        <v>0.30645161290322581</v>
      </c>
      <c r="O246" s="230">
        <f>+O236/SUM(O233:O235)*-1</f>
        <v>0.28915662650602408</v>
      </c>
      <c r="P246" s="273">
        <f>+P236/SUM(P233:P235)</f>
        <v>-0.29655172413793102</v>
      </c>
      <c r="Q246" s="276">
        <v>0.28999999999999998</v>
      </c>
      <c r="R246" s="276">
        <v>0.28999999999999998</v>
      </c>
      <c r="S246" s="273">
        <f>+S236/SUM(S233:S235)</f>
        <v>-0.28999999999999998</v>
      </c>
      <c r="T246" s="276">
        <v>0.28999999999999998</v>
      </c>
      <c r="U246" s="276">
        <v>0.28999999999999998</v>
      </c>
      <c r="V246" s="273">
        <f>+V236/SUM(V233:V235)</f>
        <v>-0.28999999999999998</v>
      </c>
      <c r="W246" s="230">
        <v>0.28999999999999998</v>
      </c>
      <c r="X246" s="276">
        <v>0.28999999999999998</v>
      </c>
      <c r="Y246" s="273">
        <f>+Y236/SUM(Y233:Y235)</f>
        <v>-0.28999999999999998</v>
      </c>
      <c r="Z246" s="276">
        <v>0.28999999999999998</v>
      </c>
      <c r="AA246" s="276">
        <v>0.28999999999999998</v>
      </c>
      <c r="AB246" s="273">
        <f>+AB236/SUM(AB233:AB235)</f>
        <v>-0.28999999999999998</v>
      </c>
      <c r="AC246" s="276"/>
      <c r="AD246" s="276"/>
      <c r="AE246" s="273"/>
      <c r="AF246" s="276"/>
      <c r="AG246" s="276"/>
      <c r="AH246" s="273"/>
      <c r="AI246" s="276"/>
      <c r="AJ246" s="276"/>
      <c r="AK246" s="273"/>
      <c r="AL246" s="276"/>
      <c r="AM246" s="276"/>
      <c r="AN246" s="273"/>
      <c r="AO246" s="276"/>
      <c r="AP246" s="276"/>
      <c r="AQ246" s="273"/>
      <c r="AR246" s="276"/>
      <c r="AS246" s="276"/>
      <c r="AT246" s="273"/>
      <c r="AU246" s="276"/>
      <c r="AV246" s="276"/>
      <c r="AW246" s="273"/>
      <c r="AX246" s="276"/>
      <c r="AY246" s="276"/>
      <c r="AZ246" s="273"/>
    </row>
    <row r="247" spans="1:54">
      <c r="P247" s="197"/>
      <c r="S247" s="197"/>
      <c r="V247" s="197"/>
      <c r="Y247" s="197"/>
      <c r="AB247" s="197"/>
      <c r="AE247" s="197"/>
      <c r="AH247" s="197"/>
      <c r="AK247" s="197"/>
      <c r="AN247" s="197"/>
      <c r="AQ247" s="197"/>
      <c r="AT247" s="197"/>
      <c r="AW247" s="197"/>
      <c r="AZ247" s="197"/>
    </row>
    <row r="248" spans="1:54">
      <c r="P248" s="197"/>
      <c r="S248" s="197"/>
      <c r="V248" s="197"/>
      <c r="Y248" s="197"/>
      <c r="AB248" s="197"/>
      <c r="AE248" s="197"/>
      <c r="AH248" s="197"/>
      <c r="AK248" s="197"/>
      <c r="AN248" s="197"/>
      <c r="AQ248" s="197"/>
      <c r="AT248" s="197"/>
      <c r="AW248" s="197"/>
      <c r="AZ248" s="197"/>
    </row>
    <row r="249" spans="1:54">
      <c r="B249" s="181" t="s">
        <v>2390</v>
      </c>
      <c r="P249" s="197"/>
      <c r="S249" s="197"/>
      <c r="V249" s="197"/>
      <c r="Y249" s="197"/>
      <c r="AB249" s="197"/>
      <c r="AE249" s="197"/>
      <c r="AH249" s="197"/>
      <c r="AK249" s="197"/>
      <c r="AN249" s="197"/>
      <c r="AQ249" s="197"/>
      <c r="AT249" s="197"/>
      <c r="AW249" s="197"/>
      <c r="AZ249" s="197"/>
    </row>
    <row r="250" spans="1:54">
      <c r="A250" s="284" t="s">
        <v>2417</v>
      </c>
      <c r="B250" s="203" t="s">
        <v>582</v>
      </c>
      <c r="N250" s="206">
        <f>+N227</f>
        <v>139</v>
      </c>
      <c r="O250" s="206">
        <f>+O227</f>
        <v>147</v>
      </c>
      <c r="P250" s="184">
        <f>SUM(N250:O250)</f>
        <v>286</v>
      </c>
      <c r="Q250" s="206">
        <f>+Q227</f>
        <v>142</v>
      </c>
      <c r="R250" s="206">
        <f>+R227</f>
        <v>153</v>
      </c>
      <c r="S250" s="184">
        <f>SUM(Q250:R250)</f>
        <v>295</v>
      </c>
      <c r="T250" s="206">
        <f>+T227</f>
        <v>160</v>
      </c>
      <c r="U250" s="206">
        <f>+U227</f>
        <v>168</v>
      </c>
      <c r="V250" s="184">
        <f>SUM(T250:U250)</f>
        <v>328</v>
      </c>
      <c r="W250" s="206">
        <f>+W227</f>
        <v>163</v>
      </c>
      <c r="X250" s="206">
        <f>+X227</f>
        <v>162</v>
      </c>
      <c r="Y250" s="184">
        <f>SUM(W250:X250)</f>
        <v>325</v>
      </c>
      <c r="Z250" s="206">
        <f>+Z227</f>
        <v>204.2</v>
      </c>
      <c r="AA250" s="206">
        <f>+AA227</f>
        <v>217</v>
      </c>
      <c r="AB250" s="184">
        <f>SUM(Z250:AA250)</f>
        <v>421.2</v>
      </c>
      <c r="AC250" s="206"/>
      <c r="AD250" s="206"/>
      <c r="AE250" s="184"/>
      <c r="AF250" s="206"/>
      <c r="AG250" s="206"/>
      <c r="AH250" s="184"/>
      <c r="AI250" s="206"/>
      <c r="AJ250" s="206"/>
      <c r="AK250" s="184"/>
      <c r="AL250" s="206"/>
      <c r="AM250" s="206"/>
      <c r="AN250" s="184"/>
      <c r="AO250" s="206"/>
      <c r="AP250" s="206"/>
      <c r="AQ250" s="184"/>
      <c r="AR250" s="206"/>
      <c r="AS250" s="206"/>
      <c r="AT250" s="184"/>
      <c r="AU250" s="206"/>
      <c r="AV250" s="206"/>
      <c r="AW250" s="184"/>
      <c r="AX250" s="206"/>
      <c r="AY250" s="206"/>
      <c r="AZ250" s="184"/>
    </row>
    <row r="251" spans="1:54">
      <c r="A251" s="284" t="s">
        <v>2418</v>
      </c>
      <c r="B251" s="203" t="s">
        <v>595</v>
      </c>
      <c r="N251" s="206">
        <f>+N228</f>
        <v>17</v>
      </c>
      <c r="O251" s="206">
        <f>+O228</f>
        <v>41</v>
      </c>
      <c r="P251" s="184">
        <f>SUM(N251:O251)</f>
        <v>58</v>
      </c>
      <c r="Q251" s="206">
        <f>+Q228</f>
        <v>18</v>
      </c>
      <c r="R251" s="206">
        <f>+R228</f>
        <v>16</v>
      </c>
      <c r="S251" s="184">
        <f>SUM(Q251:R251)</f>
        <v>34</v>
      </c>
      <c r="T251" s="206">
        <f>+T228</f>
        <v>19</v>
      </c>
      <c r="U251" s="206">
        <f>+U228</f>
        <v>16</v>
      </c>
      <c r="V251" s="184">
        <f>SUM(T251:U251)</f>
        <v>35</v>
      </c>
      <c r="W251" s="206">
        <f>+W228</f>
        <v>17</v>
      </c>
      <c r="X251" s="206">
        <f>+X228</f>
        <v>30</v>
      </c>
      <c r="Y251" s="184">
        <f>SUM(W251:X251)</f>
        <v>47</v>
      </c>
      <c r="Z251" s="206">
        <f>+Z228</f>
        <v>25</v>
      </c>
      <c r="AA251" s="206">
        <f>+AA228</f>
        <v>48</v>
      </c>
      <c r="AB251" s="184">
        <f>SUM(Z251:AA251)</f>
        <v>73</v>
      </c>
      <c r="AC251" s="206"/>
      <c r="AD251" s="206"/>
      <c r="AE251" s="184"/>
      <c r="AF251" s="206"/>
      <c r="AG251" s="206"/>
      <c r="AH251" s="184"/>
      <c r="AI251" s="206"/>
      <c r="AJ251" s="206"/>
      <c r="AK251" s="184"/>
      <c r="AL251" s="206"/>
      <c r="AM251" s="206"/>
      <c r="AN251" s="184"/>
      <c r="AO251" s="206"/>
      <c r="AP251" s="206"/>
      <c r="AQ251" s="184"/>
      <c r="AR251" s="206"/>
      <c r="AS251" s="206"/>
      <c r="AT251" s="184"/>
      <c r="AU251" s="206"/>
      <c r="AV251" s="206"/>
      <c r="AW251" s="184"/>
      <c r="AX251" s="206"/>
      <c r="AY251" s="206"/>
      <c r="AZ251" s="184"/>
    </row>
    <row r="252" spans="1:54">
      <c r="B252" s="203" t="s">
        <v>2391</v>
      </c>
      <c r="N252" s="206">
        <f>N19</f>
        <v>539</v>
      </c>
      <c r="O252" s="206">
        <f>O19</f>
        <v>529</v>
      </c>
      <c r="P252" s="184">
        <f>SUM(N252:O252)</f>
        <v>1068</v>
      </c>
      <c r="Q252" s="206">
        <f>Q19</f>
        <v>748</v>
      </c>
      <c r="R252" s="206">
        <f>R19</f>
        <v>764</v>
      </c>
      <c r="S252" s="184">
        <f>SUM(Q252:R252)</f>
        <v>1512</v>
      </c>
      <c r="T252" s="206">
        <f t="shared" ref="T252:AB252" si="187">+T40+T152</f>
        <v>770</v>
      </c>
      <c r="U252" s="206">
        <f t="shared" si="187"/>
        <v>716</v>
      </c>
      <c r="V252" s="184">
        <f t="shared" si="187"/>
        <v>1486</v>
      </c>
      <c r="W252" s="206">
        <f t="shared" si="187"/>
        <v>760</v>
      </c>
      <c r="X252" s="206">
        <f t="shared" si="187"/>
        <v>755</v>
      </c>
      <c r="Y252" s="184">
        <f t="shared" si="187"/>
        <v>1515</v>
      </c>
      <c r="Z252" s="206">
        <f t="shared" si="187"/>
        <v>699</v>
      </c>
      <c r="AA252" s="206">
        <f t="shared" si="187"/>
        <v>636</v>
      </c>
      <c r="AB252" s="184">
        <f t="shared" si="187"/>
        <v>1335</v>
      </c>
      <c r="AC252" s="206"/>
      <c r="AD252" s="206"/>
      <c r="AE252" s="184"/>
      <c r="AF252" s="206"/>
      <c r="AG252" s="206"/>
      <c r="AH252" s="184"/>
      <c r="AI252" s="206"/>
      <c r="AJ252" s="206"/>
      <c r="AK252" s="184"/>
      <c r="AL252" s="206"/>
      <c r="AM252" s="206"/>
      <c r="AN252" s="184"/>
      <c r="AO252" s="206"/>
      <c r="AP252" s="206"/>
      <c r="AQ252" s="184"/>
      <c r="AR252" s="206"/>
      <c r="AS252" s="206"/>
      <c r="AT252" s="184"/>
      <c r="AU252" s="206"/>
      <c r="AV252" s="206"/>
      <c r="AW252" s="184"/>
      <c r="AX252" s="206"/>
      <c r="AY252" s="206"/>
      <c r="AZ252" s="184"/>
    </row>
    <row r="253" spans="1:54" s="181" customFormat="1">
      <c r="B253" s="204" t="s">
        <v>2377</v>
      </c>
      <c r="E253" s="258"/>
      <c r="F253" s="258"/>
      <c r="G253" s="258"/>
      <c r="H253" s="258"/>
      <c r="I253" s="258"/>
      <c r="J253" s="258"/>
      <c r="K253" s="258"/>
      <c r="L253" s="258"/>
      <c r="M253" s="258"/>
      <c r="N253" s="193">
        <f t="shared" ref="N253:AB253" si="188">SUM(N250:N252)</f>
        <v>695</v>
      </c>
      <c r="O253" s="193">
        <f t="shared" si="188"/>
        <v>717</v>
      </c>
      <c r="P253" s="194">
        <f t="shared" si="188"/>
        <v>1412</v>
      </c>
      <c r="Q253" s="193">
        <f t="shared" si="188"/>
        <v>908</v>
      </c>
      <c r="R253" s="193">
        <f t="shared" si="188"/>
        <v>933</v>
      </c>
      <c r="S253" s="194">
        <f t="shared" si="188"/>
        <v>1841</v>
      </c>
      <c r="T253" s="193">
        <f t="shared" si="188"/>
        <v>949</v>
      </c>
      <c r="U253" s="193">
        <f t="shared" si="188"/>
        <v>900</v>
      </c>
      <c r="V253" s="194">
        <f t="shared" si="188"/>
        <v>1849</v>
      </c>
      <c r="W253" s="193">
        <f t="shared" si="188"/>
        <v>940</v>
      </c>
      <c r="X253" s="193">
        <f t="shared" si="188"/>
        <v>947</v>
      </c>
      <c r="Y253" s="194">
        <f t="shared" si="188"/>
        <v>1887</v>
      </c>
      <c r="Z253" s="193">
        <f t="shared" si="188"/>
        <v>928.2</v>
      </c>
      <c r="AA253" s="193">
        <f t="shared" si="188"/>
        <v>901</v>
      </c>
      <c r="AB253" s="194">
        <f t="shared" si="188"/>
        <v>1829.2</v>
      </c>
      <c r="AC253" s="193"/>
      <c r="AD253" s="193"/>
      <c r="AE253" s="194"/>
      <c r="AF253" s="193"/>
      <c r="AG253" s="193"/>
      <c r="AH253" s="194"/>
      <c r="AI253" s="193"/>
      <c r="AJ253" s="193"/>
      <c r="AK253" s="194"/>
      <c r="AL253" s="193"/>
      <c r="AM253" s="193"/>
      <c r="AN253" s="194"/>
      <c r="AO253" s="193"/>
      <c r="AP253" s="193"/>
      <c r="AQ253" s="194"/>
      <c r="AR253" s="193"/>
      <c r="AS253" s="193"/>
      <c r="AT253" s="194"/>
      <c r="AU253" s="193"/>
      <c r="AV253" s="193"/>
      <c r="AW253" s="194"/>
      <c r="AX253" s="193"/>
      <c r="AY253" s="193"/>
      <c r="AZ253" s="194"/>
    </row>
    <row r="254" spans="1:54">
      <c r="B254" s="203"/>
      <c r="P254" s="197"/>
      <c r="S254" s="197"/>
      <c r="V254" s="197"/>
      <c r="Y254" s="197"/>
      <c r="AB254" s="197"/>
      <c r="AE254" s="197"/>
      <c r="AH254" s="197"/>
      <c r="AK254" s="197"/>
      <c r="AN254" s="197"/>
      <c r="AQ254" s="197"/>
      <c r="AT254" s="197"/>
      <c r="AW254" s="197"/>
      <c r="AZ254" s="197"/>
    </row>
    <row r="255" spans="1:54">
      <c r="A255" s="284" t="s">
        <v>2419</v>
      </c>
      <c r="B255" s="203" t="s">
        <v>2378</v>
      </c>
      <c r="N255" s="190">
        <v>-418</v>
      </c>
      <c r="O255" s="190">
        <v>-424</v>
      </c>
      <c r="P255" s="189">
        <f>SUM(N255:O255)</f>
        <v>-842</v>
      </c>
      <c r="Q255" s="190">
        <v>-541</v>
      </c>
      <c r="R255" s="190">
        <v>-573</v>
      </c>
      <c r="S255" s="189">
        <f>SUM(Q255:R255)</f>
        <v>-1114</v>
      </c>
      <c r="T255" s="190">
        <v>-561</v>
      </c>
      <c r="U255" s="190">
        <v>-567</v>
      </c>
      <c r="V255" s="189">
        <f>SUM(T255:U255)</f>
        <v>-1128</v>
      </c>
      <c r="W255" s="190">
        <v>-571</v>
      </c>
      <c r="X255" s="190">
        <f>X231+X20</f>
        <v>-572</v>
      </c>
      <c r="Y255" s="189">
        <f>SUM(W255:X255)</f>
        <v>-1143</v>
      </c>
      <c r="Z255" s="190">
        <v>-572</v>
      </c>
      <c r="AA255" s="190">
        <v>-582</v>
      </c>
      <c r="AB255" s="189">
        <f>SUM(Z255:AA255)</f>
        <v>-1154</v>
      </c>
      <c r="AC255" s="190"/>
      <c r="AD255" s="190"/>
      <c r="AE255" s="189"/>
      <c r="AF255" s="190"/>
      <c r="AG255" s="190"/>
      <c r="AH255" s="189"/>
      <c r="AI255" s="190"/>
      <c r="AJ255" s="190"/>
      <c r="AK255" s="189"/>
      <c r="AL255" s="190"/>
      <c r="AM255" s="190"/>
      <c r="AN255" s="189"/>
      <c r="AO255" s="190"/>
      <c r="AP255" s="190"/>
      <c r="AQ255" s="189"/>
      <c r="AR255" s="190"/>
      <c r="AS255" s="190"/>
      <c r="AT255" s="189"/>
      <c r="AU255" s="190"/>
      <c r="AV255" s="190"/>
      <c r="AW255" s="189"/>
      <c r="AX255" s="190"/>
      <c r="AY255" s="190"/>
      <c r="AZ255" s="189"/>
    </row>
    <row r="256" spans="1:54">
      <c r="B256" s="203"/>
      <c r="N256" s="190"/>
      <c r="O256" s="190"/>
      <c r="P256" s="189"/>
      <c r="Q256" s="190"/>
      <c r="R256" s="190"/>
      <c r="S256" s="189"/>
      <c r="T256" s="190"/>
      <c r="U256" s="190"/>
      <c r="V256" s="189"/>
      <c r="W256" s="190"/>
      <c r="X256" s="190"/>
      <c r="Y256" s="189"/>
      <c r="Z256" s="190"/>
      <c r="AA256" s="190"/>
      <c r="AB256" s="189"/>
      <c r="AC256" s="190"/>
      <c r="AD256" s="190"/>
      <c r="AE256" s="189"/>
      <c r="AF256" s="190"/>
      <c r="AG256" s="190"/>
      <c r="AH256" s="189"/>
      <c r="AI256" s="190"/>
      <c r="AJ256" s="190"/>
      <c r="AK256" s="189"/>
      <c r="AL256" s="190"/>
      <c r="AM256" s="190"/>
      <c r="AN256" s="189"/>
      <c r="AO256" s="190"/>
      <c r="AP256" s="190"/>
      <c r="AQ256" s="189"/>
      <c r="AR256" s="190"/>
      <c r="AS256" s="190"/>
      <c r="AT256" s="189"/>
      <c r="AU256" s="190"/>
      <c r="AV256" s="190"/>
      <c r="AW256" s="189"/>
      <c r="AX256" s="190"/>
      <c r="AY256" s="190"/>
      <c r="AZ256" s="189"/>
    </row>
    <row r="257" spans="1:53">
      <c r="B257" s="204" t="s">
        <v>2379</v>
      </c>
      <c r="N257" s="190">
        <f>SUM(N253:N256)</f>
        <v>277</v>
      </c>
      <c r="O257" s="190">
        <f>SUM(O253:O256)</f>
        <v>293</v>
      </c>
      <c r="P257" s="195">
        <f>SUM(P253:P256)</f>
        <v>570</v>
      </c>
      <c r="Q257" s="190">
        <f>SUM(Q253:Q256)</f>
        <v>367</v>
      </c>
      <c r="R257" s="190">
        <f>SUM(R253:R256)</f>
        <v>360</v>
      </c>
      <c r="S257" s="195">
        <f>SUM(Q257:R257)</f>
        <v>727</v>
      </c>
      <c r="T257" s="190">
        <f>SUM(T253:T256)</f>
        <v>388</v>
      </c>
      <c r="U257" s="190">
        <f>SUM(U253:U256)</f>
        <v>333</v>
      </c>
      <c r="V257" s="195">
        <f>SUM(T257:U257)</f>
        <v>721</v>
      </c>
      <c r="W257" s="190">
        <f>SUM(W253:W256)</f>
        <v>369</v>
      </c>
      <c r="X257" s="190">
        <f>SUM(X253:X256)</f>
        <v>375</v>
      </c>
      <c r="Y257" s="195">
        <f>SUM(W257:X257)</f>
        <v>744</v>
      </c>
      <c r="Z257" s="190">
        <f>SUM(Z253:Z256)</f>
        <v>356.20000000000005</v>
      </c>
      <c r="AA257" s="190">
        <f>SUM(AA253:AA256)</f>
        <v>319</v>
      </c>
      <c r="AB257" s="195">
        <f>SUM(Z257:AA257)</f>
        <v>675.2</v>
      </c>
      <c r="AC257" s="190"/>
      <c r="AD257" s="190"/>
      <c r="AE257" s="195"/>
      <c r="AF257" s="190"/>
      <c r="AG257" s="190"/>
      <c r="AH257" s="195"/>
      <c r="AI257" s="190"/>
      <c r="AJ257" s="190"/>
      <c r="AK257" s="195"/>
      <c r="AL257" s="190"/>
      <c r="AM257" s="190"/>
      <c r="AN257" s="195"/>
      <c r="AO257" s="190"/>
      <c r="AP257" s="190"/>
      <c r="AQ257" s="195"/>
      <c r="AR257" s="190"/>
      <c r="AS257" s="190"/>
      <c r="AT257" s="195"/>
      <c r="AU257" s="190"/>
      <c r="AV257" s="190"/>
      <c r="AW257" s="195"/>
      <c r="AX257" s="190"/>
      <c r="AY257" s="190"/>
      <c r="AZ257" s="195"/>
    </row>
    <row r="258" spans="1:53">
      <c r="B258" s="203"/>
      <c r="N258" s="190"/>
      <c r="O258" s="190"/>
      <c r="P258" s="189"/>
      <c r="Q258" s="190"/>
      <c r="R258" s="190"/>
      <c r="S258" s="189"/>
      <c r="T258" s="190"/>
      <c r="U258" s="190"/>
      <c r="V258" s="189"/>
      <c r="W258" s="190"/>
      <c r="X258" s="190"/>
      <c r="Y258" s="189"/>
      <c r="Z258" s="190"/>
      <c r="AA258" s="190"/>
      <c r="AB258" s="189"/>
      <c r="AC258" s="190"/>
      <c r="AD258" s="190"/>
      <c r="AE258" s="189"/>
      <c r="AF258" s="190"/>
      <c r="AG258" s="190"/>
      <c r="AH258" s="189"/>
      <c r="AI258" s="190"/>
      <c r="AJ258" s="190"/>
      <c r="AK258" s="189"/>
      <c r="AL258" s="190"/>
      <c r="AM258" s="190"/>
      <c r="AN258" s="189"/>
      <c r="AO258" s="190"/>
      <c r="AP258" s="190"/>
      <c r="AQ258" s="189"/>
      <c r="AR258" s="190"/>
      <c r="AS258" s="190"/>
      <c r="AT258" s="189"/>
      <c r="AU258" s="190"/>
      <c r="AV258" s="190"/>
      <c r="AW258" s="189"/>
      <c r="AX258" s="190"/>
      <c r="AY258" s="190"/>
      <c r="AZ258" s="189"/>
    </row>
    <row r="259" spans="1:53">
      <c r="A259" s="284" t="s">
        <v>2421</v>
      </c>
      <c r="B259" s="203" t="s">
        <v>2380</v>
      </c>
      <c r="N259" s="190">
        <f>N235</f>
        <v>-6</v>
      </c>
      <c r="O259" s="190">
        <f>O235</f>
        <v>-12</v>
      </c>
      <c r="P259" s="189">
        <f t="shared" ref="P259:P264" si="189">SUM(N259:O259)</f>
        <v>-18</v>
      </c>
      <c r="Q259" s="190">
        <f>Q235</f>
        <v>-5</v>
      </c>
      <c r="R259" s="190">
        <f>R235</f>
        <v>-4</v>
      </c>
      <c r="S259" s="189">
        <f t="shared" ref="S259:S264" si="190">SUM(Q259:R259)</f>
        <v>-9</v>
      </c>
      <c r="T259" s="190">
        <f>T235</f>
        <v>-11</v>
      </c>
      <c r="U259" s="190">
        <f>U235</f>
        <v>-7</v>
      </c>
      <c r="V259" s="189">
        <f t="shared" ref="V259:V264" si="191">SUM(T259:U259)</f>
        <v>-18</v>
      </c>
      <c r="W259" s="190">
        <f>W235</f>
        <v>-5</v>
      </c>
      <c r="X259" s="190">
        <f>X235</f>
        <v>-7</v>
      </c>
      <c r="Y259" s="189">
        <f t="shared" ref="Y259:Y264" si="192">SUM(W259:X259)</f>
        <v>-12</v>
      </c>
      <c r="Z259" s="190">
        <f>Z235</f>
        <v>-3</v>
      </c>
      <c r="AA259" s="190">
        <f>AA235</f>
        <v>-8</v>
      </c>
      <c r="AB259" s="189">
        <f t="shared" ref="AB259:AB264" si="193">SUM(Z259:AA259)</f>
        <v>-11</v>
      </c>
      <c r="AC259" s="190"/>
      <c r="AD259" s="190"/>
      <c r="AE259" s="189"/>
      <c r="AF259" s="190"/>
      <c r="AG259" s="190"/>
      <c r="AH259" s="189"/>
      <c r="AI259" s="190"/>
      <c r="AJ259" s="190"/>
      <c r="AK259" s="189"/>
      <c r="AL259" s="190"/>
      <c r="AM259" s="190"/>
      <c r="AN259" s="189"/>
      <c r="AO259" s="190"/>
      <c r="AP259" s="190"/>
      <c r="AQ259" s="189"/>
      <c r="AR259" s="190"/>
      <c r="AS259" s="190"/>
      <c r="AT259" s="189"/>
      <c r="AU259" s="190"/>
      <c r="AV259" s="190"/>
      <c r="AW259" s="189"/>
      <c r="AX259" s="190"/>
      <c r="AY259" s="190"/>
      <c r="AZ259" s="189"/>
    </row>
    <row r="260" spans="1:53">
      <c r="A260" s="284" t="s">
        <v>2420</v>
      </c>
      <c r="B260" s="203" t="s">
        <v>75</v>
      </c>
      <c r="N260" s="190">
        <v>-70</v>
      </c>
      <c r="O260" s="190">
        <v>-69</v>
      </c>
      <c r="P260" s="189">
        <f t="shared" si="189"/>
        <v>-139</v>
      </c>
      <c r="Q260" s="190">
        <v>-98</v>
      </c>
      <c r="R260" s="190">
        <v>-71</v>
      </c>
      <c r="S260" s="189">
        <f t="shared" si="190"/>
        <v>-169</v>
      </c>
      <c r="T260" s="190">
        <v>-107</v>
      </c>
      <c r="U260" s="190">
        <v>-92</v>
      </c>
      <c r="V260" s="189">
        <f t="shared" si="191"/>
        <v>-199</v>
      </c>
      <c r="W260" s="190">
        <v>-104</v>
      </c>
      <c r="X260" s="190">
        <v>-109</v>
      </c>
      <c r="Y260" s="189">
        <f t="shared" si="192"/>
        <v>-213</v>
      </c>
      <c r="Z260" s="190">
        <v>-97</v>
      </c>
      <c r="AA260" s="190">
        <v>-74</v>
      </c>
      <c r="AB260" s="189">
        <f t="shared" si="193"/>
        <v>-171</v>
      </c>
      <c r="AC260" s="190"/>
      <c r="AD260" s="190"/>
      <c r="AE260" s="189"/>
      <c r="AF260" s="190"/>
      <c r="AG260" s="190"/>
      <c r="AH260" s="189"/>
      <c r="AI260" s="190"/>
      <c r="AJ260" s="190"/>
      <c r="AK260" s="189"/>
      <c r="AL260" s="190"/>
      <c r="AM260" s="190"/>
      <c r="AN260" s="189"/>
      <c r="AO260" s="190"/>
      <c r="AP260" s="190"/>
      <c r="AQ260" s="189"/>
      <c r="AR260" s="190"/>
      <c r="AS260" s="190"/>
      <c r="AT260" s="189"/>
      <c r="AU260" s="190"/>
      <c r="AV260" s="190"/>
      <c r="AW260" s="189"/>
      <c r="AX260" s="190"/>
      <c r="AY260" s="190"/>
      <c r="AZ260" s="189"/>
      <c r="BA260" s="186"/>
    </row>
    <row r="261" spans="1:53" s="181" customFormat="1">
      <c r="A261" s="175"/>
      <c r="B261" s="204" t="s">
        <v>2392</v>
      </c>
      <c r="C261" s="175"/>
      <c r="D261" s="175"/>
      <c r="E261" s="196"/>
      <c r="F261" s="196"/>
      <c r="G261" s="196"/>
      <c r="H261" s="196"/>
      <c r="I261" s="196"/>
      <c r="J261" s="196"/>
      <c r="K261" s="196"/>
      <c r="L261" s="196"/>
      <c r="M261" s="196"/>
      <c r="N261" s="198">
        <f>SUM(N257:N260)</f>
        <v>201</v>
      </c>
      <c r="O261" s="198">
        <f>SUM(O257:O260)</f>
        <v>212</v>
      </c>
      <c r="P261" s="195">
        <f t="shared" si="189"/>
        <v>413</v>
      </c>
      <c r="Q261" s="198">
        <f>SUM(Q257:Q260)</f>
        <v>264</v>
      </c>
      <c r="R261" s="198">
        <f>SUM(R257:R260)</f>
        <v>285</v>
      </c>
      <c r="S261" s="195">
        <f t="shared" si="190"/>
        <v>549</v>
      </c>
      <c r="T261" s="198">
        <f>SUM(T257:T260)</f>
        <v>270</v>
      </c>
      <c r="U261" s="198">
        <f>SUM(U257:U260)</f>
        <v>234</v>
      </c>
      <c r="V261" s="195">
        <f t="shared" si="191"/>
        <v>504</v>
      </c>
      <c r="W261" s="198">
        <f>SUM(W257:W260)</f>
        <v>260</v>
      </c>
      <c r="X261" s="198">
        <f>SUM(X257:X260)</f>
        <v>259</v>
      </c>
      <c r="Y261" s="195">
        <f t="shared" si="192"/>
        <v>519</v>
      </c>
      <c r="Z261" s="198">
        <f>SUM(Z257:Z260)</f>
        <v>256.20000000000005</v>
      </c>
      <c r="AA261" s="198">
        <f>SUM(AA257:AA260)</f>
        <v>237</v>
      </c>
      <c r="AB261" s="195">
        <f t="shared" si="193"/>
        <v>493.20000000000005</v>
      </c>
      <c r="AC261" s="198"/>
      <c r="AD261" s="198"/>
      <c r="AE261" s="195"/>
      <c r="AF261" s="198"/>
      <c r="AG261" s="198"/>
      <c r="AH261" s="195"/>
      <c r="AI261" s="198"/>
      <c r="AJ261" s="198"/>
      <c r="AK261" s="195"/>
      <c r="AL261" s="198"/>
      <c r="AM261" s="198"/>
      <c r="AN261" s="195"/>
      <c r="AO261" s="198"/>
      <c r="AP261" s="198"/>
      <c r="AQ261" s="195"/>
      <c r="AR261" s="198"/>
      <c r="AS261" s="198"/>
      <c r="AT261" s="195"/>
      <c r="AU261" s="198"/>
      <c r="AV261" s="198"/>
      <c r="AW261" s="195"/>
      <c r="AX261" s="198"/>
      <c r="AY261" s="198"/>
      <c r="AZ261" s="195"/>
    </row>
    <row r="262" spans="1:53">
      <c r="B262" s="203" t="s">
        <v>2393</v>
      </c>
      <c r="N262" s="281">
        <v>3</v>
      </c>
      <c r="O262" s="281">
        <v>-5</v>
      </c>
      <c r="P262" s="189">
        <f t="shared" si="189"/>
        <v>-2</v>
      </c>
      <c r="Q262" s="190">
        <v>-1</v>
      </c>
      <c r="R262" s="282">
        <v>0</v>
      </c>
      <c r="S262" s="189">
        <f t="shared" si="190"/>
        <v>-1</v>
      </c>
      <c r="T262" s="190">
        <v>-1</v>
      </c>
      <c r="U262" s="190">
        <v>0</v>
      </c>
      <c r="V262" s="189">
        <f t="shared" si="191"/>
        <v>-1</v>
      </c>
      <c r="W262" s="190">
        <v>-1</v>
      </c>
      <c r="X262" s="190">
        <v>0</v>
      </c>
      <c r="Y262" s="189">
        <f t="shared" si="192"/>
        <v>-1</v>
      </c>
      <c r="Z262" s="190">
        <v>-3</v>
      </c>
      <c r="AA262" s="190">
        <v>-5</v>
      </c>
      <c r="AB262" s="189">
        <f t="shared" si="193"/>
        <v>-8</v>
      </c>
      <c r="AC262" s="283"/>
      <c r="AD262" s="283"/>
      <c r="AE262" s="189"/>
      <c r="AF262" s="283"/>
      <c r="AG262" s="283"/>
      <c r="AH262" s="189"/>
      <c r="AI262" s="283"/>
      <c r="AJ262" s="283"/>
      <c r="AK262" s="189"/>
      <c r="AL262" s="283"/>
      <c r="AM262" s="283"/>
      <c r="AN262" s="189"/>
      <c r="AO262" s="283"/>
      <c r="AP262" s="283"/>
      <c r="AQ262" s="189"/>
      <c r="AR262" s="283"/>
      <c r="AS262" s="283"/>
      <c r="AT262" s="189"/>
      <c r="AU262" s="283"/>
      <c r="AV262" s="283"/>
      <c r="AW262" s="189"/>
      <c r="AX262" s="283"/>
      <c r="AY262" s="283"/>
      <c r="AZ262" s="189"/>
    </row>
    <row r="263" spans="1:53">
      <c r="B263" s="203" t="s">
        <v>2394</v>
      </c>
      <c r="N263" s="190">
        <f>+N9</f>
        <v>-26</v>
      </c>
      <c r="O263" s="190">
        <f>+O9</f>
        <v>52</v>
      </c>
      <c r="P263" s="189">
        <f t="shared" si="189"/>
        <v>26</v>
      </c>
      <c r="Q263" s="190">
        <f>+Q9</f>
        <v>35</v>
      </c>
      <c r="R263" s="190">
        <f>+R9</f>
        <v>26</v>
      </c>
      <c r="S263" s="189">
        <f t="shared" si="190"/>
        <v>61</v>
      </c>
      <c r="T263" s="190">
        <f>+T9</f>
        <v>29</v>
      </c>
      <c r="U263" s="190">
        <f>+U9</f>
        <v>1</v>
      </c>
      <c r="V263" s="189">
        <f t="shared" si="191"/>
        <v>30</v>
      </c>
      <c r="W263" s="190">
        <f>+W9</f>
        <v>30</v>
      </c>
      <c r="X263" s="190">
        <f>+X9</f>
        <v>8</v>
      </c>
      <c r="Y263" s="189">
        <f t="shared" si="192"/>
        <v>38</v>
      </c>
      <c r="Z263" s="190">
        <v>0</v>
      </c>
      <c r="AA263" s="190">
        <v>-3</v>
      </c>
      <c r="AB263" s="189">
        <f t="shared" si="193"/>
        <v>-3</v>
      </c>
      <c r="AC263" s="190"/>
      <c r="AD263" s="190"/>
      <c r="AE263" s="189"/>
      <c r="AF263" s="190"/>
      <c r="AG263" s="190"/>
      <c r="AH263" s="189"/>
      <c r="AI263" s="190"/>
      <c r="AJ263" s="190"/>
      <c r="AK263" s="189"/>
      <c r="AL263" s="190"/>
      <c r="AM263" s="190"/>
      <c r="AN263" s="189"/>
      <c r="AO263" s="190"/>
      <c r="AP263" s="190"/>
      <c r="AQ263" s="189"/>
      <c r="AR263" s="190"/>
      <c r="AS263" s="190"/>
      <c r="AT263" s="189"/>
      <c r="AU263" s="190"/>
      <c r="AV263" s="190"/>
      <c r="AW263" s="189"/>
      <c r="AX263" s="190"/>
      <c r="AY263" s="190"/>
      <c r="AZ263" s="189"/>
    </row>
    <row r="264" spans="1:53">
      <c r="B264" s="181" t="s">
        <v>2395</v>
      </c>
      <c r="N264" s="190">
        <f>SUM(N261:N263)</f>
        <v>178</v>
      </c>
      <c r="O264" s="190">
        <f>SUM(O261:O263)</f>
        <v>259</v>
      </c>
      <c r="P264" s="195">
        <f t="shared" si="189"/>
        <v>437</v>
      </c>
      <c r="Q264" s="190">
        <f>SUM(Q261:Q263)</f>
        <v>298</v>
      </c>
      <c r="R264" s="190">
        <f>SUM(R261:R263)</f>
        <v>311</v>
      </c>
      <c r="S264" s="195">
        <f t="shared" si="190"/>
        <v>609</v>
      </c>
      <c r="T264" s="190">
        <f>SUM(T261:T263)</f>
        <v>298</v>
      </c>
      <c r="U264" s="190">
        <f>SUM(U261:U263)</f>
        <v>235</v>
      </c>
      <c r="V264" s="195">
        <f t="shared" si="191"/>
        <v>533</v>
      </c>
      <c r="W264" s="190">
        <f>SUM(W261:W263)</f>
        <v>289</v>
      </c>
      <c r="X264" s="190">
        <f>SUM(X261:X263)</f>
        <v>267</v>
      </c>
      <c r="Y264" s="195">
        <f t="shared" si="192"/>
        <v>556</v>
      </c>
      <c r="Z264" s="190">
        <f>SUM(Z261:Z263)</f>
        <v>253.20000000000005</v>
      </c>
      <c r="AA264" s="190">
        <f>SUM(AA261:AA263)</f>
        <v>229</v>
      </c>
      <c r="AB264" s="195">
        <f t="shared" si="193"/>
        <v>482.20000000000005</v>
      </c>
      <c r="AC264" s="190"/>
      <c r="AD264" s="190"/>
      <c r="AE264" s="195"/>
      <c r="AF264" s="190"/>
      <c r="AG264" s="190"/>
      <c r="AH264" s="195"/>
      <c r="AI264" s="190"/>
      <c r="AJ264" s="190"/>
      <c r="AK264" s="195"/>
      <c r="AL264" s="190"/>
      <c r="AM264" s="190"/>
      <c r="AN264" s="195"/>
      <c r="AO264" s="190"/>
      <c r="AP264" s="190"/>
      <c r="AQ264" s="195"/>
      <c r="AR264" s="190"/>
      <c r="AS264" s="190"/>
      <c r="AT264" s="195"/>
      <c r="AU264" s="190"/>
      <c r="AV264" s="190"/>
      <c r="AW264" s="195"/>
      <c r="AX264" s="190"/>
      <c r="AY264" s="190"/>
      <c r="AZ264" s="195"/>
    </row>
  </sheetData>
  <pageMargins left="0.5" right="0.33" top="0.68" bottom="0.59" header="0.5" footer="0.5"/>
  <pageSetup paperSize="9" scale="10" fitToHeight="4" orientation="landscape" r:id="rId1"/>
  <headerFooter alignWithMargins="0"/>
  <customProperties>
    <customPr name="Qube.Worksheet.Visibility" r:id="rId2"/>
    <customPr name="SHEET_UNIQUE_ID" r:id="rId3"/>
  </customProperties>
  <legacyDrawing r:id="rId4"/>
</worksheet>
</file>

<file path=docMetadata/LabelInfo.xml><?xml version="1.0" encoding="utf-8"?>
<clbl:labelList xmlns:clbl="http://schemas.microsoft.com/office/2020/mipLabelMetadata">
  <clbl:label id="{38ade803-c9f2-458b-bd92-85e1ed493d50}" enabled="1" method="Privileged" siteId="{38651f6f-836b-4bdf-9615-4e255c290fe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9</vt:i4>
      </vt:variant>
    </vt:vector>
  </HeadingPairs>
  <TitlesOfParts>
    <vt:vector size="22" baseType="lpstr">
      <vt:lpstr>_QP_NAB.AX</vt:lpstr>
      <vt:lpstr>Sheet2</vt:lpstr>
      <vt:lpstr>Sheet1</vt:lpstr>
      <vt:lpstr>MigrationOutput_QP_NAB.AX</vt:lpstr>
      <vt:lpstr>QP_NAB.AX_migrated</vt:lpstr>
      <vt:lpstr>Summary</vt:lpstr>
      <vt:lpstr>Model</vt:lpstr>
      <vt:lpstr>FinSum</vt:lpstr>
      <vt:lpstr>RIM</vt:lpstr>
      <vt:lpstr>Financial Summary</vt:lpstr>
      <vt:lpstr>Old</vt:lpstr>
      <vt:lpstr>Detailed P&amp;L</vt:lpstr>
      <vt:lpstr>NAB WM profits (no longer used)</vt:lpstr>
      <vt:lpstr>MigrationOutput_QP_NAB.AX!ExchangeSheetLink</vt:lpstr>
      <vt:lpstr>MigrationOutput_QP_NAB.AX!HiddenSheetLink</vt:lpstr>
      <vt:lpstr>MigrationOutput_QP_NAB.AX!LastProblemKeyword</vt:lpstr>
      <vt:lpstr>FinSum!Print_Area</vt:lpstr>
      <vt:lpstr>Model!Print_Area</vt:lpstr>
      <vt:lpstr>RIM!Print_Area</vt:lpstr>
      <vt:lpstr>Model!Print_Titles</vt:lpstr>
      <vt:lpstr>Summary!Print_Titles</vt:lpstr>
      <vt:lpstr>'NAB WM profits (no longer used)'!WM_revenue</vt:lpstr>
    </vt:vector>
  </TitlesOfParts>
  <Company>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Vaghani, Rushil [GIR]</cp:lastModifiedBy>
  <cp:lastPrinted>2024-03-06T06:02:15Z</cp:lastPrinted>
  <dcterms:created xsi:type="dcterms:W3CDTF">2012-12-15T08:59:51Z</dcterms:created>
  <dcterms:modified xsi:type="dcterms:W3CDTF">2026-02-17T20:54:05Z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{50773AD4-8EDD-4B0E-9241-97080328BBF4}</vt:lpwstr>
  </property>
  <property fmtid="{D5CDD505-2E9C-101B-9397-08002B2CF9AE}" pid="3" name="TitusGUID">
    <vt:lpwstr>bd0affdf-d740-419f-b5ad-f4bf308c5ca4</vt:lpwstr>
  </property>
  <property fmtid="{D5CDD505-2E9C-101B-9397-08002B2CF9AE}" pid="4" name="Classification">
    <vt:lpwstr>I</vt:lpwstr>
  </property>
  <property fmtid="{D5CDD505-2E9C-101B-9397-08002B2CF9AE}" pid="5" name="Project">
    <vt:lpwstr>irroot</vt:lpwstr>
  </property>
  <property fmtid="{D5CDD505-2E9C-101B-9397-08002B2CF9AE}" pid="6" name="GSRUdf">
    <vt:lpwstr>True</vt:lpwstr>
  </property>
  <property fmtid="{D5CDD505-2E9C-101B-9397-08002B2CF9AE}" pid="7" name="DocNoClass">
    <vt:lpwstr>Not In Use</vt:lpwstr>
  </property>
</Properties>
</file>